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New Broker\TSC 2\Final Supp\"/>
    </mc:Choice>
  </mc:AlternateContent>
  <xr:revisionPtr revIDLastSave="0" documentId="13_ncr:1_{2A10C60F-7998-4769-AD0B-0F87179DE0DE}" xr6:coauthVersionLast="47" xr6:coauthVersionMax="47" xr10:uidLastSave="{00000000-0000-0000-0000-000000000000}"/>
  <bookViews>
    <workbookView xWindow="-120" yWindow="-120" windowWidth="21240" windowHeight="15990" tabRatio="757" firstSheet="5" activeTab="13" xr2:uid="{00000000-000D-0000-FFFF-FFFF00000000}"/>
  </bookViews>
  <sheets>
    <sheet name="Journal Papers" sheetId="20" r:id="rId1"/>
    <sheet name="Journals" sheetId="35" r:id="rId2"/>
    <sheet name="Conference Papers" sheetId="21" r:id="rId3"/>
    <sheet name="Conferences" sheetId="36" r:id="rId4"/>
    <sheet name="All Papers" sheetId="23" r:id="rId5"/>
    <sheet name="Authors" sheetId="33" r:id="rId6"/>
    <sheet name="Countries" sheetId="34" r:id="rId7"/>
    <sheet name="Topics" sheetId="24" r:id="rId8"/>
    <sheet name="Year" sheetId="25" r:id="rId9"/>
    <sheet name="Topics-Year" sheetId="26" r:id="rId10"/>
    <sheet name="Emperical Evaluation" sheetId="27" r:id="rId11"/>
    <sheet name="Techniques" sheetId="28" r:id="rId12"/>
    <sheet name="NIST roles" sheetId="29" r:id="rId13"/>
    <sheet name="Topics-NIST" sheetId="30" r:id="rId14"/>
    <sheet name="Service Layer" sheetId="31" r:id="rId15"/>
    <sheet name="Control Topology" sheetId="32" r:id="rId16"/>
  </sheets>
  <externalReferences>
    <externalReference r:id="rId17"/>
  </externalReferences>
  <definedNames>
    <definedName name="_xlnm._FilterDatabase" localSheetId="4" hidden="1">'All Papers'!$A$1:$N$635</definedName>
    <definedName name="_xlnm._FilterDatabase" localSheetId="2" hidden="1">'Conference Papers'!$I$1:$I$209</definedName>
    <definedName name="_xlnm._FilterDatabase" localSheetId="1" hidden="1">Journals!$A$1:$B$2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35" l="1"/>
  <c r="B46" i="35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B28" i="35"/>
  <c r="B2" i="35"/>
  <c r="B3" i="35"/>
  <c r="B56" i="35"/>
  <c r="B55" i="35"/>
  <c r="B54" i="35"/>
  <c r="B53" i="35"/>
  <c r="B52" i="35"/>
  <c r="B50" i="35"/>
  <c r="B49" i="35"/>
  <c r="B48" i="35"/>
  <c r="B47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2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3" i="34"/>
  <c r="B10" i="34"/>
  <c r="B9" i="34"/>
  <c r="B8" i="34"/>
  <c r="B7" i="34"/>
  <c r="B11" i="34"/>
  <c r="B12" i="34"/>
  <c r="B6" i="34"/>
  <c r="B5" i="34"/>
  <c r="B4" i="34"/>
  <c r="M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155" i="33"/>
  <c r="M156" i="33"/>
  <c r="M157" i="33"/>
  <c r="M158" i="33"/>
  <c r="M159" i="33"/>
  <c r="M160" i="33"/>
  <c r="M161" i="33"/>
  <c r="M162" i="33"/>
  <c r="M163" i="33"/>
  <c r="M164" i="33"/>
  <c r="M165" i="33"/>
  <c r="M166" i="33"/>
  <c r="M167" i="33"/>
  <c r="M168" i="33"/>
  <c r="M169" i="33"/>
  <c r="M170" i="33"/>
  <c r="M171" i="33"/>
  <c r="M172" i="33"/>
  <c r="M173" i="33"/>
  <c r="M174" i="33"/>
  <c r="M175" i="33"/>
  <c r="M176" i="33"/>
  <c r="M177" i="33"/>
  <c r="M178" i="33"/>
  <c r="M179" i="33"/>
  <c r="M180" i="33"/>
  <c r="M181" i="33"/>
  <c r="M182" i="33"/>
  <c r="M183" i="33"/>
  <c r="M184" i="33"/>
  <c r="M185" i="33"/>
  <c r="M186" i="33"/>
  <c r="M187" i="33"/>
  <c r="M188" i="33"/>
  <c r="M189" i="33"/>
  <c r="M190" i="33"/>
  <c r="M191" i="33"/>
  <c r="M192" i="33"/>
  <c r="M193" i="33"/>
  <c r="M194" i="33"/>
  <c r="M195" i="33"/>
  <c r="M196" i="33"/>
  <c r="M197" i="33"/>
  <c r="M198" i="33"/>
  <c r="M199" i="33"/>
  <c r="M200" i="33"/>
  <c r="M201" i="33"/>
  <c r="M202" i="33"/>
  <c r="M203" i="33"/>
  <c r="M204" i="33"/>
  <c r="M205" i="33"/>
  <c r="M206" i="33"/>
  <c r="M207" i="33"/>
  <c r="M208" i="33"/>
  <c r="M209" i="33"/>
  <c r="M210" i="33"/>
  <c r="M211" i="33"/>
  <c r="M212" i="33"/>
  <c r="M213" i="33"/>
  <c r="M214" i="33"/>
  <c r="M215" i="33"/>
  <c r="M216" i="33"/>
  <c r="M217" i="33"/>
  <c r="M218" i="33"/>
  <c r="M219" i="33"/>
  <c r="M220" i="33"/>
  <c r="M221" i="33"/>
  <c r="M222" i="33"/>
  <c r="M223" i="33"/>
  <c r="M224" i="33"/>
  <c r="M225" i="33"/>
  <c r="M226" i="33"/>
  <c r="M227" i="33"/>
  <c r="M228" i="33"/>
  <c r="M229" i="33"/>
  <c r="M230" i="33"/>
  <c r="M231" i="33"/>
  <c r="M232" i="33"/>
  <c r="M233" i="33"/>
  <c r="M234" i="33"/>
  <c r="M235" i="33"/>
  <c r="M236" i="33"/>
  <c r="M237" i="33"/>
  <c r="M238" i="33"/>
  <c r="M239" i="33"/>
  <c r="M240" i="33"/>
  <c r="M241" i="33"/>
  <c r="M242" i="33"/>
  <c r="M243" i="33"/>
  <c r="M244" i="33"/>
  <c r="M245" i="33"/>
  <c r="M246" i="33"/>
  <c r="M247" i="33"/>
  <c r="M248" i="33"/>
  <c r="M249" i="33"/>
  <c r="M250" i="33"/>
  <c r="M251" i="33"/>
  <c r="M252" i="33"/>
  <c r="M253" i="33"/>
  <c r="M254" i="33"/>
  <c r="M255" i="33"/>
  <c r="M256" i="33"/>
  <c r="M257" i="33"/>
  <c r="M258" i="33"/>
  <c r="M259" i="33"/>
  <c r="M260" i="33"/>
  <c r="M261" i="33"/>
  <c r="M262" i="33"/>
  <c r="M263" i="33"/>
  <c r="M264" i="33"/>
  <c r="M265" i="33"/>
  <c r="M266" i="33"/>
  <c r="M267" i="33"/>
  <c r="M268" i="33"/>
  <c r="M269" i="33"/>
  <c r="M270" i="33"/>
  <c r="M271" i="33"/>
  <c r="M272" i="33"/>
  <c r="M273" i="33"/>
  <c r="M274" i="33"/>
  <c r="M275" i="33"/>
  <c r="M276" i="33"/>
  <c r="M277" i="33"/>
  <c r="M278" i="33"/>
  <c r="M279" i="33"/>
  <c r="M280" i="33"/>
  <c r="M281" i="33"/>
  <c r="M282" i="33"/>
  <c r="M283" i="33"/>
  <c r="M284" i="33"/>
  <c r="M285" i="33"/>
  <c r="M286" i="33"/>
  <c r="M287" i="33"/>
  <c r="M288" i="33"/>
  <c r="M289" i="33"/>
  <c r="M290" i="33"/>
  <c r="M291" i="33"/>
  <c r="M292" i="33"/>
  <c r="M293" i="33"/>
  <c r="M294" i="33"/>
  <c r="M295" i="33"/>
  <c r="M296" i="33"/>
  <c r="M297" i="33"/>
  <c r="M298" i="33"/>
  <c r="M299" i="33"/>
  <c r="M300" i="33"/>
  <c r="M301" i="33"/>
  <c r="M302" i="33"/>
  <c r="M303" i="33"/>
  <c r="M304" i="33"/>
  <c r="M305" i="33"/>
  <c r="M306" i="33"/>
  <c r="M307" i="33"/>
  <c r="M308" i="33"/>
  <c r="M309" i="33"/>
  <c r="M310" i="33"/>
  <c r="M311" i="33"/>
  <c r="M312" i="33"/>
  <c r="M313" i="33"/>
  <c r="M314" i="33"/>
  <c r="M315" i="33"/>
  <c r="M316" i="33"/>
  <c r="M317" i="33"/>
  <c r="M318" i="33"/>
  <c r="M319" i="33"/>
  <c r="M320" i="33"/>
  <c r="M321" i="33"/>
  <c r="M322" i="33"/>
  <c r="M323" i="33"/>
  <c r="M324" i="33"/>
  <c r="M325" i="33"/>
  <c r="M326" i="33"/>
  <c r="M327" i="33"/>
  <c r="M328" i="33"/>
  <c r="M329" i="33"/>
  <c r="M330" i="33"/>
  <c r="M331" i="33"/>
  <c r="M332" i="33"/>
  <c r="M333" i="33"/>
  <c r="M334" i="33"/>
  <c r="M335" i="33"/>
  <c r="M336" i="33"/>
  <c r="M337" i="33"/>
  <c r="M338" i="33"/>
  <c r="M339" i="33"/>
  <c r="M340" i="33"/>
  <c r="M341" i="33"/>
  <c r="M342" i="33"/>
  <c r="M343" i="33"/>
  <c r="M344" i="33"/>
  <c r="M345" i="33"/>
  <c r="M346" i="33"/>
  <c r="M347" i="33"/>
  <c r="M348" i="33"/>
  <c r="M349" i="33"/>
  <c r="M350" i="33"/>
  <c r="M351" i="33"/>
  <c r="M352" i="33"/>
  <c r="M353" i="33"/>
  <c r="M354" i="33"/>
  <c r="M355" i="33"/>
  <c r="M356" i="33"/>
  <c r="M357" i="33"/>
  <c r="M358" i="33"/>
  <c r="M359" i="33"/>
  <c r="M360" i="33"/>
  <c r="M361" i="33"/>
  <c r="M362" i="33"/>
  <c r="M363" i="33"/>
  <c r="M364" i="33"/>
  <c r="M365" i="33"/>
  <c r="M366" i="33"/>
  <c r="M367" i="33"/>
  <c r="M368" i="33"/>
  <c r="M369" i="33"/>
  <c r="M370" i="33"/>
  <c r="M371" i="33"/>
  <c r="M372" i="33"/>
  <c r="M373" i="33"/>
  <c r="M374" i="33"/>
  <c r="M375" i="33"/>
  <c r="M376" i="33"/>
  <c r="M377" i="33"/>
  <c r="M378" i="33"/>
  <c r="M379" i="33"/>
  <c r="M380" i="33"/>
  <c r="M381" i="33"/>
  <c r="M382" i="33"/>
  <c r="M383" i="33"/>
  <c r="M384" i="33"/>
  <c r="M385" i="33"/>
  <c r="M386" i="33"/>
  <c r="M387" i="33"/>
  <c r="M388" i="33"/>
  <c r="M389" i="33"/>
  <c r="M390" i="33"/>
  <c r="M391" i="33"/>
  <c r="M392" i="33"/>
  <c r="M393" i="33"/>
  <c r="M394" i="33"/>
  <c r="M395" i="33"/>
  <c r="M396" i="33"/>
  <c r="M397" i="33"/>
  <c r="M398" i="33"/>
  <c r="M399" i="33"/>
  <c r="M400" i="33"/>
  <c r="M401" i="33"/>
  <c r="M402" i="33"/>
  <c r="M403" i="33"/>
  <c r="M404" i="33"/>
  <c r="M405" i="33"/>
  <c r="M406" i="33"/>
  <c r="M407" i="33"/>
  <c r="M408" i="33"/>
  <c r="M409" i="33"/>
  <c r="M410" i="33"/>
  <c r="M411" i="33"/>
  <c r="M412" i="33"/>
  <c r="M413" i="33"/>
  <c r="M414" i="33"/>
  <c r="M415" i="33"/>
  <c r="M416" i="33"/>
  <c r="M417" i="33"/>
  <c r="M418" i="33"/>
  <c r="M419" i="33"/>
  <c r="M420" i="33"/>
  <c r="M421" i="33"/>
  <c r="M422" i="33"/>
  <c r="M423" i="33"/>
  <c r="M424" i="33"/>
  <c r="M425" i="33"/>
  <c r="M426" i="33"/>
  <c r="M427" i="33"/>
  <c r="M428" i="33"/>
  <c r="M429" i="33"/>
  <c r="M430" i="33"/>
  <c r="M431" i="33"/>
  <c r="M432" i="33"/>
  <c r="M433" i="33"/>
  <c r="M434" i="33"/>
  <c r="M435" i="33"/>
  <c r="M436" i="33"/>
  <c r="M437" i="33"/>
  <c r="M438" i="33"/>
  <c r="M439" i="33"/>
  <c r="M440" i="33"/>
  <c r="M441" i="33"/>
  <c r="M442" i="33"/>
  <c r="M443" i="33"/>
  <c r="M444" i="33"/>
  <c r="M445" i="33"/>
  <c r="M446" i="33"/>
  <c r="M447" i="33"/>
  <c r="M448" i="33"/>
  <c r="M449" i="33"/>
  <c r="M450" i="33"/>
  <c r="M451" i="33"/>
  <c r="M452" i="33"/>
  <c r="M453" i="33"/>
  <c r="M454" i="33"/>
  <c r="M455" i="33"/>
  <c r="M456" i="33"/>
  <c r="M457" i="33"/>
  <c r="M458" i="33"/>
  <c r="M459" i="33"/>
  <c r="M460" i="33"/>
  <c r="M461" i="33"/>
  <c r="M462" i="33"/>
  <c r="M463" i="33"/>
  <c r="M464" i="33"/>
  <c r="M465" i="33"/>
  <c r="M466" i="33"/>
  <c r="M467" i="33"/>
  <c r="M468" i="33"/>
  <c r="M469" i="33"/>
  <c r="M470" i="33"/>
  <c r="M471" i="33"/>
  <c r="M472" i="33"/>
  <c r="M473" i="33"/>
  <c r="M474" i="33"/>
  <c r="M475" i="33"/>
  <c r="M476" i="33"/>
  <c r="M477" i="33"/>
  <c r="M478" i="33"/>
  <c r="M479" i="33"/>
  <c r="M480" i="33"/>
  <c r="M481" i="33"/>
  <c r="M482" i="33"/>
  <c r="M483" i="33"/>
  <c r="M484" i="33"/>
  <c r="M485" i="33"/>
  <c r="M486" i="33"/>
  <c r="M487" i="33"/>
  <c r="M488" i="33"/>
  <c r="M489" i="33"/>
  <c r="M490" i="33"/>
  <c r="M491" i="33"/>
  <c r="M492" i="33"/>
  <c r="M493" i="33"/>
  <c r="M494" i="33"/>
  <c r="M495" i="33"/>
  <c r="M496" i="33"/>
  <c r="M497" i="33"/>
  <c r="M498" i="33"/>
  <c r="M499" i="33"/>
  <c r="M500" i="33"/>
  <c r="M501" i="33"/>
  <c r="M502" i="33"/>
  <c r="M503" i="33"/>
  <c r="M504" i="33"/>
  <c r="M505" i="33"/>
  <c r="M506" i="33"/>
  <c r="M507" i="33"/>
  <c r="M508" i="33"/>
  <c r="M509" i="33"/>
  <c r="M510" i="33"/>
  <c r="M511" i="33"/>
  <c r="M512" i="33"/>
  <c r="M513" i="33"/>
  <c r="M514" i="33"/>
  <c r="M515" i="33"/>
  <c r="M516" i="33"/>
  <c r="M517" i="33"/>
  <c r="M518" i="33"/>
  <c r="M519" i="33"/>
  <c r="M520" i="33"/>
  <c r="M521" i="33"/>
  <c r="M522" i="33"/>
  <c r="M523" i="33"/>
  <c r="M524" i="33"/>
  <c r="M525" i="33"/>
  <c r="M526" i="33"/>
  <c r="M527" i="33"/>
  <c r="M528" i="33"/>
  <c r="M529" i="33"/>
  <c r="M530" i="33"/>
  <c r="M531" i="33"/>
  <c r="M532" i="33"/>
  <c r="M533" i="33"/>
  <c r="M534" i="33"/>
  <c r="M535" i="33"/>
  <c r="M536" i="33"/>
  <c r="M537" i="33"/>
  <c r="M538" i="33"/>
  <c r="M539" i="33"/>
  <c r="M540" i="33"/>
  <c r="M541" i="33"/>
  <c r="M542" i="33"/>
  <c r="M543" i="33"/>
  <c r="M544" i="33"/>
  <c r="M545" i="33"/>
  <c r="M546" i="33"/>
  <c r="M547" i="33"/>
  <c r="M548" i="33"/>
  <c r="M549" i="33"/>
  <c r="M550" i="33"/>
  <c r="M551" i="33"/>
  <c r="M552" i="33"/>
  <c r="M553" i="33"/>
  <c r="M554" i="33"/>
  <c r="M555" i="33"/>
  <c r="M556" i="33"/>
  <c r="M557" i="33"/>
  <c r="M558" i="33"/>
  <c r="M559" i="33"/>
  <c r="M560" i="33"/>
  <c r="M561" i="33"/>
  <c r="M562" i="33"/>
  <c r="M563" i="33"/>
  <c r="M564" i="33"/>
  <c r="M565" i="33"/>
  <c r="M566" i="33"/>
  <c r="M567" i="33"/>
  <c r="M568" i="33"/>
  <c r="M569" i="33"/>
  <c r="M570" i="33"/>
  <c r="M571" i="33"/>
  <c r="M572" i="33"/>
  <c r="M573" i="33"/>
  <c r="M574" i="33"/>
  <c r="M575" i="33"/>
  <c r="M576" i="33"/>
  <c r="M577" i="33"/>
  <c r="M578" i="33"/>
  <c r="M579" i="33"/>
  <c r="M580" i="33"/>
  <c r="M581" i="33"/>
  <c r="M582" i="33"/>
  <c r="M583" i="33"/>
  <c r="M584" i="33"/>
  <c r="M585" i="33"/>
  <c r="M586" i="33"/>
  <c r="M587" i="33"/>
  <c r="M588" i="33"/>
  <c r="M589" i="33"/>
  <c r="M590" i="33"/>
  <c r="M591" i="33"/>
  <c r="M592" i="33"/>
  <c r="M593" i="33"/>
  <c r="M594" i="33"/>
  <c r="M595" i="33"/>
  <c r="M596" i="33"/>
  <c r="M597" i="33"/>
  <c r="M598" i="33"/>
  <c r="M599" i="33"/>
  <c r="M600" i="33"/>
  <c r="M601" i="33"/>
  <c r="M602" i="33"/>
  <c r="M603" i="33"/>
  <c r="M604" i="33"/>
  <c r="M605" i="33"/>
  <c r="M606" i="33"/>
  <c r="M607" i="33"/>
  <c r="M608" i="33"/>
  <c r="M609" i="33"/>
  <c r="M610" i="33"/>
  <c r="M611" i="33"/>
  <c r="M612" i="33"/>
  <c r="M613" i="33"/>
  <c r="M614" i="33"/>
  <c r="M615" i="33"/>
  <c r="M616" i="33"/>
  <c r="M617" i="33"/>
  <c r="M618" i="33"/>
  <c r="M619" i="33"/>
  <c r="M620" i="33"/>
  <c r="M621" i="33"/>
  <c r="M622" i="33"/>
  <c r="M623" i="33"/>
  <c r="M624" i="33"/>
  <c r="M625" i="33"/>
  <c r="M626" i="33"/>
  <c r="M627" i="33"/>
  <c r="M628" i="33"/>
  <c r="M629" i="33"/>
  <c r="M630" i="33"/>
  <c r="M631" i="33"/>
  <c r="M632" i="33"/>
  <c r="M633" i="33"/>
  <c r="M634" i="33"/>
  <c r="M635" i="33"/>
  <c r="M636" i="33"/>
  <c r="M637" i="33"/>
  <c r="M638" i="33"/>
  <c r="M639" i="33"/>
  <c r="M640" i="33"/>
  <c r="M641" i="33"/>
  <c r="M642" i="33"/>
  <c r="M643" i="33"/>
  <c r="M644" i="33"/>
  <c r="M645" i="33"/>
  <c r="M646" i="33"/>
  <c r="M647" i="33"/>
  <c r="M648" i="33"/>
  <c r="M649" i="33"/>
  <c r="M650" i="33"/>
  <c r="M651" i="33"/>
  <c r="M652" i="33"/>
  <c r="M653" i="33"/>
  <c r="M654" i="33"/>
  <c r="M655" i="33"/>
  <c r="M656" i="33"/>
  <c r="M657" i="33"/>
  <c r="M658" i="33"/>
  <c r="M659" i="33"/>
  <c r="M660" i="33"/>
  <c r="M661" i="33"/>
  <c r="M662" i="33"/>
  <c r="M663" i="33"/>
  <c r="M664" i="33"/>
  <c r="M665" i="33"/>
  <c r="M666" i="33"/>
  <c r="M667" i="33"/>
  <c r="M668" i="33"/>
  <c r="M669" i="33"/>
  <c r="M670" i="33"/>
  <c r="M671" i="33"/>
  <c r="M672" i="33"/>
  <c r="M673" i="33"/>
  <c r="M674" i="33"/>
  <c r="M675" i="33"/>
  <c r="M676" i="33"/>
  <c r="M677" i="33"/>
  <c r="M678" i="33"/>
  <c r="M679" i="33"/>
  <c r="M680" i="33"/>
  <c r="M681" i="33"/>
  <c r="M682" i="33"/>
  <c r="M683" i="33"/>
  <c r="M684" i="33"/>
  <c r="M685" i="33"/>
  <c r="M686" i="33"/>
  <c r="M687" i="33"/>
  <c r="M688" i="33"/>
  <c r="M689" i="33"/>
  <c r="M690" i="33"/>
  <c r="M691" i="33"/>
  <c r="M692" i="33"/>
  <c r="M693" i="33"/>
  <c r="M694" i="33"/>
  <c r="M695" i="33"/>
  <c r="M696" i="33"/>
  <c r="M697" i="33"/>
  <c r="M698" i="33"/>
  <c r="M699" i="33"/>
  <c r="M700" i="33"/>
  <c r="M701" i="33"/>
  <c r="M702" i="33"/>
  <c r="M703" i="33"/>
  <c r="M704" i="33"/>
  <c r="M705" i="33"/>
  <c r="M706" i="33"/>
  <c r="M707" i="33"/>
  <c r="M708" i="33"/>
  <c r="M709" i="33"/>
  <c r="M710" i="33"/>
  <c r="M711" i="33"/>
  <c r="M712" i="33"/>
  <c r="M713" i="33"/>
  <c r="M714" i="33"/>
  <c r="M715" i="33"/>
  <c r="M716" i="33"/>
  <c r="M717" i="33"/>
  <c r="M718" i="33"/>
  <c r="M719" i="33"/>
  <c r="M720" i="33"/>
  <c r="M721" i="33"/>
  <c r="M722" i="33"/>
  <c r="M723" i="33"/>
  <c r="M724" i="33"/>
  <c r="M725" i="33"/>
  <c r="M726" i="33"/>
  <c r="M727" i="33"/>
  <c r="M728" i="33"/>
  <c r="M729" i="33"/>
  <c r="M730" i="33"/>
  <c r="M731" i="33"/>
  <c r="M732" i="33"/>
  <c r="M733" i="33"/>
  <c r="M734" i="33"/>
  <c r="M735" i="33"/>
  <c r="M736" i="33"/>
  <c r="M737" i="33"/>
  <c r="M738" i="33"/>
  <c r="M739" i="33"/>
  <c r="M740" i="33"/>
  <c r="M741" i="33"/>
  <c r="M742" i="33"/>
  <c r="M743" i="33"/>
  <c r="M744" i="33"/>
  <c r="M745" i="33"/>
  <c r="M746" i="33"/>
  <c r="M747" i="33"/>
  <c r="M748" i="33"/>
  <c r="M749" i="33"/>
  <c r="M750" i="33"/>
  <c r="M751" i="33"/>
  <c r="M752" i="33"/>
  <c r="M753" i="33"/>
  <c r="M754" i="33"/>
  <c r="M755" i="33"/>
  <c r="M756" i="33"/>
  <c r="M757" i="33"/>
  <c r="M758" i="33"/>
  <c r="M759" i="33"/>
  <c r="M760" i="33"/>
  <c r="M761" i="33"/>
  <c r="M762" i="33"/>
  <c r="M763" i="33"/>
  <c r="M764" i="33"/>
  <c r="M765" i="33"/>
  <c r="M766" i="33"/>
  <c r="M767" i="33"/>
  <c r="M768" i="33"/>
  <c r="M769" i="33"/>
  <c r="M770" i="33"/>
  <c r="M771" i="33"/>
  <c r="M772" i="33"/>
  <c r="M773" i="33"/>
  <c r="M774" i="33"/>
  <c r="M775" i="33"/>
  <c r="M776" i="33"/>
  <c r="M777" i="33"/>
  <c r="M778" i="33"/>
  <c r="M779" i="33"/>
  <c r="M780" i="33"/>
  <c r="M781" i="33"/>
  <c r="M782" i="33"/>
  <c r="M783" i="33"/>
  <c r="M784" i="33"/>
  <c r="M785" i="33"/>
  <c r="M786" i="33"/>
  <c r="M787" i="33"/>
  <c r="M788" i="33"/>
  <c r="M789" i="33"/>
  <c r="M790" i="33"/>
  <c r="M791" i="33"/>
  <c r="M792" i="33"/>
  <c r="M793" i="33"/>
  <c r="M794" i="33"/>
  <c r="M795" i="33"/>
  <c r="M796" i="33"/>
  <c r="M797" i="33"/>
  <c r="M798" i="33"/>
  <c r="M799" i="33"/>
  <c r="M800" i="33"/>
  <c r="M801" i="33"/>
  <c r="M802" i="33"/>
  <c r="M803" i="33"/>
  <c r="M804" i="33"/>
  <c r="M805" i="33"/>
  <c r="M806" i="33"/>
  <c r="M807" i="33"/>
  <c r="M808" i="33"/>
  <c r="M809" i="33"/>
  <c r="M810" i="33"/>
  <c r="M811" i="33"/>
  <c r="M812" i="33"/>
  <c r="M813" i="33"/>
  <c r="M814" i="33"/>
  <c r="M815" i="33"/>
  <c r="M816" i="33"/>
  <c r="M817" i="33"/>
  <c r="M818" i="33"/>
  <c r="M819" i="33"/>
  <c r="M820" i="33"/>
  <c r="M821" i="33"/>
  <c r="M822" i="33"/>
  <c r="M823" i="33"/>
  <c r="M824" i="33"/>
  <c r="M825" i="33"/>
  <c r="M826" i="33"/>
  <c r="M827" i="33"/>
  <c r="M828" i="33"/>
  <c r="M829" i="33"/>
  <c r="M830" i="33"/>
  <c r="M831" i="33"/>
  <c r="M832" i="33"/>
  <c r="M833" i="33"/>
  <c r="M834" i="33"/>
  <c r="M835" i="33"/>
  <c r="M836" i="33"/>
  <c r="M837" i="33"/>
  <c r="M838" i="33"/>
  <c r="M839" i="33"/>
  <c r="M840" i="33"/>
  <c r="M841" i="33"/>
  <c r="M842" i="33"/>
  <c r="M843" i="33"/>
  <c r="M844" i="33"/>
  <c r="M845" i="33"/>
  <c r="M846" i="33"/>
  <c r="M847" i="33"/>
  <c r="M848" i="33"/>
  <c r="M849" i="33"/>
  <c r="M850" i="33"/>
  <c r="M851" i="33"/>
  <c r="M852" i="33"/>
  <c r="M853" i="33"/>
  <c r="M854" i="33"/>
  <c r="M855" i="33"/>
  <c r="M856" i="33"/>
  <c r="M857" i="33"/>
  <c r="M858" i="33"/>
  <c r="M859" i="33"/>
  <c r="M860" i="33"/>
  <c r="M861" i="33"/>
  <c r="M862" i="33"/>
  <c r="M863" i="33"/>
  <c r="M864" i="33"/>
  <c r="M865" i="33"/>
  <c r="M866" i="33"/>
  <c r="M867" i="33"/>
  <c r="M868" i="33"/>
  <c r="M869" i="33"/>
  <c r="M870" i="33"/>
  <c r="M871" i="33"/>
  <c r="M872" i="33"/>
  <c r="M873" i="33"/>
  <c r="M874" i="33"/>
  <c r="M875" i="33"/>
  <c r="M876" i="33"/>
  <c r="M877" i="33"/>
  <c r="M878" i="33"/>
  <c r="M879" i="33"/>
  <c r="M880" i="33"/>
  <c r="M881" i="33"/>
  <c r="M882" i="33"/>
  <c r="M883" i="33"/>
  <c r="M884" i="33"/>
  <c r="M885" i="33"/>
  <c r="M886" i="33"/>
  <c r="M887" i="33"/>
  <c r="M888" i="33"/>
  <c r="M889" i="33"/>
  <c r="M890" i="33"/>
  <c r="M891" i="33"/>
  <c r="M892" i="33"/>
  <c r="M893" i="33"/>
  <c r="M894" i="33"/>
  <c r="M895" i="33"/>
  <c r="M896" i="33"/>
  <c r="M897" i="33"/>
  <c r="M898" i="33"/>
  <c r="M899" i="33"/>
  <c r="M900" i="33"/>
  <c r="M901" i="33"/>
  <c r="M902" i="33"/>
  <c r="M903" i="33"/>
  <c r="M904" i="33"/>
  <c r="M905" i="33"/>
  <c r="M906" i="33"/>
  <c r="M907" i="33"/>
  <c r="M908" i="33"/>
  <c r="M909" i="33"/>
  <c r="M910" i="33"/>
  <c r="M911" i="33"/>
  <c r="M912" i="33"/>
  <c r="M913" i="33"/>
  <c r="M914" i="33"/>
  <c r="M915" i="33"/>
  <c r="M916" i="33"/>
  <c r="M917" i="33"/>
  <c r="M918" i="33"/>
  <c r="M919" i="33"/>
  <c r="M920" i="33"/>
  <c r="M921" i="33"/>
  <c r="M922" i="33"/>
  <c r="M923" i="33"/>
  <c r="M924" i="33"/>
  <c r="M925" i="33"/>
  <c r="M926" i="33"/>
  <c r="M927" i="33"/>
  <c r="M928" i="33"/>
  <c r="M929" i="33"/>
  <c r="M930" i="33"/>
  <c r="M931" i="33"/>
  <c r="M932" i="33"/>
  <c r="M933" i="33"/>
  <c r="M934" i="33"/>
  <c r="M935" i="33"/>
  <c r="M936" i="33"/>
  <c r="M937" i="33"/>
  <c r="M938" i="33"/>
  <c r="M939" i="33"/>
  <c r="M940" i="33"/>
  <c r="M941" i="33"/>
  <c r="M942" i="33"/>
  <c r="M943" i="33"/>
  <c r="M944" i="33"/>
  <c r="M945" i="33"/>
  <c r="M946" i="33"/>
  <c r="M947" i="33"/>
  <c r="M948" i="33"/>
  <c r="M949" i="33"/>
  <c r="M950" i="33"/>
  <c r="M951" i="33"/>
  <c r="M952" i="33"/>
  <c r="M953" i="33"/>
  <c r="M954" i="33"/>
  <c r="M955" i="33"/>
  <c r="M956" i="33"/>
  <c r="M957" i="33"/>
  <c r="M958" i="33"/>
  <c r="M959" i="33"/>
  <c r="M960" i="33"/>
  <c r="M961" i="33"/>
  <c r="M962" i="33"/>
  <c r="M963" i="33"/>
  <c r="M964" i="33"/>
  <c r="M965" i="33"/>
  <c r="M966" i="33"/>
  <c r="M967" i="33"/>
  <c r="M968" i="33"/>
  <c r="M969" i="33"/>
  <c r="M970" i="33"/>
  <c r="M971" i="33"/>
  <c r="M972" i="33"/>
  <c r="M973" i="33"/>
  <c r="M974" i="33"/>
  <c r="M975" i="33"/>
  <c r="M976" i="33"/>
  <c r="M977" i="33"/>
  <c r="M978" i="33"/>
  <c r="M979" i="33"/>
  <c r="M980" i="33"/>
  <c r="M981" i="33"/>
  <c r="M982" i="33"/>
  <c r="M983" i="33"/>
  <c r="M984" i="33"/>
  <c r="M985" i="33"/>
  <c r="M986" i="33"/>
  <c r="M987" i="33"/>
  <c r="M988" i="33"/>
  <c r="M989" i="33"/>
  <c r="M990" i="33"/>
  <c r="M991" i="33"/>
  <c r="M992" i="33"/>
  <c r="M993" i="33"/>
  <c r="M994" i="33"/>
  <c r="M995" i="33"/>
  <c r="M996" i="33"/>
  <c r="M997" i="33"/>
  <c r="M998" i="33"/>
  <c r="M999" i="33"/>
  <c r="M1000" i="33"/>
  <c r="M1001" i="33"/>
  <c r="M1002" i="33"/>
  <c r="M1003" i="33"/>
  <c r="M1004" i="33"/>
  <c r="M1005" i="33"/>
  <c r="M1006" i="33"/>
  <c r="M1007" i="33"/>
  <c r="M1008" i="33"/>
  <c r="M1009" i="33"/>
  <c r="M1010" i="33"/>
  <c r="M1011" i="33"/>
  <c r="M1012" i="33"/>
  <c r="M1013" i="33"/>
  <c r="M1014" i="33"/>
  <c r="M1015" i="33"/>
  <c r="M1016" i="33"/>
  <c r="M1017" i="33"/>
  <c r="M1018" i="33"/>
  <c r="M1019" i="33"/>
  <c r="M1020" i="33"/>
  <c r="M1021" i="33"/>
  <c r="M1022" i="33"/>
  <c r="M1023" i="33"/>
  <c r="M1024" i="33"/>
  <c r="M1025" i="33"/>
  <c r="M1026" i="33"/>
  <c r="M1027" i="33"/>
  <c r="M1028" i="33"/>
  <c r="M1029" i="33"/>
  <c r="M1030" i="33"/>
  <c r="M1031" i="33"/>
  <c r="M1032" i="33"/>
  <c r="M1033" i="33"/>
  <c r="M1034" i="33"/>
  <c r="M1035" i="33"/>
  <c r="M1036" i="33"/>
  <c r="M1037" i="33"/>
  <c r="M1038" i="33"/>
  <c r="M1039" i="33"/>
  <c r="M1040" i="33"/>
  <c r="M1041" i="33"/>
  <c r="M1042" i="33"/>
  <c r="M1043" i="33"/>
  <c r="M1044" i="33"/>
  <c r="M1045" i="33"/>
  <c r="M1046" i="33"/>
  <c r="M1047" i="33"/>
  <c r="M1048" i="33"/>
  <c r="M1049" i="33"/>
  <c r="M1050" i="33"/>
  <c r="M1051" i="33"/>
  <c r="M1052" i="33"/>
  <c r="M1053" i="33"/>
  <c r="M1054" i="33"/>
  <c r="M1055" i="33"/>
  <c r="M1056" i="33"/>
  <c r="M1057" i="33"/>
  <c r="M1058" i="33"/>
  <c r="M1059" i="33"/>
  <c r="M1060" i="33"/>
  <c r="M1061" i="33"/>
  <c r="M1062" i="33"/>
  <c r="M1063" i="33"/>
  <c r="M1064" i="33"/>
  <c r="M1065" i="33"/>
  <c r="M1066" i="33"/>
  <c r="M1067" i="33"/>
  <c r="M1068" i="33"/>
  <c r="M1069" i="33"/>
  <c r="M1070" i="33"/>
  <c r="M1071" i="33"/>
  <c r="M1072" i="33"/>
  <c r="M1073" i="33"/>
  <c r="M1074" i="33"/>
  <c r="M1075" i="33"/>
  <c r="M1076" i="33"/>
  <c r="M1077" i="33"/>
  <c r="M1078" i="33"/>
  <c r="M1079" i="33"/>
  <c r="M1080" i="33"/>
  <c r="M1081" i="33"/>
  <c r="M1082" i="33"/>
  <c r="M1083" i="33"/>
  <c r="M1084" i="33"/>
  <c r="M1085" i="33"/>
  <c r="M1086" i="33"/>
  <c r="M1087" i="33"/>
  <c r="M1088" i="33"/>
  <c r="M1089" i="33"/>
  <c r="M1090" i="33"/>
  <c r="M1091" i="33"/>
  <c r="M1092" i="33"/>
  <c r="M1093" i="33"/>
  <c r="M1094" i="33"/>
  <c r="M1095" i="33"/>
  <c r="M1096" i="33"/>
  <c r="M1097" i="33"/>
  <c r="M1098" i="33"/>
  <c r="M1099" i="33"/>
  <c r="M1100" i="33"/>
  <c r="M1101" i="33"/>
  <c r="M1102" i="33"/>
  <c r="M1103" i="33"/>
  <c r="M1104" i="33"/>
  <c r="M1105" i="33"/>
  <c r="M1106" i="33"/>
  <c r="M1107" i="33"/>
  <c r="M1108" i="33"/>
  <c r="M1109" i="33"/>
  <c r="M1110" i="33"/>
  <c r="M1111" i="33"/>
  <c r="M1112" i="33"/>
  <c r="M1113" i="33"/>
  <c r="M1114" i="33"/>
  <c r="M1115" i="33"/>
  <c r="M1116" i="33"/>
  <c r="M1117" i="33"/>
  <c r="M1118" i="33"/>
  <c r="M1119" i="33"/>
  <c r="M1120" i="33"/>
  <c r="M1121" i="33"/>
  <c r="M1122" i="33"/>
  <c r="M1123" i="33"/>
  <c r="M1124" i="33"/>
  <c r="M1125" i="33"/>
  <c r="M1126" i="33"/>
  <c r="M1127" i="33"/>
  <c r="M1128" i="33"/>
  <c r="M1129" i="33"/>
  <c r="M1130" i="33"/>
  <c r="M1131" i="33"/>
  <c r="M1132" i="33"/>
  <c r="M1133" i="33"/>
  <c r="M1134" i="33"/>
  <c r="M1135" i="33"/>
  <c r="M1136" i="33"/>
  <c r="M1137" i="33"/>
  <c r="M1138" i="33"/>
  <c r="M1139" i="33"/>
  <c r="M1140" i="33"/>
  <c r="M1141" i="33"/>
  <c r="M1142" i="33"/>
  <c r="M1143" i="33"/>
  <c r="M1144" i="33"/>
  <c r="M1145" i="33"/>
  <c r="M1146" i="33"/>
  <c r="M1147" i="33"/>
  <c r="M1148" i="33"/>
  <c r="M1149" i="33"/>
  <c r="M1150" i="33"/>
  <c r="M1151" i="33"/>
  <c r="M1152" i="33"/>
  <c r="M1153" i="33"/>
  <c r="M1154" i="33"/>
  <c r="M1155" i="33"/>
  <c r="M1156" i="33"/>
  <c r="M1157" i="33"/>
  <c r="M1158" i="33"/>
  <c r="M1159" i="33"/>
  <c r="M1160" i="33"/>
  <c r="M1161" i="33"/>
  <c r="M1162" i="33"/>
  <c r="M1163" i="33"/>
  <c r="M1164" i="33"/>
  <c r="M1165" i="33"/>
  <c r="M1166" i="33"/>
  <c r="M1167" i="33"/>
  <c r="M1168" i="33"/>
  <c r="M1169" i="33"/>
  <c r="M1170" i="33"/>
  <c r="M1171" i="33"/>
  <c r="M1172" i="33"/>
  <c r="M1173" i="33"/>
  <c r="M1174" i="33"/>
  <c r="M1175" i="33"/>
  <c r="M1176" i="33"/>
  <c r="M1177" i="33"/>
  <c r="M1178" i="33"/>
  <c r="M1179" i="33"/>
  <c r="M1180" i="33"/>
  <c r="M1181" i="33"/>
  <c r="M1182" i="33"/>
  <c r="M1183" i="33"/>
  <c r="M1184" i="33"/>
  <c r="M1185" i="33"/>
  <c r="M1186" i="33"/>
  <c r="M1187" i="33"/>
  <c r="M1188" i="33"/>
  <c r="M1189" i="33"/>
  <c r="M1190" i="33"/>
  <c r="M1191" i="33"/>
  <c r="M1192" i="33"/>
  <c r="M1193" i="33"/>
  <c r="M1194" i="33"/>
  <c r="M1195" i="33"/>
  <c r="M1196" i="33"/>
  <c r="M1197" i="33"/>
  <c r="M1198" i="33"/>
  <c r="M1199" i="33"/>
  <c r="M1200" i="33"/>
  <c r="M1201" i="33"/>
  <c r="M1202" i="33"/>
  <c r="M1203" i="33"/>
  <c r="M1204" i="33"/>
  <c r="M1205" i="33"/>
  <c r="M1206" i="33"/>
  <c r="M1207" i="33"/>
  <c r="M1208" i="33"/>
  <c r="M1209" i="33"/>
  <c r="M1210" i="33"/>
  <c r="M1211" i="33"/>
  <c r="M1212" i="33"/>
  <c r="M1213" i="33"/>
  <c r="M1214" i="33"/>
  <c r="M1215" i="33"/>
  <c r="M1216" i="33"/>
  <c r="M1217" i="33"/>
  <c r="M1218" i="33"/>
  <c r="M1219" i="33"/>
  <c r="M1220" i="33"/>
  <c r="M1221" i="33"/>
  <c r="M1222" i="33"/>
  <c r="M1223" i="33"/>
  <c r="M1224" i="33"/>
  <c r="M1225" i="33"/>
  <c r="M1226" i="33"/>
  <c r="M1227" i="33"/>
  <c r="M1228" i="33"/>
  <c r="M1229" i="33"/>
  <c r="M1230" i="33"/>
  <c r="M1231" i="33"/>
  <c r="M1232" i="33"/>
  <c r="M1233" i="33"/>
  <c r="M1234" i="33"/>
  <c r="M1235" i="33"/>
  <c r="M1236" i="33"/>
  <c r="M1237" i="33"/>
  <c r="M1238" i="33"/>
  <c r="M1239" i="33"/>
  <c r="M1240" i="33"/>
  <c r="M1241" i="33"/>
  <c r="M1242" i="33"/>
  <c r="M1243" i="33"/>
  <c r="M1244" i="33"/>
  <c r="M1245" i="33"/>
  <c r="M1246" i="33"/>
  <c r="M1247" i="33"/>
  <c r="M1248" i="33"/>
  <c r="M1249" i="33"/>
  <c r="M1250" i="33"/>
  <c r="M1251" i="33"/>
  <c r="M1252" i="33"/>
  <c r="M1253" i="33"/>
  <c r="M1254" i="33"/>
  <c r="M1255" i="33"/>
  <c r="M1256" i="33"/>
  <c r="M1257" i="33"/>
  <c r="M1258" i="33"/>
  <c r="M1259" i="33"/>
  <c r="M1260" i="33"/>
  <c r="M1261" i="33"/>
  <c r="M1262" i="33"/>
  <c r="M1263" i="33"/>
  <c r="M1264" i="33"/>
  <c r="M1265" i="33"/>
  <c r="M1266" i="33"/>
  <c r="M1267" i="33"/>
  <c r="M1268" i="33"/>
  <c r="M1269" i="33"/>
  <c r="M1270" i="33"/>
  <c r="M1271" i="33"/>
  <c r="M1272" i="33"/>
  <c r="M1273" i="33"/>
  <c r="M1274" i="33"/>
  <c r="M1275" i="33"/>
  <c r="M1276" i="33"/>
  <c r="M1277" i="33"/>
  <c r="M1278" i="33"/>
  <c r="M1279" i="33"/>
  <c r="M1280" i="33"/>
  <c r="M1281" i="33"/>
  <c r="M1282" i="33"/>
  <c r="M1283" i="33"/>
  <c r="M1284" i="33"/>
  <c r="M1285" i="33"/>
  <c r="M1286" i="33"/>
  <c r="M1287" i="33"/>
  <c r="M1288" i="33"/>
  <c r="M1289" i="33"/>
  <c r="M1290" i="33"/>
  <c r="M1291" i="33"/>
  <c r="M1292" i="33"/>
  <c r="M1293" i="33"/>
  <c r="M1294" i="33"/>
  <c r="M1295" i="33"/>
  <c r="M1296" i="33"/>
  <c r="M1297" i="33"/>
  <c r="M1298" i="33"/>
  <c r="M1299" i="33"/>
  <c r="M1300" i="33"/>
  <c r="M1301" i="33"/>
  <c r="M1302" i="33"/>
  <c r="M1303" i="33"/>
  <c r="M1304" i="33"/>
  <c r="M1305" i="33"/>
  <c r="M1306" i="33"/>
  <c r="M1307" i="33"/>
  <c r="M1308" i="33"/>
  <c r="M1309" i="33"/>
  <c r="M1310" i="33"/>
  <c r="M1311" i="33"/>
  <c r="M1312" i="33"/>
  <c r="M1313" i="33"/>
  <c r="M1314" i="33"/>
  <c r="M1315" i="33"/>
  <c r="M1316" i="33"/>
  <c r="M1317" i="33"/>
  <c r="M1318" i="33"/>
  <c r="M1319" i="33"/>
  <c r="M1320" i="33"/>
  <c r="M1321" i="33"/>
  <c r="M1322" i="33"/>
  <c r="M1323" i="33"/>
  <c r="M1324" i="33"/>
  <c r="M1325" i="33"/>
  <c r="M1326" i="33"/>
  <c r="M1327" i="33"/>
  <c r="M1328" i="33"/>
  <c r="M1329" i="33"/>
  <c r="M1330" i="33"/>
  <c r="M1331" i="33"/>
  <c r="M1332" i="33"/>
  <c r="M1333" i="33"/>
  <c r="M1334" i="33"/>
  <c r="M1335" i="33"/>
  <c r="M1336" i="33"/>
  <c r="M1337" i="33"/>
  <c r="M1338" i="33"/>
  <c r="M1339" i="33"/>
  <c r="M1340" i="33"/>
  <c r="M1341" i="33"/>
  <c r="M1342" i="33"/>
  <c r="M1343" i="33"/>
  <c r="M1344" i="33"/>
  <c r="M1345" i="33"/>
  <c r="M1346" i="33"/>
  <c r="M1347" i="33"/>
  <c r="M1348" i="33"/>
  <c r="M1349" i="33"/>
  <c r="M1350" i="33"/>
  <c r="M1351" i="33"/>
  <c r="M1352" i="33"/>
  <c r="M1353" i="33"/>
  <c r="M1354" i="33"/>
  <c r="M1355" i="33"/>
  <c r="M1356" i="33"/>
  <c r="M1357" i="33"/>
  <c r="M1358" i="33"/>
  <c r="M1359" i="33"/>
  <c r="M1360" i="33"/>
  <c r="M1361" i="33"/>
  <c r="M1362" i="33"/>
  <c r="M1363" i="33"/>
  <c r="M1364" i="33"/>
  <c r="M1365" i="33"/>
  <c r="M1366" i="33"/>
  <c r="M1367" i="33"/>
  <c r="M1368" i="33"/>
  <c r="M1369" i="33"/>
  <c r="M1370" i="33"/>
  <c r="M1371" i="33"/>
  <c r="M1372" i="33"/>
  <c r="M1373" i="33"/>
  <c r="M1374" i="33"/>
  <c r="M1375" i="33"/>
  <c r="M1376" i="33"/>
  <c r="M1377" i="33"/>
  <c r="M1378" i="33"/>
  <c r="M1379" i="33"/>
  <c r="M1380" i="33"/>
  <c r="M1381" i="33"/>
  <c r="M1382" i="33"/>
  <c r="M1383" i="33"/>
  <c r="M1384" i="33"/>
  <c r="M1385" i="33"/>
  <c r="M1386" i="33"/>
  <c r="M1387" i="33"/>
  <c r="M1388" i="33"/>
  <c r="M1389" i="33"/>
  <c r="M1390" i="33"/>
  <c r="M1391" i="33"/>
  <c r="M1392" i="33"/>
  <c r="M1393" i="33"/>
  <c r="M1394" i="33"/>
  <c r="M1395" i="33"/>
  <c r="M1396" i="33"/>
  <c r="M1397" i="33"/>
  <c r="M1398" i="33"/>
  <c r="M1399" i="33"/>
  <c r="M1400" i="33"/>
  <c r="M1401" i="33"/>
  <c r="M1402" i="33"/>
  <c r="M1403" i="33"/>
  <c r="M1404" i="33"/>
  <c r="M1405" i="33"/>
  <c r="M1406" i="33"/>
  <c r="M1407" i="33"/>
  <c r="M1408" i="33"/>
  <c r="M1409" i="33"/>
  <c r="M1410" i="33"/>
  <c r="M1411" i="33"/>
  <c r="M1412" i="33"/>
  <c r="M1413" i="33"/>
  <c r="M1414" i="33"/>
  <c r="M1415" i="33"/>
  <c r="M1416" i="33"/>
  <c r="M1417" i="33"/>
  <c r="M1418" i="33"/>
  <c r="M1419" i="33"/>
  <c r="M1420" i="33"/>
  <c r="M1421" i="33"/>
  <c r="M1422" i="33"/>
  <c r="M1423" i="33"/>
  <c r="M1424" i="33"/>
  <c r="M1425" i="33"/>
  <c r="M1426" i="33"/>
  <c r="M1427" i="33"/>
  <c r="M1428" i="33"/>
  <c r="M1429" i="33"/>
  <c r="M1430" i="33"/>
  <c r="M1431" i="33"/>
  <c r="M1432" i="33"/>
  <c r="M1433" i="33"/>
  <c r="M1434" i="33"/>
  <c r="M1435" i="33"/>
  <c r="M1436" i="33"/>
  <c r="M1437" i="33"/>
  <c r="M1438" i="33"/>
  <c r="M1439" i="33"/>
  <c r="M1440" i="33"/>
  <c r="M1441" i="33"/>
  <c r="M1442" i="33"/>
  <c r="M1443" i="33"/>
  <c r="M1444" i="33"/>
  <c r="M1445" i="33"/>
  <c r="M1446" i="33"/>
  <c r="M1447" i="33"/>
  <c r="M1448" i="33"/>
  <c r="M1449" i="33"/>
  <c r="M1450" i="33"/>
  <c r="M1451" i="33"/>
  <c r="M1452" i="33"/>
  <c r="M1453" i="33"/>
  <c r="M1454" i="33"/>
  <c r="M1455" i="33"/>
  <c r="M1456" i="33"/>
  <c r="M1457" i="33"/>
  <c r="M1458" i="33"/>
  <c r="M1459" i="33"/>
  <c r="M1460" i="33"/>
  <c r="M1461" i="33"/>
  <c r="M1462" i="33"/>
  <c r="M1463" i="33"/>
  <c r="M1464" i="33"/>
  <c r="M1465" i="33"/>
  <c r="M1466" i="33"/>
  <c r="M1467" i="33"/>
  <c r="M1468" i="33"/>
  <c r="M1469" i="33"/>
  <c r="M1470" i="33"/>
  <c r="M1471" i="33"/>
  <c r="M1472" i="33"/>
  <c r="M1473" i="33"/>
  <c r="M1474" i="33"/>
  <c r="M1475" i="33"/>
  <c r="M1476" i="33"/>
  <c r="M1477" i="33"/>
  <c r="M1478" i="33"/>
  <c r="M1479" i="33"/>
  <c r="M1480" i="33"/>
  <c r="M1481" i="33"/>
  <c r="M1482" i="33"/>
  <c r="M1483" i="33"/>
  <c r="M1484" i="33"/>
  <c r="M1485" i="33"/>
  <c r="M1486" i="33"/>
  <c r="M1487" i="33"/>
  <c r="M1488" i="33"/>
  <c r="M1489" i="33"/>
  <c r="M1490" i="33"/>
  <c r="M1491" i="33"/>
  <c r="M1492" i="33"/>
  <c r="M1493" i="33"/>
  <c r="M1494" i="33"/>
  <c r="M1495" i="33"/>
  <c r="M1496" i="33"/>
  <c r="M1497" i="33"/>
  <c r="M1498" i="33"/>
  <c r="M1499" i="33"/>
  <c r="M1500" i="33"/>
  <c r="M1501" i="33"/>
  <c r="M1502" i="33"/>
  <c r="M1503" i="33"/>
  <c r="M1504" i="33"/>
  <c r="M1505" i="33"/>
  <c r="M1506" i="33"/>
  <c r="M1507" i="33"/>
  <c r="M1508" i="33"/>
  <c r="M1509" i="33"/>
  <c r="M1510" i="33"/>
  <c r="M1511" i="33"/>
  <c r="M1512" i="33"/>
  <c r="M1513" i="33"/>
  <c r="M1514" i="33"/>
  <c r="M1515" i="33"/>
  <c r="M1516" i="33"/>
  <c r="M1517" i="33"/>
  <c r="M1518" i="33"/>
  <c r="M1519" i="33"/>
  <c r="M1520" i="33"/>
  <c r="M1521" i="33"/>
  <c r="M1522" i="33"/>
  <c r="M1523" i="33"/>
  <c r="M1524" i="33"/>
  <c r="M1525" i="33"/>
  <c r="M1526" i="33"/>
  <c r="M1527" i="33"/>
  <c r="M1528" i="33"/>
  <c r="M1529" i="33"/>
  <c r="M1530" i="33"/>
  <c r="M1531" i="33"/>
  <c r="M1532" i="33"/>
  <c r="M1533" i="33"/>
  <c r="M1534" i="33"/>
  <c r="M1535" i="33"/>
  <c r="M1536" i="33"/>
  <c r="M1537" i="33"/>
  <c r="M1538" i="33"/>
  <c r="M1539" i="33"/>
  <c r="M1540" i="33"/>
  <c r="M1541" i="33"/>
  <c r="M1542" i="33"/>
  <c r="M1543" i="33"/>
  <c r="M1544" i="33"/>
  <c r="M1545" i="33"/>
  <c r="M1546" i="33"/>
  <c r="M1547" i="33"/>
  <c r="M1548" i="33"/>
  <c r="M1549" i="33"/>
  <c r="M1550" i="33"/>
  <c r="M1551" i="33"/>
  <c r="M1552" i="33"/>
  <c r="M1553" i="33"/>
  <c r="M1554" i="33"/>
  <c r="M1555" i="33"/>
  <c r="M1556" i="33"/>
  <c r="M1557" i="33"/>
  <c r="M1558" i="33"/>
  <c r="M1559" i="33"/>
  <c r="M1560" i="33"/>
  <c r="M1561" i="33"/>
  <c r="M1562" i="33"/>
  <c r="M1563" i="33"/>
  <c r="M1564" i="33"/>
  <c r="M1565" i="33"/>
  <c r="M1566" i="33"/>
  <c r="M1567" i="33"/>
  <c r="M1568" i="33"/>
  <c r="M1569" i="33"/>
  <c r="M1570" i="33"/>
  <c r="M1571" i="33"/>
  <c r="M1572" i="33"/>
  <c r="M1573" i="33"/>
  <c r="M1574" i="33"/>
  <c r="M1575" i="33"/>
  <c r="M1576" i="33"/>
  <c r="M1577" i="33"/>
  <c r="M1578" i="33"/>
  <c r="M1579" i="33"/>
  <c r="M1580" i="33"/>
  <c r="M1581" i="33"/>
  <c r="M1582" i="33"/>
  <c r="M1583" i="33"/>
  <c r="M1584" i="33"/>
  <c r="M1585" i="33"/>
  <c r="M1586" i="33"/>
  <c r="M1587" i="33"/>
  <c r="M1588" i="33"/>
  <c r="M1589" i="33"/>
  <c r="M1590" i="33"/>
  <c r="M1591" i="33"/>
  <c r="M1592" i="33"/>
  <c r="M1593" i="33"/>
  <c r="M1594" i="33"/>
  <c r="M1595" i="33"/>
  <c r="M1596" i="33"/>
  <c r="M1597" i="33"/>
  <c r="M1598" i="33"/>
  <c r="M1599" i="33"/>
  <c r="M1600" i="33"/>
  <c r="M1601" i="33"/>
  <c r="M1602" i="33"/>
  <c r="M1603" i="33"/>
  <c r="M1604" i="33"/>
  <c r="M1605" i="33"/>
  <c r="M1606" i="33"/>
  <c r="M1607" i="33"/>
  <c r="M1608" i="33"/>
  <c r="M1609" i="33"/>
  <c r="M1610" i="33"/>
  <c r="M1611" i="33"/>
  <c r="M1612" i="33"/>
  <c r="M1613" i="33"/>
  <c r="M1614" i="33"/>
  <c r="M1615" i="33"/>
  <c r="M1616" i="33"/>
  <c r="M1617" i="33"/>
  <c r="M1618" i="33"/>
  <c r="M1619" i="33"/>
  <c r="M1620" i="33"/>
  <c r="M1621" i="33"/>
  <c r="M1622" i="33"/>
  <c r="M1623" i="33"/>
  <c r="M1624" i="33"/>
  <c r="M1625" i="33"/>
  <c r="M1626" i="33"/>
  <c r="M1627" i="33"/>
  <c r="M1628" i="33"/>
  <c r="M1629" i="33"/>
  <c r="M1630" i="33"/>
  <c r="M1631" i="33"/>
  <c r="M1632" i="33"/>
  <c r="M1633" i="33"/>
  <c r="M1634" i="33"/>
  <c r="M1635" i="33"/>
  <c r="M1636" i="33"/>
  <c r="M1637" i="33"/>
  <c r="M1638" i="33"/>
  <c r="M1639" i="33"/>
  <c r="M1640" i="33"/>
  <c r="M1641" i="33"/>
  <c r="M1642" i="33"/>
  <c r="M1643" i="33"/>
  <c r="M1644" i="33"/>
  <c r="M1645" i="33"/>
  <c r="M1646" i="33"/>
  <c r="M1647" i="33"/>
  <c r="M1648" i="33"/>
  <c r="M1649" i="33"/>
  <c r="M1650" i="33"/>
  <c r="M1651" i="33"/>
  <c r="M1652" i="33"/>
  <c r="M1653" i="33"/>
  <c r="M1654" i="33"/>
  <c r="M1655" i="33"/>
  <c r="M1656" i="33"/>
  <c r="M1657" i="33"/>
  <c r="M1658" i="33"/>
  <c r="M1659" i="33"/>
  <c r="M1660" i="33"/>
  <c r="M1661" i="33"/>
  <c r="M1662" i="33"/>
  <c r="M1663" i="33"/>
  <c r="M1664" i="33"/>
  <c r="M1665" i="33"/>
  <c r="M1666" i="33"/>
  <c r="M1667" i="33"/>
  <c r="M1668" i="33"/>
  <c r="M1669" i="33"/>
  <c r="M1670" i="33"/>
  <c r="M1671" i="33"/>
  <c r="M1672" i="33"/>
  <c r="M1673" i="33"/>
  <c r="M1674" i="33"/>
  <c r="M1675" i="33"/>
  <c r="M1676" i="33"/>
  <c r="M1677" i="33"/>
  <c r="M1678" i="33"/>
  <c r="M1679" i="33"/>
  <c r="M1680" i="33"/>
  <c r="M1681" i="33"/>
  <c r="M1682" i="33"/>
  <c r="M1683" i="33"/>
  <c r="M1684" i="33"/>
  <c r="M1685" i="33"/>
  <c r="M1686" i="33"/>
  <c r="M1687" i="33"/>
  <c r="M1688" i="33"/>
  <c r="M1689" i="33"/>
  <c r="M1690" i="33"/>
  <c r="M1691" i="33"/>
  <c r="M1692" i="33"/>
  <c r="M1693" i="33"/>
  <c r="M1694" i="33"/>
  <c r="M1695" i="33"/>
  <c r="M1696" i="33"/>
  <c r="M1697" i="33"/>
  <c r="M1698" i="33"/>
  <c r="M1699" i="33"/>
  <c r="M1700" i="33"/>
  <c r="M1701" i="33"/>
  <c r="M1702" i="33"/>
  <c r="M1703" i="33"/>
  <c r="M1704" i="33"/>
  <c r="M1705" i="33"/>
  <c r="M1706" i="33"/>
  <c r="M1707" i="33"/>
  <c r="M1708" i="33"/>
  <c r="M1709" i="33"/>
  <c r="M1710" i="33"/>
  <c r="M1711" i="33"/>
  <c r="M1712" i="33"/>
  <c r="M1713" i="33"/>
  <c r="M1714" i="33"/>
  <c r="M1715" i="33"/>
  <c r="M1716" i="33"/>
  <c r="M1717" i="33"/>
  <c r="M1718" i="33"/>
  <c r="M1719" i="33"/>
  <c r="M1720" i="33"/>
  <c r="M1721" i="33"/>
  <c r="M1722" i="33"/>
  <c r="M1723" i="33"/>
  <c r="M1724" i="33"/>
  <c r="M1725" i="33"/>
  <c r="M1726" i="33"/>
  <c r="M1727" i="33"/>
  <c r="M1728" i="33"/>
  <c r="M1729" i="33"/>
  <c r="M1730" i="33"/>
  <c r="M1731" i="33"/>
  <c r="M1732" i="33"/>
  <c r="M1733" i="33"/>
  <c r="M1734" i="33"/>
  <c r="M1735" i="33"/>
  <c r="M1736" i="33"/>
  <c r="M1737" i="33"/>
  <c r="M1738" i="33"/>
  <c r="M1739" i="33"/>
  <c r="M1740" i="33"/>
  <c r="M1741" i="33"/>
  <c r="M1742" i="33"/>
  <c r="M1743" i="33"/>
  <c r="M1744" i="33"/>
  <c r="M1745" i="33"/>
  <c r="M1746" i="33"/>
  <c r="M1747" i="33"/>
  <c r="M1748" i="33"/>
  <c r="M1749" i="33"/>
  <c r="M1750" i="33"/>
  <c r="M1751" i="33"/>
  <c r="M1752" i="33"/>
  <c r="M1753" i="33"/>
  <c r="M1754" i="33"/>
  <c r="M1755" i="33"/>
  <c r="M1756" i="33"/>
  <c r="M1757" i="33"/>
  <c r="M1758" i="33"/>
  <c r="M1759" i="33"/>
  <c r="M1760" i="33"/>
  <c r="M1761" i="33"/>
  <c r="M1762" i="33"/>
  <c r="M1763" i="33"/>
  <c r="M1764" i="33"/>
  <c r="M1765" i="33"/>
  <c r="M1766" i="33"/>
  <c r="M1767" i="33"/>
  <c r="M1768" i="33"/>
  <c r="M1769" i="33"/>
  <c r="M1770" i="33"/>
  <c r="M1771" i="33"/>
  <c r="M1772" i="33"/>
  <c r="M1773" i="33"/>
  <c r="M1774" i="33"/>
  <c r="M1775" i="33"/>
  <c r="M1776" i="33"/>
  <c r="M1777" i="33"/>
  <c r="M1778" i="33"/>
  <c r="M1779" i="33"/>
  <c r="M1780" i="33"/>
  <c r="M1781" i="33"/>
  <c r="M1782" i="33"/>
  <c r="M1783" i="33"/>
  <c r="M1784" i="33"/>
  <c r="M1785" i="33"/>
  <c r="M1786" i="33"/>
  <c r="M1787" i="33"/>
  <c r="M1788" i="33"/>
  <c r="M1789" i="33"/>
  <c r="M1790" i="33"/>
  <c r="M1791" i="33"/>
  <c r="M1792" i="33"/>
  <c r="M1793" i="33"/>
  <c r="M1794" i="33"/>
  <c r="M1795" i="33"/>
  <c r="M1796" i="33"/>
  <c r="M1797" i="33"/>
  <c r="M1798" i="33"/>
  <c r="M1799" i="33"/>
  <c r="M1800" i="33"/>
  <c r="M1801" i="33"/>
  <c r="M1802" i="33"/>
  <c r="M1803" i="33"/>
  <c r="M1804" i="33"/>
  <c r="M1805" i="33"/>
  <c r="M1806" i="33"/>
  <c r="M1807" i="33"/>
  <c r="M1808" i="33"/>
  <c r="M1809" i="33"/>
  <c r="M1810" i="33"/>
  <c r="M1811" i="33"/>
  <c r="M1812" i="33"/>
  <c r="M1813" i="33"/>
  <c r="M1814" i="33"/>
  <c r="M1815" i="33"/>
  <c r="M1816" i="33"/>
  <c r="M1817" i="33"/>
  <c r="M1818" i="33"/>
  <c r="M1819" i="33"/>
  <c r="M1820" i="33"/>
  <c r="M1821" i="33"/>
  <c r="M1822" i="33"/>
  <c r="M1823" i="33"/>
  <c r="M1824" i="33"/>
  <c r="M1825" i="33"/>
  <c r="M1826" i="33"/>
  <c r="M1827" i="33"/>
  <c r="M1828" i="33"/>
  <c r="M1829" i="33"/>
  <c r="M1830" i="33"/>
  <c r="M1831" i="33"/>
  <c r="M1832" i="33"/>
  <c r="M1833" i="33"/>
  <c r="M1834" i="33"/>
  <c r="M1835" i="33"/>
  <c r="M1836" i="33"/>
  <c r="M1837" i="33"/>
  <c r="M1838" i="33"/>
  <c r="M1839" i="33"/>
  <c r="M1840" i="33"/>
  <c r="M1841" i="33"/>
  <c r="M1842" i="33"/>
  <c r="M1843" i="33"/>
  <c r="M1844" i="33"/>
  <c r="M1845" i="33"/>
  <c r="M1846" i="33"/>
  <c r="M1847" i="33"/>
  <c r="M1848" i="33"/>
  <c r="M1849" i="33"/>
  <c r="M1850" i="33"/>
  <c r="M1851" i="33"/>
  <c r="M1852" i="33"/>
  <c r="M1853" i="33"/>
  <c r="M1854" i="33"/>
  <c r="M1855" i="33"/>
  <c r="M1856" i="33"/>
  <c r="M1857" i="33"/>
  <c r="M1858" i="33"/>
  <c r="M1859" i="33"/>
  <c r="M1860" i="33"/>
  <c r="M1861" i="33"/>
  <c r="M1862" i="33"/>
  <c r="M1863" i="33"/>
  <c r="M1864" i="33"/>
  <c r="M1865" i="33"/>
  <c r="L2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122" i="33"/>
  <c r="L123" i="33"/>
  <c r="L124" i="33"/>
  <c r="L125" i="33"/>
  <c r="L126" i="33"/>
  <c r="L127" i="33"/>
  <c r="L128" i="33"/>
  <c r="L129" i="33"/>
  <c r="L130" i="33"/>
  <c r="L131" i="33"/>
  <c r="L132" i="33"/>
  <c r="L133" i="33"/>
  <c r="L134" i="33"/>
  <c r="L135" i="33"/>
  <c r="L136" i="33"/>
  <c r="L137" i="33"/>
  <c r="L138" i="33"/>
  <c r="L139" i="33"/>
  <c r="L140" i="33"/>
  <c r="L141" i="33"/>
  <c r="L142" i="33"/>
  <c r="L143" i="33"/>
  <c r="L144" i="33"/>
  <c r="L145" i="33"/>
  <c r="L146" i="33"/>
  <c r="L147" i="33"/>
  <c r="L148" i="33"/>
  <c r="L149" i="33"/>
  <c r="L150" i="33"/>
  <c r="L151" i="33"/>
  <c r="L152" i="33"/>
  <c r="L153" i="33"/>
  <c r="L154" i="33"/>
  <c r="L155" i="33"/>
  <c r="L156" i="33"/>
  <c r="L157" i="33"/>
  <c r="L158" i="33"/>
  <c r="L159" i="33"/>
  <c r="L160" i="33"/>
  <c r="L161" i="33"/>
  <c r="L162" i="33"/>
  <c r="L163" i="33"/>
  <c r="L164" i="33"/>
  <c r="L165" i="33"/>
  <c r="L166" i="33"/>
  <c r="L167" i="33"/>
  <c r="L168" i="33"/>
  <c r="L169" i="33"/>
  <c r="L170" i="33"/>
  <c r="L171" i="33"/>
  <c r="L172" i="33"/>
  <c r="L173" i="33"/>
  <c r="L174" i="33"/>
  <c r="L175" i="33"/>
  <c r="L176" i="33"/>
  <c r="L177" i="33"/>
  <c r="L178" i="33"/>
  <c r="L179" i="33"/>
  <c r="L180" i="33"/>
  <c r="L181" i="33"/>
  <c r="L182" i="33"/>
  <c r="L183" i="33"/>
  <c r="L184" i="33"/>
  <c r="L185" i="33"/>
  <c r="L186" i="33"/>
  <c r="L187" i="33"/>
  <c r="L188" i="33"/>
  <c r="L189" i="33"/>
  <c r="L190" i="33"/>
  <c r="L191" i="33"/>
  <c r="L192" i="33"/>
  <c r="L193" i="33"/>
  <c r="L194" i="33"/>
  <c r="L195" i="33"/>
  <c r="L196" i="33"/>
  <c r="L197" i="33"/>
  <c r="L198" i="33"/>
  <c r="L199" i="33"/>
  <c r="L200" i="33"/>
  <c r="L201" i="33"/>
  <c r="L202" i="33"/>
  <c r="L203" i="33"/>
  <c r="L204" i="33"/>
  <c r="L205" i="33"/>
  <c r="L206" i="33"/>
  <c r="L207" i="33"/>
  <c r="L208" i="33"/>
  <c r="L209" i="33"/>
  <c r="L210" i="33"/>
  <c r="L211" i="33"/>
  <c r="L212" i="33"/>
  <c r="L213" i="33"/>
  <c r="L214" i="33"/>
  <c r="L215" i="33"/>
  <c r="L216" i="33"/>
  <c r="L217" i="33"/>
  <c r="L218" i="33"/>
  <c r="L219" i="33"/>
  <c r="L220" i="33"/>
  <c r="L221" i="33"/>
  <c r="L222" i="33"/>
  <c r="L223" i="33"/>
  <c r="L224" i="33"/>
  <c r="L225" i="33"/>
  <c r="L226" i="33"/>
  <c r="L227" i="33"/>
  <c r="L228" i="33"/>
  <c r="L229" i="33"/>
  <c r="L230" i="33"/>
  <c r="L231" i="33"/>
  <c r="L232" i="33"/>
  <c r="L233" i="33"/>
  <c r="L234" i="33"/>
  <c r="L235" i="33"/>
  <c r="L236" i="33"/>
  <c r="L237" i="33"/>
  <c r="L238" i="33"/>
  <c r="L239" i="33"/>
  <c r="L240" i="33"/>
  <c r="L241" i="33"/>
  <c r="L242" i="33"/>
  <c r="L243" i="33"/>
  <c r="L244" i="33"/>
  <c r="L245" i="33"/>
  <c r="L246" i="33"/>
  <c r="L247" i="33"/>
  <c r="L248" i="33"/>
  <c r="L249" i="33"/>
  <c r="L250" i="33"/>
  <c r="L251" i="33"/>
  <c r="L252" i="33"/>
  <c r="L253" i="33"/>
  <c r="L254" i="33"/>
  <c r="L255" i="33"/>
  <c r="L256" i="33"/>
  <c r="L257" i="33"/>
  <c r="L258" i="33"/>
  <c r="L259" i="33"/>
  <c r="L260" i="33"/>
  <c r="L261" i="33"/>
  <c r="L262" i="33"/>
  <c r="L263" i="33"/>
  <c r="L264" i="33"/>
  <c r="L265" i="33"/>
  <c r="L266" i="33"/>
  <c r="L267" i="33"/>
  <c r="L268" i="33"/>
  <c r="L269" i="33"/>
  <c r="L270" i="33"/>
  <c r="L271" i="33"/>
  <c r="L272" i="33"/>
  <c r="L273" i="33"/>
  <c r="L274" i="33"/>
  <c r="L275" i="33"/>
  <c r="L276" i="33"/>
  <c r="L277" i="33"/>
  <c r="L278" i="33"/>
  <c r="L279" i="33"/>
  <c r="L280" i="33"/>
  <c r="L281" i="33"/>
  <c r="L282" i="33"/>
  <c r="L283" i="33"/>
  <c r="L284" i="33"/>
  <c r="L285" i="33"/>
  <c r="L286" i="33"/>
  <c r="L287" i="33"/>
  <c r="L288" i="33"/>
  <c r="L289" i="33"/>
  <c r="L290" i="33"/>
  <c r="L291" i="33"/>
  <c r="L292" i="33"/>
  <c r="L293" i="33"/>
  <c r="L294" i="33"/>
  <c r="L295" i="33"/>
  <c r="L296" i="33"/>
  <c r="L297" i="33"/>
  <c r="L298" i="33"/>
  <c r="L299" i="33"/>
  <c r="L300" i="33"/>
  <c r="L301" i="33"/>
  <c r="L302" i="33"/>
  <c r="L303" i="33"/>
  <c r="L304" i="33"/>
  <c r="L305" i="33"/>
  <c r="L306" i="33"/>
  <c r="L307" i="33"/>
  <c r="L308" i="33"/>
  <c r="L309" i="33"/>
  <c r="L310" i="33"/>
  <c r="L311" i="33"/>
  <c r="L312" i="33"/>
  <c r="L313" i="33"/>
  <c r="L314" i="33"/>
  <c r="L315" i="33"/>
  <c r="L316" i="33"/>
  <c r="L317" i="33"/>
  <c r="L318" i="33"/>
  <c r="L319" i="33"/>
  <c r="L320" i="33"/>
  <c r="L321" i="33"/>
  <c r="L322" i="33"/>
  <c r="L323" i="33"/>
  <c r="L324" i="33"/>
  <c r="L325" i="33"/>
  <c r="L326" i="33"/>
  <c r="L327" i="33"/>
  <c r="L328" i="33"/>
  <c r="L329" i="33"/>
  <c r="L330" i="33"/>
  <c r="L331" i="33"/>
  <c r="L332" i="33"/>
  <c r="L333" i="33"/>
  <c r="L334" i="33"/>
  <c r="L335" i="33"/>
  <c r="L336" i="33"/>
  <c r="L337" i="33"/>
  <c r="L338" i="33"/>
  <c r="L339" i="33"/>
  <c r="L340" i="33"/>
  <c r="L341" i="33"/>
  <c r="L342" i="33"/>
  <c r="L343" i="33"/>
  <c r="L344" i="33"/>
  <c r="L345" i="33"/>
  <c r="L346" i="33"/>
  <c r="L347" i="33"/>
  <c r="L348" i="33"/>
  <c r="L349" i="33"/>
  <c r="L350" i="33"/>
  <c r="L351" i="33"/>
  <c r="L352" i="33"/>
  <c r="L353" i="33"/>
  <c r="L354" i="33"/>
  <c r="L355" i="33"/>
  <c r="L356" i="33"/>
  <c r="L357" i="33"/>
  <c r="L358" i="33"/>
  <c r="L359" i="33"/>
  <c r="L360" i="33"/>
  <c r="L361" i="33"/>
  <c r="L362" i="33"/>
  <c r="L363" i="33"/>
  <c r="L364" i="33"/>
  <c r="L365" i="33"/>
  <c r="L366" i="33"/>
  <c r="L367" i="33"/>
  <c r="L368" i="33"/>
  <c r="L369" i="33"/>
  <c r="L370" i="33"/>
  <c r="L371" i="33"/>
  <c r="L372" i="33"/>
  <c r="L373" i="33"/>
  <c r="L374" i="33"/>
  <c r="L375" i="33"/>
  <c r="L376" i="33"/>
  <c r="L377" i="33"/>
  <c r="L378" i="33"/>
  <c r="L379" i="33"/>
  <c r="L380" i="33"/>
  <c r="L381" i="33"/>
  <c r="L382" i="33"/>
  <c r="L383" i="33"/>
  <c r="L384" i="33"/>
  <c r="L385" i="33"/>
  <c r="L386" i="33"/>
  <c r="L387" i="33"/>
  <c r="L388" i="33"/>
  <c r="L389" i="33"/>
  <c r="L390" i="33"/>
  <c r="L391" i="33"/>
  <c r="L392" i="33"/>
  <c r="L393" i="33"/>
  <c r="L394" i="33"/>
  <c r="L395" i="33"/>
  <c r="L396" i="33"/>
  <c r="L397" i="33"/>
  <c r="L398" i="33"/>
  <c r="L399" i="33"/>
  <c r="L400" i="33"/>
  <c r="L401" i="33"/>
  <c r="L402" i="33"/>
  <c r="L403" i="33"/>
  <c r="L404" i="33"/>
  <c r="L405" i="33"/>
  <c r="L406" i="33"/>
  <c r="L407" i="33"/>
  <c r="L408" i="33"/>
  <c r="L409" i="33"/>
  <c r="L410" i="33"/>
  <c r="L411" i="33"/>
  <c r="L412" i="33"/>
  <c r="L413" i="33"/>
  <c r="L414" i="33"/>
  <c r="L415" i="33"/>
  <c r="L416" i="33"/>
  <c r="L417" i="33"/>
  <c r="L418" i="33"/>
  <c r="L419" i="33"/>
  <c r="L420" i="33"/>
  <c r="L421" i="33"/>
  <c r="L422" i="33"/>
  <c r="L423" i="33"/>
  <c r="L424" i="33"/>
  <c r="L425" i="33"/>
  <c r="L426" i="33"/>
  <c r="L427" i="33"/>
  <c r="L428" i="33"/>
  <c r="L429" i="33"/>
  <c r="L430" i="33"/>
  <c r="L431" i="33"/>
  <c r="L432" i="33"/>
  <c r="L433" i="33"/>
  <c r="L434" i="33"/>
  <c r="L435" i="33"/>
  <c r="L436" i="33"/>
  <c r="L437" i="33"/>
  <c r="L438" i="33"/>
  <c r="L439" i="33"/>
  <c r="L440" i="33"/>
  <c r="L441" i="33"/>
  <c r="L442" i="33"/>
  <c r="L443" i="33"/>
  <c r="L444" i="33"/>
  <c r="L445" i="33"/>
  <c r="L446" i="33"/>
  <c r="L447" i="33"/>
  <c r="L448" i="33"/>
  <c r="L449" i="33"/>
  <c r="L450" i="33"/>
  <c r="L451" i="33"/>
  <c r="L452" i="33"/>
  <c r="L453" i="33"/>
  <c r="L454" i="33"/>
  <c r="L455" i="33"/>
  <c r="L456" i="33"/>
  <c r="L457" i="33"/>
  <c r="L458" i="33"/>
  <c r="L459" i="33"/>
  <c r="L460" i="33"/>
  <c r="L461" i="33"/>
  <c r="L462" i="33"/>
  <c r="L463" i="33"/>
  <c r="L464" i="33"/>
  <c r="L465" i="33"/>
  <c r="L466" i="33"/>
  <c r="L467" i="33"/>
  <c r="L468" i="33"/>
  <c r="L469" i="33"/>
  <c r="L470" i="33"/>
  <c r="L471" i="33"/>
  <c r="L472" i="33"/>
  <c r="L473" i="33"/>
  <c r="L474" i="33"/>
  <c r="L475" i="33"/>
  <c r="L476" i="33"/>
  <c r="L477" i="33"/>
  <c r="L478" i="33"/>
  <c r="L479" i="33"/>
  <c r="L480" i="33"/>
  <c r="L481" i="33"/>
  <c r="L482" i="33"/>
  <c r="L483" i="33"/>
  <c r="L484" i="33"/>
  <c r="L485" i="33"/>
  <c r="L486" i="33"/>
  <c r="L487" i="33"/>
  <c r="L488" i="33"/>
  <c r="L489" i="33"/>
  <c r="L490" i="33"/>
  <c r="L491" i="33"/>
  <c r="L492" i="33"/>
  <c r="L493" i="33"/>
  <c r="L494" i="33"/>
  <c r="L495" i="33"/>
  <c r="L496" i="33"/>
  <c r="L497" i="33"/>
  <c r="L498" i="33"/>
  <c r="L499" i="33"/>
  <c r="L500" i="33"/>
  <c r="L501" i="33"/>
  <c r="L502" i="33"/>
  <c r="L503" i="33"/>
  <c r="L504" i="33"/>
  <c r="L505" i="33"/>
  <c r="L506" i="33"/>
  <c r="L507" i="33"/>
  <c r="L508" i="33"/>
  <c r="L509" i="33"/>
  <c r="L510" i="33"/>
  <c r="L511" i="33"/>
  <c r="L512" i="33"/>
  <c r="L513" i="33"/>
  <c r="L514" i="33"/>
  <c r="L515" i="33"/>
  <c r="L516" i="33"/>
  <c r="L517" i="33"/>
  <c r="L518" i="33"/>
  <c r="L519" i="33"/>
  <c r="L520" i="33"/>
  <c r="L521" i="33"/>
  <c r="L522" i="33"/>
  <c r="L523" i="33"/>
  <c r="L524" i="33"/>
  <c r="L525" i="33"/>
  <c r="L526" i="33"/>
  <c r="L527" i="33"/>
  <c r="L528" i="33"/>
  <c r="L529" i="33"/>
  <c r="L530" i="33"/>
  <c r="L531" i="33"/>
  <c r="L532" i="33"/>
  <c r="L533" i="33"/>
  <c r="L534" i="33"/>
  <c r="L535" i="33"/>
  <c r="L536" i="33"/>
  <c r="L537" i="33"/>
  <c r="L538" i="33"/>
  <c r="L539" i="33"/>
  <c r="L540" i="33"/>
  <c r="L541" i="33"/>
  <c r="L542" i="33"/>
  <c r="L543" i="33"/>
  <c r="L544" i="33"/>
  <c r="L545" i="33"/>
  <c r="L546" i="33"/>
  <c r="L547" i="33"/>
  <c r="L548" i="33"/>
  <c r="L549" i="33"/>
  <c r="L550" i="33"/>
  <c r="L551" i="33"/>
  <c r="L552" i="33"/>
  <c r="L553" i="33"/>
  <c r="L554" i="33"/>
  <c r="L555" i="33"/>
  <c r="L556" i="33"/>
  <c r="L557" i="33"/>
  <c r="L558" i="33"/>
  <c r="L559" i="33"/>
  <c r="L560" i="33"/>
  <c r="L561" i="33"/>
  <c r="L562" i="33"/>
  <c r="L563" i="33"/>
  <c r="L564" i="33"/>
  <c r="L565" i="33"/>
  <c r="L566" i="33"/>
  <c r="L567" i="33"/>
  <c r="L568" i="33"/>
  <c r="L569" i="33"/>
  <c r="L570" i="33"/>
  <c r="L571" i="33"/>
  <c r="L572" i="33"/>
  <c r="L573" i="33"/>
  <c r="L574" i="33"/>
  <c r="L575" i="33"/>
  <c r="L576" i="33"/>
  <c r="L577" i="33"/>
  <c r="L578" i="33"/>
  <c r="L579" i="33"/>
  <c r="L580" i="33"/>
  <c r="L581" i="33"/>
  <c r="L582" i="33"/>
  <c r="L583" i="33"/>
  <c r="L584" i="33"/>
  <c r="L585" i="33"/>
  <c r="L586" i="33"/>
  <c r="L587" i="33"/>
  <c r="L588" i="33"/>
  <c r="L589" i="33"/>
  <c r="L590" i="33"/>
  <c r="L591" i="33"/>
  <c r="L592" i="33"/>
  <c r="L593" i="33"/>
  <c r="L594" i="33"/>
  <c r="L595" i="33"/>
  <c r="L596" i="33"/>
  <c r="L597" i="33"/>
  <c r="L598" i="33"/>
  <c r="L599" i="33"/>
  <c r="L600" i="33"/>
  <c r="L601" i="33"/>
  <c r="L602" i="33"/>
  <c r="L603" i="33"/>
  <c r="L604" i="33"/>
  <c r="L605" i="33"/>
  <c r="L606" i="33"/>
  <c r="L607" i="33"/>
  <c r="L608" i="33"/>
  <c r="L609" i="33"/>
  <c r="L610" i="33"/>
  <c r="L611" i="33"/>
  <c r="L612" i="33"/>
  <c r="L613" i="33"/>
  <c r="L614" i="33"/>
  <c r="L615" i="33"/>
  <c r="L616" i="33"/>
  <c r="L617" i="33"/>
  <c r="L618" i="33"/>
  <c r="L619" i="33"/>
  <c r="L620" i="33"/>
  <c r="L621" i="33"/>
  <c r="L622" i="33"/>
  <c r="L623" i="33"/>
  <c r="L624" i="33"/>
  <c r="L625" i="33"/>
  <c r="L626" i="33"/>
  <c r="L627" i="33"/>
  <c r="L628" i="33"/>
  <c r="L629" i="33"/>
  <c r="L630" i="33"/>
  <c r="L631" i="33"/>
  <c r="L632" i="33"/>
  <c r="L633" i="33"/>
  <c r="L634" i="33"/>
  <c r="L635" i="33"/>
  <c r="L636" i="33"/>
  <c r="L637" i="33"/>
  <c r="L638" i="33"/>
  <c r="L639" i="33"/>
  <c r="L640" i="33"/>
  <c r="L641" i="33"/>
  <c r="L642" i="33"/>
  <c r="L643" i="33"/>
  <c r="L644" i="33"/>
  <c r="L645" i="33"/>
  <c r="L646" i="33"/>
  <c r="L647" i="33"/>
  <c r="L648" i="33"/>
  <c r="L649" i="33"/>
  <c r="L650" i="33"/>
  <c r="L651" i="33"/>
  <c r="L652" i="33"/>
  <c r="L653" i="33"/>
  <c r="L654" i="33"/>
  <c r="L655" i="33"/>
  <c r="L656" i="33"/>
  <c r="L657" i="33"/>
  <c r="L658" i="33"/>
  <c r="L659" i="33"/>
  <c r="L660" i="33"/>
  <c r="L661" i="33"/>
  <c r="L662" i="33"/>
  <c r="L663" i="33"/>
  <c r="L664" i="33"/>
  <c r="L665" i="33"/>
  <c r="L666" i="33"/>
  <c r="L667" i="33"/>
  <c r="L668" i="33"/>
  <c r="L669" i="33"/>
  <c r="L670" i="33"/>
  <c r="L671" i="33"/>
  <c r="L672" i="33"/>
  <c r="L673" i="33"/>
  <c r="L674" i="33"/>
  <c r="L675" i="33"/>
  <c r="L676" i="33"/>
  <c r="L677" i="33"/>
  <c r="L678" i="33"/>
  <c r="L679" i="33"/>
  <c r="L680" i="33"/>
  <c r="L681" i="33"/>
  <c r="L682" i="33"/>
  <c r="L683" i="33"/>
  <c r="L684" i="33"/>
  <c r="L685" i="33"/>
  <c r="L686" i="33"/>
  <c r="L687" i="33"/>
  <c r="L688" i="33"/>
  <c r="L689" i="33"/>
  <c r="L690" i="33"/>
  <c r="L691" i="33"/>
  <c r="L692" i="33"/>
  <c r="L693" i="33"/>
  <c r="L694" i="33"/>
  <c r="L695" i="33"/>
  <c r="L696" i="33"/>
  <c r="L697" i="33"/>
  <c r="L698" i="33"/>
  <c r="L699" i="33"/>
  <c r="L700" i="33"/>
  <c r="L701" i="33"/>
  <c r="L702" i="33"/>
  <c r="L703" i="33"/>
  <c r="L704" i="33"/>
  <c r="L705" i="33"/>
  <c r="L706" i="33"/>
  <c r="L707" i="33"/>
  <c r="L708" i="33"/>
  <c r="L709" i="33"/>
  <c r="L710" i="33"/>
  <c r="L711" i="33"/>
  <c r="L712" i="33"/>
  <c r="L713" i="33"/>
  <c r="L714" i="33"/>
  <c r="L715" i="33"/>
  <c r="L716" i="33"/>
  <c r="L717" i="33"/>
  <c r="L718" i="33"/>
  <c r="L719" i="33"/>
  <c r="L720" i="33"/>
  <c r="L721" i="33"/>
  <c r="L722" i="33"/>
  <c r="L723" i="33"/>
  <c r="L724" i="33"/>
  <c r="L725" i="33"/>
  <c r="L726" i="33"/>
  <c r="L727" i="33"/>
  <c r="L728" i="33"/>
  <c r="L729" i="33"/>
  <c r="L730" i="33"/>
  <c r="L731" i="33"/>
  <c r="L732" i="33"/>
  <c r="L733" i="33"/>
  <c r="L734" i="33"/>
  <c r="L735" i="33"/>
  <c r="L736" i="33"/>
  <c r="L737" i="33"/>
  <c r="L738" i="33"/>
  <c r="L739" i="33"/>
  <c r="L740" i="33"/>
  <c r="L741" i="33"/>
  <c r="L742" i="33"/>
  <c r="L743" i="33"/>
  <c r="L744" i="33"/>
  <c r="L745" i="33"/>
  <c r="L746" i="33"/>
  <c r="L747" i="33"/>
  <c r="L748" i="33"/>
  <c r="L749" i="33"/>
  <c r="L750" i="33"/>
  <c r="L751" i="33"/>
  <c r="L752" i="33"/>
  <c r="L753" i="33"/>
  <c r="L754" i="33"/>
  <c r="L755" i="33"/>
  <c r="L756" i="33"/>
  <c r="L757" i="33"/>
  <c r="L758" i="33"/>
  <c r="L759" i="33"/>
  <c r="L760" i="33"/>
  <c r="L761" i="33"/>
  <c r="L762" i="33"/>
  <c r="L763" i="33"/>
  <c r="L764" i="33"/>
  <c r="L765" i="33"/>
  <c r="L766" i="33"/>
  <c r="L767" i="33"/>
  <c r="L768" i="33"/>
  <c r="L769" i="33"/>
  <c r="L770" i="33"/>
  <c r="L771" i="33"/>
  <c r="L772" i="33"/>
  <c r="L773" i="33"/>
  <c r="L774" i="33"/>
  <c r="L775" i="33"/>
  <c r="L776" i="33"/>
  <c r="L777" i="33"/>
  <c r="L778" i="33"/>
  <c r="L779" i="33"/>
  <c r="L780" i="33"/>
  <c r="L781" i="33"/>
  <c r="L782" i="33"/>
  <c r="L783" i="33"/>
  <c r="L784" i="33"/>
  <c r="L785" i="33"/>
  <c r="L786" i="33"/>
  <c r="L787" i="33"/>
  <c r="L788" i="33"/>
  <c r="L789" i="33"/>
  <c r="L790" i="33"/>
  <c r="L791" i="33"/>
  <c r="L792" i="33"/>
  <c r="L793" i="33"/>
  <c r="L794" i="33"/>
  <c r="L795" i="33"/>
  <c r="L796" i="33"/>
  <c r="L797" i="33"/>
  <c r="L798" i="33"/>
  <c r="L799" i="33"/>
  <c r="L800" i="33"/>
  <c r="L801" i="33"/>
  <c r="L802" i="33"/>
  <c r="L803" i="33"/>
  <c r="L804" i="33"/>
  <c r="L805" i="33"/>
  <c r="L806" i="33"/>
  <c r="L807" i="33"/>
  <c r="L808" i="33"/>
  <c r="L809" i="33"/>
  <c r="L810" i="33"/>
  <c r="L811" i="33"/>
  <c r="L812" i="33"/>
  <c r="L813" i="33"/>
  <c r="L814" i="33"/>
  <c r="L815" i="33"/>
  <c r="L816" i="33"/>
  <c r="L817" i="33"/>
  <c r="L818" i="33"/>
  <c r="L819" i="33"/>
  <c r="L820" i="33"/>
  <c r="L821" i="33"/>
  <c r="L822" i="33"/>
  <c r="L823" i="33"/>
  <c r="L824" i="33"/>
  <c r="L825" i="33"/>
  <c r="L826" i="33"/>
  <c r="L827" i="33"/>
  <c r="L828" i="33"/>
  <c r="L829" i="33"/>
  <c r="L830" i="33"/>
  <c r="L831" i="33"/>
  <c r="L832" i="33"/>
  <c r="L833" i="33"/>
  <c r="L834" i="33"/>
  <c r="L835" i="33"/>
  <c r="L836" i="33"/>
  <c r="L837" i="33"/>
  <c r="L838" i="33"/>
  <c r="L839" i="33"/>
  <c r="L840" i="33"/>
  <c r="L841" i="33"/>
  <c r="L842" i="33"/>
  <c r="L843" i="33"/>
  <c r="L844" i="33"/>
  <c r="L845" i="33"/>
  <c r="L846" i="33"/>
  <c r="L847" i="33"/>
  <c r="L848" i="33"/>
  <c r="L849" i="33"/>
  <c r="L850" i="33"/>
  <c r="L851" i="33"/>
  <c r="L852" i="33"/>
  <c r="L853" i="33"/>
  <c r="L854" i="33"/>
  <c r="L855" i="33"/>
  <c r="L856" i="33"/>
  <c r="L857" i="33"/>
  <c r="L858" i="33"/>
  <c r="L859" i="33"/>
  <c r="L860" i="33"/>
  <c r="L861" i="33"/>
  <c r="L862" i="33"/>
  <c r="L863" i="33"/>
  <c r="L864" i="33"/>
  <c r="L865" i="33"/>
  <c r="L866" i="33"/>
  <c r="L867" i="33"/>
  <c r="L868" i="33"/>
  <c r="L869" i="33"/>
  <c r="L870" i="33"/>
  <c r="L871" i="33"/>
  <c r="L872" i="33"/>
  <c r="L873" i="33"/>
  <c r="L874" i="33"/>
  <c r="L875" i="33"/>
  <c r="L876" i="33"/>
  <c r="L877" i="33"/>
  <c r="L878" i="33"/>
  <c r="L879" i="33"/>
  <c r="L880" i="33"/>
  <c r="L881" i="33"/>
  <c r="L882" i="33"/>
  <c r="L883" i="33"/>
  <c r="L884" i="33"/>
  <c r="L885" i="33"/>
  <c r="L886" i="33"/>
  <c r="L887" i="33"/>
  <c r="L888" i="33"/>
  <c r="L889" i="33"/>
  <c r="L890" i="33"/>
  <c r="L891" i="33"/>
  <c r="L892" i="33"/>
  <c r="L893" i="33"/>
  <c r="L894" i="33"/>
  <c r="L895" i="33"/>
  <c r="L896" i="33"/>
  <c r="L897" i="33"/>
  <c r="L898" i="33"/>
  <c r="L899" i="33"/>
  <c r="L900" i="33"/>
  <c r="L901" i="33"/>
  <c r="L902" i="33"/>
  <c r="L903" i="33"/>
  <c r="L904" i="33"/>
  <c r="L905" i="33"/>
  <c r="L906" i="33"/>
  <c r="L907" i="33"/>
  <c r="L908" i="33"/>
  <c r="L909" i="33"/>
  <c r="L910" i="33"/>
  <c r="L911" i="33"/>
  <c r="L912" i="33"/>
  <c r="L913" i="33"/>
  <c r="L914" i="33"/>
  <c r="L915" i="33"/>
  <c r="L916" i="33"/>
  <c r="L917" i="33"/>
  <c r="L918" i="33"/>
  <c r="L919" i="33"/>
  <c r="L920" i="33"/>
  <c r="L921" i="33"/>
  <c r="L922" i="33"/>
  <c r="L923" i="33"/>
  <c r="L924" i="33"/>
  <c r="L925" i="33"/>
  <c r="L926" i="33"/>
  <c r="L927" i="33"/>
  <c r="L928" i="33"/>
  <c r="L929" i="33"/>
  <c r="L930" i="33"/>
  <c r="L931" i="33"/>
  <c r="L932" i="33"/>
  <c r="L933" i="33"/>
  <c r="L934" i="33"/>
  <c r="L935" i="33"/>
  <c r="L936" i="33"/>
  <c r="L937" i="33"/>
  <c r="L938" i="33"/>
  <c r="L939" i="33"/>
  <c r="L940" i="33"/>
  <c r="L941" i="33"/>
  <c r="L942" i="33"/>
  <c r="L943" i="33"/>
  <c r="L944" i="33"/>
  <c r="L945" i="33"/>
  <c r="L946" i="33"/>
  <c r="L947" i="33"/>
  <c r="L948" i="33"/>
  <c r="L949" i="33"/>
  <c r="L950" i="33"/>
  <c r="L951" i="33"/>
  <c r="L952" i="33"/>
  <c r="L953" i="33"/>
  <c r="L954" i="33"/>
  <c r="L955" i="33"/>
  <c r="L956" i="33"/>
  <c r="L957" i="33"/>
  <c r="L958" i="33"/>
  <c r="L959" i="33"/>
  <c r="L960" i="33"/>
  <c r="L961" i="33"/>
  <c r="L962" i="33"/>
  <c r="L963" i="33"/>
  <c r="L964" i="33"/>
  <c r="L965" i="33"/>
  <c r="L966" i="33"/>
  <c r="L967" i="33"/>
  <c r="L968" i="33"/>
  <c r="L969" i="33"/>
  <c r="L970" i="33"/>
  <c r="L971" i="33"/>
  <c r="L972" i="33"/>
  <c r="L973" i="33"/>
  <c r="L974" i="33"/>
  <c r="L975" i="33"/>
  <c r="L976" i="33"/>
  <c r="L977" i="33"/>
  <c r="L978" i="33"/>
  <c r="L979" i="33"/>
  <c r="L980" i="33"/>
  <c r="L981" i="33"/>
  <c r="L982" i="33"/>
  <c r="L983" i="33"/>
  <c r="L984" i="33"/>
  <c r="L985" i="33"/>
  <c r="L986" i="33"/>
  <c r="L987" i="33"/>
  <c r="L988" i="33"/>
  <c r="L989" i="33"/>
  <c r="L990" i="33"/>
  <c r="L991" i="33"/>
  <c r="L992" i="33"/>
  <c r="L993" i="33"/>
  <c r="L994" i="33"/>
  <c r="L995" i="33"/>
  <c r="L996" i="33"/>
  <c r="L997" i="33"/>
  <c r="L998" i="33"/>
  <c r="L999" i="33"/>
  <c r="L1000" i="33"/>
  <c r="L1001" i="33"/>
  <c r="L1002" i="33"/>
  <c r="L1003" i="33"/>
  <c r="L1004" i="33"/>
  <c r="L1005" i="33"/>
  <c r="L1006" i="33"/>
  <c r="L1007" i="33"/>
  <c r="L1008" i="33"/>
  <c r="L1009" i="33"/>
  <c r="L1010" i="33"/>
  <c r="L1011" i="33"/>
  <c r="L1012" i="33"/>
  <c r="L1013" i="33"/>
  <c r="L1014" i="33"/>
  <c r="L1015" i="33"/>
  <c r="L1016" i="33"/>
  <c r="L1017" i="33"/>
  <c r="L1018" i="33"/>
  <c r="L1019" i="33"/>
  <c r="L1020" i="33"/>
  <c r="L1021" i="33"/>
  <c r="L1022" i="33"/>
  <c r="L1023" i="33"/>
  <c r="L1024" i="33"/>
  <c r="L1025" i="33"/>
  <c r="L1026" i="33"/>
  <c r="L1027" i="33"/>
  <c r="L1028" i="33"/>
  <c r="L1029" i="33"/>
  <c r="L1030" i="33"/>
  <c r="L1031" i="33"/>
  <c r="L1032" i="33"/>
  <c r="L1033" i="33"/>
  <c r="L1034" i="33"/>
  <c r="L1035" i="33"/>
  <c r="L1036" i="33"/>
  <c r="L1037" i="33"/>
  <c r="L1038" i="33"/>
  <c r="L1039" i="33"/>
  <c r="L1040" i="33"/>
  <c r="L1041" i="33"/>
  <c r="L1042" i="33"/>
  <c r="L1043" i="33"/>
  <c r="L1044" i="33"/>
  <c r="L1045" i="33"/>
  <c r="L1046" i="33"/>
  <c r="L1047" i="33"/>
  <c r="L1048" i="33"/>
  <c r="L1049" i="33"/>
  <c r="L1050" i="33"/>
  <c r="L1051" i="33"/>
  <c r="L1052" i="33"/>
  <c r="L1053" i="33"/>
  <c r="L1054" i="33"/>
  <c r="L1055" i="33"/>
  <c r="L1056" i="33"/>
  <c r="L1057" i="33"/>
  <c r="L1058" i="33"/>
  <c r="L1059" i="33"/>
  <c r="L1060" i="33"/>
  <c r="L1061" i="33"/>
  <c r="L1062" i="33"/>
  <c r="L1063" i="33"/>
  <c r="L1064" i="33"/>
  <c r="L1065" i="33"/>
  <c r="L1066" i="33"/>
  <c r="L1067" i="33"/>
  <c r="L1068" i="33"/>
  <c r="L1069" i="33"/>
  <c r="L1070" i="33"/>
  <c r="L1071" i="33"/>
  <c r="L1072" i="33"/>
  <c r="L1073" i="33"/>
  <c r="L1074" i="33"/>
  <c r="L1075" i="33"/>
  <c r="L1076" i="33"/>
  <c r="L1077" i="33"/>
  <c r="L1078" i="33"/>
  <c r="L1079" i="33"/>
  <c r="L1080" i="33"/>
  <c r="L1081" i="33"/>
  <c r="L1082" i="33"/>
  <c r="L1083" i="33"/>
  <c r="L1084" i="33"/>
  <c r="L1085" i="33"/>
  <c r="L1086" i="33"/>
  <c r="L1087" i="33"/>
  <c r="L1088" i="33"/>
  <c r="L1089" i="33"/>
  <c r="L1090" i="33"/>
  <c r="L1091" i="33"/>
  <c r="L1092" i="33"/>
  <c r="L1093" i="33"/>
  <c r="L1094" i="33"/>
  <c r="L1095" i="33"/>
  <c r="L1096" i="33"/>
  <c r="L1097" i="33"/>
  <c r="L1098" i="33"/>
  <c r="L1099" i="33"/>
  <c r="L1100" i="33"/>
  <c r="L1101" i="33"/>
  <c r="L1102" i="33"/>
  <c r="L1103" i="33"/>
  <c r="L1104" i="33"/>
  <c r="L1105" i="33"/>
  <c r="L1106" i="33"/>
  <c r="L1107" i="33"/>
  <c r="L1108" i="33"/>
  <c r="L1109" i="33"/>
  <c r="L1110" i="33"/>
  <c r="L1111" i="33"/>
  <c r="L1112" i="33"/>
  <c r="L1113" i="33"/>
  <c r="L1114" i="33"/>
  <c r="L1115" i="33"/>
  <c r="L1116" i="33"/>
  <c r="L1117" i="33"/>
  <c r="L1118" i="33"/>
  <c r="L1119" i="33"/>
  <c r="L1120" i="33"/>
  <c r="L1121" i="33"/>
  <c r="L1122" i="33"/>
  <c r="L1123" i="33"/>
  <c r="L1124" i="33"/>
  <c r="L1125" i="33"/>
  <c r="L1126" i="33"/>
  <c r="L1127" i="33"/>
  <c r="L1128" i="33"/>
  <c r="L1129" i="33"/>
  <c r="L1130" i="33"/>
  <c r="L1131" i="33"/>
  <c r="L1132" i="33"/>
  <c r="L1133" i="33"/>
  <c r="L1134" i="33"/>
  <c r="L1135" i="33"/>
  <c r="L1136" i="33"/>
  <c r="L1137" i="33"/>
  <c r="L1138" i="33"/>
  <c r="L1139" i="33"/>
  <c r="L1140" i="33"/>
  <c r="L1141" i="33"/>
  <c r="L1142" i="33"/>
  <c r="L1143" i="33"/>
  <c r="L1144" i="33"/>
  <c r="L1145" i="33"/>
  <c r="L1146" i="33"/>
  <c r="L1147" i="33"/>
  <c r="L1148" i="33"/>
  <c r="L1149" i="33"/>
  <c r="L1150" i="33"/>
  <c r="L1151" i="33"/>
  <c r="L1152" i="33"/>
  <c r="L1153" i="33"/>
  <c r="L1154" i="33"/>
  <c r="L1155" i="33"/>
  <c r="L1156" i="33"/>
  <c r="L1157" i="33"/>
  <c r="L1158" i="33"/>
  <c r="L1159" i="33"/>
  <c r="L1160" i="33"/>
  <c r="L1161" i="33"/>
  <c r="L1162" i="33"/>
  <c r="L1163" i="33"/>
  <c r="L1164" i="33"/>
  <c r="L1165" i="33"/>
  <c r="L1166" i="33"/>
  <c r="L1167" i="33"/>
  <c r="L1168" i="33"/>
  <c r="L1169" i="33"/>
  <c r="L1170" i="33"/>
  <c r="L1171" i="33"/>
  <c r="L1172" i="33"/>
  <c r="L1173" i="33"/>
  <c r="L1174" i="33"/>
  <c r="L1175" i="33"/>
  <c r="L1176" i="33"/>
  <c r="L1177" i="33"/>
  <c r="L1178" i="33"/>
  <c r="L1179" i="33"/>
  <c r="L1180" i="33"/>
  <c r="L1181" i="33"/>
  <c r="L1182" i="33"/>
  <c r="L1183" i="33"/>
  <c r="L1184" i="33"/>
  <c r="L1185" i="33"/>
  <c r="L1186" i="33"/>
  <c r="L1187" i="33"/>
  <c r="L1188" i="33"/>
  <c r="L1189" i="33"/>
  <c r="L1190" i="33"/>
  <c r="L1191" i="33"/>
  <c r="L1192" i="33"/>
  <c r="L1193" i="33"/>
  <c r="L1194" i="33"/>
  <c r="L1195" i="33"/>
  <c r="L1196" i="33"/>
  <c r="L1197" i="33"/>
  <c r="L1198" i="33"/>
  <c r="L1199" i="33"/>
  <c r="L1200" i="33"/>
  <c r="L1201" i="33"/>
  <c r="L1202" i="33"/>
  <c r="L1203" i="33"/>
  <c r="L1204" i="33"/>
  <c r="L1205" i="33"/>
  <c r="L1206" i="33"/>
  <c r="L1207" i="33"/>
  <c r="L1208" i="33"/>
  <c r="L1209" i="33"/>
  <c r="L1210" i="33"/>
  <c r="L1211" i="33"/>
  <c r="L1212" i="33"/>
  <c r="L1213" i="33"/>
  <c r="L1214" i="33"/>
  <c r="L1215" i="33"/>
  <c r="L1216" i="33"/>
  <c r="L1217" i="33"/>
  <c r="L1218" i="33"/>
  <c r="L1219" i="33"/>
  <c r="L1220" i="33"/>
  <c r="L1221" i="33"/>
  <c r="L1222" i="33"/>
  <c r="L1223" i="33"/>
  <c r="L1224" i="33"/>
  <c r="L1225" i="33"/>
  <c r="L1226" i="33"/>
  <c r="L1227" i="33"/>
  <c r="L1228" i="33"/>
  <c r="L1229" i="33"/>
  <c r="L1230" i="33"/>
  <c r="L1231" i="33"/>
  <c r="L1232" i="33"/>
  <c r="L1233" i="33"/>
  <c r="L1234" i="33"/>
  <c r="L1235" i="33"/>
  <c r="L1236" i="33"/>
  <c r="L1237" i="33"/>
  <c r="L1238" i="33"/>
  <c r="L1239" i="33"/>
  <c r="L1240" i="33"/>
  <c r="L1241" i="33"/>
  <c r="L1242" i="33"/>
  <c r="L1243" i="33"/>
  <c r="L1244" i="33"/>
  <c r="L1245" i="33"/>
  <c r="L1246" i="33"/>
  <c r="L1247" i="33"/>
  <c r="L1248" i="33"/>
  <c r="L1249" i="33"/>
  <c r="L1250" i="33"/>
  <c r="L1251" i="33"/>
  <c r="L1252" i="33"/>
  <c r="L1253" i="33"/>
  <c r="L1254" i="33"/>
  <c r="L1255" i="33"/>
  <c r="L1256" i="33"/>
  <c r="L1257" i="33"/>
  <c r="L1258" i="33"/>
  <c r="L1259" i="33"/>
  <c r="L1260" i="33"/>
  <c r="L1261" i="33"/>
  <c r="L1262" i="33"/>
  <c r="L1263" i="33"/>
  <c r="L1264" i="33"/>
  <c r="L1265" i="33"/>
  <c r="L1266" i="33"/>
  <c r="L1267" i="33"/>
  <c r="L1268" i="33"/>
  <c r="L1269" i="33"/>
  <c r="L1270" i="33"/>
  <c r="L1271" i="33"/>
  <c r="L1272" i="33"/>
  <c r="L1273" i="33"/>
  <c r="L1274" i="33"/>
  <c r="L1275" i="33"/>
  <c r="L1276" i="33"/>
  <c r="L1277" i="33"/>
  <c r="L1278" i="33"/>
  <c r="L1279" i="33"/>
  <c r="L1280" i="33"/>
  <c r="L1281" i="33"/>
  <c r="L1282" i="33"/>
  <c r="L1283" i="33"/>
  <c r="L1284" i="33"/>
  <c r="L1285" i="33"/>
  <c r="L1286" i="33"/>
  <c r="L1287" i="33"/>
  <c r="L1288" i="33"/>
  <c r="L1289" i="33"/>
  <c r="L1290" i="33"/>
  <c r="L1291" i="33"/>
  <c r="L1292" i="33"/>
  <c r="L1293" i="33"/>
  <c r="L1294" i="33"/>
  <c r="L1295" i="33"/>
  <c r="L1296" i="33"/>
  <c r="L1297" i="33"/>
  <c r="L1298" i="33"/>
  <c r="L1299" i="33"/>
  <c r="L1300" i="33"/>
  <c r="L1301" i="33"/>
  <c r="L1302" i="33"/>
  <c r="L1303" i="33"/>
  <c r="L1304" i="33"/>
  <c r="L1305" i="33"/>
  <c r="L1306" i="33"/>
  <c r="L1307" i="33"/>
  <c r="L1308" i="33"/>
  <c r="L1309" i="33"/>
  <c r="L1310" i="33"/>
  <c r="L1311" i="33"/>
  <c r="L1312" i="33"/>
  <c r="L1313" i="33"/>
  <c r="L1314" i="33"/>
  <c r="L1315" i="33"/>
  <c r="L1316" i="33"/>
  <c r="L1317" i="33"/>
  <c r="L1318" i="33"/>
  <c r="L1319" i="33"/>
  <c r="L1320" i="33"/>
  <c r="L1321" i="33"/>
  <c r="L1322" i="33"/>
  <c r="L1323" i="33"/>
  <c r="L1324" i="33"/>
  <c r="L1325" i="33"/>
  <c r="L1326" i="33"/>
  <c r="L1327" i="33"/>
  <c r="L1328" i="33"/>
  <c r="L1329" i="33"/>
  <c r="L1330" i="33"/>
  <c r="L1331" i="33"/>
  <c r="L1332" i="33"/>
  <c r="L1333" i="33"/>
  <c r="L1334" i="33"/>
  <c r="L1335" i="33"/>
  <c r="L1336" i="33"/>
  <c r="L1337" i="33"/>
  <c r="L1338" i="33"/>
  <c r="L1339" i="33"/>
  <c r="L1340" i="33"/>
  <c r="L1341" i="33"/>
  <c r="L1342" i="33"/>
  <c r="L1343" i="33"/>
  <c r="L1344" i="33"/>
  <c r="L1345" i="33"/>
  <c r="L1346" i="33"/>
  <c r="L1347" i="33"/>
  <c r="L1348" i="33"/>
  <c r="L1349" i="33"/>
  <c r="L1350" i="33"/>
  <c r="L1351" i="33"/>
  <c r="L1352" i="33"/>
  <c r="L1353" i="33"/>
  <c r="L1354" i="33"/>
  <c r="L1355" i="33"/>
  <c r="L1356" i="33"/>
  <c r="L1357" i="33"/>
  <c r="L1358" i="33"/>
  <c r="L1359" i="33"/>
  <c r="L1360" i="33"/>
  <c r="L1361" i="33"/>
  <c r="L1362" i="33"/>
  <c r="L1363" i="33"/>
  <c r="L1364" i="33"/>
  <c r="L1365" i="33"/>
  <c r="L1366" i="33"/>
  <c r="L1367" i="33"/>
  <c r="L1368" i="33"/>
  <c r="L1369" i="33"/>
  <c r="L1370" i="33"/>
  <c r="L1371" i="33"/>
  <c r="L1372" i="33"/>
  <c r="L1373" i="33"/>
  <c r="L1374" i="33"/>
  <c r="L1375" i="33"/>
  <c r="L1376" i="33"/>
  <c r="L1377" i="33"/>
  <c r="L1378" i="33"/>
  <c r="L1379" i="33"/>
  <c r="L1380" i="33"/>
  <c r="L1381" i="33"/>
  <c r="L1382" i="33"/>
  <c r="L1383" i="33"/>
  <c r="L1384" i="33"/>
  <c r="L1385" i="33"/>
  <c r="L1386" i="33"/>
  <c r="L1387" i="33"/>
  <c r="L1388" i="33"/>
  <c r="L1389" i="33"/>
  <c r="L1390" i="33"/>
  <c r="L1391" i="33"/>
  <c r="L1392" i="33"/>
  <c r="L1393" i="33"/>
  <c r="L1394" i="33"/>
  <c r="L1395" i="33"/>
  <c r="L1396" i="33"/>
  <c r="L1397" i="33"/>
  <c r="L1398" i="33"/>
  <c r="L1399" i="33"/>
  <c r="L1400" i="33"/>
  <c r="L1401" i="33"/>
  <c r="L1402" i="33"/>
  <c r="L1403" i="33"/>
  <c r="L1404" i="33"/>
  <c r="L1405" i="33"/>
  <c r="L1406" i="33"/>
  <c r="L1407" i="33"/>
  <c r="L1408" i="33"/>
  <c r="L1409" i="33"/>
  <c r="L1410" i="33"/>
  <c r="L1411" i="33"/>
  <c r="L1412" i="33"/>
  <c r="L1413" i="33"/>
  <c r="L1414" i="33"/>
  <c r="L1415" i="33"/>
  <c r="L1416" i="33"/>
  <c r="L1417" i="33"/>
  <c r="L1418" i="33"/>
  <c r="L1419" i="33"/>
  <c r="L1420" i="33"/>
  <c r="L1421" i="33"/>
  <c r="L1422" i="33"/>
  <c r="L1423" i="33"/>
  <c r="L1424" i="33"/>
  <c r="L1425" i="33"/>
  <c r="L1426" i="33"/>
  <c r="L1427" i="33"/>
  <c r="L1428" i="33"/>
  <c r="L1429" i="33"/>
  <c r="L1430" i="33"/>
  <c r="L1431" i="33"/>
  <c r="L1432" i="33"/>
  <c r="L1433" i="33"/>
  <c r="L1434" i="33"/>
  <c r="L1435" i="33"/>
  <c r="L1436" i="33"/>
  <c r="L1437" i="33"/>
  <c r="L1438" i="33"/>
  <c r="L1439" i="33"/>
  <c r="L1440" i="33"/>
  <c r="L1441" i="33"/>
  <c r="L1442" i="33"/>
  <c r="L1443" i="33"/>
  <c r="L1444" i="33"/>
  <c r="L1445" i="33"/>
  <c r="L1446" i="33"/>
  <c r="L1447" i="33"/>
  <c r="L1448" i="33"/>
  <c r="L1449" i="33"/>
  <c r="L1450" i="33"/>
  <c r="L1451" i="33"/>
  <c r="L1452" i="33"/>
  <c r="L1453" i="33"/>
  <c r="L1454" i="33"/>
  <c r="L1455" i="33"/>
  <c r="L1456" i="33"/>
  <c r="L1457" i="33"/>
  <c r="L1458" i="33"/>
  <c r="L1459" i="33"/>
  <c r="L1460" i="33"/>
  <c r="L1461" i="33"/>
  <c r="L1462" i="33"/>
  <c r="L1463" i="33"/>
  <c r="L1464" i="33"/>
  <c r="L1465" i="33"/>
  <c r="L1466" i="33"/>
  <c r="L1467" i="33"/>
  <c r="L1468" i="33"/>
  <c r="L1469" i="33"/>
  <c r="L1470" i="33"/>
  <c r="L1471" i="33"/>
  <c r="L1472" i="33"/>
  <c r="L1473" i="33"/>
  <c r="L1474" i="33"/>
  <c r="L1475" i="33"/>
  <c r="L1476" i="33"/>
  <c r="L1477" i="33"/>
  <c r="L1478" i="33"/>
  <c r="L1479" i="33"/>
  <c r="L1480" i="33"/>
  <c r="L1481" i="33"/>
  <c r="L1482" i="33"/>
  <c r="L1483" i="33"/>
  <c r="L1484" i="33"/>
  <c r="L1485" i="33"/>
  <c r="L1486" i="33"/>
  <c r="L1487" i="33"/>
  <c r="L1488" i="33"/>
  <c r="L1489" i="33"/>
  <c r="L1490" i="33"/>
  <c r="L1491" i="33"/>
  <c r="L1492" i="33"/>
  <c r="L1493" i="33"/>
  <c r="L1494" i="33"/>
  <c r="L1495" i="33"/>
  <c r="L1496" i="33"/>
  <c r="L1497" i="33"/>
  <c r="L1498" i="33"/>
  <c r="L1499" i="33"/>
  <c r="L1500" i="33"/>
  <c r="L1501" i="33"/>
  <c r="L1502" i="33"/>
  <c r="L1503" i="33"/>
  <c r="L1504" i="33"/>
  <c r="L1505" i="33"/>
  <c r="L1506" i="33"/>
  <c r="L1507" i="33"/>
  <c r="L1508" i="33"/>
  <c r="L1509" i="33"/>
  <c r="L1510" i="33"/>
  <c r="L1511" i="33"/>
  <c r="L1512" i="33"/>
  <c r="L1513" i="33"/>
  <c r="L1514" i="33"/>
  <c r="L1515" i="33"/>
  <c r="L1516" i="33"/>
  <c r="L1517" i="33"/>
  <c r="L1518" i="33"/>
  <c r="L1519" i="33"/>
  <c r="L1520" i="33"/>
  <c r="L1521" i="33"/>
  <c r="L1522" i="33"/>
  <c r="L1523" i="33"/>
  <c r="L1524" i="33"/>
  <c r="L1525" i="33"/>
  <c r="L1526" i="33"/>
  <c r="L1527" i="33"/>
  <c r="L1528" i="33"/>
  <c r="L1529" i="33"/>
  <c r="L1530" i="33"/>
  <c r="L1531" i="33"/>
  <c r="L1532" i="33"/>
  <c r="L1533" i="33"/>
  <c r="L1534" i="33"/>
  <c r="L1535" i="33"/>
  <c r="L1536" i="33"/>
  <c r="L1537" i="33"/>
  <c r="L1538" i="33"/>
  <c r="L1539" i="33"/>
  <c r="L1540" i="33"/>
  <c r="L1541" i="33"/>
  <c r="L1542" i="33"/>
  <c r="L1543" i="33"/>
  <c r="L1544" i="33"/>
  <c r="L1545" i="33"/>
  <c r="L1546" i="33"/>
  <c r="L1547" i="33"/>
  <c r="L1548" i="33"/>
  <c r="L1549" i="33"/>
  <c r="L1550" i="33"/>
  <c r="L1551" i="33"/>
  <c r="L1552" i="33"/>
  <c r="L1553" i="33"/>
  <c r="L1554" i="33"/>
  <c r="L1555" i="33"/>
  <c r="L1556" i="33"/>
  <c r="L1557" i="33"/>
  <c r="L1558" i="33"/>
  <c r="L1559" i="33"/>
  <c r="L1560" i="33"/>
  <c r="L1561" i="33"/>
  <c r="L1562" i="33"/>
  <c r="L1563" i="33"/>
  <c r="L1564" i="33"/>
  <c r="L1565" i="33"/>
  <c r="L1566" i="33"/>
  <c r="L1567" i="33"/>
  <c r="L1568" i="33"/>
  <c r="L1569" i="33"/>
  <c r="L1570" i="33"/>
  <c r="L1571" i="33"/>
  <c r="L1572" i="33"/>
  <c r="L1573" i="33"/>
  <c r="L1574" i="33"/>
  <c r="L1575" i="33"/>
  <c r="L1576" i="33"/>
  <c r="L1577" i="33"/>
  <c r="L1578" i="33"/>
  <c r="L1579" i="33"/>
  <c r="L1580" i="33"/>
  <c r="L1581" i="33"/>
  <c r="L1582" i="33"/>
  <c r="L1583" i="33"/>
  <c r="L1584" i="33"/>
  <c r="L1585" i="33"/>
  <c r="L1586" i="33"/>
  <c r="L1587" i="33"/>
  <c r="L1588" i="33"/>
  <c r="L1589" i="33"/>
  <c r="L1590" i="33"/>
  <c r="L1591" i="33"/>
  <c r="L1592" i="33"/>
  <c r="L1593" i="33"/>
  <c r="L1594" i="33"/>
  <c r="L1595" i="33"/>
  <c r="L1596" i="33"/>
  <c r="L1597" i="33"/>
  <c r="L1598" i="33"/>
  <c r="L1599" i="33"/>
  <c r="L1600" i="33"/>
  <c r="L1601" i="33"/>
  <c r="L1602" i="33"/>
  <c r="L1603" i="33"/>
  <c r="L1604" i="33"/>
  <c r="L1605" i="33"/>
  <c r="L1606" i="33"/>
  <c r="L1607" i="33"/>
  <c r="L1608" i="33"/>
  <c r="L1609" i="33"/>
  <c r="L1610" i="33"/>
  <c r="L1611" i="33"/>
  <c r="L1612" i="33"/>
  <c r="L1613" i="33"/>
  <c r="L1614" i="33"/>
  <c r="L1615" i="33"/>
  <c r="L1616" i="33"/>
  <c r="L1617" i="33"/>
  <c r="L1618" i="33"/>
  <c r="L1619" i="33"/>
  <c r="L1620" i="33"/>
  <c r="L1621" i="33"/>
  <c r="L1622" i="33"/>
  <c r="L1623" i="33"/>
  <c r="L1624" i="33"/>
  <c r="L1625" i="33"/>
  <c r="L1626" i="33"/>
  <c r="L1627" i="33"/>
  <c r="L1628" i="33"/>
  <c r="L1629" i="33"/>
  <c r="L1630" i="33"/>
  <c r="L1631" i="33"/>
  <c r="L1632" i="33"/>
  <c r="L1633" i="33"/>
  <c r="L1634" i="33"/>
  <c r="L1635" i="33"/>
  <c r="L1636" i="33"/>
  <c r="L1637" i="33"/>
  <c r="L1638" i="33"/>
  <c r="L1639" i="33"/>
  <c r="L1640" i="33"/>
  <c r="L1641" i="33"/>
  <c r="L1642" i="33"/>
  <c r="L1643" i="33"/>
  <c r="L1644" i="33"/>
  <c r="L1645" i="33"/>
  <c r="L1646" i="33"/>
  <c r="L1647" i="33"/>
  <c r="L1648" i="33"/>
  <c r="L1649" i="33"/>
  <c r="L1650" i="33"/>
  <c r="L1651" i="33"/>
  <c r="L1652" i="33"/>
  <c r="L1653" i="33"/>
  <c r="L1654" i="33"/>
  <c r="L1655" i="33"/>
  <c r="L1656" i="33"/>
  <c r="L1657" i="33"/>
  <c r="L1658" i="33"/>
  <c r="L1659" i="33"/>
  <c r="L1660" i="33"/>
  <c r="L1661" i="33"/>
  <c r="L1662" i="33"/>
  <c r="L1663" i="33"/>
  <c r="L1664" i="33"/>
  <c r="L1665" i="33"/>
  <c r="L1666" i="33"/>
  <c r="L1667" i="33"/>
  <c r="L1668" i="33"/>
  <c r="L1669" i="33"/>
  <c r="L1670" i="33"/>
  <c r="L1671" i="33"/>
  <c r="L1672" i="33"/>
  <c r="L1673" i="33"/>
  <c r="L1674" i="33"/>
  <c r="L1675" i="33"/>
  <c r="L1676" i="33"/>
  <c r="L1677" i="33"/>
  <c r="L1678" i="33"/>
  <c r="L1679" i="33"/>
  <c r="L1680" i="33"/>
  <c r="L1681" i="33"/>
  <c r="L1682" i="33"/>
  <c r="L1683" i="33"/>
  <c r="L1684" i="33"/>
  <c r="L1685" i="33"/>
  <c r="L1686" i="33"/>
  <c r="L1687" i="33"/>
  <c r="L1688" i="33"/>
  <c r="L1689" i="33"/>
  <c r="L1690" i="33"/>
  <c r="L1691" i="33"/>
  <c r="L1692" i="33"/>
  <c r="L1693" i="33"/>
  <c r="L1694" i="33"/>
  <c r="L1695" i="33"/>
  <c r="L1696" i="33"/>
  <c r="L1697" i="33"/>
  <c r="L1698" i="33"/>
  <c r="L1699" i="33"/>
  <c r="L1700" i="33"/>
  <c r="L1701" i="33"/>
  <c r="L1702" i="33"/>
  <c r="L1703" i="33"/>
  <c r="L1704" i="33"/>
  <c r="L1705" i="33"/>
  <c r="L1706" i="33"/>
  <c r="L1707" i="33"/>
  <c r="L1708" i="33"/>
  <c r="L1709" i="33"/>
  <c r="L1710" i="33"/>
  <c r="L1711" i="33"/>
  <c r="L1712" i="33"/>
  <c r="L1713" i="33"/>
  <c r="L1714" i="33"/>
  <c r="L1715" i="33"/>
  <c r="L1716" i="33"/>
  <c r="L1717" i="33"/>
  <c r="L1718" i="33"/>
  <c r="L1719" i="33"/>
  <c r="L1720" i="33"/>
  <c r="L1721" i="33"/>
  <c r="L1722" i="33"/>
  <c r="L1723" i="33"/>
  <c r="L1724" i="33"/>
  <c r="L1725" i="33"/>
  <c r="L1726" i="33"/>
  <c r="L1727" i="33"/>
  <c r="L1728" i="33"/>
  <c r="L1729" i="33"/>
  <c r="L1730" i="33"/>
  <c r="L1731" i="33"/>
  <c r="L1732" i="33"/>
  <c r="L1733" i="33"/>
  <c r="L1734" i="33"/>
  <c r="L1735" i="33"/>
  <c r="L1736" i="33"/>
  <c r="L1737" i="33"/>
  <c r="L1738" i="33"/>
  <c r="L1739" i="33"/>
  <c r="L1740" i="33"/>
  <c r="L1741" i="33"/>
  <c r="L1742" i="33"/>
  <c r="L1743" i="33"/>
  <c r="L1744" i="33"/>
  <c r="L1745" i="33"/>
  <c r="L1746" i="33"/>
  <c r="L1747" i="33"/>
  <c r="L1748" i="33"/>
  <c r="L1749" i="33"/>
  <c r="L1750" i="33"/>
  <c r="L1751" i="33"/>
  <c r="L1752" i="33"/>
  <c r="L1753" i="33"/>
  <c r="L1754" i="33"/>
  <c r="L1755" i="33"/>
  <c r="L1756" i="33"/>
  <c r="L1757" i="33"/>
  <c r="L1758" i="33"/>
  <c r="L1759" i="33"/>
  <c r="L1760" i="33"/>
  <c r="L1761" i="33"/>
  <c r="L1762" i="33"/>
  <c r="L1763" i="33"/>
  <c r="L1764" i="33"/>
  <c r="L1765" i="33"/>
  <c r="L1766" i="33"/>
  <c r="L1767" i="33"/>
  <c r="L1768" i="33"/>
  <c r="L1769" i="33"/>
  <c r="L1770" i="33"/>
  <c r="L1771" i="33"/>
  <c r="L1772" i="33"/>
  <c r="L1773" i="33"/>
  <c r="L1774" i="33"/>
  <c r="L1775" i="33"/>
  <c r="L1776" i="33"/>
  <c r="L1777" i="33"/>
  <c r="L1778" i="33"/>
  <c r="L1779" i="33"/>
  <c r="L1780" i="33"/>
  <c r="L1781" i="33"/>
  <c r="L1782" i="33"/>
  <c r="L1783" i="33"/>
  <c r="L1784" i="33"/>
  <c r="L1785" i="33"/>
  <c r="L1786" i="33"/>
  <c r="L1787" i="33"/>
  <c r="L1788" i="33"/>
  <c r="L1789" i="33"/>
  <c r="L1790" i="33"/>
  <c r="L1791" i="33"/>
  <c r="L1792" i="33"/>
  <c r="L1793" i="33"/>
  <c r="L1794" i="33"/>
  <c r="L1795" i="33"/>
  <c r="L1796" i="33"/>
  <c r="L1797" i="33"/>
  <c r="L1798" i="33"/>
  <c r="L1799" i="33"/>
  <c r="L1800" i="33"/>
  <c r="L1801" i="33"/>
  <c r="L1802" i="33"/>
  <c r="L1803" i="33"/>
  <c r="L1804" i="33"/>
  <c r="L1805" i="33"/>
  <c r="L1806" i="33"/>
  <c r="L1807" i="33"/>
  <c r="L1808" i="33"/>
  <c r="L1809" i="33"/>
  <c r="L1810" i="33"/>
  <c r="L1811" i="33"/>
  <c r="L1812" i="33"/>
  <c r="L1813" i="33"/>
  <c r="L1814" i="33"/>
  <c r="L1815" i="33"/>
  <c r="L1816" i="33"/>
  <c r="L1817" i="33"/>
  <c r="L1818" i="33"/>
  <c r="L1819" i="33"/>
  <c r="L1820" i="33"/>
  <c r="L1821" i="33"/>
  <c r="L1822" i="33"/>
  <c r="L1823" i="33"/>
  <c r="L1824" i="33"/>
  <c r="L1825" i="33"/>
  <c r="L1826" i="33"/>
  <c r="L1827" i="33"/>
  <c r="L1828" i="33"/>
  <c r="L1829" i="33"/>
  <c r="L1830" i="33"/>
  <c r="L1831" i="33"/>
  <c r="L1832" i="33"/>
  <c r="L1833" i="33"/>
  <c r="L1834" i="33"/>
  <c r="L1835" i="33"/>
  <c r="L1836" i="33"/>
  <c r="L1837" i="33"/>
  <c r="L1838" i="33"/>
  <c r="L1839" i="33"/>
  <c r="L1840" i="33"/>
  <c r="L1841" i="33"/>
  <c r="L1842" i="33"/>
  <c r="L1843" i="33"/>
  <c r="L1844" i="33"/>
  <c r="L1845" i="33"/>
  <c r="L1846" i="33"/>
  <c r="L1847" i="33"/>
  <c r="L1848" i="33"/>
  <c r="L1849" i="33"/>
  <c r="L1850" i="33"/>
  <c r="L1851" i="33"/>
  <c r="L1852" i="33"/>
  <c r="L1853" i="33"/>
  <c r="L1854" i="33"/>
  <c r="L1855" i="33"/>
  <c r="L1856" i="33"/>
  <c r="L1857" i="33"/>
  <c r="L1858" i="33"/>
  <c r="L1859" i="33"/>
  <c r="L1860" i="33"/>
  <c r="L1861" i="33"/>
  <c r="L1862" i="33"/>
  <c r="L1863" i="33"/>
  <c r="L1864" i="33"/>
  <c r="L1865" i="33"/>
  <c r="K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47" i="33"/>
  <c r="K148" i="33"/>
  <c r="K149" i="33"/>
  <c r="K150" i="33"/>
  <c r="K151" i="33"/>
  <c r="K152" i="33"/>
  <c r="K153" i="33"/>
  <c r="K154" i="33"/>
  <c r="K155" i="33"/>
  <c r="K156" i="33"/>
  <c r="K157" i="33"/>
  <c r="K158" i="33"/>
  <c r="K159" i="33"/>
  <c r="K160" i="33"/>
  <c r="K161" i="33"/>
  <c r="K162" i="33"/>
  <c r="K163" i="33"/>
  <c r="K164" i="33"/>
  <c r="K165" i="33"/>
  <c r="K166" i="33"/>
  <c r="K167" i="33"/>
  <c r="K168" i="33"/>
  <c r="K169" i="33"/>
  <c r="K170" i="33"/>
  <c r="K171" i="33"/>
  <c r="K172" i="33"/>
  <c r="K173" i="33"/>
  <c r="K174" i="33"/>
  <c r="K175" i="33"/>
  <c r="K176" i="33"/>
  <c r="K177" i="33"/>
  <c r="K178" i="33"/>
  <c r="K179" i="33"/>
  <c r="K180" i="33"/>
  <c r="K181" i="33"/>
  <c r="K182" i="33"/>
  <c r="K183" i="33"/>
  <c r="K184" i="33"/>
  <c r="K185" i="33"/>
  <c r="K186" i="33"/>
  <c r="K187" i="33"/>
  <c r="K188" i="33"/>
  <c r="K189" i="33"/>
  <c r="K190" i="33"/>
  <c r="K191" i="33"/>
  <c r="K192" i="33"/>
  <c r="K193" i="33"/>
  <c r="K194" i="33"/>
  <c r="K195" i="33"/>
  <c r="K196" i="33"/>
  <c r="K197" i="33"/>
  <c r="K198" i="33"/>
  <c r="K199" i="33"/>
  <c r="K200" i="33"/>
  <c r="K201" i="33"/>
  <c r="K202" i="33"/>
  <c r="K203" i="33"/>
  <c r="K204" i="33"/>
  <c r="K205" i="33"/>
  <c r="K206" i="33"/>
  <c r="K207" i="33"/>
  <c r="K208" i="33"/>
  <c r="K209" i="33"/>
  <c r="K210" i="33"/>
  <c r="K211" i="33"/>
  <c r="K212" i="33"/>
  <c r="K213" i="33"/>
  <c r="K214" i="33"/>
  <c r="K215" i="33"/>
  <c r="K216" i="33"/>
  <c r="K217" i="33"/>
  <c r="K218" i="33"/>
  <c r="K219" i="33"/>
  <c r="K220" i="33"/>
  <c r="K221" i="33"/>
  <c r="K222" i="33"/>
  <c r="K223" i="33"/>
  <c r="K224" i="33"/>
  <c r="K225" i="33"/>
  <c r="K226" i="33"/>
  <c r="K227" i="33"/>
  <c r="K228" i="33"/>
  <c r="K229" i="33"/>
  <c r="K230" i="33"/>
  <c r="K231" i="33"/>
  <c r="K232" i="33"/>
  <c r="K233" i="33"/>
  <c r="K234" i="33"/>
  <c r="K235" i="33"/>
  <c r="K236" i="33"/>
  <c r="K237" i="33"/>
  <c r="K238" i="33"/>
  <c r="K239" i="33"/>
  <c r="K240" i="33"/>
  <c r="K241" i="33"/>
  <c r="K242" i="33"/>
  <c r="K243" i="33"/>
  <c r="K244" i="33"/>
  <c r="K245" i="33"/>
  <c r="K246" i="33"/>
  <c r="K247" i="33"/>
  <c r="K248" i="33"/>
  <c r="K249" i="33"/>
  <c r="K250" i="33"/>
  <c r="K251" i="33"/>
  <c r="K252" i="33"/>
  <c r="K253" i="33"/>
  <c r="K254" i="33"/>
  <c r="K255" i="33"/>
  <c r="K256" i="33"/>
  <c r="K257" i="33"/>
  <c r="K258" i="33"/>
  <c r="K259" i="33"/>
  <c r="K260" i="33"/>
  <c r="K261" i="33"/>
  <c r="K262" i="33"/>
  <c r="K263" i="33"/>
  <c r="K264" i="33"/>
  <c r="K265" i="33"/>
  <c r="K266" i="33"/>
  <c r="K267" i="33"/>
  <c r="K268" i="33"/>
  <c r="K269" i="33"/>
  <c r="K270" i="33"/>
  <c r="K271" i="33"/>
  <c r="K272" i="33"/>
  <c r="K273" i="33"/>
  <c r="K274" i="33"/>
  <c r="K275" i="33"/>
  <c r="K276" i="33"/>
  <c r="K277" i="33"/>
  <c r="K278" i="33"/>
  <c r="K279" i="33"/>
  <c r="K280" i="33"/>
  <c r="K281" i="33"/>
  <c r="K282" i="33"/>
  <c r="K283" i="33"/>
  <c r="K284" i="33"/>
  <c r="K285" i="33"/>
  <c r="K286" i="33"/>
  <c r="K287" i="33"/>
  <c r="K288" i="33"/>
  <c r="K289" i="33"/>
  <c r="K290" i="33"/>
  <c r="K291" i="33"/>
  <c r="K292" i="33"/>
  <c r="K293" i="33"/>
  <c r="K294" i="33"/>
  <c r="K295" i="33"/>
  <c r="K296" i="33"/>
  <c r="K297" i="33"/>
  <c r="K298" i="33"/>
  <c r="K299" i="33"/>
  <c r="K300" i="33"/>
  <c r="K301" i="33"/>
  <c r="K302" i="33"/>
  <c r="K303" i="33"/>
  <c r="K304" i="33"/>
  <c r="K305" i="33"/>
  <c r="K306" i="33"/>
  <c r="K307" i="33"/>
  <c r="K308" i="33"/>
  <c r="K309" i="33"/>
  <c r="K310" i="33"/>
  <c r="K311" i="33"/>
  <c r="K312" i="33"/>
  <c r="K313" i="33"/>
  <c r="K314" i="33"/>
  <c r="K315" i="33"/>
  <c r="K316" i="33"/>
  <c r="K317" i="33"/>
  <c r="K318" i="33"/>
  <c r="K319" i="33"/>
  <c r="K320" i="33"/>
  <c r="K321" i="33"/>
  <c r="K322" i="33"/>
  <c r="K323" i="33"/>
  <c r="K324" i="33"/>
  <c r="K325" i="33"/>
  <c r="K326" i="33"/>
  <c r="K327" i="33"/>
  <c r="K328" i="33"/>
  <c r="K329" i="33"/>
  <c r="K330" i="33"/>
  <c r="K331" i="33"/>
  <c r="K332" i="33"/>
  <c r="K333" i="33"/>
  <c r="K334" i="33"/>
  <c r="K335" i="33"/>
  <c r="K336" i="33"/>
  <c r="K337" i="33"/>
  <c r="K338" i="33"/>
  <c r="K339" i="33"/>
  <c r="K340" i="33"/>
  <c r="K341" i="33"/>
  <c r="K342" i="33"/>
  <c r="K343" i="33"/>
  <c r="K344" i="33"/>
  <c r="K345" i="33"/>
  <c r="K346" i="33"/>
  <c r="K347" i="33"/>
  <c r="K348" i="33"/>
  <c r="K349" i="33"/>
  <c r="K350" i="33"/>
  <c r="K351" i="33"/>
  <c r="K352" i="33"/>
  <c r="K353" i="33"/>
  <c r="K354" i="33"/>
  <c r="K355" i="33"/>
  <c r="K356" i="33"/>
  <c r="K357" i="33"/>
  <c r="K358" i="33"/>
  <c r="K359" i="33"/>
  <c r="K360" i="33"/>
  <c r="K361" i="33"/>
  <c r="K362" i="33"/>
  <c r="K363" i="33"/>
  <c r="K364" i="33"/>
  <c r="K365" i="33"/>
  <c r="K366" i="33"/>
  <c r="K367" i="33"/>
  <c r="K368" i="33"/>
  <c r="K369" i="33"/>
  <c r="K370" i="33"/>
  <c r="K371" i="33"/>
  <c r="K372" i="33"/>
  <c r="K373" i="33"/>
  <c r="K374" i="33"/>
  <c r="K375" i="33"/>
  <c r="K376" i="33"/>
  <c r="K377" i="33"/>
  <c r="K378" i="33"/>
  <c r="K379" i="33"/>
  <c r="K380" i="33"/>
  <c r="K381" i="33"/>
  <c r="K382" i="33"/>
  <c r="K383" i="33"/>
  <c r="K384" i="33"/>
  <c r="K385" i="33"/>
  <c r="K386" i="33"/>
  <c r="K387" i="33"/>
  <c r="K388" i="33"/>
  <c r="K389" i="33"/>
  <c r="K390" i="33"/>
  <c r="K391" i="33"/>
  <c r="K392" i="33"/>
  <c r="K393" i="33"/>
  <c r="K394" i="33"/>
  <c r="K395" i="33"/>
  <c r="K396" i="33"/>
  <c r="K397" i="33"/>
  <c r="K398" i="33"/>
  <c r="K399" i="33"/>
  <c r="K400" i="33"/>
  <c r="K401" i="33"/>
  <c r="K402" i="33"/>
  <c r="K403" i="33"/>
  <c r="K404" i="33"/>
  <c r="K405" i="33"/>
  <c r="K406" i="33"/>
  <c r="K407" i="33"/>
  <c r="K408" i="33"/>
  <c r="K409" i="33"/>
  <c r="K410" i="33"/>
  <c r="K411" i="33"/>
  <c r="K412" i="33"/>
  <c r="K413" i="33"/>
  <c r="K414" i="33"/>
  <c r="K415" i="33"/>
  <c r="K416" i="33"/>
  <c r="K417" i="33"/>
  <c r="K418" i="33"/>
  <c r="K419" i="33"/>
  <c r="K420" i="33"/>
  <c r="K421" i="33"/>
  <c r="K422" i="33"/>
  <c r="K423" i="33"/>
  <c r="K424" i="33"/>
  <c r="K425" i="33"/>
  <c r="K426" i="33"/>
  <c r="K427" i="33"/>
  <c r="K428" i="33"/>
  <c r="K429" i="33"/>
  <c r="K430" i="33"/>
  <c r="K431" i="33"/>
  <c r="K432" i="33"/>
  <c r="K433" i="33"/>
  <c r="K434" i="33"/>
  <c r="K435" i="33"/>
  <c r="K436" i="33"/>
  <c r="K437" i="33"/>
  <c r="K438" i="33"/>
  <c r="K439" i="33"/>
  <c r="K440" i="33"/>
  <c r="K441" i="33"/>
  <c r="K442" i="33"/>
  <c r="K443" i="33"/>
  <c r="K444" i="33"/>
  <c r="K445" i="33"/>
  <c r="K446" i="33"/>
  <c r="K447" i="33"/>
  <c r="K448" i="33"/>
  <c r="K449" i="33"/>
  <c r="K450" i="33"/>
  <c r="K451" i="33"/>
  <c r="K452" i="33"/>
  <c r="K453" i="33"/>
  <c r="K454" i="33"/>
  <c r="K455" i="33"/>
  <c r="K456" i="33"/>
  <c r="K457" i="33"/>
  <c r="K458" i="33"/>
  <c r="K459" i="33"/>
  <c r="K460" i="33"/>
  <c r="K461" i="33"/>
  <c r="K462" i="33"/>
  <c r="K463" i="33"/>
  <c r="K464" i="33"/>
  <c r="K465" i="33"/>
  <c r="K466" i="33"/>
  <c r="K467" i="33"/>
  <c r="K468" i="33"/>
  <c r="K469" i="33"/>
  <c r="K470" i="33"/>
  <c r="K471" i="33"/>
  <c r="K472" i="33"/>
  <c r="K473" i="33"/>
  <c r="K474" i="33"/>
  <c r="K475" i="33"/>
  <c r="K476" i="33"/>
  <c r="K477" i="33"/>
  <c r="K478" i="33"/>
  <c r="K479" i="33"/>
  <c r="K480" i="33"/>
  <c r="K481" i="33"/>
  <c r="K482" i="33"/>
  <c r="K483" i="33"/>
  <c r="K484" i="33"/>
  <c r="K485" i="33"/>
  <c r="K486" i="33"/>
  <c r="K487" i="33"/>
  <c r="K488" i="33"/>
  <c r="K489" i="33"/>
  <c r="K490" i="33"/>
  <c r="K491" i="33"/>
  <c r="K492" i="33"/>
  <c r="K493" i="33"/>
  <c r="K494" i="33"/>
  <c r="K495" i="33"/>
  <c r="K496" i="33"/>
  <c r="K497" i="33"/>
  <c r="K498" i="33"/>
  <c r="K499" i="33"/>
  <c r="K500" i="33"/>
  <c r="K501" i="33"/>
  <c r="K502" i="33"/>
  <c r="K503" i="33"/>
  <c r="K504" i="33"/>
  <c r="K505" i="33"/>
  <c r="K506" i="33"/>
  <c r="K507" i="33"/>
  <c r="K508" i="33"/>
  <c r="K509" i="33"/>
  <c r="K510" i="33"/>
  <c r="K511" i="33"/>
  <c r="K512" i="33"/>
  <c r="K513" i="33"/>
  <c r="K514" i="33"/>
  <c r="K515" i="33"/>
  <c r="K516" i="33"/>
  <c r="K517" i="33"/>
  <c r="K518" i="33"/>
  <c r="K519" i="33"/>
  <c r="K520" i="33"/>
  <c r="K521" i="33"/>
  <c r="K522" i="33"/>
  <c r="K523" i="33"/>
  <c r="K524" i="33"/>
  <c r="K525" i="33"/>
  <c r="K526" i="33"/>
  <c r="K527" i="33"/>
  <c r="K528" i="33"/>
  <c r="K529" i="33"/>
  <c r="K530" i="33"/>
  <c r="K531" i="33"/>
  <c r="K532" i="33"/>
  <c r="K533" i="33"/>
  <c r="K534" i="33"/>
  <c r="K535" i="33"/>
  <c r="K536" i="33"/>
  <c r="K537" i="33"/>
  <c r="K538" i="33"/>
  <c r="K539" i="33"/>
  <c r="K540" i="33"/>
  <c r="K541" i="33"/>
  <c r="K542" i="33"/>
  <c r="K543" i="33"/>
  <c r="K544" i="33"/>
  <c r="K545" i="33"/>
  <c r="K546" i="33"/>
  <c r="K547" i="33"/>
  <c r="K548" i="33"/>
  <c r="K549" i="33"/>
  <c r="K550" i="33"/>
  <c r="K551" i="33"/>
  <c r="K552" i="33"/>
  <c r="K553" i="33"/>
  <c r="K554" i="33"/>
  <c r="K555" i="33"/>
  <c r="K556" i="33"/>
  <c r="K557" i="33"/>
  <c r="K558" i="33"/>
  <c r="K559" i="33"/>
  <c r="K560" i="33"/>
  <c r="K561" i="33"/>
  <c r="K562" i="33"/>
  <c r="K563" i="33"/>
  <c r="K564" i="33"/>
  <c r="K565" i="33"/>
  <c r="K566" i="33"/>
  <c r="K567" i="33"/>
  <c r="K568" i="33"/>
  <c r="K569" i="33"/>
  <c r="K570" i="33"/>
  <c r="K571" i="33"/>
  <c r="K572" i="33"/>
  <c r="K573" i="33"/>
  <c r="K574" i="33"/>
  <c r="K575" i="33"/>
  <c r="K576" i="33"/>
  <c r="K577" i="33"/>
  <c r="K578" i="33"/>
  <c r="K579" i="33"/>
  <c r="K580" i="33"/>
  <c r="K581" i="33"/>
  <c r="K582" i="33"/>
  <c r="K583" i="33"/>
  <c r="K584" i="33"/>
  <c r="K585" i="33"/>
  <c r="K586" i="33"/>
  <c r="K587" i="33"/>
  <c r="K588" i="33"/>
  <c r="K589" i="33"/>
  <c r="K590" i="33"/>
  <c r="K591" i="33"/>
  <c r="K592" i="33"/>
  <c r="K593" i="33"/>
  <c r="K594" i="33"/>
  <c r="K595" i="33"/>
  <c r="K596" i="33"/>
  <c r="K597" i="33"/>
  <c r="K598" i="33"/>
  <c r="K599" i="33"/>
  <c r="K600" i="33"/>
  <c r="K601" i="33"/>
  <c r="K602" i="33"/>
  <c r="K603" i="33"/>
  <c r="K604" i="33"/>
  <c r="K605" i="33"/>
  <c r="K606" i="33"/>
  <c r="K607" i="33"/>
  <c r="K608" i="33"/>
  <c r="K609" i="33"/>
  <c r="K610" i="33"/>
  <c r="K611" i="33"/>
  <c r="K612" i="33"/>
  <c r="K613" i="33"/>
  <c r="K614" i="33"/>
  <c r="K615" i="33"/>
  <c r="K616" i="33"/>
  <c r="K617" i="33"/>
  <c r="K618" i="33"/>
  <c r="K619" i="33"/>
  <c r="K620" i="33"/>
  <c r="K621" i="33"/>
  <c r="K622" i="33"/>
  <c r="K623" i="33"/>
  <c r="K624" i="33"/>
  <c r="K625" i="33"/>
  <c r="K626" i="33"/>
  <c r="K627" i="33"/>
  <c r="K628" i="33"/>
  <c r="K629" i="33"/>
  <c r="K630" i="33"/>
  <c r="K631" i="33"/>
  <c r="K632" i="33"/>
  <c r="K633" i="33"/>
  <c r="K634" i="33"/>
  <c r="K635" i="33"/>
  <c r="K636" i="33"/>
  <c r="K637" i="33"/>
  <c r="K638" i="33"/>
  <c r="K639" i="33"/>
  <c r="K640" i="33"/>
  <c r="K641" i="33"/>
  <c r="K642" i="33"/>
  <c r="K643" i="33"/>
  <c r="K644" i="33"/>
  <c r="K645" i="33"/>
  <c r="K646" i="33"/>
  <c r="K647" i="33"/>
  <c r="K648" i="33"/>
  <c r="K649" i="33"/>
  <c r="K650" i="33"/>
  <c r="K651" i="33"/>
  <c r="K652" i="33"/>
  <c r="K653" i="33"/>
  <c r="K654" i="33"/>
  <c r="K655" i="33"/>
  <c r="K656" i="33"/>
  <c r="K657" i="33"/>
  <c r="K658" i="33"/>
  <c r="K659" i="33"/>
  <c r="K660" i="33"/>
  <c r="K661" i="33"/>
  <c r="K662" i="33"/>
  <c r="K663" i="33"/>
  <c r="K664" i="33"/>
  <c r="K665" i="33"/>
  <c r="K666" i="33"/>
  <c r="K667" i="33"/>
  <c r="K668" i="33"/>
  <c r="K669" i="33"/>
  <c r="K670" i="33"/>
  <c r="K671" i="33"/>
  <c r="K672" i="33"/>
  <c r="K673" i="33"/>
  <c r="K674" i="33"/>
  <c r="K675" i="33"/>
  <c r="K676" i="33"/>
  <c r="K677" i="33"/>
  <c r="K678" i="33"/>
  <c r="K679" i="33"/>
  <c r="K680" i="33"/>
  <c r="K681" i="33"/>
  <c r="K682" i="33"/>
  <c r="K683" i="33"/>
  <c r="K684" i="33"/>
  <c r="K685" i="33"/>
  <c r="K686" i="33"/>
  <c r="K687" i="33"/>
  <c r="K688" i="33"/>
  <c r="K689" i="33"/>
  <c r="K690" i="33"/>
  <c r="K691" i="33"/>
  <c r="K692" i="33"/>
  <c r="K693" i="33"/>
  <c r="K694" i="33"/>
  <c r="K695" i="33"/>
  <c r="K696" i="33"/>
  <c r="K697" i="33"/>
  <c r="K698" i="33"/>
  <c r="K699" i="33"/>
  <c r="K700" i="33"/>
  <c r="K701" i="33"/>
  <c r="K702" i="33"/>
  <c r="K703" i="33"/>
  <c r="K704" i="33"/>
  <c r="K705" i="33"/>
  <c r="K706" i="33"/>
  <c r="K707" i="33"/>
  <c r="K708" i="33"/>
  <c r="K709" i="33"/>
  <c r="K710" i="33"/>
  <c r="K711" i="33"/>
  <c r="K712" i="33"/>
  <c r="K713" i="33"/>
  <c r="K714" i="33"/>
  <c r="K715" i="33"/>
  <c r="K716" i="33"/>
  <c r="K717" i="33"/>
  <c r="K718" i="33"/>
  <c r="K719" i="33"/>
  <c r="K720" i="33"/>
  <c r="K721" i="33"/>
  <c r="K722" i="33"/>
  <c r="K723" i="33"/>
  <c r="K724" i="33"/>
  <c r="K725" i="33"/>
  <c r="K726" i="33"/>
  <c r="K727" i="33"/>
  <c r="K728" i="33"/>
  <c r="K729" i="33"/>
  <c r="K730" i="33"/>
  <c r="K731" i="33"/>
  <c r="K732" i="33"/>
  <c r="K733" i="33"/>
  <c r="K734" i="33"/>
  <c r="K735" i="33"/>
  <c r="K736" i="33"/>
  <c r="K737" i="33"/>
  <c r="K738" i="33"/>
  <c r="K739" i="33"/>
  <c r="K740" i="33"/>
  <c r="K741" i="33"/>
  <c r="K742" i="33"/>
  <c r="K743" i="33"/>
  <c r="K744" i="33"/>
  <c r="K745" i="33"/>
  <c r="K746" i="33"/>
  <c r="K747" i="33"/>
  <c r="K748" i="33"/>
  <c r="K749" i="33"/>
  <c r="K750" i="33"/>
  <c r="K751" i="33"/>
  <c r="K752" i="33"/>
  <c r="K753" i="33"/>
  <c r="K754" i="33"/>
  <c r="K755" i="33"/>
  <c r="K756" i="33"/>
  <c r="K757" i="33"/>
  <c r="K758" i="33"/>
  <c r="K759" i="33"/>
  <c r="K760" i="33"/>
  <c r="K761" i="33"/>
  <c r="K762" i="33"/>
  <c r="K763" i="33"/>
  <c r="K764" i="33"/>
  <c r="K765" i="33"/>
  <c r="K766" i="33"/>
  <c r="K767" i="33"/>
  <c r="K768" i="33"/>
  <c r="K769" i="33"/>
  <c r="K770" i="33"/>
  <c r="K771" i="33"/>
  <c r="K772" i="33"/>
  <c r="K773" i="33"/>
  <c r="K774" i="33"/>
  <c r="K775" i="33"/>
  <c r="K776" i="33"/>
  <c r="K777" i="33"/>
  <c r="K778" i="33"/>
  <c r="K779" i="33"/>
  <c r="K780" i="33"/>
  <c r="K781" i="33"/>
  <c r="K782" i="33"/>
  <c r="K783" i="33"/>
  <c r="K784" i="33"/>
  <c r="K785" i="33"/>
  <c r="K786" i="33"/>
  <c r="K787" i="33"/>
  <c r="K788" i="33"/>
  <c r="K789" i="33"/>
  <c r="K790" i="33"/>
  <c r="K791" i="33"/>
  <c r="K792" i="33"/>
  <c r="K793" i="33"/>
  <c r="K794" i="33"/>
  <c r="K795" i="33"/>
  <c r="K796" i="33"/>
  <c r="K797" i="33"/>
  <c r="K798" i="33"/>
  <c r="K799" i="33"/>
  <c r="K800" i="33"/>
  <c r="K801" i="33"/>
  <c r="K802" i="33"/>
  <c r="K803" i="33"/>
  <c r="K804" i="33"/>
  <c r="K805" i="33"/>
  <c r="K806" i="33"/>
  <c r="K807" i="33"/>
  <c r="K808" i="33"/>
  <c r="K809" i="33"/>
  <c r="K810" i="33"/>
  <c r="K811" i="33"/>
  <c r="K812" i="33"/>
  <c r="K813" i="33"/>
  <c r="K814" i="33"/>
  <c r="K815" i="33"/>
  <c r="K816" i="33"/>
  <c r="K817" i="33"/>
  <c r="K818" i="33"/>
  <c r="K819" i="33"/>
  <c r="K820" i="33"/>
  <c r="K821" i="33"/>
  <c r="K822" i="33"/>
  <c r="K823" i="33"/>
  <c r="K824" i="33"/>
  <c r="K825" i="33"/>
  <c r="K826" i="33"/>
  <c r="K827" i="33"/>
  <c r="K828" i="33"/>
  <c r="K829" i="33"/>
  <c r="K830" i="33"/>
  <c r="K831" i="33"/>
  <c r="K832" i="33"/>
  <c r="K833" i="33"/>
  <c r="K834" i="33"/>
  <c r="K835" i="33"/>
  <c r="K836" i="33"/>
  <c r="K837" i="33"/>
  <c r="K838" i="33"/>
  <c r="K839" i="33"/>
  <c r="K840" i="33"/>
  <c r="K841" i="33"/>
  <c r="K842" i="33"/>
  <c r="K843" i="33"/>
  <c r="K844" i="33"/>
  <c r="K845" i="33"/>
  <c r="K846" i="33"/>
  <c r="K847" i="33"/>
  <c r="K848" i="33"/>
  <c r="K849" i="33"/>
  <c r="K850" i="33"/>
  <c r="K851" i="33"/>
  <c r="K852" i="33"/>
  <c r="K853" i="33"/>
  <c r="K854" i="33"/>
  <c r="K855" i="33"/>
  <c r="K856" i="33"/>
  <c r="K857" i="33"/>
  <c r="K858" i="33"/>
  <c r="K859" i="33"/>
  <c r="K860" i="33"/>
  <c r="K861" i="33"/>
  <c r="K862" i="33"/>
  <c r="K863" i="33"/>
  <c r="K864" i="33"/>
  <c r="K865" i="33"/>
  <c r="K866" i="33"/>
  <c r="K867" i="33"/>
  <c r="K868" i="33"/>
  <c r="K869" i="33"/>
  <c r="K870" i="33"/>
  <c r="K871" i="33"/>
  <c r="K872" i="33"/>
  <c r="K873" i="33"/>
  <c r="K874" i="33"/>
  <c r="K875" i="33"/>
  <c r="K876" i="33"/>
  <c r="K877" i="33"/>
  <c r="K878" i="33"/>
  <c r="K879" i="33"/>
  <c r="K880" i="33"/>
  <c r="K881" i="33"/>
  <c r="K882" i="33"/>
  <c r="K883" i="33"/>
  <c r="K884" i="33"/>
  <c r="K885" i="33"/>
  <c r="K886" i="33"/>
  <c r="K887" i="33"/>
  <c r="K888" i="33"/>
  <c r="K889" i="33"/>
  <c r="K890" i="33"/>
  <c r="K891" i="33"/>
  <c r="K892" i="33"/>
  <c r="K893" i="33"/>
  <c r="K894" i="33"/>
  <c r="K895" i="33"/>
  <c r="K896" i="33"/>
  <c r="K897" i="33"/>
  <c r="K898" i="33"/>
  <c r="K899" i="33"/>
  <c r="K900" i="33"/>
  <c r="K901" i="33"/>
  <c r="K902" i="33"/>
  <c r="K903" i="33"/>
  <c r="K904" i="33"/>
  <c r="K905" i="33"/>
  <c r="K906" i="33"/>
  <c r="K907" i="33"/>
  <c r="K908" i="33"/>
  <c r="K909" i="33"/>
  <c r="K910" i="33"/>
  <c r="K911" i="33"/>
  <c r="K912" i="33"/>
  <c r="K913" i="33"/>
  <c r="K914" i="33"/>
  <c r="K915" i="33"/>
  <c r="K916" i="33"/>
  <c r="K917" i="33"/>
  <c r="K918" i="33"/>
  <c r="K919" i="33"/>
  <c r="K920" i="33"/>
  <c r="K921" i="33"/>
  <c r="K922" i="33"/>
  <c r="K923" i="33"/>
  <c r="K924" i="33"/>
  <c r="K925" i="33"/>
  <c r="K926" i="33"/>
  <c r="K927" i="33"/>
  <c r="K928" i="33"/>
  <c r="K929" i="33"/>
  <c r="K930" i="33"/>
  <c r="K931" i="33"/>
  <c r="K932" i="33"/>
  <c r="K933" i="33"/>
  <c r="K934" i="33"/>
  <c r="K935" i="33"/>
  <c r="K936" i="33"/>
  <c r="K937" i="33"/>
  <c r="K938" i="33"/>
  <c r="K939" i="33"/>
  <c r="K940" i="33"/>
  <c r="K941" i="33"/>
  <c r="K942" i="33"/>
  <c r="K943" i="33"/>
  <c r="K944" i="33"/>
  <c r="K945" i="33"/>
  <c r="K946" i="33"/>
  <c r="K947" i="33"/>
  <c r="K948" i="33"/>
  <c r="K949" i="33"/>
  <c r="K950" i="33"/>
  <c r="K951" i="33"/>
  <c r="K952" i="33"/>
  <c r="K953" i="33"/>
  <c r="K954" i="33"/>
  <c r="K955" i="33"/>
  <c r="K956" i="33"/>
  <c r="K957" i="33"/>
  <c r="K958" i="33"/>
  <c r="K959" i="33"/>
  <c r="K960" i="33"/>
  <c r="K961" i="33"/>
  <c r="K962" i="33"/>
  <c r="K963" i="33"/>
  <c r="K964" i="33"/>
  <c r="K965" i="33"/>
  <c r="K966" i="33"/>
  <c r="K967" i="33"/>
  <c r="K968" i="33"/>
  <c r="K969" i="33"/>
  <c r="K970" i="33"/>
  <c r="K971" i="33"/>
  <c r="K972" i="33"/>
  <c r="K973" i="33"/>
  <c r="K974" i="33"/>
  <c r="K975" i="33"/>
  <c r="K976" i="33"/>
  <c r="K977" i="33"/>
  <c r="K978" i="33"/>
  <c r="K979" i="33"/>
  <c r="K980" i="33"/>
  <c r="K981" i="33"/>
  <c r="K982" i="33"/>
  <c r="K983" i="33"/>
  <c r="K984" i="33"/>
  <c r="K985" i="33"/>
  <c r="K986" i="33"/>
  <c r="K987" i="33"/>
  <c r="K988" i="33"/>
  <c r="K989" i="33"/>
  <c r="K990" i="33"/>
  <c r="K991" i="33"/>
  <c r="K992" i="33"/>
  <c r="K993" i="33"/>
  <c r="K994" i="33"/>
  <c r="K995" i="33"/>
  <c r="K996" i="33"/>
  <c r="K997" i="33"/>
  <c r="K998" i="33"/>
  <c r="K999" i="33"/>
  <c r="K1000" i="33"/>
  <c r="K1001" i="33"/>
  <c r="K1002" i="33"/>
  <c r="K1003" i="33"/>
  <c r="K1004" i="33"/>
  <c r="K1005" i="33"/>
  <c r="K1006" i="33"/>
  <c r="K1007" i="33"/>
  <c r="K1008" i="33"/>
  <c r="K1009" i="33"/>
  <c r="K1010" i="33"/>
  <c r="K1011" i="33"/>
  <c r="K1012" i="33"/>
  <c r="K1013" i="33"/>
  <c r="K1014" i="33"/>
  <c r="K1015" i="33"/>
  <c r="K1016" i="33"/>
  <c r="K1017" i="33"/>
  <c r="K1018" i="33"/>
  <c r="K1019" i="33"/>
  <c r="K1020" i="33"/>
  <c r="K1021" i="33"/>
  <c r="K1022" i="33"/>
  <c r="K1023" i="33"/>
  <c r="K1024" i="33"/>
  <c r="K1025" i="33"/>
  <c r="K1026" i="33"/>
  <c r="K1027" i="33"/>
  <c r="K1028" i="33"/>
  <c r="K1029" i="33"/>
  <c r="K1030" i="33"/>
  <c r="K1031" i="33"/>
  <c r="K1032" i="33"/>
  <c r="K1033" i="33"/>
  <c r="K1034" i="33"/>
  <c r="K1035" i="33"/>
  <c r="K1036" i="33"/>
  <c r="K1037" i="33"/>
  <c r="K1038" i="33"/>
  <c r="K1039" i="33"/>
  <c r="K1040" i="33"/>
  <c r="K1041" i="33"/>
  <c r="K1042" i="33"/>
  <c r="K1043" i="33"/>
  <c r="K1044" i="33"/>
  <c r="K1045" i="33"/>
  <c r="K1046" i="33"/>
  <c r="K1047" i="33"/>
  <c r="K1048" i="33"/>
  <c r="K1049" i="33"/>
  <c r="K1050" i="33"/>
  <c r="K1051" i="33"/>
  <c r="K1052" i="33"/>
  <c r="K1053" i="33"/>
  <c r="K1054" i="33"/>
  <c r="K1055" i="33"/>
  <c r="K1056" i="33"/>
  <c r="K1057" i="33"/>
  <c r="K1058" i="33"/>
  <c r="K1059" i="33"/>
  <c r="K1060" i="33"/>
  <c r="K1061" i="33"/>
  <c r="K1062" i="33"/>
  <c r="K1063" i="33"/>
  <c r="K1064" i="33"/>
  <c r="K1065" i="33"/>
  <c r="K1066" i="33"/>
  <c r="K1067" i="33"/>
  <c r="K1068" i="33"/>
  <c r="K1069" i="33"/>
  <c r="K1070" i="33"/>
  <c r="K1071" i="33"/>
  <c r="K1072" i="33"/>
  <c r="K1073" i="33"/>
  <c r="K1074" i="33"/>
  <c r="K1075" i="33"/>
  <c r="K1076" i="33"/>
  <c r="K1077" i="33"/>
  <c r="K1078" i="33"/>
  <c r="K1079" i="33"/>
  <c r="K1080" i="33"/>
  <c r="K1081" i="33"/>
  <c r="K1082" i="33"/>
  <c r="K1083" i="33"/>
  <c r="K1084" i="33"/>
  <c r="K1085" i="33"/>
  <c r="K1086" i="33"/>
  <c r="K1087" i="33"/>
  <c r="K1088" i="33"/>
  <c r="K1089" i="33"/>
  <c r="K1090" i="33"/>
  <c r="K1091" i="33"/>
  <c r="K1092" i="33"/>
  <c r="K1093" i="33"/>
  <c r="K1094" i="33"/>
  <c r="K1095" i="33"/>
  <c r="K1096" i="33"/>
  <c r="K1097" i="33"/>
  <c r="K1098" i="33"/>
  <c r="K1099" i="33"/>
  <c r="K1100" i="33"/>
  <c r="K1101" i="33"/>
  <c r="K1102" i="33"/>
  <c r="K1103" i="33"/>
  <c r="K1104" i="33"/>
  <c r="K1105" i="33"/>
  <c r="K1106" i="33"/>
  <c r="K1107" i="33"/>
  <c r="K1108" i="33"/>
  <c r="K1109" i="33"/>
  <c r="K1110" i="33"/>
  <c r="K1111" i="33"/>
  <c r="K1112" i="33"/>
  <c r="K1113" i="33"/>
  <c r="K1114" i="33"/>
  <c r="K1115" i="33"/>
  <c r="K1116" i="33"/>
  <c r="K1117" i="33"/>
  <c r="K1118" i="33"/>
  <c r="K1119" i="33"/>
  <c r="K1120" i="33"/>
  <c r="K1121" i="33"/>
  <c r="K1122" i="33"/>
  <c r="K1123" i="33"/>
  <c r="K1124" i="33"/>
  <c r="K1125" i="33"/>
  <c r="K1126" i="33"/>
  <c r="K1127" i="33"/>
  <c r="K1128" i="33"/>
  <c r="K1129" i="33"/>
  <c r="K1130" i="33"/>
  <c r="K1131" i="33"/>
  <c r="K1132" i="33"/>
  <c r="K1133" i="33"/>
  <c r="K1134" i="33"/>
  <c r="K1135" i="33"/>
  <c r="K1136" i="33"/>
  <c r="K1137" i="33"/>
  <c r="K1138" i="33"/>
  <c r="K1139" i="33"/>
  <c r="K1140" i="33"/>
  <c r="K1141" i="33"/>
  <c r="K1142" i="33"/>
  <c r="K1143" i="33"/>
  <c r="K1144" i="33"/>
  <c r="K1145" i="33"/>
  <c r="K1146" i="33"/>
  <c r="K1147" i="33"/>
  <c r="K1148" i="33"/>
  <c r="K1149" i="33"/>
  <c r="K1150" i="33"/>
  <c r="K1151" i="33"/>
  <c r="K1152" i="33"/>
  <c r="K1153" i="33"/>
  <c r="K1154" i="33"/>
  <c r="K1155" i="33"/>
  <c r="K1156" i="33"/>
  <c r="K1157" i="33"/>
  <c r="K1158" i="33"/>
  <c r="K1159" i="33"/>
  <c r="K1160" i="33"/>
  <c r="K1161" i="33"/>
  <c r="K1162" i="33"/>
  <c r="K1163" i="33"/>
  <c r="K1164" i="33"/>
  <c r="K1165" i="33"/>
  <c r="K1166" i="33"/>
  <c r="K1167" i="33"/>
  <c r="K1168" i="33"/>
  <c r="K1169" i="33"/>
  <c r="K1170" i="33"/>
  <c r="K1171" i="33"/>
  <c r="K1172" i="33"/>
  <c r="K1173" i="33"/>
  <c r="K1174" i="33"/>
  <c r="K1175" i="33"/>
  <c r="K1176" i="33"/>
  <c r="K1177" i="33"/>
  <c r="K1178" i="33"/>
  <c r="K1179" i="33"/>
  <c r="K1180" i="33"/>
  <c r="K1181" i="33"/>
  <c r="K1182" i="33"/>
  <c r="K1183" i="33"/>
  <c r="K1184" i="33"/>
  <c r="K1185" i="33"/>
  <c r="K1186" i="33"/>
  <c r="K1187" i="33"/>
  <c r="K1188" i="33"/>
  <c r="K1189" i="33"/>
  <c r="K1190" i="33"/>
  <c r="K1191" i="33"/>
  <c r="K1192" i="33"/>
  <c r="K1193" i="33"/>
  <c r="K1194" i="33"/>
  <c r="K1195" i="33"/>
  <c r="K1196" i="33"/>
  <c r="K1197" i="33"/>
  <c r="K1198" i="33"/>
  <c r="K1199" i="33"/>
  <c r="K1200" i="33"/>
  <c r="K1201" i="33"/>
  <c r="K1202" i="33"/>
  <c r="K1203" i="33"/>
  <c r="K1204" i="33"/>
  <c r="K1205" i="33"/>
  <c r="K1206" i="33"/>
  <c r="K1207" i="33"/>
  <c r="K1208" i="33"/>
  <c r="K1209" i="33"/>
  <c r="K1210" i="33"/>
  <c r="K1211" i="33"/>
  <c r="K1212" i="33"/>
  <c r="K1213" i="33"/>
  <c r="K1214" i="33"/>
  <c r="K1215" i="33"/>
  <c r="K1216" i="33"/>
  <c r="K1217" i="33"/>
  <c r="K1218" i="33"/>
  <c r="K1219" i="33"/>
  <c r="K1220" i="33"/>
  <c r="K1221" i="33"/>
  <c r="K1222" i="33"/>
  <c r="K1223" i="33"/>
  <c r="K1224" i="33"/>
  <c r="K1225" i="33"/>
  <c r="K1226" i="33"/>
  <c r="K1227" i="33"/>
  <c r="K1228" i="33"/>
  <c r="K1229" i="33"/>
  <c r="K1230" i="33"/>
  <c r="K1231" i="33"/>
  <c r="K1232" i="33"/>
  <c r="K1233" i="33"/>
  <c r="K1234" i="33"/>
  <c r="K1235" i="33"/>
  <c r="K1236" i="33"/>
  <c r="K1237" i="33"/>
  <c r="K1238" i="33"/>
  <c r="K1239" i="33"/>
  <c r="K1240" i="33"/>
  <c r="K1241" i="33"/>
  <c r="K1242" i="33"/>
  <c r="K1243" i="33"/>
  <c r="K1244" i="33"/>
  <c r="K1245" i="33"/>
  <c r="K1246" i="33"/>
  <c r="K1247" i="33"/>
  <c r="K1248" i="33"/>
  <c r="K1249" i="33"/>
  <c r="K1250" i="33"/>
  <c r="K1251" i="33"/>
  <c r="K1252" i="33"/>
  <c r="K1253" i="33"/>
  <c r="K1254" i="33"/>
  <c r="K1255" i="33"/>
  <c r="K1256" i="33"/>
  <c r="K1257" i="33"/>
  <c r="K1258" i="33"/>
  <c r="K1259" i="33"/>
  <c r="K1260" i="33"/>
  <c r="K1261" i="33"/>
  <c r="K1262" i="33"/>
  <c r="K1263" i="33"/>
  <c r="K1264" i="33"/>
  <c r="K1265" i="33"/>
  <c r="K1266" i="33"/>
  <c r="K1267" i="33"/>
  <c r="K1268" i="33"/>
  <c r="K1269" i="33"/>
  <c r="K1270" i="33"/>
  <c r="K1271" i="33"/>
  <c r="K1272" i="33"/>
  <c r="K1273" i="33"/>
  <c r="K1274" i="33"/>
  <c r="K1275" i="33"/>
  <c r="K1276" i="33"/>
  <c r="K1277" i="33"/>
  <c r="K1278" i="33"/>
  <c r="K1279" i="33"/>
  <c r="K1280" i="33"/>
  <c r="K1281" i="33"/>
  <c r="K1282" i="33"/>
  <c r="K1283" i="33"/>
  <c r="K1284" i="33"/>
  <c r="K1285" i="33"/>
  <c r="K1286" i="33"/>
  <c r="K1287" i="33"/>
  <c r="K1288" i="33"/>
  <c r="K1289" i="33"/>
  <c r="K1290" i="33"/>
  <c r="K1291" i="33"/>
  <c r="K1292" i="33"/>
  <c r="K1293" i="33"/>
  <c r="K1294" i="33"/>
  <c r="K1295" i="33"/>
  <c r="K1296" i="33"/>
  <c r="K1297" i="33"/>
  <c r="K1298" i="33"/>
  <c r="K1299" i="33"/>
  <c r="K1300" i="33"/>
  <c r="K1301" i="33"/>
  <c r="K1302" i="33"/>
  <c r="K1303" i="33"/>
  <c r="K1304" i="33"/>
  <c r="K1305" i="33"/>
  <c r="K1306" i="33"/>
  <c r="K1307" i="33"/>
  <c r="K1308" i="33"/>
  <c r="K1309" i="33"/>
  <c r="K1310" i="33"/>
  <c r="K1311" i="33"/>
  <c r="K1312" i="33"/>
  <c r="K1313" i="33"/>
  <c r="K1314" i="33"/>
  <c r="K1315" i="33"/>
  <c r="K1316" i="33"/>
  <c r="K1317" i="33"/>
  <c r="K1318" i="33"/>
  <c r="K1319" i="33"/>
  <c r="K1320" i="33"/>
  <c r="K1321" i="33"/>
  <c r="K1322" i="33"/>
  <c r="K1323" i="33"/>
  <c r="K1324" i="33"/>
  <c r="K1325" i="33"/>
  <c r="K1326" i="33"/>
  <c r="K1327" i="33"/>
  <c r="K1328" i="33"/>
  <c r="K1329" i="33"/>
  <c r="K1330" i="33"/>
  <c r="K1331" i="33"/>
  <c r="K1332" i="33"/>
  <c r="K1333" i="33"/>
  <c r="K1334" i="33"/>
  <c r="K1335" i="33"/>
  <c r="K1336" i="33"/>
  <c r="K1337" i="33"/>
  <c r="K1338" i="33"/>
  <c r="K1339" i="33"/>
  <c r="K1340" i="33"/>
  <c r="K1341" i="33"/>
  <c r="K1342" i="33"/>
  <c r="K1343" i="33"/>
  <c r="K1344" i="33"/>
  <c r="K1345" i="33"/>
  <c r="K1346" i="33"/>
  <c r="K1347" i="33"/>
  <c r="K1348" i="33"/>
  <c r="K1349" i="33"/>
  <c r="K1350" i="33"/>
  <c r="K1351" i="33"/>
  <c r="K1352" i="33"/>
  <c r="K1353" i="33"/>
  <c r="K1354" i="33"/>
  <c r="K1355" i="33"/>
  <c r="K1356" i="33"/>
  <c r="K1357" i="33"/>
  <c r="K1358" i="33"/>
  <c r="K1359" i="33"/>
  <c r="K1360" i="33"/>
  <c r="K1361" i="33"/>
  <c r="K1362" i="33"/>
  <c r="K1363" i="33"/>
  <c r="K1364" i="33"/>
  <c r="K1365" i="33"/>
  <c r="K1366" i="33"/>
  <c r="K1367" i="33"/>
  <c r="K1368" i="33"/>
  <c r="K1369" i="33"/>
  <c r="K1370" i="33"/>
  <c r="K1371" i="33"/>
  <c r="K1372" i="33"/>
  <c r="K1373" i="33"/>
  <c r="K1374" i="33"/>
  <c r="K1375" i="33"/>
  <c r="K1376" i="33"/>
  <c r="K1377" i="33"/>
  <c r="K1378" i="33"/>
  <c r="K1379" i="33"/>
  <c r="K1380" i="33"/>
  <c r="K1381" i="33"/>
  <c r="K1382" i="33"/>
  <c r="K1383" i="33"/>
  <c r="K1384" i="33"/>
  <c r="K1385" i="33"/>
  <c r="K1386" i="33"/>
  <c r="K1387" i="33"/>
  <c r="K1388" i="33"/>
  <c r="K1389" i="33"/>
  <c r="K1390" i="33"/>
  <c r="K1391" i="33"/>
  <c r="K1392" i="33"/>
  <c r="K1393" i="33"/>
  <c r="K1394" i="33"/>
  <c r="K1395" i="33"/>
  <c r="K1396" i="33"/>
  <c r="K1397" i="33"/>
  <c r="K1398" i="33"/>
  <c r="K1399" i="33"/>
  <c r="K1400" i="33"/>
  <c r="K1401" i="33"/>
  <c r="K1402" i="33"/>
  <c r="K1403" i="33"/>
  <c r="K1404" i="33"/>
  <c r="K1405" i="33"/>
  <c r="K1406" i="33"/>
  <c r="K1407" i="33"/>
  <c r="K1408" i="33"/>
  <c r="K1409" i="33"/>
  <c r="K1410" i="33"/>
  <c r="K1411" i="33"/>
  <c r="K1412" i="33"/>
  <c r="K1413" i="33"/>
  <c r="K1414" i="33"/>
  <c r="K1415" i="33"/>
  <c r="K1416" i="33"/>
  <c r="K1417" i="33"/>
  <c r="K1418" i="33"/>
  <c r="K1419" i="33"/>
  <c r="K1420" i="33"/>
  <c r="K1421" i="33"/>
  <c r="K1422" i="33"/>
  <c r="K1423" i="33"/>
  <c r="K1424" i="33"/>
  <c r="K1425" i="33"/>
  <c r="K1426" i="33"/>
  <c r="K1427" i="33"/>
  <c r="K1428" i="33"/>
  <c r="K1429" i="33"/>
  <c r="K1430" i="33"/>
  <c r="K1431" i="33"/>
  <c r="K1432" i="33"/>
  <c r="K1433" i="33"/>
  <c r="K1434" i="33"/>
  <c r="K1435" i="33"/>
  <c r="K1436" i="33"/>
  <c r="K1437" i="33"/>
  <c r="K1438" i="33"/>
  <c r="K1439" i="33"/>
  <c r="K1440" i="33"/>
  <c r="K1441" i="33"/>
  <c r="K1442" i="33"/>
  <c r="K1443" i="33"/>
  <c r="K1444" i="33"/>
  <c r="K1445" i="33"/>
  <c r="K1446" i="33"/>
  <c r="K1447" i="33"/>
  <c r="K1448" i="33"/>
  <c r="K1449" i="33"/>
  <c r="K1450" i="33"/>
  <c r="K1451" i="33"/>
  <c r="K1452" i="33"/>
  <c r="K1453" i="33"/>
  <c r="K1454" i="33"/>
  <c r="K1455" i="33"/>
  <c r="K1456" i="33"/>
  <c r="K1457" i="33"/>
  <c r="K1458" i="33"/>
  <c r="K1459" i="33"/>
  <c r="K1460" i="33"/>
  <c r="K1461" i="33"/>
  <c r="K1462" i="33"/>
  <c r="K1463" i="33"/>
  <c r="K1464" i="33"/>
  <c r="K1465" i="33"/>
  <c r="K1466" i="33"/>
  <c r="K1467" i="33"/>
  <c r="K1468" i="33"/>
  <c r="K1469" i="33"/>
  <c r="K1470" i="33"/>
  <c r="K1471" i="33"/>
  <c r="K1472" i="33"/>
  <c r="K1473" i="33"/>
  <c r="K1474" i="33"/>
  <c r="K1475" i="33"/>
  <c r="K1476" i="33"/>
  <c r="K1477" i="33"/>
  <c r="K1478" i="33"/>
  <c r="K1479" i="33"/>
  <c r="K1480" i="33"/>
  <c r="K1481" i="33"/>
  <c r="K1482" i="33"/>
  <c r="K1483" i="33"/>
  <c r="K1484" i="33"/>
  <c r="K1485" i="33"/>
  <c r="K1486" i="33"/>
  <c r="K1487" i="33"/>
  <c r="K1488" i="33"/>
  <c r="K1489" i="33"/>
  <c r="K1490" i="33"/>
  <c r="K1491" i="33"/>
  <c r="K1492" i="33"/>
  <c r="K1493" i="33"/>
  <c r="K1494" i="33"/>
  <c r="K1495" i="33"/>
  <c r="K1496" i="33"/>
  <c r="K1497" i="33"/>
  <c r="K1498" i="33"/>
  <c r="K1499" i="33"/>
  <c r="K1500" i="33"/>
  <c r="K1501" i="33"/>
  <c r="K1502" i="33"/>
  <c r="K1503" i="33"/>
  <c r="K1504" i="33"/>
  <c r="K1505" i="33"/>
  <c r="K1506" i="33"/>
  <c r="K1507" i="33"/>
  <c r="K1508" i="33"/>
  <c r="K1509" i="33"/>
  <c r="K1510" i="33"/>
  <c r="K1511" i="33"/>
  <c r="K1512" i="33"/>
  <c r="K1513" i="33"/>
  <c r="K1514" i="33"/>
  <c r="K1515" i="33"/>
  <c r="K1516" i="33"/>
  <c r="K1517" i="33"/>
  <c r="K1518" i="33"/>
  <c r="K1519" i="33"/>
  <c r="K1520" i="33"/>
  <c r="K1521" i="33"/>
  <c r="K1522" i="33"/>
  <c r="K1523" i="33"/>
  <c r="K1524" i="33"/>
  <c r="K1525" i="33"/>
  <c r="K1526" i="33"/>
  <c r="K1527" i="33"/>
  <c r="K1528" i="33"/>
  <c r="K1529" i="33"/>
  <c r="K1530" i="33"/>
  <c r="K1531" i="33"/>
  <c r="K1532" i="33"/>
  <c r="K1533" i="33"/>
  <c r="K1534" i="33"/>
  <c r="K1535" i="33"/>
  <c r="K1536" i="33"/>
  <c r="K1537" i="33"/>
  <c r="K1538" i="33"/>
  <c r="K1539" i="33"/>
  <c r="K1540" i="33"/>
  <c r="K1541" i="33"/>
  <c r="K1542" i="33"/>
  <c r="K1543" i="33"/>
  <c r="K1544" i="33"/>
  <c r="K1545" i="33"/>
  <c r="K1546" i="33"/>
  <c r="K1547" i="33"/>
  <c r="K1548" i="33"/>
  <c r="K1549" i="33"/>
  <c r="K1550" i="33"/>
  <c r="K1551" i="33"/>
  <c r="K1552" i="33"/>
  <c r="K1553" i="33"/>
  <c r="K1554" i="33"/>
  <c r="K1555" i="33"/>
  <c r="K1556" i="33"/>
  <c r="K1557" i="33"/>
  <c r="K1558" i="33"/>
  <c r="K1559" i="33"/>
  <c r="K1560" i="33"/>
  <c r="K1561" i="33"/>
  <c r="K1562" i="33"/>
  <c r="K1563" i="33"/>
  <c r="K1564" i="33"/>
  <c r="K1565" i="33"/>
  <c r="K1566" i="33"/>
  <c r="K1567" i="33"/>
  <c r="K1568" i="33"/>
  <c r="K1569" i="33"/>
  <c r="K1570" i="33"/>
  <c r="K1571" i="33"/>
  <c r="K1572" i="33"/>
  <c r="K1573" i="33"/>
  <c r="K1574" i="33"/>
  <c r="K1575" i="33"/>
  <c r="K1576" i="33"/>
  <c r="K1577" i="33"/>
  <c r="K1578" i="33"/>
  <c r="K1579" i="33"/>
  <c r="K1580" i="33"/>
  <c r="K1581" i="33"/>
  <c r="K1582" i="33"/>
  <c r="K1583" i="33"/>
  <c r="K1584" i="33"/>
  <c r="K1585" i="33"/>
  <c r="K1586" i="33"/>
  <c r="K1587" i="33"/>
  <c r="K1588" i="33"/>
  <c r="K1589" i="33"/>
  <c r="K1590" i="33"/>
  <c r="K1591" i="33"/>
  <c r="K1592" i="33"/>
  <c r="K1593" i="33"/>
  <c r="K1594" i="33"/>
  <c r="K1595" i="33"/>
  <c r="K1596" i="33"/>
  <c r="K1597" i="33"/>
  <c r="K1598" i="33"/>
  <c r="K1599" i="33"/>
  <c r="K1600" i="33"/>
  <c r="K1601" i="33"/>
  <c r="K1602" i="33"/>
  <c r="K1603" i="33"/>
  <c r="K1604" i="33"/>
  <c r="K1605" i="33"/>
  <c r="K1606" i="33"/>
  <c r="K1607" i="33"/>
  <c r="K1608" i="33"/>
  <c r="K1609" i="33"/>
  <c r="K1610" i="33"/>
  <c r="K1611" i="33"/>
  <c r="K1612" i="33"/>
  <c r="K1613" i="33"/>
  <c r="K1614" i="33"/>
  <c r="K1615" i="33"/>
  <c r="K1616" i="33"/>
  <c r="K1617" i="33"/>
  <c r="K1618" i="33"/>
  <c r="K1619" i="33"/>
  <c r="K1620" i="33"/>
  <c r="K1621" i="33"/>
  <c r="K1622" i="33"/>
  <c r="K1623" i="33"/>
  <c r="K1624" i="33"/>
  <c r="K1625" i="33"/>
  <c r="K1626" i="33"/>
  <c r="K1627" i="33"/>
  <c r="K1628" i="33"/>
  <c r="K1629" i="33"/>
  <c r="K1630" i="33"/>
  <c r="K1631" i="33"/>
  <c r="K1632" i="33"/>
  <c r="K1633" i="33"/>
  <c r="K1634" i="33"/>
  <c r="K1635" i="33"/>
  <c r="K1636" i="33"/>
  <c r="K1637" i="33"/>
  <c r="K1638" i="33"/>
  <c r="K1639" i="33"/>
  <c r="K1640" i="33"/>
  <c r="K1641" i="33"/>
  <c r="K1642" i="33"/>
  <c r="K1643" i="33"/>
  <c r="K1644" i="33"/>
  <c r="K1645" i="33"/>
  <c r="K1646" i="33"/>
  <c r="K1647" i="33"/>
  <c r="K1648" i="33"/>
  <c r="K1649" i="33"/>
  <c r="K1650" i="33"/>
  <c r="K1651" i="33"/>
  <c r="K1652" i="33"/>
  <c r="K1653" i="33"/>
  <c r="K1654" i="33"/>
  <c r="K1655" i="33"/>
  <c r="K1656" i="33"/>
  <c r="K1657" i="33"/>
  <c r="K1658" i="33"/>
  <c r="K1659" i="33"/>
  <c r="K1660" i="33"/>
  <c r="K1661" i="33"/>
  <c r="K1662" i="33"/>
  <c r="K1663" i="33"/>
  <c r="K1664" i="33"/>
  <c r="K1665" i="33"/>
  <c r="K1666" i="33"/>
  <c r="K1667" i="33"/>
  <c r="K1668" i="33"/>
  <c r="K1669" i="33"/>
  <c r="K1670" i="33"/>
  <c r="K1671" i="33"/>
  <c r="K1672" i="33"/>
  <c r="K1673" i="33"/>
  <c r="K1674" i="33"/>
  <c r="K1675" i="33"/>
  <c r="K1676" i="33"/>
  <c r="K1677" i="33"/>
  <c r="K1678" i="33"/>
  <c r="K1679" i="33"/>
  <c r="K1680" i="33"/>
  <c r="K1681" i="33"/>
  <c r="K1682" i="33"/>
  <c r="K1683" i="33"/>
  <c r="K1684" i="33"/>
  <c r="K1685" i="33"/>
  <c r="K1686" i="33"/>
  <c r="K1687" i="33"/>
  <c r="K1688" i="33"/>
  <c r="K1689" i="33"/>
  <c r="K1690" i="33"/>
  <c r="K1691" i="33"/>
  <c r="K1692" i="33"/>
  <c r="K1693" i="33"/>
  <c r="K1694" i="33"/>
  <c r="K1695" i="33"/>
  <c r="K1696" i="33"/>
  <c r="K1697" i="33"/>
  <c r="K1698" i="33"/>
  <c r="K1699" i="33"/>
  <c r="K1700" i="33"/>
  <c r="K1701" i="33"/>
  <c r="K1702" i="33"/>
  <c r="K1703" i="33"/>
  <c r="K1704" i="33"/>
  <c r="K1705" i="33"/>
  <c r="K1706" i="33"/>
  <c r="K1707" i="33"/>
  <c r="K1708" i="33"/>
  <c r="K1709" i="33"/>
  <c r="K1710" i="33"/>
  <c r="K1711" i="33"/>
  <c r="K1712" i="33"/>
  <c r="K1713" i="33"/>
  <c r="K1714" i="33"/>
  <c r="K1715" i="33"/>
  <c r="K1716" i="33"/>
  <c r="K1717" i="33"/>
  <c r="K1718" i="33"/>
  <c r="K1719" i="33"/>
  <c r="K1720" i="33"/>
  <c r="K1721" i="33"/>
  <c r="K1722" i="33"/>
  <c r="K1723" i="33"/>
  <c r="K1724" i="33"/>
  <c r="K1725" i="33"/>
  <c r="K1726" i="33"/>
  <c r="K1727" i="33"/>
  <c r="K1728" i="33"/>
  <c r="K1729" i="33"/>
  <c r="K1730" i="33"/>
  <c r="K1731" i="33"/>
  <c r="K1732" i="33"/>
  <c r="K1733" i="33"/>
  <c r="K1734" i="33"/>
  <c r="K1735" i="33"/>
  <c r="K1736" i="33"/>
  <c r="K1737" i="33"/>
  <c r="K1738" i="33"/>
  <c r="K1739" i="33"/>
  <c r="K1740" i="33"/>
  <c r="K1741" i="33"/>
  <c r="K1742" i="33"/>
  <c r="K1743" i="33"/>
  <c r="K1744" i="33"/>
  <c r="K1745" i="33"/>
  <c r="K1746" i="33"/>
  <c r="K1747" i="33"/>
  <c r="K1748" i="33"/>
  <c r="K1749" i="33"/>
  <c r="K1750" i="33"/>
  <c r="K1751" i="33"/>
  <c r="K1752" i="33"/>
  <c r="K1753" i="33"/>
  <c r="K1754" i="33"/>
  <c r="K1755" i="33"/>
  <c r="K1756" i="33"/>
  <c r="K1757" i="33"/>
  <c r="K1758" i="33"/>
  <c r="K1759" i="33"/>
  <c r="K1760" i="33"/>
  <c r="K1761" i="33"/>
  <c r="K1762" i="33"/>
  <c r="K1763" i="33"/>
  <c r="K1764" i="33"/>
  <c r="K1765" i="33"/>
  <c r="K1766" i="33"/>
  <c r="K1767" i="33"/>
  <c r="K1768" i="33"/>
  <c r="K1769" i="33"/>
  <c r="K1770" i="33"/>
  <c r="K1771" i="33"/>
  <c r="K1772" i="33"/>
  <c r="K1773" i="33"/>
  <c r="K1774" i="33"/>
  <c r="K1775" i="33"/>
  <c r="K1776" i="33"/>
  <c r="K1777" i="33"/>
  <c r="K1778" i="33"/>
  <c r="K1779" i="33"/>
  <c r="K1780" i="33"/>
  <c r="K1781" i="33"/>
  <c r="K1782" i="33"/>
  <c r="K1783" i="33"/>
  <c r="K1784" i="33"/>
  <c r="K1785" i="33"/>
  <c r="K1786" i="33"/>
  <c r="K1787" i="33"/>
  <c r="K1788" i="33"/>
  <c r="K1789" i="33"/>
  <c r="K1790" i="33"/>
  <c r="K1791" i="33"/>
  <c r="K1792" i="33"/>
  <c r="K1793" i="33"/>
  <c r="K1794" i="33"/>
  <c r="K1795" i="33"/>
  <c r="K1796" i="33"/>
  <c r="K1797" i="33"/>
  <c r="K1798" i="33"/>
  <c r="K1799" i="33"/>
  <c r="K1800" i="33"/>
  <c r="K1801" i="33"/>
  <c r="K1802" i="33"/>
  <c r="K1803" i="33"/>
  <c r="K1804" i="33"/>
  <c r="K1805" i="33"/>
  <c r="K1806" i="33"/>
  <c r="K1807" i="33"/>
  <c r="K1808" i="33"/>
  <c r="K1809" i="33"/>
  <c r="K1810" i="33"/>
  <c r="K1811" i="33"/>
  <c r="K1812" i="33"/>
  <c r="K1813" i="33"/>
  <c r="K1814" i="33"/>
  <c r="K1815" i="33"/>
  <c r="K1816" i="33"/>
  <c r="K1817" i="33"/>
  <c r="K1818" i="33"/>
  <c r="K1819" i="33"/>
  <c r="K1820" i="33"/>
  <c r="K1821" i="33"/>
  <c r="K1822" i="33"/>
  <c r="K1823" i="33"/>
  <c r="K1824" i="33"/>
  <c r="K1825" i="33"/>
  <c r="K1826" i="33"/>
  <c r="K1827" i="33"/>
  <c r="K1828" i="33"/>
  <c r="K1829" i="33"/>
  <c r="K1830" i="33"/>
  <c r="K1831" i="33"/>
  <c r="K1832" i="33"/>
  <c r="K1833" i="33"/>
  <c r="K1834" i="33"/>
  <c r="K1835" i="33"/>
  <c r="K1836" i="33"/>
  <c r="K1837" i="33"/>
  <c r="K1838" i="33"/>
  <c r="K1839" i="33"/>
  <c r="K1840" i="33"/>
  <c r="K1841" i="33"/>
  <c r="K1842" i="33"/>
  <c r="K1843" i="33"/>
  <c r="K1844" i="33"/>
  <c r="K1845" i="33"/>
  <c r="K1846" i="33"/>
  <c r="K1847" i="33"/>
  <c r="K1848" i="33"/>
  <c r="K1849" i="33"/>
  <c r="K1850" i="33"/>
  <c r="K1851" i="33"/>
  <c r="K1852" i="33"/>
  <c r="K1853" i="33"/>
  <c r="K1854" i="33"/>
  <c r="K1855" i="33"/>
  <c r="K1856" i="33"/>
  <c r="K1857" i="33"/>
  <c r="K1858" i="33"/>
  <c r="K1859" i="33"/>
  <c r="K1860" i="33"/>
  <c r="K1861" i="33"/>
  <c r="K1862" i="33"/>
  <c r="K1863" i="33"/>
  <c r="K1864" i="33"/>
  <c r="K1865" i="33"/>
  <c r="J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J156" i="33"/>
  <c r="J157" i="33"/>
  <c r="J158" i="33"/>
  <c r="J159" i="33"/>
  <c r="J160" i="33"/>
  <c r="J161" i="33"/>
  <c r="J162" i="33"/>
  <c r="J163" i="33"/>
  <c r="J164" i="33"/>
  <c r="J165" i="33"/>
  <c r="J166" i="33"/>
  <c r="J167" i="33"/>
  <c r="J168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243" i="33"/>
  <c r="J244" i="33"/>
  <c r="J245" i="33"/>
  <c r="J246" i="33"/>
  <c r="J247" i="33"/>
  <c r="J248" i="33"/>
  <c r="J249" i="33"/>
  <c r="J250" i="33"/>
  <c r="J251" i="33"/>
  <c r="J252" i="33"/>
  <c r="J253" i="33"/>
  <c r="J254" i="33"/>
  <c r="J255" i="33"/>
  <c r="J256" i="33"/>
  <c r="J257" i="33"/>
  <c r="J258" i="33"/>
  <c r="J259" i="33"/>
  <c r="J260" i="33"/>
  <c r="J261" i="33"/>
  <c r="J262" i="33"/>
  <c r="J263" i="33"/>
  <c r="J264" i="33"/>
  <c r="J265" i="33"/>
  <c r="J266" i="33"/>
  <c r="J267" i="33"/>
  <c r="J268" i="33"/>
  <c r="J269" i="33"/>
  <c r="J270" i="33"/>
  <c r="J271" i="33"/>
  <c r="J272" i="33"/>
  <c r="J273" i="33"/>
  <c r="J274" i="33"/>
  <c r="J275" i="33"/>
  <c r="J276" i="33"/>
  <c r="J277" i="33"/>
  <c r="J278" i="33"/>
  <c r="J279" i="33"/>
  <c r="J280" i="33"/>
  <c r="J281" i="33"/>
  <c r="J282" i="33"/>
  <c r="J283" i="33"/>
  <c r="J284" i="33"/>
  <c r="J285" i="33"/>
  <c r="J286" i="33"/>
  <c r="J287" i="33"/>
  <c r="J288" i="33"/>
  <c r="J289" i="33"/>
  <c r="J290" i="33"/>
  <c r="J291" i="33"/>
  <c r="J292" i="33"/>
  <c r="J293" i="33"/>
  <c r="J294" i="33"/>
  <c r="J295" i="33"/>
  <c r="J296" i="33"/>
  <c r="J297" i="33"/>
  <c r="J298" i="33"/>
  <c r="J299" i="33"/>
  <c r="J300" i="33"/>
  <c r="J301" i="33"/>
  <c r="J302" i="33"/>
  <c r="J303" i="33"/>
  <c r="J304" i="33"/>
  <c r="J305" i="33"/>
  <c r="J306" i="33"/>
  <c r="J307" i="33"/>
  <c r="J308" i="33"/>
  <c r="J309" i="33"/>
  <c r="J310" i="33"/>
  <c r="J311" i="33"/>
  <c r="J312" i="33"/>
  <c r="J313" i="33"/>
  <c r="J314" i="33"/>
  <c r="J315" i="33"/>
  <c r="J316" i="33"/>
  <c r="J317" i="33"/>
  <c r="J318" i="33"/>
  <c r="J319" i="33"/>
  <c r="J320" i="33"/>
  <c r="J321" i="33"/>
  <c r="J322" i="33"/>
  <c r="J323" i="33"/>
  <c r="J324" i="33"/>
  <c r="J325" i="33"/>
  <c r="J326" i="33"/>
  <c r="J327" i="33"/>
  <c r="J328" i="33"/>
  <c r="J329" i="33"/>
  <c r="J330" i="33"/>
  <c r="J331" i="33"/>
  <c r="J332" i="33"/>
  <c r="J333" i="33"/>
  <c r="J334" i="33"/>
  <c r="J335" i="33"/>
  <c r="J336" i="33"/>
  <c r="J337" i="33"/>
  <c r="J338" i="33"/>
  <c r="J339" i="33"/>
  <c r="J340" i="33"/>
  <c r="J341" i="33"/>
  <c r="J342" i="33"/>
  <c r="J343" i="33"/>
  <c r="J344" i="33"/>
  <c r="J345" i="33"/>
  <c r="J346" i="33"/>
  <c r="J347" i="33"/>
  <c r="J348" i="33"/>
  <c r="J349" i="33"/>
  <c r="J350" i="33"/>
  <c r="J351" i="33"/>
  <c r="J352" i="33"/>
  <c r="J353" i="33"/>
  <c r="J354" i="33"/>
  <c r="J355" i="33"/>
  <c r="J356" i="33"/>
  <c r="J357" i="33"/>
  <c r="J358" i="33"/>
  <c r="J359" i="33"/>
  <c r="J360" i="33"/>
  <c r="J361" i="33"/>
  <c r="J362" i="33"/>
  <c r="J363" i="33"/>
  <c r="J364" i="33"/>
  <c r="J365" i="33"/>
  <c r="J366" i="33"/>
  <c r="J367" i="33"/>
  <c r="J368" i="33"/>
  <c r="J369" i="33"/>
  <c r="J370" i="33"/>
  <c r="J371" i="33"/>
  <c r="J372" i="33"/>
  <c r="J373" i="33"/>
  <c r="J374" i="33"/>
  <c r="J375" i="33"/>
  <c r="J376" i="33"/>
  <c r="J377" i="33"/>
  <c r="J378" i="33"/>
  <c r="J379" i="33"/>
  <c r="J380" i="33"/>
  <c r="J381" i="33"/>
  <c r="J382" i="33"/>
  <c r="J383" i="33"/>
  <c r="J384" i="33"/>
  <c r="J385" i="33"/>
  <c r="J386" i="33"/>
  <c r="J387" i="33"/>
  <c r="J388" i="33"/>
  <c r="J389" i="33"/>
  <c r="J390" i="33"/>
  <c r="J391" i="33"/>
  <c r="J392" i="33"/>
  <c r="J393" i="33"/>
  <c r="J394" i="33"/>
  <c r="J395" i="33"/>
  <c r="J396" i="33"/>
  <c r="J397" i="33"/>
  <c r="J398" i="33"/>
  <c r="J399" i="33"/>
  <c r="J400" i="33"/>
  <c r="J401" i="33"/>
  <c r="J402" i="33"/>
  <c r="J403" i="33"/>
  <c r="J404" i="33"/>
  <c r="J405" i="33"/>
  <c r="J406" i="33"/>
  <c r="J407" i="33"/>
  <c r="J408" i="33"/>
  <c r="J409" i="33"/>
  <c r="J410" i="33"/>
  <c r="J411" i="33"/>
  <c r="J412" i="33"/>
  <c r="J413" i="33"/>
  <c r="J414" i="33"/>
  <c r="J415" i="33"/>
  <c r="J416" i="33"/>
  <c r="J417" i="33"/>
  <c r="J418" i="33"/>
  <c r="J419" i="33"/>
  <c r="J420" i="33"/>
  <c r="J421" i="33"/>
  <c r="J422" i="33"/>
  <c r="J423" i="33"/>
  <c r="J424" i="33"/>
  <c r="J425" i="33"/>
  <c r="J426" i="33"/>
  <c r="J427" i="33"/>
  <c r="J428" i="33"/>
  <c r="J429" i="33"/>
  <c r="J430" i="33"/>
  <c r="J431" i="33"/>
  <c r="J432" i="33"/>
  <c r="J433" i="33"/>
  <c r="J434" i="33"/>
  <c r="J435" i="33"/>
  <c r="J436" i="33"/>
  <c r="J437" i="33"/>
  <c r="J438" i="33"/>
  <c r="J439" i="33"/>
  <c r="J440" i="33"/>
  <c r="J441" i="33"/>
  <c r="J442" i="33"/>
  <c r="J443" i="33"/>
  <c r="J444" i="33"/>
  <c r="J445" i="33"/>
  <c r="J446" i="33"/>
  <c r="J447" i="33"/>
  <c r="J448" i="33"/>
  <c r="J449" i="33"/>
  <c r="J450" i="33"/>
  <c r="J451" i="33"/>
  <c r="J452" i="33"/>
  <c r="J453" i="33"/>
  <c r="J454" i="33"/>
  <c r="J455" i="33"/>
  <c r="J456" i="33"/>
  <c r="J457" i="33"/>
  <c r="J458" i="33"/>
  <c r="J459" i="33"/>
  <c r="J460" i="33"/>
  <c r="J461" i="33"/>
  <c r="J462" i="33"/>
  <c r="J463" i="33"/>
  <c r="J464" i="33"/>
  <c r="J465" i="33"/>
  <c r="J466" i="33"/>
  <c r="J467" i="33"/>
  <c r="J468" i="33"/>
  <c r="J469" i="33"/>
  <c r="J470" i="33"/>
  <c r="J471" i="33"/>
  <c r="J472" i="33"/>
  <c r="J473" i="33"/>
  <c r="J474" i="33"/>
  <c r="J475" i="33"/>
  <c r="J476" i="33"/>
  <c r="J477" i="33"/>
  <c r="J478" i="33"/>
  <c r="J479" i="33"/>
  <c r="J480" i="33"/>
  <c r="J481" i="33"/>
  <c r="J482" i="33"/>
  <c r="J483" i="33"/>
  <c r="J484" i="33"/>
  <c r="J485" i="33"/>
  <c r="J486" i="33"/>
  <c r="J487" i="33"/>
  <c r="J488" i="33"/>
  <c r="J489" i="33"/>
  <c r="J490" i="33"/>
  <c r="J491" i="33"/>
  <c r="J492" i="33"/>
  <c r="J493" i="33"/>
  <c r="J494" i="33"/>
  <c r="J495" i="33"/>
  <c r="J496" i="33"/>
  <c r="J497" i="33"/>
  <c r="J498" i="33"/>
  <c r="J499" i="33"/>
  <c r="J500" i="33"/>
  <c r="J501" i="33"/>
  <c r="J502" i="33"/>
  <c r="J503" i="33"/>
  <c r="J504" i="33"/>
  <c r="J505" i="33"/>
  <c r="J506" i="33"/>
  <c r="J507" i="33"/>
  <c r="J508" i="33"/>
  <c r="J509" i="33"/>
  <c r="J510" i="33"/>
  <c r="J511" i="33"/>
  <c r="J512" i="33"/>
  <c r="J513" i="33"/>
  <c r="J514" i="33"/>
  <c r="J515" i="33"/>
  <c r="J516" i="33"/>
  <c r="J517" i="33"/>
  <c r="J518" i="33"/>
  <c r="J519" i="33"/>
  <c r="J520" i="33"/>
  <c r="J521" i="33"/>
  <c r="J522" i="33"/>
  <c r="J523" i="33"/>
  <c r="J524" i="33"/>
  <c r="J525" i="33"/>
  <c r="J526" i="33"/>
  <c r="J527" i="33"/>
  <c r="J528" i="33"/>
  <c r="J529" i="33"/>
  <c r="J530" i="33"/>
  <c r="J531" i="33"/>
  <c r="J532" i="33"/>
  <c r="J533" i="33"/>
  <c r="J534" i="33"/>
  <c r="J535" i="33"/>
  <c r="J536" i="33"/>
  <c r="J537" i="33"/>
  <c r="J538" i="33"/>
  <c r="J539" i="33"/>
  <c r="J540" i="33"/>
  <c r="J541" i="33"/>
  <c r="J542" i="33"/>
  <c r="J543" i="33"/>
  <c r="J544" i="33"/>
  <c r="J545" i="33"/>
  <c r="J546" i="33"/>
  <c r="J547" i="33"/>
  <c r="J548" i="33"/>
  <c r="J549" i="33"/>
  <c r="J550" i="33"/>
  <c r="J551" i="33"/>
  <c r="J552" i="33"/>
  <c r="J553" i="33"/>
  <c r="J554" i="33"/>
  <c r="J555" i="33"/>
  <c r="J556" i="33"/>
  <c r="J557" i="33"/>
  <c r="J558" i="33"/>
  <c r="J559" i="33"/>
  <c r="J560" i="33"/>
  <c r="J561" i="33"/>
  <c r="J562" i="33"/>
  <c r="J563" i="33"/>
  <c r="J564" i="33"/>
  <c r="J565" i="33"/>
  <c r="J566" i="33"/>
  <c r="J567" i="33"/>
  <c r="J568" i="33"/>
  <c r="J569" i="33"/>
  <c r="J570" i="33"/>
  <c r="J571" i="33"/>
  <c r="J572" i="33"/>
  <c r="J573" i="33"/>
  <c r="J574" i="33"/>
  <c r="J575" i="33"/>
  <c r="J576" i="33"/>
  <c r="J577" i="33"/>
  <c r="J578" i="33"/>
  <c r="J579" i="33"/>
  <c r="J580" i="33"/>
  <c r="J581" i="33"/>
  <c r="J582" i="33"/>
  <c r="J583" i="33"/>
  <c r="J584" i="33"/>
  <c r="J585" i="33"/>
  <c r="J586" i="33"/>
  <c r="J587" i="33"/>
  <c r="J588" i="33"/>
  <c r="J589" i="33"/>
  <c r="J590" i="33"/>
  <c r="J591" i="33"/>
  <c r="J592" i="33"/>
  <c r="J593" i="33"/>
  <c r="J594" i="33"/>
  <c r="J595" i="33"/>
  <c r="J596" i="33"/>
  <c r="J597" i="33"/>
  <c r="J598" i="33"/>
  <c r="J599" i="33"/>
  <c r="J600" i="33"/>
  <c r="J601" i="33"/>
  <c r="J602" i="33"/>
  <c r="J603" i="33"/>
  <c r="J604" i="33"/>
  <c r="J605" i="33"/>
  <c r="J606" i="33"/>
  <c r="J607" i="33"/>
  <c r="J608" i="33"/>
  <c r="J609" i="33"/>
  <c r="J610" i="33"/>
  <c r="J611" i="33"/>
  <c r="J612" i="33"/>
  <c r="J613" i="33"/>
  <c r="J614" i="33"/>
  <c r="J615" i="33"/>
  <c r="J616" i="33"/>
  <c r="J617" i="33"/>
  <c r="J618" i="33"/>
  <c r="J619" i="33"/>
  <c r="J620" i="33"/>
  <c r="J621" i="33"/>
  <c r="J622" i="33"/>
  <c r="J623" i="33"/>
  <c r="J624" i="33"/>
  <c r="J625" i="33"/>
  <c r="J626" i="33"/>
  <c r="J627" i="33"/>
  <c r="J628" i="33"/>
  <c r="J629" i="33"/>
  <c r="J630" i="33"/>
  <c r="J631" i="33"/>
  <c r="J632" i="33"/>
  <c r="J633" i="33"/>
  <c r="J634" i="33"/>
  <c r="J635" i="33"/>
  <c r="J636" i="33"/>
  <c r="J637" i="33"/>
  <c r="J638" i="33"/>
  <c r="J639" i="33"/>
  <c r="J640" i="33"/>
  <c r="J641" i="33"/>
  <c r="J642" i="33"/>
  <c r="J643" i="33"/>
  <c r="J644" i="33"/>
  <c r="J645" i="33"/>
  <c r="J646" i="33"/>
  <c r="J647" i="33"/>
  <c r="J648" i="33"/>
  <c r="J649" i="33"/>
  <c r="J650" i="33"/>
  <c r="J651" i="33"/>
  <c r="J652" i="33"/>
  <c r="J653" i="33"/>
  <c r="J654" i="33"/>
  <c r="J655" i="33"/>
  <c r="J656" i="33"/>
  <c r="J657" i="33"/>
  <c r="J658" i="33"/>
  <c r="J659" i="33"/>
  <c r="J660" i="33"/>
  <c r="J661" i="33"/>
  <c r="J662" i="33"/>
  <c r="J663" i="33"/>
  <c r="J664" i="33"/>
  <c r="J665" i="33"/>
  <c r="J666" i="33"/>
  <c r="J667" i="33"/>
  <c r="J668" i="33"/>
  <c r="J669" i="33"/>
  <c r="J670" i="33"/>
  <c r="J671" i="33"/>
  <c r="J672" i="33"/>
  <c r="J673" i="33"/>
  <c r="J674" i="33"/>
  <c r="J675" i="33"/>
  <c r="J676" i="33"/>
  <c r="J677" i="33"/>
  <c r="J678" i="33"/>
  <c r="J679" i="33"/>
  <c r="J680" i="33"/>
  <c r="J681" i="33"/>
  <c r="J682" i="33"/>
  <c r="J683" i="33"/>
  <c r="J684" i="33"/>
  <c r="J685" i="33"/>
  <c r="J686" i="33"/>
  <c r="J687" i="33"/>
  <c r="J688" i="33"/>
  <c r="J689" i="33"/>
  <c r="J690" i="33"/>
  <c r="J691" i="33"/>
  <c r="J692" i="33"/>
  <c r="J693" i="33"/>
  <c r="J694" i="33"/>
  <c r="J695" i="33"/>
  <c r="J696" i="33"/>
  <c r="J697" i="33"/>
  <c r="J698" i="33"/>
  <c r="J699" i="33"/>
  <c r="J700" i="33"/>
  <c r="J701" i="33"/>
  <c r="J702" i="33"/>
  <c r="J703" i="33"/>
  <c r="J704" i="33"/>
  <c r="J705" i="33"/>
  <c r="J706" i="33"/>
  <c r="J707" i="33"/>
  <c r="J708" i="33"/>
  <c r="J709" i="33"/>
  <c r="J710" i="33"/>
  <c r="J711" i="33"/>
  <c r="J712" i="33"/>
  <c r="J713" i="33"/>
  <c r="J714" i="33"/>
  <c r="J715" i="33"/>
  <c r="J716" i="33"/>
  <c r="J717" i="33"/>
  <c r="J718" i="33"/>
  <c r="J719" i="33"/>
  <c r="J720" i="33"/>
  <c r="J721" i="33"/>
  <c r="J722" i="33"/>
  <c r="J723" i="33"/>
  <c r="J724" i="33"/>
  <c r="J725" i="33"/>
  <c r="J726" i="33"/>
  <c r="J727" i="33"/>
  <c r="J728" i="33"/>
  <c r="J729" i="33"/>
  <c r="J730" i="33"/>
  <c r="J731" i="33"/>
  <c r="J732" i="33"/>
  <c r="J733" i="33"/>
  <c r="J734" i="33"/>
  <c r="J735" i="33"/>
  <c r="J736" i="33"/>
  <c r="J737" i="33"/>
  <c r="J738" i="33"/>
  <c r="J739" i="33"/>
  <c r="J740" i="33"/>
  <c r="J741" i="33"/>
  <c r="J742" i="33"/>
  <c r="J743" i="33"/>
  <c r="J744" i="33"/>
  <c r="J745" i="33"/>
  <c r="J746" i="33"/>
  <c r="J747" i="33"/>
  <c r="J748" i="33"/>
  <c r="J749" i="33"/>
  <c r="J750" i="33"/>
  <c r="J751" i="33"/>
  <c r="J752" i="33"/>
  <c r="J753" i="33"/>
  <c r="J754" i="33"/>
  <c r="J755" i="33"/>
  <c r="J756" i="33"/>
  <c r="J757" i="33"/>
  <c r="J758" i="33"/>
  <c r="J759" i="33"/>
  <c r="J760" i="33"/>
  <c r="J761" i="33"/>
  <c r="J762" i="33"/>
  <c r="J763" i="33"/>
  <c r="J764" i="33"/>
  <c r="J765" i="33"/>
  <c r="J766" i="33"/>
  <c r="J767" i="33"/>
  <c r="J768" i="33"/>
  <c r="J769" i="33"/>
  <c r="J770" i="33"/>
  <c r="J771" i="33"/>
  <c r="J772" i="33"/>
  <c r="J773" i="33"/>
  <c r="J774" i="33"/>
  <c r="J775" i="33"/>
  <c r="J776" i="33"/>
  <c r="J777" i="33"/>
  <c r="J778" i="33"/>
  <c r="J779" i="33"/>
  <c r="J780" i="33"/>
  <c r="J781" i="33"/>
  <c r="J782" i="33"/>
  <c r="J783" i="33"/>
  <c r="J784" i="33"/>
  <c r="J785" i="33"/>
  <c r="J786" i="33"/>
  <c r="J787" i="33"/>
  <c r="J788" i="33"/>
  <c r="J789" i="33"/>
  <c r="J790" i="33"/>
  <c r="J791" i="33"/>
  <c r="J792" i="33"/>
  <c r="J793" i="33"/>
  <c r="J794" i="33"/>
  <c r="J795" i="33"/>
  <c r="J796" i="33"/>
  <c r="J797" i="33"/>
  <c r="J798" i="33"/>
  <c r="J799" i="33"/>
  <c r="J800" i="33"/>
  <c r="J801" i="33"/>
  <c r="J802" i="33"/>
  <c r="J803" i="33"/>
  <c r="J804" i="33"/>
  <c r="J805" i="33"/>
  <c r="J806" i="33"/>
  <c r="J807" i="33"/>
  <c r="J808" i="33"/>
  <c r="J809" i="33"/>
  <c r="J810" i="33"/>
  <c r="J811" i="33"/>
  <c r="J812" i="33"/>
  <c r="J813" i="33"/>
  <c r="J814" i="33"/>
  <c r="J815" i="33"/>
  <c r="J816" i="33"/>
  <c r="J817" i="33"/>
  <c r="J818" i="33"/>
  <c r="J819" i="33"/>
  <c r="J820" i="33"/>
  <c r="J821" i="33"/>
  <c r="J822" i="33"/>
  <c r="J823" i="33"/>
  <c r="J824" i="33"/>
  <c r="J825" i="33"/>
  <c r="J826" i="33"/>
  <c r="J827" i="33"/>
  <c r="J828" i="33"/>
  <c r="J829" i="33"/>
  <c r="J830" i="33"/>
  <c r="J831" i="33"/>
  <c r="J832" i="33"/>
  <c r="J833" i="33"/>
  <c r="J834" i="33"/>
  <c r="J835" i="33"/>
  <c r="J836" i="33"/>
  <c r="J837" i="33"/>
  <c r="J838" i="33"/>
  <c r="J839" i="33"/>
  <c r="J840" i="33"/>
  <c r="J841" i="33"/>
  <c r="J842" i="33"/>
  <c r="J843" i="33"/>
  <c r="J844" i="33"/>
  <c r="J845" i="33"/>
  <c r="J846" i="33"/>
  <c r="J847" i="33"/>
  <c r="J848" i="33"/>
  <c r="J849" i="33"/>
  <c r="J850" i="33"/>
  <c r="J851" i="33"/>
  <c r="J852" i="33"/>
  <c r="J853" i="33"/>
  <c r="J854" i="33"/>
  <c r="J855" i="33"/>
  <c r="J856" i="33"/>
  <c r="J857" i="33"/>
  <c r="J858" i="33"/>
  <c r="J859" i="33"/>
  <c r="J860" i="33"/>
  <c r="J861" i="33"/>
  <c r="J862" i="33"/>
  <c r="J863" i="33"/>
  <c r="J864" i="33"/>
  <c r="J865" i="33"/>
  <c r="J866" i="33"/>
  <c r="J867" i="33"/>
  <c r="J868" i="33"/>
  <c r="J869" i="33"/>
  <c r="J870" i="33"/>
  <c r="J871" i="33"/>
  <c r="J872" i="33"/>
  <c r="J873" i="33"/>
  <c r="J874" i="33"/>
  <c r="J875" i="33"/>
  <c r="J876" i="33"/>
  <c r="J877" i="33"/>
  <c r="J878" i="33"/>
  <c r="J879" i="33"/>
  <c r="J880" i="33"/>
  <c r="J881" i="33"/>
  <c r="J882" i="33"/>
  <c r="J883" i="33"/>
  <c r="J884" i="33"/>
  <c r="J885" i="33"/>
  <c r="J886" i="33"/>
  <c r="J887" i="33"/>
  <c r="J888" i="33"/>
  <c r="J889" i="33"/>
  <c r="J890" i="33"/>
  <c r="J891" i="33"/>
  <c r="J892" i="33"/>
  <c r="J893" i="33"/>
  <c r="J894" i="33"/>
  <c r="J895" i="33"/>
  <c r="J896" i="33"/>
  <c r="J897" i="33"/>
  <c r="J898" i="33"/>
  <c r="J899" i="33"/>
  <c r="J900" i="33"/>
  <c r="J901" i="33"/>
  <c r="J902" i="33"/>
  <c r="J903" i="33"/>
  <c r="J904" i="33"/>
  <c r="J905" i="33"/>
  <c r="J906" i="33"/>
  <c r="J907" i="33"/>
  <c r="J908" i="33"/>
  <c r="J909" i="33"/>
  <c r="J910" i="33"/>
  <c r="J911" i="33"/>
  <c r="J912" i="33"/>
  <c r="J913" i="33"/>
  <c r="J914" i="33"/>
  <c r="J915" i="33"/>
  <c r="J916" i="33"/>
  <c r="J917" i="33"/>
  <c r="J918" i="33"/>
  <c r="J919" i="33"/>
  <c r="J920" i="33"/>
  <c r="J921" i="33"/>
  <c r="J922" i="33"/>
  <c r="J923" i="33"/>
  <c r="J924" i="33"/>
  <c r="J925" i="33"/>
  <c r="J926" i="33"/>
  <c r="J927" i="33"/>
  <c r="J928" i="33"/>
  <c r="J929" i="33"/>
  <c r="J930" i="33"/>
  <c r="J931" i="33"/>
  <c r="J932" i="33"/>
  <c r="J933" i="33"/>
  <c r="J934" i="33"/>
  <c r="J935" i="33"/>
  <c r="J936" i="33"/>
  <c r="J937" i="33"/>
  <c r="J938" i="33"/>
  <c r="J939" i="33"/>
  <c r="J940" i="33"/>
  <c r="J941" i="33"/>
  <c r="J942" i="33"/>
  <c r="J943" i="33"/>
  <c r="J944" i="33"/>
  <c r="J945" i="33"/>
  <c r="J946" i="33"/>
  <c r="J947" i="33"/>
  <c r="J948" i="33"/>
  <c r="J949" i="33"/>
  <c r="J950" i="33"/>
  <c r="J951" i="33"/>
  <c r="J952" i="33"/>
  <c r="J953" i="33"/>
  <c r="J954" i="33"/>
  <c r="J955" i="33"/>
  <c r="J956" i="33"/>
  <c r="J957" i="33"/>
  <c r="J958" i="33"/>
  <c r="J959" i="33"/>
  <c r="J960" i="33"/>
  <c r="J961" i="33"/>
  <c r="J962" i="33"/>
  <c r="J963" i="33"/>
  <c r="J964" i="33"/>
  <c r="J965" i="33"/>
  <c r="J966" i="33"/>
  <c r="J967" i="33"/>
  <c r="J968" i="33"/>
  <c r="J969" i="33"/>
  <c r="J970" i="33"/>
  <c r="J971" i="33"/>
  <c r="J972" i="33"/>
  <c r="J973" i="33"/>
  <c r="J974" i="33"/>
  <c r="J975" i="33"/>
  <c r="J976" i="33"/>
  <c r="J977" i="33"/>
  <c r="J978" i="33"/>
  <c r="J979" i="33"/>
  <c r="J980" i="33"/>
  <c r="J981" i="33"/>
  <c r="J982" i="33"/>
  <c r="J983" i="33"/>
  <c r="J984" i="33"/>
  <c r="J985" i="33"/>
  <c r="J986" i="33"/>
  <c r="J987" i="33"/>
  <c r="J988" i="33"/>
  <c r="J989" i="33"/>
  <c r="J990" i="33"/>
  <c r="J991" i="33"/>
  <c r="J992" i="33"/>
  <c r="J993" i="33"/>
  <c r="J994" i="33"/>
  <c r="J995" i="33"/>
  <c r="J996" i="33"/>
  <c r="J997" i="33"/>
  <c r="J998" i="33"/>
  <c r="J999" i="33"/>
  <c r="J1000" i="33"/>
  <c r="J1001" i="33"/>
  <c r="J1002" i="33"/>
  <c r="J1003" i="33"/>
  <c r="J1004" i="33"/>
  <c r="J1005" i="33"/>
  <c r="J1006" i="33"/>
  <c r="J1007" i="33"/>
  <c r="J1008" i="33"/>
  <c r="J1009" i="33"/>
  <c r="J1010" i="33"/>
  <c r="J1011" i="33"/>
  <c r="J1012" i="33"/>
  <c r="J1013" i="33"/>
  <c r="J1014" i="33"/>
  <c r="J1015" i="33"/>
  <c r="J1016" i="33"/>
  <c r="J1017" i="33"/>
  <c r="J1018" i="33"/>
  <c r="J1019" i="33"/>
  <c r="J1020" i="33"/>
  <c r="J1021" i="33"/>
  <c r="J1022" i="33"/>
  <c r="J1023" i="33"/>
  <c r="J1024" i="33"/>
  <c r="J1025" i="33"/>
  <c r="J1026" i="33"/>
  <c r="J1027" i="33"/>
  <c r="J1028" i="33"/>
  <c r="J1029" i="33"/>
  <c r="J1030" i="33"/>
  <c r="J1031" i="33"/>
  <c r="J1032" i="33"/>
  <c r="J1033" i="33"/>
  <c r="J1034" i="33"/>
  <c r="J1035" i="33"/>
  <c r="J1036" i="33"/>
  <c r="J1037" i="33"/>
  <c r="J1038" i="33"/>
  <c r="J1039" i="33"/>
  <c r="J1040" i="33"/>
  <c r="J1041" i="33"/>
  <c r="J1042" i="33"/>
  <c r="J1043" i="33"/>
  <c r="J1044" i="33"/>
  <c r="J1045" i="33"/>
  <c r="J1046" i="33"/>
  <c r="J1047" i="33"/>
  <c r="J1048" i="33"/>
  <c r="J1049" i="33"/>
  <c r="J1050" i="33"/>
  <c r="J1051" i="33"/>
  <c r="J1052" i="33"/>
  <c r="J1053" i="33"/>
  <c r="J1054" i="33"/>
  <c r="J1055" i="33"/>
  <c r="J1056" i="33"/>
  <c r="J1057" i="33"/>
  <c r="J1058" i="33"/>
  <c r="J1059" i="33"/>
  <c r="J1060" i="33"/>
  <c r="J1061" i="33"/>
  <c r="J1062" i="33"/>
  <c r="J1063" i="33"/>
  <c r="J1064" i="33"/>
  <c r="J1065" i="33"/>
  <c r="J1066" i="33"/>
  <c r="J1067" i="33"/>
  <c r="J1068" i="33"/>
  <c r="J1069" i="33"/>
  <c r="J1070" i="33"/>
  <c r="J1071" i="33"/>
  <c r="J1072" i="33"/>
  <c r="J1073" i="33"/>
  <c r="J1074" i="33"/>
  <c r="J1075" i="33"/>
  <c r="J1076" i="33"/>
  <c r="J1077" i="33"/>
  <c r="J1078" i="33"/>
  <c r="J1079" i="33"/>
  <c r="J1080" i="33"/>
  <c r="J1081" i="33"/>
  <c r="J1082" i="33"/>
  <c r="J1083" i="33"/>
  <c r="J1084" i="33"/>
  <c r="J1085" i="33"/>
  <c r="J1086" i="33"/>
  <c r="J1087" i="33"/>
  <c r="J1088" i="33"/>
  <c r="J1089" i="33"/>
  <c r="J1090" i="33"/>
  <c r="J1091" i="33"/>
  <c r="J1092" i="33"/>
  <c r="J1093" i="33"/>
  <c r="J1094" i="33"/>
  <c r="J1095" i="33"/>
  <c r="J1096" i="33"/>
  <c r="J1097" i="33"/>
  <c r="J1098" i="33"/>
  <c r="J1099" i="33"/>
  <c r="J1100" i="33"/>
  <c r="J1101" i="33"/>
  <c r="J1102" i="33"/>
  <c r="J1103" i="33"/>
  <c r="J1104" i="33"/>
  <c r="J1105" i="33"/>
  <c r="J1106" i="33"/>
  <c r="J1107" i="33"/>
  <c r="J1108" i="33"/>
  <c r="J1109" i="33"/>
  <c r="J1110" i="33"/>
  <c r="J1111" i="33"/>
  <c r="J1112" i="33"/>
  <c r="J1113" i="33"/>
  <c r="J1114" i="33"/>
  <c r="J1115" i="33"/>
  <c r="J1116" i="33"/>
  <c r="J1117" i="33"/>
  <c r="J1118" i="33"/>
  <c r="J1119" i="33"/>
  <c r="J1120" i="33"/>
  <c r="J1121" i="33"/>
  <c r="J1122" i="33"/>
  <c r="J1123" i="33"/>
  <c r="J1124" i="33"/>
  <c r="J1125" i="33"/>
  <c r="J1126" i="33"/>
  <c r="J1127" i="33"/>
  <c r="J1128" i="33"/>
  <c r="J1129" i="33"/>
  <c r="J1130" i="33"/>
  <c r="J1131" i="33"/>
  <c r="J1132" i="33"/>
  <c r="J1133" i="33"/>
  <c r="J1134" i="33"/>
  <c r="J1135" i="33"/>
  <c r="J1136" i="33"/>
  <c r="J1137" i="33"/>
  <c r="J1138" i="33"/>
  <c r="J1139" i="33"/>
  <c r="J1140" i="33"/>
  <c r="J1141" i="33"/>
  <c r="J1142" i="33"/>
  <c r="J1143" i="33"/>
  <c r="J1144" i="33"/>
  <c r="J1145" i="33"/>
  <c r="J1146" i="33"/>
  <c r="J1147" i="33"/>
  <c r="J1148" i="33"/>
  <c r="J1149" i="33"/>
  <c r="J1150" i="33"/>
  <c r="J1151" i="33"/>
  <c r="J1152" i="33"/>
  <c r="J1153" i="33"/>
  <c r="J1154" i="33"/>
  <c r="J1155" i="33"/>
  <c r="J1156" i="33"/>
  <c r="J1157" i="33"/>
  <c r="J1158" i="33"/>
  <c r="J1159" i="33"/>
  <c r="J1160" i="33"/>
  <c r="J1161" i="33"/>
  <c r="J1162" i="33"/>
  <c r="J1163" i="33"/>
  <c r="J1164" i="33"/>
  <c r="J1165" i="33"/>
  <c r="J1166" i="33"/>
  <c r="J1167" i="33"/>
  <c r="J1168" i="33"/>
  <c r="J1169" i="33"/>
  <c r="J1170" i="33"/>
  <c r="J1171" i="33"/>
  <c r="J1172" i="33"/>
  <c r="J1173" i="33"/>
  <c r="J1174" i="33"/>
  <c r="J1175" i="33"/>
  <c r="J1176" i="33"/>
  <c r="J1177" i="33"/>
  <c r="J1178" i="33"/>
  <c r="J1179" i="33"/>
  <c r="J1180" i="33"/>
  <c r="J1181" i="33"/>
  <c r="J1182" i="33"/>
  <c r="J1183" i="33"/>
  <c r="J1184" i="33"/>
  <c r="J1185" i="33"/>
  <c r="J1186" i="33"/>
  <c r="J1187" i="33"/>
  <c r="J1188" i="33"/>
  <c r="J1189" i="33"/>
  <c r="J1190" i="33"/>
  <c r="J1191" i="33"/>
  <c r="J1192" i="33"/>
  <c r="J1193" i="33"/>
  <c r="J1194" i="33"/>
  <c r="J1195" i="33"/>
  <c r="J1196" i="33"/>
  <c r="J1197" i="33"/>
  <c r="J1198" i="33"/>
  <c r="J1199" i="33"/>
  <c r="J1200" i="33"/>
  <c r="J1201" i="33"/>
  <c r="J1202" i="33"/>
  <c r="J1203" i="33"/>
  <c r="J1204" i="33"/>
  <c r="J1205" i="33"/>
  <c r="J1206" i="33"/>
  <c r="J1207" i="33"/>
  <c r="J1208" i="33"/>
  <c r="J1209" i="33"/>
  <c r="J1210" i="33"/>
  <c r="J1211" i="33"/>
  <c r="J1212" i="33"/>
  <c r="J1213" i="33"/>
  <c r="J1214" i="33"/>
  <c r="J1215" i="33"/>
  <c r="J1216" i="33"/>
  <c r="J1217" i="33"/>
  <c r="J1218" i="33"/>
  <c r="J1219" i="33"/>
  <c r="J1220" i="33"/>
  <c r="J1221" i="33"/>
  <c r="J1222" i="33"/>
  <c r="J1223" i="33"/>
  <c r="J1224" i="33"/>
  <c r="J1225" i="33"/>
  <c r="J1226" i="33"/>
  <c r="J1227" i="33"/>
  <c r="J1228" i="33"/>
  <c r="J1229" i="33"/>
  <c r="J1230" i="33"/>
  <c r="J1231" i="33"/>
  <c r="J1232" i="33"/>
  <c r="J1233" i="33"/>
  <c r="J1234" i="33"/>
  <c r="J1235" i="33"/>
  <c r="J1236" i="33"/>
  <c r="J1237" i="33"/>
  <c r="J1238" i="33"/>
  <c r="J1239" i="33"/>
  <c r="J1240" i="33"/>
  <c r="J1241" i="33"/>
  <c r="J1242" i="33"/>
  <c r="J1243" i="33"/>
  <c r="J1244" i="33"/>
  <c r="J1245" i="33"/>
  <c r="J1246" i="33"/>
  <c r="J1247" i="33"/>
  <c r="J1248" i="33"/>
  <c r="J1249" i="33"/>
  <c r="J1250" i="33"/>
  <c r="J1251" i="33"/>
  <c r="J1252" i="33"/>
  <c r="J1253" i="33"/>
  <c r="J1254" i="33"/>
  <c r="J1255" i="33"/>
  <c r="J1256" i="33"/>
  <c r="J1257" i="33"/>
  <c r="J1258" i="33"/>
  <c r="J1259" i="33"/>
  <c r="J1260" i="33"/>
  <c r="J1261" i="33"/>
  <c r="J1262" i="33"/>
  <c r="J1263" i="33"/>
  <c r="J1264" i="33"/>
  <c r="J1265" i="33"/>
  <c r="J1266" i="33"/>
  <c r="J1267" i="33"/>
  <c r="J1268" i="33"/>
  <c r="J1269" i="33"/>
  <c r="J1270" i="33"/>
  <c r="J1271" i="33"/>
  <c r="J1272" i="33"/>
  <c r="J1273" i="33"/>
  <c r="J1274" i="33"/>
  <c r="J1275" i="33"/>
  <c r="J1276" i="33"/>
  <c r="J1277" i="33"/>
  <c r="J1278" i="33"/>
  <c r="J1279" i="33"/>
  <c r="J1280" i="33"/>
  <c r="J1281" i="33"/>
  <c r="J1282" i="33"/>
  <c r="J1283" i="33"/>
  <c r="J1284" i="33"/>
  <c r="J1285" i="33"/>
  <c r="J1286" i="33"/>
  <c r="J1287" i="33"/>
  <c r="J1288" i="33"/>
  <c r="J1289" i="33"/>
  <c r="J1290" i="33"/>
  <c r="J1291" i="33"/>
  <c r="J1292" i="33"/>
  <c r="J1293" i="33"/>
  <c r="J1294" i="33"/>
  <c r="J1295" i="33"/>
  <c r="J1296" i="33"/>
  <c r="J1297" i="33"/>
  <c r="J1298" i="33"/>
  <c r="J1299" i="33"/>
  <c r="J1300" i="33"/>
  <c r="J1301" i="33"/>
  <c r="J1302" i="33"/>
  <c r="J1303" i="33"/>
  <c r="J1304" i="33"/>
  <c r="J1305" i="33"/>
  <c r="J1306" i="33"/>
  <c r="J1307" i="33"/>
  <c r="J1308" i="33"/>
  <c r="J1309" i="33"/>
  <c r="J1310" i="33"/>
  <c r="J1311" i="33"/>
  <c r="J1312" i="33"/>
  <c r="J1313" i="33"/>
  <c r="J1314" i="33"/>
  <c r="J1315" i="33"/>
  <c r="J1316" i="33"/>
  <c r="J1317" i="33"/>
  <c r="J1318" i="33"/>
  <c r="J1319" i="33"/>
  <c r="J1320" i="33"/>
  <c r="J1321" i="33"/>
  <c r="J1322" i="33"/>
  <c r="J1323" i="33"/>
  <c r="J1324" i="33"/>
  <c r="J1325" i="33"/>
  <c r="J1326" i="33"/>
  <c r="J1327" i="33"/>
  <c r="J1328" i="33"/>
  <c r="J1329" i="33"/>
  <c r="J1330" i="33"/>
  <c r="J1331" i="33"/>
  <c r="J1332" i="33"/>
  <c r="J1333" i="33"/>
  <c r="J1334" i="33"/>
  <c r="J1335" i="33"/>
  <c r="J1336" i="33"/>
  <c r="J1337" i="33"/>
  <c r="J1338" i="33"/>
  <c r="J1339" i="33"/>
  <c r="J1340" i="33"/>
  <c r="J1341" i="33"/>
  <c r="J1342" i="33"/>
  <c r="J1343" i="33"/>
  <c r="J1344" i="33"/>
  <c r="J1345" i="33"/>
  <c r="J1346" i="33"/>
  <c r="J1347" i="33"/>
  <c r="J1348" i="33"/>
  <c r="J1349" i="33"/>
  <c r="J1350" i="33"/>
  <c r="J1351" i="33"/>
  <c r="J1352" i="33"/>
  <c r="J1353" i="33"/>
  <c r="J1354" i="33"/>
  <c r="J1355" i="33"/>
  <c r="J1356" i="33"/>
  <c r="J1357" i="33"/>
  <c r="J1358" i="33"/>
  <c r="J1359" i="33"/>
  <c r="J1360" i="33"/>
  <c r="J1361" i="33"/>
  <c r="J1362" i="33"/>
  <c r="J1363" i="33"/>
  <c r="J1364" i="33"/>
  <c r="J1365" i="33"/>
  <c r="J1366" i="33"/>
  <c r="J1367" i="33"/>
  <c r="J1368" i="33"/>
  <c r="J1369" i="33"/>
  <c r="J1370" i="33"/>
  <c r="J1371" i="33"/>
  <c r="J1372" i="33"/>
  <c r="J1373" i="33"/>
  <c r="J1374" i="33"/>
  <c r="J1375" i="33"/>
  <c r="J1376" i="33"/>
  <c r="J1377" i="33"/>
  <c r="J1378" i="33"/>
  <c r="J1379" i="33"/>
  <c r="J1380" i="33"/>
  <c r="J1381" i="33"/>
  <c r="J1382" i="33"/>
  <c r="J1383" i="33"/>
  <c r="J1384" i="33"/>
  <c r="J1385" i="33"/>
  <c r="J1386" i="33"/>
  <c r="J1387" i="33"/>
  <c r="J1388" i="33"/>
  <c r="J1389" i="33"/>
  <c r="J1390" i="33"/>
  <c r="J1391" i="33"/>
  <c r="J1392" i="33"/>
  <c r="J1393" i="33"/>
  <c r="J1394" i="33"/>
  <c r="J1395" i="33"/>
  <c r="J1396" i="33"/>
  <c r="J1397" i="33"/>
  <c r="J1398" i="33"/>
  <c r="J1399" i="33"/>
  <c r="J1400" i="33"/>
  <c r="J1401" i="33"/>
  <c r="J1402" i="33"/>
  <c r="J1403" i="33"/>
  <c r="J1404" i="33"/>
  <c r="J1405" i="33"/>
  <c r="J1406" i="33"/>
  <c r="J1407" i="33"/>
  <c r="J1408" i="33"/>
  <c r="J1409" i="33"/>
  <c r="J1410" i="33"/>
  <c r="J1411" i="33"/>
  <c r="J1412" i="33"/>
  <c r="J1413" i="33"/>
  <c r="J1414" i="33"/>
  <c r="J1415" i="33"/>
  <c r="J1416" i="33"/>
  <c r="J1417" i="33"/>
  <c r="J1418" i="33"/>
  <c r="J1419" i="33"/>
  <c r="J1420" i="33"/>
  <c r="J1421" i="33"/>
  <c r="J1422" i="33"/>
  <c r="J1423" i="33"/>
  <c r="J1424" i="33"/>
  <c r="J1425" i="33"/>
  <c r="J1426" i="33"/>
  <c r="J1427" i="33"/>
  <c r="J1428" i="33"/>
  <c r="J1429" i="33"/>
  <c r="J1430" i="33"/>
  <c r="J1431" i="33"/>
  <c r="J1432" i="33"/>
  <c r="J1433" i="33"/>
  <c r="J1434" i="33"/>
  <c r="J1435" i="33"/>
  <c r="J1436" i="33"/>
  <c r="J1437" i="33"/>
  <c r="J1438" i="33"/>
  <c r="J1439" i="33"/>
  <c r="J1440" i="33"/>
  <c r="J1441" i="33"/>
  <c r="J1442" i="33"/>
  <c r="J1443" i="33"/>
  <c r="J1444" i="33"/>
  <c r="J1445" i="33"/>
  <c r="J1446" i="33"/>
  <c r="J1447" i="33"/>
  <c r="J1448" i="33"/>
  <c r="J1449" i="33"/>
  <c r="J1450" i="33"/>
  <c r="J1451" i="33"/>
  <c r="J1452" i="33"/>
  <c r="J1453" i="33"/>
  <c r="J1454" i="33"/>
  <c r="J1455" i="33"/>
  <c r="J1456" i="33"/>
  <c r="J1457" i="33"/>
  <c r="J1458" i="33"/>
  <c r="J1459" i="33"/>
  <c r="J1460" i="33"/>
  <c r="J1461" i="33"/>
  <c r="J1462" i="33"/>
  <c r="J1463" i="33"/>
  <c r="J1464" i="33"/>
  <c r="J1465" i="33"/>
  <c r="J1466" i="33"/>
  <c r="J1467" i="33"/>
  <c r="J1468" i="33"/>
  <c r="J1469" i="33"/>
  <c r="J1470" i="33"/>
  <c r="J1471" i="33"/>
  <c r="J1472" i="33"/>
  <c r="J1473" i="33"/>
  <c r="J1474" i="33"/>
  <c r="J1475" i="33"/>
  <c r="J1476" i="33"/>
  <c r="J1477" i="33"/>
  <c r="J1478" i="33"/>
  <c r="J1479" i="33"/>
  <c r="J1480" i="33"/>
  <c r="J1481" i="33"/>
  <c r="J1482" i="33"/>
  <c r="J1483" i="33"/>
  <c r="J1484" i="33"/>
  <c r="J1485" i="33"/>
  <c r="J1486" i="33"/>
  <c r="J1487" i="33"/>
  <c r="J1488" i="33"/>
  <c r="J1489" i="33"/>
  <c r="J1490" i="33"/>
  <c r="J1491" i="33"/>
  <c r="J1492" i="33"/>
  <c r="J1493" i="33"/>
  <c r="J1494" i="33"/>
  <c r="J1495" i="33"/>
  <c r="J1496" i="33"/>
  <c r="J1497" i="33"/>
  <c r="J1498" i="33"/>
  <c r="J1499" i="33"/>
  <c r="J1500" i="33"/>
  <c r="J1501" i="33"/>
  <c r="J1502" i="33"/>
  <c r="J1503" i="33"/>
  <c r="J1504" i="33"/>
  <c r="J1505" i="33"/>
  <c r="J1506" i="33"/>
  <c r="J1507" i="33"/>
  <c r="J1508" i="33"/>
  <c r="J1509" i="33"/>
  <c r="J1510" i="33"/>
  <c r="J1511" i="33"/>
  <c r="J1512" i="33"/>
  <c r="J1513" i="33"/>
  <c r="J1514" i="33"/>
  <c r="J1515" i="33"/>
  <c r="J1516" i="33"/>
  <c r="J1517" i="33"/>
  <c r="J1518" i="33"/>
  <c r="J1519" i="33"/>
  <c r="J1520" i="33"/>
  <c r="J1521" i="33"/>
  <c r="J1522" i="33"/>
  <c r="J1523" i="33"/>
  <c r="J1524" i="33"/>
  <c r="J1525" i="33"/>
  <c r="J1526" i="33"/>
  <c r="J1527" i="33"/>
  <c r="J1528" i="33"/>
  <c r="J1529" i="33"/>
  <c r="J1530" i="33"/>
  <c r="J1531" i="33"/>
  <c r="J1532" i="33"/>
  <c r="J1533" i="33"/>
  <c r="J1534" i="33"/>
  <c r="J1535" i="33"/>
  <c r="J1536" i="33"/>
  <c r="J1537" i="33"/>
  <c r="J1538" i="33"/>
  <c r="J1539" i="33"/>
  <c r="J1540" i="33"/>
  <c r="J1541" i="33"/>
  <c r="J1542" i="33"/>
  <c r="J1543" i="33"/>
  <c r="J1544" i="33"/>
  <c r="J1545" i="33"/>
  <c r="J1546" i="33"/>
  <c r="J1547" i="33"/>
  <c r="J1548" i="33"/>
  <c r="J1549" i="33"/>
  <c r="J1550" i="33"/>
  <c r="J1551" i="33"/>
  <c r="J1552" i="33"/>
  <c r="J1553" i="33"/>
  <c r="J1554" i="33"/>
  <c r="J1555" i="33"/>
  <c r="J1556" i="33"/>
  <c r="J1557" i="33"/>
  <c r="J1558" i="33"/>
  <c r="J1559" i="33"/>
  <c r="J1560" i="33"/>
  <c r="J1561" i="33"/>
  <c r="J1562" i="33"/>
  <c r="J1563" i="33"/>
  <c r="J1564" i="33"/>
  <c r="J1565" i="33"/>
  <c r="J1566" i="33"/>
  <c r="J1567" i="33"/>
  <c r="J1568" i="33"/>
  <c r="J1569" i="33"/>
  <c r="J1570" i="33"/>
  <c r="J1571" i="33"/>
  <c r="J1572" i="33"/>
  <c r="J1573" i="33"/>
  <c r="J1574" i="33"/>
  <c r="J1575" i="33"/>
  <c r="J1576" i="33"/>
  <c r="J1577" i="33"/>
  <c r="J1578" i="33"/>
  <c r="J1579" i="33"/>
  <c r="J1580" i="33"/>
  <c r="J1581" i="33"/>
  <c r="J1582" i="33"/>
  <c r="J1583" i="33"/>
  <c r="J1584" i="33"/>
  <c r="J1585" i="33"/>
  <c r="J1586" i="33"/>
  <c r="J1587" i="33"/>
  <c r="J1588" i="33"/>
  <c r="J1589" i="33"/>
  <c r="J1590" i="33"/>
  <c r="J1591" i="33"/>
  <c r="J1592" i="33"/>
  <c r="J1593" i="33"/>
  <c r="J1594" i="33"/>
  <c r="J1595" i="33"/>
  <c r="J1596" i="33"/>
  <c r="J1597" i="33"/>
  <c r="J1598" i="33"/>
  <c r="J1599" i="33"/>
  <c r="J1600" i="33"/>
  <c r="J1601" i="33"/>
  <c r="J1602" i="33"/>
  <c r="J1603" i="33"/>
  <c r="J1604" i="33"/>
  <c r="J1605" i="33"/>
  <c r="J1606" i="33"/>
  <c r="J1607" i="33"/>
  <c r="J1608" i="33"/>
  <c r="J1609" i="33"/>
  <c r="J1610" i="33"/>
  <c r="J1611" i="33"/>
  <c r="J1612" i="33"/>
  <c r="J1613" i="33"/>
  <c r="J1614" i="33"/>
  <c r="J1615" i="33"/>
  <c r="J1616" i="33"/>
  <c r="J1617" i="33"/>
  <c r="J1618" i="33"/>
  <c r="J1619" i="33"/>
  <c r="J1620" i="33"/>
  <c r="J1621" i="33"/>
  <c r="J1622" i="33"/>
  <c r="J1623" i="33"/>
  <c r="J1624" i="33"/>
  <c r="J1625" i="33"/>
  <c r="J1626" i="33"/>
  <c r="J1627" i="33"/>
  <c r="J1628" i="33"/>
  <c r="J1629" i="33"/>
  <c r="J1630" i="33"/>
  <c r="J1631" i="33"/>
  <c r="J1632" i="33"/>
  <c r="J1633" i="33"/>
  <c r="J1634" i="33"/>
  <c r="J1635" i="33"/>
  <c r="J1636" i="33"/>
  <c r="J1637" i="33"/>
  <c r="J1638" i="33"/>
  <c r="J1639" i="33"/>
  <c r="J1640" i="33"/>
  <c r="J1641" i="33"/>
  <c r="J1642" i="33"/>
  <c r="J1643" i="33"/>
  <c r="J1644" i="33"/>
  <c r="J1645" i="33"/>
  <c r="J1646" i="33"/>
  <c r="J1647" i="33"/>
  <c r="J1648" i="33"/>
  <c r="J1649" i="33"/>
  <c r="J1650" i="33"/>
  <c r="J1651" i="33"/>
  <c r="J1652" i="33"/>
  <c r="J1653" i="33"/>
  <c r="J1654" i="33"/>
  <c r="J1655" i="33"/>
  <c r="J1656" i="33"/>
  <c r="J1657" i="33"/>
  <c r="J1658" i="33"/>
  <c r="J1659" i="33"/>
  <c r="J1660" i="33"/>
  <c r="J1661" i="33"/>
  <c r="J1662" i="33"/>
  <c r="J1663" i="33"/>
  <c r="J1664" i="33"/>
  <c r="J1665" i="33"/>
  <c r="J1666" i="33"/>
  <c r="J1667" i="33"/>
  <c r="J1668" i="33"/>
  <c r="J1669" i="33"/>
  <c r="J1670" i="33"/>
  <c r="J1671" i="33"/>
  <c r="J1672" i="33"/>
  <c r="J1673" i="33"/>
  <c r="J1674" i="33"/>
  <c r="J1675" i="33"/>
  <c r="J1676" i="33"/>
  <c r="J1677" i="33"/>
  <c r="J1678" i="33"/>
  <c r="J1679" i="33"/>
  <c r="J1680" i="33"/>
  <c r="J1681" i="33"/>
  <c r="J1682" i="33"/>
  <c r="J1683" i="33"/>
  <c r="J1684" i="33"/>
  <c r="J1685" i="33"/>
  <c r="J1686" i="33"/>
  <c r="J1687" i="33"/>
  <c r="J1688" i="33"/>
  <c r="J1689" i="33"/>
  <c r="J1690" i="33"/>
  <c r="J1691" i="33"/>
  <c r="J1692" i="33"/>
  <c r="J1693" i="33"/>
  <c r="J1694" i="33"/>
  <c r="J1695" i="33"/>
  <c r="J1696" i="33"/>
  <c r="J1697" i="33"/>
  <c r="J1698" i="33"/>
  <c r="J1699" i="33"/>
  <c r="J1700" i="33"/>
  <c r="J1701" i="33"/>
  <c r="J1702" i="33"/>
  <c r="J1703" i="33"/>
  <c r="J1704" i="33"/>
  <c r="J1705" i="33"/>
  <c r="J1706" i="33"/>
  <c r="J1707" i="33"/>
  <c r="J1708" i="33"/>
  <c r="J1709" i="33"/>
  <c r="J1710" i="33"/>
  <c r="J1711" i="33"/>
  <c r="J1712" i="33"/>
  <c r="J1713" i="33"/>
  <c r="J1714" i="33"/>
  <c r="J1715" i="33"/>
  <c r="J1716" i="33"/>
  <c r="J1717" i="33"/>
  <c r="J1718" i="33"/>
  <c r="J1719" i="33"/>
  <c r="J1720" i="33"/>
  <c r="J1721" i="33"/>
  <c r="J1722" i="33"/>
  <c r="J1723" i="33"/>
  <c r="J1724" i="33"/>
  <c r="J1725" i="33"/>
  <c r="J1726" i="33"/>
  <c r="J1727" i="33"/>
  <c r="J1728" i="33"/>
  <c r="J1729" i="33"/>
  <c r="J1730" i="33"/>
  <c r="J1731" i="33"/>
  <c r="J1732" i="33"/>
  <c r="J1733" i="33"/>
  <c r="J1734" i="33"/>
  <c r="J1735" i="33"/>
  <c r="J1736" i="33"/>
  <c r="J1737" i="33"/>
  <c r="J1738" i="33"/>
  <c r="J1739" i="33"/>
  <c r="J1740" i="33"/>
  <c r="J1741" i="33"/>
  <c r="J1742" i="33"/>
  <c r="J1743" i="33"/>
  <c r="J1744" i="33"/>
  <c r="J1745" i="33"/>
  <c r="J1746" i="33"/>
  <c r="J1747" i="33"/>
  <c r="J1748" i="33"/>
  <c r="J1749" i="33"/>
  <c r="J1750" i="33"/>
  <c r="J1751" i="33"/>
  <c r="J1752" i="33"/>
  <c r="J1753" i="33"/>
  <c r="J1754" i="33"/>
  <c r="J1755" i="33"/>
  <c r="J1756" i="33"/>
  <c r="J1757" i="33"/>
  <c r="J1758" i="33"/>
  <c r="J1759" i="33"/>
  <c r="J1760" i="33"/>
  <c r="J1761" i="33"/>
  <c r="J1762" i="33"/>
  <c r="J1763" i="33"/>
  <c r="J1764" i="33"/>
  <c r="J1765" i="33"/>
  <c r="J1766" i="33"/>
  <c r="J1767" i="33"/>
  <c r="J1768" i="33"/>
  <c r="J1769" i="33"/>
  <c r="J1770" i="33"/>
  <c r="J1771" i="33"/>
  <c r="J1772" i="33"/>
  <c r="J1773" i="33"/>
  <c r="J1774" i="33"/>
  <c r="J1775" i="33"/>
  <c r="J1776" i="33"/>
  <c r="J1777" i="33"/>
  <c r="J1778" i="33"/>
  <c r="J1779" i="33"/>
  <c r="J1780" i="33"/>
  <c r="J1781" i="33"/>
  <c r="J1782" i="33"/>
  <c r="J1783" i="33"/>
  <c r="J1784" i="33"/>
  <c r="J1785" i="33"/>
  <c r="J1786" i="33"/>
  <c r="J1787" i="33"/>
  <c r="J1788" i="33"/>
  <c r="J1789" i="33"/>
  <c r="J1790" i="33"/>
  <c r="J1791" i="33"/>
  <c r="J1792" i="33"/>
  <c r="J1793" i="33"/>
  <c r="J1794" i="33"/>
  <c r="J1795" i="33"/>
  <c r="J1796" i="33"/>
  <c r="J1797" i="33"/>
  <c r="J1798" i="33"/>
  <c r="J1799" i="33"/>
  <c r="J1800" i="33"/>
  <c r="J1801" i="33"/>
  <c r="J1802" i="33"/>
  <c r="J1803" i="33"/>
  <c r="J1804" i="33"/>
  <c r="J1805" i="33"/>
  <c r="J1806" i="33"/>
  <c r="J1807" i="33"/>
  <c r="J1808" i="33"/>
  <c r="J1809" i="33"/>
  <c r="J1810" i="33"/>
  <c r="J1811" i="33"/>
  <c r="J1812" i="33"/>
  <c r="J1813" i="33"/>
  <c r="J1814" i="33"/>
  <c r="J1815" i="33"/>
  <c r="J1816" i="33"/>
  <c r="J1817" i="33"/>
  <c r="J1818" i="33"/>
  <c r="J1819" i="33"/>
  <c r="J1820" i="33"/>
  <c r="J1821" i="33"/>
  <c r="J1822" i="33"/>
  <c r="J1823" i="33"/>
  <c r="J1824" i="33"/>
  <c r="J1825" i="33"/>
  <c r="J1826" i="33"/>
  <c r="J1827" i="33"/>
  <c r="J1828" i="33"/>
  <c r="J1829" i="33"/>
  <c r="J1830" i="33"/>
  <c r="J1831" i="33"/>
  <c r="J1832" i="33"/>
  <c r="J1833" i="33"/>
  <c r="J1834" i="33"/>
  <c r="J1835" i="33"/>
  <c r="J1836" i="33"/>
  <c r="J1837" i="33"/>
  <c r="J1838" i="33"/>
  <c r="J1839" i="33"/>
  <c r="J1840" i="33"/>
  <c r="J1841" i="33"/>
  <c r="J1842" i="33"/>
  <c r="J1843" i="33"/>
  <c r="J1844" i="33"/>
  <c r="J1845" i="33"/>
  <c r="J1846" i="33"/>
  <c r="J1847" i="33"/>
  <c r="J1848" i="33"/>
  <c r="J1849" i="33"/>
  <c r="J1850" i="33"/>
  <c r="J1851" i="33"/>
  <c r="J1852" i="33"/>
  <c r="J1853" i="33"/>
  <c r="J1854" i="33"/>
  <c r="J1855" i="33"/>
  <c r="J1856" i="33"/>
  <c r="J1857" i="33"/>
  <c r="J1858" i="33"/>
  <c r="J1859" i="33"/>
  <c r="J1860" i="33"/>
  <c r="J1861" i="33"/>
  <c r="J1862" i="33"/>
  <c r="J1863" i="33"/>
  <c r="J1864" i="33"/>
  <c r="J1865" i="33"/>
  <c r="I2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I156" i="33"/>
  <c r="I157" i="33"/>
  <c r="I158" i="33"/>
  <c r="I159" i="33"/>
  <c r="I160" i="33"/>
  <c r="I161" i="33"/>
  <c r="I162" i="33"/>
  <c r="I163" i="33"/>
  <c r="I164" i="33"/>
  <c r="I165" i="33"/>
  <c r="I166" i="33"/>
  <c r="I167" i="33"/>
  <c r="I168" i="33"/>
  <c r="I169" i="33"/>
  <c r="I170" i="33"/>
  <c r="I171" i="33"/>
  <c r="I172" i="33"/>
  <c r="I173" i="33"/>
  <c r="I174" i="33"/>
  <c r="I175" i="33"/>
  <c r="I176" i="33"/>
  <c r="I177" i="33"/>
  <c r="I178" i="33"/>
  <c r="I179" i="33"/>
  <c r="I180" i="33"/>
  <c r="I181" i="33"/>
  <c r="I182" i="33"/>
  <c r="I183" i="33"/>
  <c r="I184" i="33"/>
  <c r="I185" i="33"/>
  <c r="I186" i="33"/>
  <c r="I187" i="33"/>
  <c r="I188" i="33"/>
  <c r="I189" i="33"/>
  <c r="I190" i="33"/>
  <c r="I191" i="33"/>
  <c r="I192" i="33"/>
  <c r="I193" i="33"/>
  <c r="I194" i="33"/>
  <c r="I195" i="33"/>
  <c r="I196" i="33"/>
  <c r="I197" i="33"/>
  <c r="I198" i="33"/>
  <c r="I199" i="33"/>
  <c r="I200" i="33"/>
  <c r="I201" i="33"/>
  <c r="I202" i="33"/>
  <c r="I203" i="33"/>
  <c r="I204" i="33"/>
  <c r="I205" i="33"/>
  <c r="I206" i="33"/>
  <c r="I207" i="33"/>
  <c r="I208" i="33"/>
  <c r="I209" i="33"/>
  <c r="I210" i="33"/>
  <c r="I211" i="33"/>
  <c r="I212" i="33"/>
  <c r="I213" i="33"/>
  <c r="I214" i="33"/>
  <c r="I215" i="33"/>
  <c r="I216" i="33"/>
  <c r="I217" i="33"/>
  <c r="I218" i="33"/>
  <c r="I219" i="33"/>
  <c r="I220" i="33"/>
  <c r="I221" i="33"/>
  <c r="I222" i="33"/>
  <c r="I223" i="33"/>
  <c r="I224" i="33"/>
  <c r="I225" i="33"/>
  <c r="I226" i="33"/>
  <c r="I227" i="33"/>
  <c r="I228" i="33"/>
  <c r="I229" i="33"/>
  <c r="I230" i="33"/>
  <c r="I231" i="33"/>
  <c r="I232" i="33"/>
  <c r="I233" i="33"/>
  <c r="I234" i="33"/>
  <c r="I235" i="33"/>
  <c r="I236" i="33"/>
  <c r="I237" i="33"/>
  <c r="I238" i="33"/>
  <c r="I239" i="33"/>
  <c r="I240" i="33"/>
  <c r="I241" i="33"/>
  <c r="I242" i="33"/>
  <c r="I243" i="33"/>
  <c r="I244" i="33"/>
  <c r="I245" i="33"/>
  <c r="I246" i="33"/>
  <c r="I247" i="33"/>
  <c r="I248" i="33"/>
  <c r="I249" i="33"/>
  <c r="I250" i="33"/>
  <c r="I251" i="33"/>
  <c r="I252" i="33"/>
  <c r="I253" i="33"/>
  <c r="I254" i="33"/>
  <c r="I255" i="33"/>
  <c r="I256" i="33"/>
  <c r="I257" i="33"/>
  <c r="I258" i="33"/>
  <c r="I259" i="33"/>
  <c r="I260" i="33"/>
  <c r="I261" i="33"/>
  <c r="I262" i="33"/>
  <c r="I263" i="33"/>
  <c r="I264" i="33"/>
  <c r="I265" i="33"/>
  <c r="I266" i="33"/>
  <c r="I267" i="33"/>
  <c r="I268" i="33"/>
  <c r="I269" i="33"/>
  <c r="I270" i="33"/>
  <c r="I271" i="33"/>
  <c r="I272" i="33"/>
  <c r="I273" i="33"/>
  <c r="I274" i="33"/>
  <c r="I275" i="33"/>
  <c r="I276" i="33"/>
  <c r="I277" i="33"/>
  <c r="I278" i="33"/>
  <c r="I279" i="33"/>
  <c r="I280" i="33"/>
  <c r="I281" i="33"/>
  <c r="I282" i="33"/>
  <c r="I283" i="33"/>
  <c r="I284" i="33"/>
  <c r="I285" i="33"/>
  <c r="I286" i="33"/>
  <c r="I287" i="33"/>
  <c r="I288" i="33"/>
  <c r="I289" i="33"/>
  <c r="I290" i="33"/>
  <c r="I291" i="33"/>
  <c r="I292" i="33"/>
  <c r="I293" i="33"/>
  <c r="I294" i="33"/>
  <c r="I295" i="33"/>
  <c r="I296" i="33"/>
  <c r="I297" i="33"/>
  <c r="I298" i="33"/>
  <c r="I299" i="33"/>
  <c r="I300" i="33"/>
  <c r="I301" i="33"/>
  <c r="I302" i="33"/>
  <c r="I303" i="33"/>
  <c r="I304" i="33"/>
  <c r="I305" i="33"/>
  <c r="I306" i="33"/>
  <c r="I307" i="33"/>
  <c r="I308" i="33"/>
  <c r="I309" i="33"/>
  <c r="I310" i="33"/>
  <c r="I311" i="33"/>
  <c r="I312" i="33"/>
  <c r="I313" i="33"/>
  <c r="I314" i="33"/>
  <c r="I315" i="33"/>
  <c r="I316" i="33"/>
  <c r="I317" i="33"/>
  <c r="I318" i="33"/>
  <c r="I319" i="33"/>
  <c r="I320" i="33"/>
  <c r="I321" i="33"/>
  <c r="I322" i="33"/>
  <c r="I323" i="33"/>
  <c r="I324" i="33"/>
  <c r="I325" i="33"/>
  <c r="I326" i="33"/>
  <c r="I327" i="33"/>
  <c r="I328" i="33"/>
  <c r="I329" i="33"/>
  <c r="I330" i="33"/>
  <c r="I331" i="33"/>
  <c r="I332" i="33"/>
  <c r="I333" i="33"/>
  <c r="I334" i="33"/>
  <c r="I335" i="33"/>
  <c r="I336" i="33"/>
  <c r="I337" i="33"/>
  <c r="I338" i="33"/>
  <c r="I339" i="33"/>
  <c r="I340" i="33"/>
  <c r="I341" i="33"/>
  <c r="I342" i="33"/>
  <c r="I343" i="33"/>
  <c r="I344" i="33"/>
  <c r="I345" i="33"/>
  <c r="I346" i="33"/>
  <c r="I347" i="33"/>
  <c r="I348" i="33"/>
  <c r="I349" i="33"/>
  <c r="I350" i="33"/>
  <c r="I351" i="33"/>
  <c r="I352" i="33"/>
  <c r="I353" i="33"/>
  <c r="I354" i="33"/>
  <c r="I355" i="33"/>
  <c r="I356" i="33"/>
  <c r="I357" i="33"/>
  <c r="I358" i="33"/>
  <c r="I359" i="33"/>
  <c r="I360" i="33"/>
  <c r="I361" i="33"/>
  <c r="I362" i="33"/>
  <c r="I363" i="33"/>
  <c r="I364" i="33"/>
  <c r="I365" i="33"/>
  <c r="I366" i="33"/>
  <c r="I367" i="33"/>
  <c r="I368" i="33"/>
  <c r="I369" i="33"/>
  <c r="I370" i="33"/>
  <c r="I371" i="33"/>
  <c r="I372" i="33"/>
  <c r="I373" i="33"/>
  <c r="I374" i="33"/>
  <c r="I375" i="33"/>
  <c r="I376" i="33"/>
  <c r="I377" i="33"/>
  <c r="I378" i="33"/>
  <c r="I379" i="33"/>
  <c r="I380" i="33"/>
  <c r="I381" i="33"/>
  <c r="I382" i="33"/>
  <c r="I383" i="33"/>
  <c r="I384" i="33"/>
  <c r="I385" i="33"/>
  <c r="I386" i="33"/>
  <c r="I387" i="33"/>
  <c r="I388" i="33"/>
  <c r="I389" i="33"/>
  <c r="I390" i="33"/>
  <c r="I391" i="33"/>
  <c r="I392" i="33"/>
  <c r="I393" i="33"/>
  <c r="I394" i="33"/>
  <c r="I395" i="33"/>
  <c r="I396" i="33"/>
  <c r="I397" i="33"/>
  <c r="I398" i="33"/>
  <c r="I399" i="33"/>
  <c r="I400" i="33"/>
  <c r="I401" i="33"/>
  <c r="I402" i="33"/>
  <c r="I403" i="33"/>
  <c r="I404" i="33"/>
  <c r="I405" i="33"/>
  <c r="I406" i="33"/>
  <c r="I407" i="33"/>
  <c r="I408" i="33"/>
  <c r="I409" i="33"/>
  <c r="I410" i="33"/>
  <c r="I411" i="33"/>
  <c r="I412" i="33"/>
  <c r="I413" i="33"/>
  <c r="I414" i="33"/>
  <c r="I415" i="33"/>
  <c r="I416" i="33"/>
  <c r="I417" i="33"/>
  <c r="I418" i="33"/>
  <c r="I419" i="33"/>
  <c r="I420" i="33"/>
  <c r="I421" i="33"/>
  <c r="I422" i="33"/>
  <c r="I423" i="33"/>
  <c r="I424" i="33"/>
  <c r="I425" i="33"/>
  <c r="I426" i="33"/>
  <c r="I427" i="33"/>
  <c r="I428" i="33"/>
  <c r="I429" i="33"/>
  <c r="I430" i="33"/>
  <c r="I431" i="33"/>
  <c r="I432" i="33"/>
  <c r="I433" i="33"/>
  <c r="I434" i="33"/>
  <c r="I435" i="33"/>
  <c r="I436" i="33"/>
  <c r="I437" i="33"/>
  <c r="I438" i="33"/>
  <c r="I439" i="33"/>
  <c r="I440" i="33"/>
  <c r="I441" i="33"/>
  <c r="I442" i="33"/>
  <c r="I443" i="33"/>
  <c r="I444" i="33"/>
  <c r="I445" i="33"/>
  <c r="I446" i="33"/>
  <c r="I447" i="33"/>
  <c r="I448" i="33"/>
  <c r="I449" i="33"/>
  <c r="I450" i="33"/>
  <c r="I451" i="33"/>
  <c r="I452" i="33"/>
  <c r="I453" i="33"/>
  <c r="I454" i="33"/>
  <c r="I455" i="33"/>
  <c r="I456" i="33"/>
  <c r="I457" i="33"/>
  <c r="I458" i="33"/>
  <c r="I459" i="33"/>
  <c r="I460" i="33"/>
  <c r="I461" i="33"/>
  <c r="I462" i="33"/>
  <c r="I463" i="33"/>
  <c r="I464" i="33"/>
  <c r="I465" i="33"/>
  <c r="I466" i="33"/>
  <c r="I467" i="33"/>
  <c r="I468" i="33"/>
  <c r="I469" i="33"/>
  <c r="I470" i="33"/>
  <c r="I471" i="33"/>
  <c r="I472" i="33"/>
  <c r="I473" i="33"/>
  <c r="I474" i="33"/>
  <c r="I475" i="33"/>
  <c r="I476" i="33"/>
  <c r="I477" i="33"/>
  <c r="I478" i="33"/>
  <c r="I479" i="33"/>
  <c r="I480" i="33"/>
  <c r="I481" i="33"/>
  <c r="I482" i="33"/>
  <c r="I483" i="33"/>
  <c r="I484" i="33"/>
  <c r="I485" i="33"/>
  <c r="I486" i="33"/>
  <c r="I487" i="33"/>
  <c r="I488" i="33"/>
  <c r="I489" i="33"/>
  <c r="I490" i="33"/>
  <c r="I491" i="33"/>
  <c r="I492" i="33"/>
  <c r="I493" i="33"/>
  <c r="I494" i="33"/>
  <c r="I495" i="33"/>
  <c r="I496" i="33"/>
  <c r="I497" i="33"/>
  <c r="I498" i="33"/>
  <c r="I499" i="33"/>
  <c r="I500" i="33"/>
  <c r="I501" i="33"/>
  <c r="I502" i="33"/>
  <c r="I503" i="33"/>
  <c r="I504" i="33"/>
  <c r="I505" i="33"/>
  <c r="I506" i="33"/>
  <c r="I507" i="33"/>
  <c r="I508" i="33"/>
  <c r="I509" i="33"/>
  <c r="I510" i="33"/>
  <c r="I511" i="33"/>
  <c r="I512" i="33"/>
  <c r="I513" i="33"/>
  <c r="I514" i="33"/>
  <c r="I515" i="33"/>
  <c r="I516" i="33"/>
  <c r="I517" i="33"/>
  <c r="I518" i="33"/>
  <c r="I519" i="33"/>
  <c r="I520" i="33"/>
  <c r="I521" i="33"/>
  <c r="I522" i="33"/>
  <c r="I523" i="33"/>
  <c r="I524" i="33"/>
  <c r="I525" i="33"/>
  <c r="I526" i="33"/>
  <c r="I527" i="33"/>
  <c r="I528" i="33"/>
  <c r="I529" i="33"/>
  <c r="I530" i="33"/>
  <c r="I531" i="33"/>
  <c r="I532" i="33"/>
  <c r="I533" i="33"/>
  <c r="I534" i="33"/>
  <c r="I535" i="33"/>
  <c r="I536" i="33"/>
  <c r="I537" i="33"/>
  <c r="I538" i="33"/>
  <c r="I539" i="33"/>
  <c r="I540" i="33"/>
  <c r="I541" i="33"/>
  <c r="I542" i="33"/>
  <c r="I543" i="33"/>
  <c r="I544" i="33"/>
  <c r="I545" i="33"/>
  <c r="I546" i="33"/>
  <c r="I547" i="33"/>
  <c r="I548" i="33"/>
  <c r="I549" i="33"/>
  <c r="I550" i="33"/>
  <c r="I551" i="33"/>
  <c r="I552" i="33"/>
  <c r="I553" i="33"/>
  <c r="I554" i="33"/>
  <c r="I555" i="33"/>
  <c r="I556" i="33"/>
  <c r="I557" i="33"/>
  <c r="I558" i="33"/>
  <c r="I559" i="33"/>
  <c r="I560" i="33"/>
  <c r="I561" i="33"/>
  <c r="I562" i="33"/>
  <c r="I563" i="33"/>
  <c r="I564" i="33"/>
  <c r="I565" i="33"/>
  <c r="I566" i="33"/>
  <c r="I567" i="33"/>
  <c r="I568" i="33"/>
  <c r="I569" i="33"/>
  <c r="I570" i="33"/>
  <c r="I571" i="33"/>
  <c r="I572" i="33"/>
  <c r="I573" i="33"/>
  <c r="I574" i="33"/>
  <c r="I575" i="33"/>
  <c r="I576" i="33"/>
  <c r="I577" i="33"/>
  <c r="I578" i="33"/>
  <c r="I579" i="33"/>
  <c r="I580" i="33"/>
  <c r="I581" i="33"/>
  <c r="I582" i="33"/>
  <c r="I583" i="33"/>
  <c r="I584" i="33"/>
  <c r="I585" i="33"/>
  <c r="I586" i="33"/>
  <c r="I587" i="33"/>
  <c r="I588" i="33"/>
  <c r="I589" i="33"/>
  <c r="I590" i="33"/>
  <c r="I591" i="33"/>
  <c r="I592" i="33"/>
  <c r="I593" i="33"/>
  <c r="I594" i="33"/>
  <c r="I595" i="33"/>
  <c r="I596" i="33"/>
  <c r="I597" i="33"/>
  <c r="I598" i="33"/>
  <c r="I599" i="33"/>
  <c r="I600" i="33"/>
  <c r="I601" i="33"/>
  <c r="I602" i="33"/>
  <c r="I603" i="33"/>
  <c r="I604" i="33"/>
  <c r="I605" i="33"/>
  <c r="I606" i="33"/>
  <c r="I607" i="33"/>
  <c r="I608" i="33"/>
  <c r="I609" i="33"/>
  <c r="I610" i="33"/>
  <c r="I611" i="33"/>
  <c r="I612" i="33"/>
  <c r="I613" i="33"/>
  <c r="I614" i="33"/>
  <c r="I615" i="33"/>
  <c r="I616" i="33"/>
  <c r="I617" i="33"/>
  <c r="I618" i="33"/>
  <c r="I619" i="33"/>
  <c r="I620" i="33"/>
  <c r="I621" i="33"/>
  <c r="I622" i="33"/>
  <c r="I623" i="33"/>
  <c r="I624" i="33"/>
  <c r="I625" i="33"/>
  <c r="I626" i="33"/>
  <c r="I627" i="33"/>
  <c r="I628" i="33"/>
  <c r="I629" i="33"/>
  <c r="I630" i="33"/>
  <c r="I631" i="33"/>
  <c r="I632" i="33"/>
  <c r="I633" i="33"/>
  <c r="I634" i="33"/>
  <c r="I635" i="33"/>
  <c r="I636" i="33"/>
  <c r="I637" i="33"/>
  <c r="I638" i="33"/>
  <c r="I639" i="33"/>
  <c r="I640" i="33"/>
  <c r="I641" i="33"/>
  <c r="I642" i="33"/>
  <c r="I643" i="33"/>
  <c r="I644" i="33"/>
  <c r="I645" i="33"/>
  <c r="I646" i="33"/>
  <c r="I647" i="33"/>
  <c r="I648" i="33"/>
  <c r="I649" i="33"/>
  <c r="I650" i="33"/>
  <c r="I651" i="33"/>
  <c r="I652" i="33"/>
  <c r="I653" i="33"/>
  <c r="I654" i="33"/>
  <c r="I655" i="33"/>
  <c r="I656" i="33"/>
  <c r="I657" i="33"/>
  <c r="I658" i="33"/>
  <c r="I659" i="33"/>
  <c r="I660" i="33"/>
  <c r="I661" i="33"/>
  <c r="I662" i="33"/>
  <c r="I663" i="33"/>
  <c r="I664" i="33"/>
  <c r="I665" i="33"/>
  <c r="I666" i="33"/>
  <c r="I667" i="33"/>
  <c r="I668" i="33"/>
  <c r="I669" i="33"/>
  <c r="I670" i="33"/>
  <c r="I671" i="33"/>
  <c r="I672" i="33"/>
  <c r="I673" i="33"/>
  <c r="I674" i="33"/>
  <c r="I675" i="33"/>
  <c r="I676" i="33"/>
  <c r="I677" i="33"/>
  <c r="I678" i="33"/>
  <c r="I679" i="33"/>
  <c r="I680" i="33"/>
  <c r="I681" i="33"/>
  <c r="I682" i="33"/>
  <c r="I683" i="33"/>
  <c r="I684" i="33"/>
  <c r="I685" i="33"/>
  <c r="I686" i="33"/>
  <c r="I687" i="33"/>
  <c r="I688" i="33"/>
  <c r="I689" i="33"/>
  <c r="I690" i="33"/>
  <c r="I691" i="33"/>
  <c r="I692" i="33"/>
  <c r="I693" i="33"/>
  <c r="I694" i="33"/>
  <c r="I695" i="33"/>
  <c r="I696" i="33"/>
  <c r="I697" i="33"/>
  <c r="I698" i="33"/>
  <c r="I699" i="33"/>
  <c r="I700" i="33"/>
  <c r="I701" i="33"/>
  <c r="I702" i="33"/>
  <c r="I703" i="33"/>
  <c r="I704" i="33"/>
  <c r="I705" i="33"/>
  <c r="I706" i="33"/>
  <c r="I707" i="33"/>
  <c r="I708" i="33"/>
  <c r="I709" i="33"/>
  <c r="I710" i="33"/>
  <c r="I711" i="33"/>
  <c r="I712" i="33"/>
  <c r="I713" i="33"/>
  <c r="I714" i="33"/>
  <c r="I715" i="33"/>
  <c r="I716" i="33"/>
  <c r="I717" i="33"/>
  <c r="I718" i="33"/>
  <c r="I719" i="33"/>
  <c r="I720" i="33"/>
  <c r="I721" i="33"/>
  <c r="I722" i="33"/>
  <c r="I723" i="33"/>
  <c r="I724" i="33"/>
  <c r="I725" i="33"/>
  <c r="I726" i="33"/>
  <c r="I727" i="33"/>
  <c r="I728" i="33"/>
  <c r="I729" i="33"/>
  <c r="I730" i="33"/>
  <c r="I731" i="33"/>
  <c r="I732" i="33"/>
  <c r="I733" i="33"/>
  <c r="I734" i="33"/>
  <c r="I735" i="33"/>
  <c r="I736" i="33"/>
  <c r="I737" i="33"/>
  <c r="I738" i="33"/>
  <c r="I739" i="33"/>
  <c r="I740" i="33"/>
  <c r="I741" i="33"/>
  <c r="I742" i="33"/>
  <c r="I743" i="33"/>
  <c r="I744" i="33"/>
  <c r="I745" i="33"/>
  <c r="I746" i="33"/>
  <c r="I747" i="33"/>
  <c r="I748" i="33"/>
  <c r="I749" i="33"/>
  <c r="I750" i="33"/>
  <c r="I751" i="33"/>
  <c r="I752" i="33"/>
  <c r="I753" i="33"/>
  <c r="I754" i="33"/>
  <c r="I755" i="33"/>
  <c r="I756" i="33"/>
  <c r="I757" i="33"/>
  <c r="I758" i="33"/>
  <c r="I759" i="33"/>
  <c r="I760" i="33"/>
  <c r="I761" i="33"/>
  <c r="I762" i="33"/>
  <c r="I763" i="33"/>
  <c r="I764" i="33"/>
  <c r="I765" i="33"/>
  <c r="I766" i="33"/>
  <c r="I767" i="33"/>
  <c r="I768" i="33"/>
  <c r="I769" i="33"/>
  <c r="I770" i="33"/>
  <c r="I771" i="33"/>
  <c r="I772" i="33"/>
  <c r="I773" i="33"/>
  <c r="I774" i="33"/>
  <c r="I775" i="33"/>
  <c r="I776" i="33"/>
  <c r="I777" i="33"/>
  <c r="I778" i="33"/>
  <c r="I779" i="33"/>
  <c r="I780" i="33"/>
  <c r="I781" i="33"/>
  <c r="I782" i="33"/>
  <c r="I783" i="33"/>
  <c r="I784" i="33"/>
  <c r="I785" i="33"/>
  <c r="I786" i="33"/>
  <c r="I787" i="33"/>
  <c r="I788" i="33"/>
  <c r="I789" i="33"/>
  <c r="I790" i="33"/>
  <c r="I791" i="33"/>
  <c r="I792" i="33"/>
  <c r="I793" i="33"/>
  <c r="I794" i="33"/>
  <c r="I795" i="33"/>
  <c r="I796" i="33"/>
  <c r="I797" i="33"/>
  <c r="I798" i="33"/>
  <c r="I799" i="33"/>
  <c r="I800" i="33"/>
  <c r="I801" i="33"/>
  <c r="I802" i="33"/>
  <c r="I803" i="33"/>
  <c r="I804" i="33"/>
  <c r="I805" i="33"/>
  <c r="I806" i="33"/>
  <c r="I807" i="33"/>
  <c r="I808" i="33"/>
  <c r="I809" i="33"/>
  <c r="I810" i="33"/>
  <c r="I811" i="33"/>
  <c r="I812" i="33"/>
  <c r="I813" i="33"/>
  <c r="I814" i="33"/>
  <c r="I815" i="33"/>
  <c r="I816" i="33"/>
  <c r="I817" i="33"/>
  <c r="I818" i="33"/>
  <c r="I819" i="33"/>
  <c r="I820" i="33"/>
  <c r="I821" i="33"/>
  <c r="I822" i="33"/>
  <c r="I823" i="33"/>
  <c r="I824" i="33"/>
  <c r="I825" i="33"/>
  <c r="I826" i="33"/>
  <c r="I827" i="33"/>
  <c r="I828" i="33"/>
  <c r="I829" i="33"/>
  <c r="I830" i="33"/>
  <c r="I831" i="33"/>
  <c r="I832" i="33"/>
  <c r="I833" i="33"/>
  <c r="I834" i="33"/>
  <c r="I835" i="33"/>
  <c r="I836" i="33"/>
  <c r="I837" i="33"/>
  <c r="I838" i="33"/>
  <c r="I839" i="33"/>
  <c r="I840" i="33"/>
  <c r="I841" i="33"/>
  <c r="I842" i="33"/>
  <c r="I843" i="33"/>
  <c r="I844" i="33"/>
  <c r="I845" i="33"/>
  <c r="I846" i="33"/>
  <c r="I847" i="33"/>
  <c r="I848" i="33"/>
  <c r="I849" i="33"/>
  <c r="I850" i="33"/>
  <c r="I851" i="33"/>
  <c r="I852" i="33"/>
  <c r="I853" i="33"/>
  <c r="I854" i="33"/>
  <c r="I855" i="33"/>
  <c r="I856" i="33"/>
  <c r="I857" i="33"/>
  <c r="I858" i="33"/>
  <c r="I859" i="33"/>
  <c r="I860" i="33"/>
  <c r="I861" i="33"/>
  <c r="I862" i="33"/>
  <c r="I863" i="33"/>
  <c r="I864" i="33"/>
  <c r="I865" i="33"/>
  <c r="I866" i="33"/>
  <c r="I867" i="33"/>
  <c r="I868" i="33"/>
  <c r="I869" i="33"/>
  <c r="I870" i="33"/>
  <c r="I871" i="33"/>
  <c r="I872" i="33"/>
  <c r="I873" i="33"/>
  <c r="I874" i="33"/>
  <c r="I875" i="33"/>
  <c r="I876" i="33"/>
  <c r="I877" i="33"/>
  <c r="I878" i="33"/>
  <c r="I879" i="33"/>
  <c r="I880" i="33"/>
  <c r="I881" i="33"/>
  <c r="I882" i="33"/>
  <c r="I883" i="33"/>
  <c r="I884" i="33"/>
  <c r="I885" i="33"/>
  <c r="I886" i="33"/>
  <c r="I887" i="33"/>
  <c r="I888" i="33"/>
  <c r="I889" i="33"/>
  <c r="I890" i="33"/>
  <c r="I891" i="33"/>
  <c r="I892" i="33"/>
  <c r="I893" i="33"/>
  <c r="I894" i="33"/>
  <c r="I895" i="33"/>
  <c r="I896" i="33"/>
  <c r="I897" i="33"/>
  <c r="I898" i="33"/>
  <c r="I899" i="33"/>
  <c r="I900" i="33"/>
  <c r="I901" i="33"/>
  <c r="I902" i="33"/>
  <c r="I903" i="33"/>
  <c r="I904" i="33"/>
  <c r="I905" i="33"/>
  <c r="I906" i="33"/>
  <c r="I907" i="33"/>
  <c r="I908" i="33"/>
  <c r="I909" i="33"/>
  <c r="I910" i="33"/>
  <c r="I911" i="33"/>
  <c r="I912" i="33"/>
  <c r="I913" i="33"/>
  <c r="I914" i="33"/>
  <c r="I915" i="33"/>
  <c r="I916" i="33"/>
  <c r="I917" i="33"/>
  <c r="I918" i="33"/>
  <c r="I919" i="33"/>
  <c r="I920" i="33"/>
  <c r="I921" i="33"/>
  <c r="I922" i="33"/>
  <c r="I923" i="33"/>
  <c r="I924" i="33"/>
  <c r="I925" i="33"/>
  <c r="I926" i="33"/>
  <c r="I927" i="33"/>
  <c r="I928" i="33"/>
  <c r="I929" i="33"/>
  <c r="I930" i="33"/>
  <c r="I931" i="33"/>
  <c r="I932" i="33"/>
  <c r="I933" i="33"/>
  <c r="I934" i="33"/>
  <c r="I935" i="33"/>
  <c r="I936" i="33"/>
  <c r="I937" i="33"/>
  <c r="I938" i="33"/>
  <c r="I939" i="33"/>
  <c r="I940" i="33"/>
  <c r="I941" i="33"/>
  <c r="I942" i="33"/>
  <c r="I943" i="33"/>
  <c r="I944" i="33"/>
  <c r="I945" i="33"/>
  <c r="I946" i="33"/>
  <c r="I947" i="33"/>
  <c r="I948" i="33"/>
  <c r="I949" i="33"/>
  <c r="I950" i="33"/>
  <c r="I951" i="33"/>
  <c r="I952" i="33"/>
  <c r="I953" i="33"/>
  <c r="I954" i="33"/>
  <c r="I955" i="33"/>
  <c r="I956" i="33"/>
  <c r="I957" i="33"/>
  <c r="I958" i="33"/>
  <c r="I959" i="33"/>
  <c r="I960" i="33"/>
  <c r="I961" i="33"/>
  <c r="I962" i="33"/>
  <c r="I963" i="33"/>
  <c r="I964" i="33"/>
  <c r="I965" i="33"/>
  <c r="I966" i="33"/>
  <c r="I967" i="33"/>
  <c r="I968" i="33"/>
  <c r="I969" i="33"/>
  <c r="I970" i="33"/>
  <c r="I971" i="33"/>
  <c r="I972" i="33"/>
  <c r="I973" i="33"/>
  <c r="I974" i="33"/>
  <c r="I975" i="33"/>
  <c r="I976" i="33"/>
  <c r="I977" i="33"/>
  <c r="I978" i="33"/>
  <c r="I979" i="33"/>
  <c r="I980" i="33"/>
  <c r="I981" i="33"/>
  <c r="I982" i="33"/>
  <c r="I983" i="33"/>
  <c r="I984" i="33"/>
  <c r="I985" i="33"/>
  <c r="I986" i="33"/>
  <c r="I987" i="33"/>
  <c r="I988" i="33"/>
  <c r="I989" i="33"/>
  <c r="I990" i="33"/>
  <c r="I991" i="33"/>
  <c r="I992" i="33"/>
  <c r="I993" i="33"/>
  <c r="I994" i="33"/>
  <c r="I995" i="33"/>
  <c r="I996" i="33"/>
  <c r="I997" i="33"/>
  <c r="I998" i="33"/>
  <c r="I999" i="33"/>
  <c r="I1000" i="33"/>
  <c r="I1001" i="33"/>
  <c r="I1002" i="33"/>
  <c r="I1003" i="33"/>
  <c r="I1004" i="33"/>
  <c r="I1005" i="33"/>
  <c r="I1006" i="33"/>
  <c r="I1007" i="33"/>
  <c r="I1008" i="33"/>
  <c r="I1009" i="33"/>
  <c r="I1010" i="33"/>
  <c r="I1011" i="33"/>
  <c r="I1012" i="33"/>
  <c r="I1013" i="33"/>
  <c r="I1014" i="33"/>
  <c r="I1015" i="33"/>
  <c r="I1016" i="33"/>
  <c r="I1017" i="33"/>
  <c r="I1018" i="33"/>
  <c r="I1019" i="33"/>
  <c r="I1020" i="33"/>
  <c r="I1021" i="33"/>
  <c r="I1022" i="33"/>
  <c r="I1023" i="33"/>
  <c r="I1024" i="33"/>
  <c r="I1025" i="33"/>
  <c r="I1026" i="33"/>
  <c r="I1027" i="33"/>
  <c r="I1028" i="33"/>
  <c r="I1029" i="33"/>
  <c r="I1030" i="33"/>
  <c r="I1031" i="33"/>
  <c r="I1032" i="33"/>
  <c r="I1033" i="33"/>
  <c r="I1034" i="33"/>
  <c r="I1035" i="33"/>
  <c r="I1036" i="33"/>
  <c r="I1037" i="33"/>
  <c r="I1038" i="33"/>
  <c r="I1039" i="33"/>
  <c r="I1040" i="33"/>
  <c r="I1041" i="33"/>
  <c r="I1042" i="33"/>
  <c r="I1043" i="33"/>
  <c r="I1044" i="33"/>
  <c r="I1045" i="33"/>
  <c r="I1046" i="33"/>
  <c r="I1047" i="33"/>
  <c r="I1048" i="33"/>
  <c r="I1049" i="33"/>
  <c r="I1050" i="33"/>
  <c r="I1051" i="33"/>
  <c r="I1052" i="33"/>
  <c r="I1053" i="33"/>
  <c r="I1054" i="33"/>
  <c r="I1055" i="33"/>
  <c r="I1056" i="33"/>
  <c r="I1057" i="33"/>
  <c r="I1058" i="33"/>
  <c r="I1059" i="33"/>
  <c r="I1060" i="33"/>
  <c r="I1061" i="33"/>
  <c r="I1062" i="33"/>
  <c r="I1063" i="33"/>
  <c r="I1064" i="33"/>
  <c r="I1065" i="33"/>
  <c r="I1066" i="33"/>
  <c r="I1067" i="33"/>
  <c r="I1068" i="33"/>
  <c r="I1069" i="33"/>
  <c r="I1070" i="33"/>
  <c r="I1071" i="33"/>
  <c r="I1072" i="33"/>
  <c r="I1073" i="33"/>
  <c r="I1074" i="33"/>
  <c r="I1075" i="33"/>
  <c r="I1076" i="33"/>
  <c r="I1077" i="33"/>
  <c r="I1078" i="33"/>
  <c r="I1079" i="33"/>
  <c r="I1080" i="33"/>
  <c r="I1081" i="33"/>
  <c r="I1082" i="33"/>
  <c r="I1083" i="33"/>
  <c r="I1084" i="33"/>
  <c r="I1085" i="33"/>
  <c r="I1086" i="33"/>
  <c r="I1087" i="33"/>
  <c r="I1088" i="33"/>
  <c r="I1089" i="33"/>
  <c r="I1090" i="33"/>
  <c r="I1091" i="33"/>
  <c r="I1092" i="33"/>
  <c r="I1093" i="33"/>
  <c r="I1094" i="33"/>
  <c r="I1095" i="33"/>
  <c r="I1096" i="33"/>
  <c r="I1097" i="33"/>
  <c r="I1098" i="33"/>
  <c r="I1099" i="33"/>
  <c r="I1100" i="33"/>
  <c r="I1101" i="33"/>
  <c r="I1102" i="33"/>
  <c r="I1103" i="33"/>
  <c r="I1104" i="33"/>
  <c r="I1105" i="33"/>
  <c r="I1106" i="33"/>
  <c r="I1107" i="33"/>
  <c r="I1108" i="33"/>
  <c r="I1109" i="33"/>
  <c r="I1110" i="33"/>
  <c r="I1111" i="33"/>
  <c r="I1112" i="33"/>
  <c r="I1113" i="33"/>
  <c r="I1114" i="33"/>
  <c r="I1115" i="33"/>
  <c r="I1116" i="33"/>
  <c r="I1117" i="33"/>
  <c r="I1118" i="33"/>
  <c r="I1119" i="33"/>
  <c r="I1120" i="33"/>
  <c r="I1121" i="33"/>
  <c r="I1122" i="33"/>
  <c r="I1123" i="33"/>
  <c r="I1124" i="33"/>
  <c r="I1125" i="33"/>
  <c r="I1126" i="33"/>
  <c r="I1127" i="33"/>
  <c r="I1128" i="33"/>
  <c r="I1129" i="33"/>
  <c r="I1130" i="33"/>
  <c r="I1131" i="33"/>
  <c r="I1132" i="33"/>
  <c r="I1133" i="33"/>
  <c r="I1134" i="33"/>
  <c r="I1135" i="33"/>
  <c r="I1136" i="33"/>
  <c r="I1137" i="33"/>
  <c r="I1138" i="33"/>
  <c r="I1139" i="33"/>
  <c r="I1140" i="33"/>
  <c r="I1141" i="33"/>
  <c r="I1142" i="33"/>
  <c r="I1143" i="33"/>
  <c r="I1144" i="33"/>
  <c r="I1145" i="33"/>
  <c r="I1146" i="33"/>
  <c r="I1147" i="33"/>
  <c r="I1148" i="33"/>
  <c r="I1149" i="33"/>
  <c r="I1150" i="33"/>
  <c r="I1151" i="33"/>
  <c r="I1152" i="33"/>
  <c r="I1153" i="33"/>
  <c r="I1154" i="33"/>
  <c r="I1155" i="33"/>
  <c r="I1156" i="33"/>
  <c r="I1157" i="33"/>
  <c r="I1158" i="33"/>
  <c r="I1159" i="33"/>
  <c r="I1160" i="33"/>
  <c r="I1161" i="33"/>
  <c r="I1162" i="33"/>
  <c r="I1163" i="33"/>
  <c r="I1164" i="33"/>
  <c r="I1165" i="33"/>
  <c r="I1166" i="33"/>
  <c r="I1167" i="33"/>
  <c r="I1168" i="33"/>
  <c r="I1169" i="33"/>
  <c r="I1170" i="33"/>
  <c r="I1171" i="33"/>
  <c r="I1172" i="33"/>
  <c r="I1173" i="33"/>
  <c r="I1174" i="33"/>
  <c r="I1175" i="33"/>
  <c r="I1176" i="33"/>
  <c r="I1177" i="33"/>
  <c r="I1178" i="33"/>
  <c r="I1179" i="33"/>
  <c r="I1180" i="33"/>
  <c r="I1181" i="33"/>
  <c r="I1182" i="33"/>
  <c r="I1183" i="33"/>
  <c r="I1184" i="33"/>
  <c r="I1185" i="33"/>
  <c r="I1186" i="33"/>
  <c r="I1187" i="33"/>
  <c r="I1188" i="33"/>
  <c r="I1189" i="33"/>
  <c r="I1190" i="33"/>
  <c r="I1191" i="33"/>
  <c r="I1192" i="33"/>
  <c r="I1193" i="33"/>
  <c r="I1194" i="33"/>
  <c r="I1195" i="33"/>
  <c r="I1196" i="33"/>
  <c r="I1197" i="33"/>
  <c r="I1198" i="33"/>
  <c r="I1199" i="33"/>
  <c r="I1200" i="33"/>
  <c r="I1201" i="33"/>
  <c r="I1202" i="33"/>
  <c r="I1203" i="33"/>
  <c r="I1204" i="33"/>
  <c r="I1205" i="33"/>
  <c r="I1206" i="33"/>
  <c r="I1207" i="33"/>
  <c r="I1208" i="33"/>
  <c r="I1209" i="33"/>
  <c r="I1210" i="33"/>
  <c r="I1211" i="33"/>
  <c r="I1212" i="33"/>
  <c r="I1213" i="33"/>
  <c r="I1214" i="33"/>
  <c r="I1215" i="33"/>
  <c r="I1216" i="33"/>
  <c r="I1217" i="33"/>
  <c r="I1218" i="33"/>
  <c r="I1219" i="33"/>
  <c r="I1220" i="33"/>
  <c r="I1221" i="33"/>
  <c r="I1222" i="33"/>
  <c r="I1223" i="33"/>
  <c r="I1224" i="33"/>
  <c r="I1225" i="33"/>
  <c r="I1226" i="33"/>
  <c r="I1227" i="33"/>
  <c r="I1228" i="33"/>
  <c r="I1229" i="33"/>
  <c r="I1230" i="33"/>
  <c r="I1231" i="33"/>
  <c r="I1232" i="33"/>
  <c r="I1233" i="33"/>
  <c r="I1234" i="33"/>
  <c r="I1235" i="33"/>
  <c r="I1236" i="33"/>
  <c r="I1237" i="33"/>
  <c r="I1238" i="33"/>
  <c r="I1239" i="33"/>
  <c r="I1240" i="33"/>
  <c r="I1241" i="33"/>
  <c r="I1242" i="33"/>
  <c r="I1243" i="33"/>
  <c r="I1244" i="33"/>
  <c r="I1245" i="33"/>
  <c r="I1246" i="33"/>
  <c r="I1247" i="33"/>
  <c r="I1248" i="33"/>
  <c r="I1249" i="33"/>
  <c r="I1250" i="33"/>
  <c r="I1251" i="33"/>
  <c r="I1252" i="33"/>
  <c r="I1253" i="33"/>
  <c r="I1254" i="33"/>
  <c r="I1255" i="33"/>
  <c r="I1256" i="33"/>
  <c r="I1257" i="33"/>
  <c r="I1258" i="33"/>
  <c r="I1259" i="33"/>
  <c r="I1260" i="33"/>
  <c r="I1261" i="33"/>
  <c r="I1262" i="33"/>
  <c r="I1263" i="33"/>
  <c r="I1264" i="33"/>
  <c r="I1265" i="33"/>
  <c r="I1266" i="33"/>
  <c r="I1267" i="33"/>
  <c r="I1268" i="33"/>
  <c r="I1269" i="33"/>
  <c r="I1270" i="33"/>
  <c r="I1271" i="33"/>
  <c r="I1272" i="33"/>
  <c r="I1273" i="33"/>
  <c r="I1274" i="33"/>
  <c r="I1275" i="33"/>
  <c r="I1276" i="33"/>
  <c r="I1277" i="33"/>
  <c r="I1278" i="33"/>
  <c r="I1279" i="33"/>
  <c r="I1280" i="33"/>
  <c r="I1281" i="33"/>
  <c r="I1282" i="33"/>
  <c r="I1283" i="33"/>
  <c r="I1284" i="33"/>
  <c r="I1285" i="33"/>
  <c r="I1286" i="33"/>
  <c r="I1287" i="33"/>
  <c r="I1288" i="33"/>
  <c r="I1289" i="33"/>
  <c r="I1290" i="33"/>
  <c r="I1291" i="33"/>
  <c r="I1292" i="33"/>
  <c r="I1293" i="33"/>
  <c r="I1294" i="33"/>
  <c r="I1295" i="33"/>
  <c r="I1296" i="33"/>
  <c r="I1297" i="33"/>
  <c r="I1298" i="33"/>
  <c r="I1299" i="33"/>
  <c r="I1300" i="33"/>
  <c r="I1301" i="33"/>
  <c r="I1302" i="33"/>
  <c r="I1303" i="33"/>
  <c r="I1304" i="33"/>
  <c r="I1305" i="33"/>
  <c r="I1306" i="33"/>
  <c r="I1307" i="33"/>
  <c r="I1308" i="33"/>
  <c r="I1309" i="33"/>
  <c r="I1310" i="33"/>
  <c r="I1311" i="33"/>
  <c r="I1312" i="33"/>
  <c r="I1313" i="33"/>
  <c r="I1314" i="33"/>
  <c r="I1315" i="33"/>
  <c r="I1316" i="33"/>
  <c r="I1317" i="33"/>
  <c r="I1318" i="33"/>
  <c r="I1319" i="33"/>
  <c r="I1320" i="33"/>
  <c r="I1321" i="33"/>
  <c r="I1322" i="33"/>
  <c r="I1323" i="33"/>
  <c r="I1324" i="33"/>
  <c r="I1325" i="33"/>
  <c r="I1326" i="33"/>
  <c r="I1327" i="33"/>
  <c r="I1328" i="33"/>
  <c r="I1329" i="33"/>
  <c r="I1330" i="33"/>
  <c r="I1331" i="33"/>
  <c r="I1332" i="33"/>
  <c r="I1333" i="33"/>
  <c r="I1334" i="33"/>
  <c r="I1335" i="33"/>
  <c r="I1336" i="33"/>
  <c r="I1337" i="33"/>
  <c r="I1338" i="33"/>
  <c r="I1339" i="33"/>
  <c r="I1340" i="33"/>
  <c r="I1341" i="33"/>
  <c r="I1342" i="33"/>
  <c r="I1343" i="33"/>
  <c r="I1344" i="33"/>
  <c r="I1345" i="33"/>
  <c r="I1346" i="33"/>
  <c r="I1347" i="33"/>
  <c r="I1348" i="33"/>
  <c r="I1349" i="33"/>
  <c r="I1350" i="33"/>
  <c r="I1351" i="33"/>
  <c r="I1352" i="33"/>
  <c r="I1353" i="33"/>
  <c r="I1354" i="33"/>
  <c r="I1355" i="33"/>
  <c r="I1356" i="33"/>
  <c r="I1357" i="33"/>
  <c r="I1358" i="33"/>
  <c r="I1359" i="33"/>
  <c r="I1360" i="33"/>
  <c r="I1361" i="33"/>
  <c r="I1362" i="33"/>
  <c r="I1363" i="33"/>
  <c r="I1364" i="33"/>
  <c r="I1365" i="33"/>
  <c r="I1366" i="33"/>
  <c r="I1367" i="33"/>
  <c r="I1368" i="33"/>
  <c r="I1369" i="33"/>
  <c r="I1370" i="33"/>
  <c r="I1371" i="33"/>
  <c r="I1372" i="33"/>
  <c r="I1373" i="33"/>
  <c r="I1374" i="33"/>
  <c r="I1375" i="33"/>
  <c r="I1376" i="33"/>
  <c r="I1377" i="33"/>
  <c r="I1378" i="33"/>
  <c r="I1379" i="33"/>
  <c r="I1380" i="33"/>
  <c r="I1381" i="33"/>
  <c r="I1382" i="33"/>
  <c r="I1383" i="33"/>
  <c r="I1384" i="33"/>
  <c r="I1385" i="33"/>
  <c r="I1386" i="33"/>
  <c r="I1387" i="33"/>
  <c r="I1388" i="33"/>
  <c r="I1389" i="33"/>
  <c r="I1390" i="33"/>
  <c r="I1391" i="33"/>
  <c r="I1392" i="33"/>
  <c r="I1393" i="33"/>
  <c r="I1394" i="33"/>
  <c r="I1395" i="33"/>
  <c r="I1396" i="33"/>
  <c r="I1397" i="33"/>
  <c r="I1398" i="33"/>
  <c r="I1399" i="33"/>
  <c r="I1400" i="33"/>
  <c r="I1401" i="33"/>
  <c r="I1402" i="33"/>
  <c r="I1403" i="33"/>
  <c r="I1404" i="33"/>
  <c r="I1405" i="33"/>
  <c r="I1406" i="33"/>
  <c r="I1407" i="33"/>
  <c r="I1408" i="33"/>
  <c r="I1409" i="33"/>
  <c r="I1410" i="33"/>
  <c r="I1411" i="33"/>
  <c r="I1412" i="33"/>
  <c r="I1413" i="33"/>
  <c r="I1414" i="33"/>
  <c r="I1415" i="33"/>
  <c r="I1416" i="33"/>
  <c r="I1417" i="33"/>
  <c r="I1418" i="33"/>
  <c r="I1419" i="33"/>
  <c r="I1420" i="33"/>
  <c r="I1421" i="33"/>
  <c r="I1422" i="33"/>
  <c r="I1423" i="33"/>
  <c r="I1424" i="33"/>
  <c r="I1425" i="33"/>
  <c r="I1426" i="33"/>
  <c r="I1427" i="33"/>
  <c r="I1428" i="33"/>
  <c r="I1429" i="33"/>
  <c r="I1430" i="33"/>
  <c r="I1431" i="33"/>
  <c r="I1432" i="33"/>
  <c r="I1433" i="33"/>
  <c r="I1434" i="33"/>
  <c r="I1435" i="33"/>
  <c r="I1436" i="33"/>
  <c r="I1437" i="33"/>
  <c r="I1438" i="33"/>
  <c r="I1439" i="33"/>
  <c r="I1440" i="33"/>
  <c r="I1441" i="33"/>
  <c r="I1442" i="33"/>
  <c r="I1443" i="33"/>
  <c r="I1444" i="33"/>
  <c r="I1445" i="33"/>
  <c r="I1446" i="33"/>
  <c r="I1447" i="33"/>
  <c r="I1448" i="33"/>
  <c r="I1449" i="33"/>
  <c r="I1450" i="33"/>
  <c r="I1451" i="33"/>
  <c r="I1452" i="33"/>
  <c r="I1453" i="33"/>
  <c r="I1454" i="33"/>
  <c r="I1455" i="33"/>
  <c r="I1456" i="33"/>
  <c r="I1457" i="33"/>
  <c r="I1458" i="33"/>
  <c r="I1459" i="33"/>
  <c r="I1460" i="33"/>
  <c r="I1461" i="33"/>
  <c r="I1462" i="33"/>
  <c r="I1463" i="33"/>
  <c r="I1464" i="33"/>
  <c r="I1465" i="33"/>
  <c r="I1466" i="33"/>
  <c r="I1467" i="33"/>
  <c r="I1468" i="33"/>
  <c r="I1469" i="33"/>
  <c r="I1470" i="33"/>
  <c r="I1471" i="33"/>
  <c r="I1472" i="33"/>
  <c r="I1473" i="33"/>
  <c r="I1474" i="33"/>
  <c r="I1475" i="33"/>
  <c r="I1476" i="33"/>
  <c r="I1477" i="33"/>
  <c r="I1478" i="33"/>
  <c r="I1479" i="33"/>
  <c r="I1480" i="33"/>
  <c r="I1481" i="33"/>
  <c r="I1482" i="33"/>
  <c r="I1483" i="33"/>
  <c r="I1484" i="33"/>
  <c r="I1485" i="33"/>
  <c r="I1486" i="33"/>
  <c r="I1487" i="33"/>
  <c r="I1488" i="33"/>
  <c r="I1489" i="33"/>
  <c r="I1490" i="33"/>
  <c r="I1491" i="33"/>
  <c r="I1492" i="33"/>
  <c r="I1493" i="33"/>
  <c r="I1494" i="33"/>
  <c r="I1495" i="33"/>
  <c r="I1496" i="33"/>
  <c r="I1497" i="33"/>
  <c r="I1498" i="33"/>
  <c r="I1499" i="33"/>
  <c r="I1500" i="33"/>
  <c r="I1501" i="33"/>
  <c r="I1502" i="33"/>
  <c r="I1503" i="33"/>
  <c r="I1504" i="33"/>
  <c r="I1505" i="33"/>
  <c r="I1506" i="33"/>
  <c r="I1507" i="33"/>
  <c r="I1508" i="33"/>
  <c r="I1509" i="33"/>
  <c r="I1510" i="33"/>
  <c r="I1511" i="33"/>
  <c r="I1512" i="33"/>
  <c r="I1513" i="33"/>
  <c r="I1514" i="33"/>
  <c r="I1515" i="33"/>
  <c r="I1516" i="33"/>
  <c r="I1517" i="33"/>
  <c r="I1518" i="33"/>
  <c r="I1519" i="33"/>
  <c r="I1520" i="33"/>
  <c r="I1521" i="33"/>
  <c r="I1522" i="33"/>
  <c r="I1523" i="33"/>
  <c r="I1524" i="33"/>
  <c r="I1525" i="33"/>
  <c r="I1526" i="33"/>
  <c r="I1527" i="33"/>
  <c r="I1528" i="33"/>
  <c r="I1529" i="33"/>
  <c r="I1530" i="33"/>
  <c r="I1531" i="33"/>
  <c r="I1532" i="33"/>
  <c r="I1533" i="33"/>
  <c r="I1534" i="33"/>
  <c r="I1535" i="33"/>
  <c r="I1536" i="33"/>
  <c r="I1537" i="33"/>
  <c r="I1538" i="33"/>
  <c r="I1539" i="33"/>
  <c r="I1540" i="33"/>
  <c r="I1541" i="33"/>
  <c r="I1542" i="33"/>
  <c r="I1543" i="33"/>
  <c r="I1544" i="33"/>
  <c r="I1545" i="33"/>
  <c r="I1546" i="33"/>
  <c r="I1547" i="33"/>
  <c r="I1548" i="33"/>
  <c r="I1549" i="33"/>
  <c r="I1550" i="33"/>
  <c r="I1551" i="33"/>
  <c r="I1552" i="33"/>
  <c r="I1553" i="33"/>
  <c r="I1554" i="33"/>
  <c r="I1555" i="33"/>
  <c r="I1556" i="33"/>
  <c r="I1557" i="33"/>
  <c r="I1558" i="33"/>
  <c r="I1559" i="33"/>
  <c r="I1560" i="33"/>
  <c r="I1561" i="33"/>
  <c r="I1562" i="33"/>
  <c r="I1563" i="33"/>
  <c r="I1564" i="33"/>
  <c r="I1565" i="33"/>
  <c r="I1566" i="33"/>
  <c r="I1567" i="33"/>
  <c r="I1568" i="33"/>
  <c r="I1569" i="33"/>
  <c r="I1570" i="33"/>
  <c r="I1571" i="33"/>
  <c r="I1572" i="33"/>
  <c r="I1573" i="33"/>
  <c r="I1574" i="33"/>
  <c r="I1575" i="33"/>
  <c r="I1576" i="33"/>
  <c r="I1577" i="33"/>
  <c r="I1578" i="33"/>
  <c r="I1579" i="33"/>
  <c r="I1580" i="33"/>
  <c r="I1581" i="33"/>
  <c r="I1582" i="33"/>
  <c r="I1583" i="33"/>
  <c r="I1584" i="33"/>
  <c r="I1585" i="33"/>
  <c r="I1586" i="33"/>
  <c r="I1587" i="33"/>
  <c r="I1588" i="33"/>
  <c r="I1589" i="33"/>
  <c r="I1590" i="33"/>
  <c r="I1591" i="33"/>
  <c r="I1592" i="33"/>
  <c r="I1593" i="33"/>
  <c r="I1594" i="33"/>
  <c r="I1595" i="33"/>
  <c r="I1596" i="33"/>
  <c r="I1597" i="33"/>
  <c r="I1598" i="33"/>
  <c r="I1599" i="33"/>
  <c r="I1600" i="33"/>
  <c r="I1601" i="33"/>
  <c r="I1602" i="33"/>
  <c r="I1603" i="33"/>
  <c r="I1604" i="33"/>
  <c r="I1605" i="33"/>
  <c r="I1606" i="33"/>
  <c r="I1607" i="33"/>
  <c r="I1608" i="33"/>
  <c r="I1609" i="33"/>
  <c r="I1610" i="33"/>
  <c r="I1611" i="33"/>
  <c r="I1612" i="33"/>
  <c r="I1613" i="33"/>
  <c r="I1614" i="33"/>
  <c r="I1615" i="33"/>
  <c r="I1616" i="33"/>
  <c r="I1617" i="33"/>
  <c r="I1618" i="33"/>
  <c r="I1619" i="33"/>
  <c r="I1620" i="33"/>
  <c r="I1621" i="33"/>
  <c r="I1622" i="33"/>
  <c r="I1623" i="33"/>
  <c r="I1624" i="33"/>
  <c r="I1625" i="33"/>
  <c r="I1626" i="33"/>
  <c r="I1627" i="33"/>
  <c r="I1628" i="33"/>
  <c r="I1629" i="33"/>
  <c r="I1630" i="33"/>
  <c r="I1631" i="33"/>
  <c r="I1632" i="33"/>
  <c r="I1633" i="33"/>
  <c r="I1634" i="33"/>
  <c r="I1635" i="33"/>
  <c r="I1636" i="33"/>
  <c r="I1637" i="33"/>
  <c r="I1638" i="33"/>
  <c r="I1639" i="33"/>
  <c r="I1640" i="33"/>
  <c r="I1641" i="33"/>
  <c r="I1642" i="33"/>
  <c r="I1643" i="33"/>
  <c r="I1644" i="33"/>
  <c r="I1645" i="33"/>
  <c r="I1646" i="33"/>
  <c r="I1647" i="33"/>
  <c r="I1648" i="33"/>
  <c r="I1649" i="33"/>
  <c r="I1650" i="33"/>
  <c r="I1651" i="33"/>
  <c r="I1652" i="33"/>
  <c r="I1653" i="33"/>
  <c r="I1654" i="33"/>
  <c r="I1655" i="33"/>
  <c r="I1656" i="33"/>
  <c r="I1657" i="33"/>
  <c r="I1658" i="33"/>
  <c r="I1659" i="33"/>
  <c r="I1660" i="33"/>
  <c r="I1661" i="33"/>
  <c r="I1662" i="33"/>
  <c r="I1663" i="33"/>
  <c r="I1664" i="33"/>
  <c r="I1665" i="33"/>
  <c r="I1666" i="33"/>
  <c r="I1667" i="33"/>
  <c r="I1668" i="33"/>
  <c r="I1669" i="33"/>
  <c r="I1670" i="33"/>
  <c r="I1671" i="33"/>
  <c r="I1672" i="33"/>
  <c r="I1673" i="33"/>
  <c r="I1674" i="33"/>
  <c r="I1675" i="33"/>
  <c r="I1676" i="33"/>
  <c r="I1677" i="33"/>
  <c r="I1678" i="33"/>
  <c r="I1679" i="33"/>
  <c r="I1680" i="33"/>
  <c r="I1681" i="33"/>
  <c r="I1682" i="33"/>
  <c r="I1683" i="33"/>
  <c r="I1684" i="33"/>
  <c r="I1685" i="33"/>
  <c r="I1686" i="33"/>
  <c r="I1687" i="33"/>
  <c r="I1688" i="33"/>
  <c r="I1689" i="33"/>
  <c r="I1690" i="33"/>
  <c r="I1691" i="33"/>
  <c r="I1692" i="33"/>
  <c r="I1693" i="33"/>
  <c r="I1694" i="33"/>
  <c r="I1695" i="33"/>
  <c r="I1696" i="33"/>
  <c r="I1697" i="33"/>
  <c r="I1698" i="33"/>
  <c r="I1699" i="33"/>
  <c r="I1700" i="33"/>
  <c r="I1701" i="33"/>
  <c r="I1702" i="33"/>
  <c r="I1703" i="33"/>
  <c r="I1704" i="33"/>
  <c r="I1705" i="33"/>
  <c r="I1706" i="33"/>
  <c r="I1707" i="33"/>
  <c r="I1708" i="33"/>
  <c r="I1709" i="33"/>
  <c r="I1710" i="33"/>
  <c r="I1711" i="33"/>
  <c r="I1712" i="33"/>
  <c r="I1713" i="33"/>
  <c r="I1714" i="33"/>
  <c r="I1715" i="33"/>
  <c r="I1716" i="33"/>
  <c r="I1717" i="33"/>
  <c r="I1718" i="33"/>
  <c r="I1719" i="33"/>
  <c r="I1720" i="33"/>
  <c r="I1721" i="33"/>
  <c r="I1722" i="33"/>
  <c r="I1723" i="33"/>
  <c r="I1724" i="33"/>
  <c r="I1725" i="33"/>
  <c r="I1726" i="33"/>
  <c r="I1727" i="33"/>
  <c r="I1728" i="33"/>
  <c r="I1729" i="33"/>
  <c r="I1730" i="33"/>
  <c r="I1731" i="33"/>
  <c r="I1732" i="33"/>
  <c r="I1733" i="33"/>
  <c r="I1734" i="33"/>
  <c r="I1735" i="33"/>
  <c r="I1736" i="33"/>
  <c r="I1737" i="33"/>
  <c r="I1738" i="33"/>
  <c r="I1739" i="33"/>
  <c r="I1740" i="33"/>
  <c r="I1741" i="33"/>
  <c r="I1742" i="33"/>
  <c r="I1743" i="33"/>
  <c r="I1744" i="33"/>
  <c r="I1745" i="33"/>
  <c r="I1746" i="33"/>
  <c r="I1747" i="33"/>
  <c r="I1748" i="33"/>
  <c r="I1749" i="33"/>
  <c r="I1750" i="33"/>
  <c r="I1751" i="33"/>
  <c r="I1752" i="33"/>
  <c r="I1753" i="33"/>
  <c r="I1754" i="33"/>
  <c r="I1755" i="33"/>
  <c r="I1756" i="33"/>
  <c r="I1757" i="33"/>
  <c r="I1758" i="33"/>
  <c r="I1759" i="33"/>
  <c r="I1760" i="33"/>
  <c r="I1761" i="33"/>
  <c r="I1762" i="33"/>
  <c r="I1763" i="33"/>
  <c r="I1764" i="33"/>
  <c r="I1765" i="33"/>
  <c r="I1766" i="33"/>
  <c r="I1767" i="33"/>
  <c r="I1768" i="33"/>
  <c r="I1769" i="33"/>
  <c r="I1770" i="33"/>
  <c r="I1771" i="33"/>
  <c r="I1772" i="33"/>
  <c r="I1773" i="33"/>
  <c r="I1774" i="33"/>
  <c r="I1775" i="33"/>
  <c r="I1776" i="33"/>
  <c r="I1777" i="33"/>
  <c r="I1778" i="33"/>
  <c r="I1779" i="33"/>
  <c r="I1780" i="33"/>
  <c r="I1781" i="33"/>
  <c r="I1782" i="33"/>
  <c r="I1783" i="33"/>
  <c r="I1784" i="33"/>
  <c r="I1785" i="33"/>
  <c r="I1786" i="33"/>
  <c r="I1787" i="33"/>
  <c r="I1788" i="33"/>
  <c r="I1789" i="33"/>
  <c r="I1790" i="33"/>
  <c r="I1791" i="33"/>
  <c r="I1792" i="33"/>
  <c r="I1793" i="33"/>
  <c r="I1794" i="33"/>
  <c r="I1795" i="33"/>
  <c r="I1796" i="33"/>
  <c r="I1797" i="33"/>
  <c r="I1798" i="33"/>
  <c r="I1799" i="33"/>
  <c r="I1800" i="33"/>
  <c r="I1801" i="33"/>
  <c r="I1802" i="33"/>
  <c r="I1803" i="33"/>
  <c r="I1804" i="33"/>
  <c r="I1805" i="33"/>
  <c r="I1806" i="33"/>
  <c r="I1807" i="33"/>
  <c r="I1808" i="33"/>
  <c r="I1809" i="33"/>
  <c r="I1810" i="33"/>
  <c r="I1811" i="33"/>
  <c r="I1812" i="33"/>
  <c r="I1813" i="33"/>
  <c r="I1814" i="33"/>
  <c r="I1815" i="33"/>
  <c r="I1816" i="33"/>
  <c r="I1817" i="33"/>
  <c r="I1818" i="33"/>
  <c r="I1819" i="33"/>
  <c r="I1820" i="33"/>
  <c r="I1821" i="33"/>
  <c r="I1822" i="33"/>
  <c r="I1823" i="33"/>
  <c r="I1824" i="33"/>
  <c r="I1825" i="33"/>
  <c r="I1826" i="33"/>
  <c r="I1827" i="33"/>
  <c r="I1828" i="33"/>
  <c r="I1829" i="33"/>
  <c r="I1830" i="33"/>
  <c r="I1831" i="33"/>
  <c r="I1832" i="33"/>
  <c r="I1833" i="33"/>
  <c r="I1834" i="33"/>
  <c r="I1835" i="33"/>
  <c r="I1836" i="33"/>
  <c r="I1837" i="33"/>
  <c r="I1838" i="33"/>
  <c r="I1839" i="33"/>
  <c r="I1840" i="33"/>
  <c r="I1841" i="33"/>
  <c r="I1842" i="33"/>
  <c r="I1843" i="33"/>
  <c r="I1844" i="33"/>
  <c r="I1845" i="33"/>
  <c r="I1846" i="33"/>
  <c r="I1847" i="33"/>
  <c r="I1848" i="33"/>
  <c r="I1849" i="33"/>
  <c r="I1850" i="33"/>
  <c r="I1851" i="33"/>
  <c r="I1852" i="33"/>
  <c r="I1853" i="33"/>
  <c r="I1854" i="33"/>
  <c r="I1855" i="33"/>
  <c r="I1856" i="33"/>
  <c r="I1857" i="33"/>
  <c r="I1858" i="33"/>
  <c r="I1859" i="33"/>
  <c r="I1860" i="33"/>
  <c r="I1861" i="33"/>
  <c r="I1862" i="33"/>
  <c r="I1863" i="33"/>
  <c r="I1864" i="33"/>
  <c r="I1865" i="33"/>
  <c r="H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90" i="33"/>
  <c r="H291" i="33"/>
  <c r="H292" i="33"/>
  <c r="H293" i="33"/>
  <c r="H294" i="33"/>
  <c r="H295" i="33"/>
  <c r="H296" i="33"/>
  <c r="H297" i="33"/>
  <c r="H298" i="33"/>
  <c r="H299" i="33"/>
  <c r="H300" i="33"/>
  <c r="H301" i="33"/>
  <c r="H302" i="33"/>
  <c r="H303" i="33"/>
  <c r="H304" i="33"/>
  <c r="H305" i="33"/>
  <c r="H306" i="33"/>
  <c r="H307" i="33"/>
  <c r="H308" i="33"/>
  <c r="H309" i="33"/>
  <c r="H310" i="33"/>
  <c r="H311" i="33"/>
  <c r="H312" i="33"/>
  <c r="H313" i="33"/>
  <c r="H314" i="33"/>
  <c r="H315" i="33"/>
  <c r="H316" i="33"/>
  <c r="H317" i="33"/>
  <c r="H318" i="33"/>
  <c r="H319" i="33"/>
  <c r="H320" i="33"/>
  <c r="H321" i="33"/>
  <c r="H322" i="33"/>
  <c r="H323" i="33"/>
  <c r="H324" i="33"/>
  <c r="H325" i="33"/>
  <c r="H326" i="33"/>
  <c r="H327" i="33"/>
  <c r="H328" i="33"/>
  <c r="H329" i="33"/>
  <c r="H330" i="33"/>
  <c r="H331" i="33"/>
  <c r="H332" i="33"/>
  <c r="H333" i="33"/>
  <c r="H334" i="33"/>
  <c r="H335" i="33"/>
  <c r="H336" i="33"/>
  <c r="H337" i="33"/>
  <c r="H338" i="33"/>
  <c r="H339" i="33"/>
  <c r="H340" i="33"/>
  <c r="H341" i="33"/>
  <c r="H342" i="33"/>
  <c r="H343" i="33"/>
  <c r="H344" i="33"/>
  <c r="H345" i="33"/>
  <c r="H346" i="33"/>
  <c r="H347" i="33"/>
  <c r="H348" i="33"/>
  <c r="H349" i="33"/>
  <c r="H350" i="33"/>
  <c r="H351" i="33"/>
  <c r="H352" i="33"/>
  <c r="H353" i="33"/>
  <c r="H354" i="33"/>
  <c r="H355" i="33"/>
  <c r="H356" i="33"/>
  <c r="H357" i="33"/>
  <c r="H358" i="33"/>
  <c r="H359" i="33"/>
  <c r="H360" i="33"/>
  <c r="H361" i="33"/>
  <c r="H362" i="33"/>
  <c r="H363" i="33"/>
  <c r="H364" i="33"/>
  <c r="H365" i="33"/>
  <c r="H366" i="33"/>
  <c r="H367" i="33"/>
  <c r="H368" i="33"/>
  <c r="H369" i="33"/>
  <c r="H370" i="33"/>
  <c r="H371" i="33"/>
  <c r="H372" i="33"/>
  <c r="H373" i="33"/>
  <c r="H374" i="33"/>
  <c r="H375" i="33"/>
  <c r="H376" i="33"/>
  <c r="H377" i="33"/>
  <c r="H378" i="33"/>
  <c r="H379" i="33"/>
  <c r="H380" i="33"/>
  <c r="H381" i="33"/>
  <c r="H382" i="33"/>
  <c r="H383" i="33"/>
  <c r="H384" i="33"/>
  <c r="H385" i="33"/>
  <c r="H386" i="33"/>
  <c r="H387" i="33"/>
  <c r="H388" i="33"/>
  <c r="H389" i="33"/>
  <c r="H390" i="33"/>
  <c r="H391" i="33"/>
  <c r="H392" i="33"/>
  <c r="H393" i="33"/>
  <c r="H394" i="33"/>
  <c r="H395" i="33"/>
  <c r="H396" i="33"/>
  <c r="H397" i="33"/>
  <c r="H398" i="33"/>
  <c r="H399" i="33"/>
  <c r="H400" i="33"/>
  <c r="H401" i="33"/>
  <c r="H402" i="33"/>
  <c r="H403" i="33"/>
  <c r="H404" i="33"/>
  <c r="H405" i="33"/>
  <c r="H406" i="33"/>
  <c r="H407" i="33"/>
  <c r="H408" i="33"/>
  <c r="H409" i="33"/>
  <c r="H410" i="33"/>
  <c r="H411" i="33"/>
  <c r="H412" i="33"/>
  <c r="H413" i="33"/>
  <c r="H414" i="33"/>
  <c r="H415" i="33"/>
  <c r="H416" i="33"/>
  <c r="H417" i="33"/>
  <c r="H418" i="33"/>
  <c r="H419" i="33"/>
  <c r="H420" i="33"/>
  <c r="H421" i="33"/>
  <c r="H422" i="33"/>
  <c r="H423" i="33"/>
  <c r="H424" i="33"/>
  <c r="H425" i="33"/>
  <c r="H426" i="33"/>
  <c r="H427" i="33"/>
  <c r="H428" i="33"/>
  <c r="H429" i="33"/>
  <c r="H430" i="33"/>
  <c r="H431" i="33"/>
  <c r="H432" i="33"/>
  <c r="H433" i="33"/>
  <c r="H434" i="33"/>
  <c r="H435" i="33"/>
  <c r="H436" i="33"/>
  <c r="H437" i="33"/>
  <c r="H438" i="33"/>
  <c r="H439" i="33"/>
  <c r="H440" i="33"/>
  <c r="H441" i="33"/>
  <c r="H442" i="33"/>
  <c r="H443" i="33"/>
  <c r="H444" i="33"/>
  <c r="H445" i="33"/>
  <c r="H446" i="33"/>
  <c r="H447" i="33"/>
  <c r="H448" i="33"/>
  <c r="H449" i="33"/>
  <c r="H450" i="33"/>
  <c r="H451" i="33"/>
  <c r="H452" i="33"/>
  <c r="H453" i="33"/>
  <c r="H454" i="33"/>
  <c r="H455" i="33"/>
  <c r="H456" i="33"/>
  <c r="H457" i="33"/>
  <c r="H458" i="33"/>
  <c r="H459" i="33"/>
  <c r="H460" i="33"/>
  <c r="H461" i="33"/>
  <c r="H462" i="33"/>
  <c r="H463" i="33"/>
  <c r="H464" i="33"/>
  <c r="H465" i="33"/>
  <c r="H466" i="33"/>
  <c r="H467" i="33"/>
  <c r="H468" i="33"/>
  <c r="H469" i="33"/>
  <c r="H470" i="33"/>
  <c r="H471" i="33"/>
  <c r="H472" i="33"/>
  <c r="H473" i="33"/>
  <c r="H474" i="33"/>
  <c r="H475" i="33"/>
  <c r="H476" i="33"/>
  <c r="H477" i="33"/>
  <c r="H478" i="33"/>
  <c r="H479" i="33"/>
  <c r="H480" i="33"/>
  <c r="H481" i="33"/>
  <c r="H482" i="33"/>
  <c r="H483" i="33"/>
  <c r="H484" i="33"/>
  <c r="H485" i="33"/>
  <c r="H486" i="33"/>
  <c r="H487" i="33"/>
  <c r="H488" i="33"/>
  <c r="H489" i="33"/>
  <c r="H490" i="33"/>
  <c r="H491" i="33"/>
  <c r="H492" i="33"/>
  <c r="H493" i="33"/>
  <c r="H494" i="33"/>
  <c r="H495" i="33"/>
  <c r="H496" i="33"/>
  <c r="H497" i="33"/>
  <c r="H498" i="33"/>
  <c r="H499" i="33"/>
  <c r="H500" i="33"/>
  <c r="H501" i="33"/>
  <c r="H502" i="33"/>
  <c r="H503" i="33"/>
  <c r="H504" i="33"/>
  <c r="H505" i="33"/>
  <c r="H506" i="33"/>
  <c r="H507" i="33"/>
  <c r="H508" i="33"/>
  <c r="H509" i="33"/>
  <c r="H510" i="33"/>
  <c r="H511" i="33"/>
  <c r="H512" i="33"/>
  <c r="H513" i="33"/>
  <c r="H514" i="33"/>
  <c r="H515" i="33"/>
  <c r="H516" i="33"/>
  <c r="H517" i="33"/>
  <c r="H518" i="33"/>
  <c r="H519" i="33"/>
  <c r="H520" i="33"/>
  <c r="H521" i="33"/>
  <c r="H522" i="33"/>
  <c r="H523" i="33"/>
  <c r="H524" i="33"/>
  <c r="H525" i="33"/>
  <c r="H526" i="33"/>
  <c r="H527" i="33"/>
  <c r="H528" i="33"/>
  <c r="H529" i="33"/>
  <c r="H530" i="33"/>
  <c r="H531" i="33"/>
  <c r="H532" i="33"/>
  <c r="H533" i="33"/>
  <c r="H534" i="33"/>
  <c r="H535" i="33"/>
  <c r="H536" i="33"/>
  <c r="H537" i="33"/>
  <c r="H538" i="33"/>
  <c r="H539" i="33"/>
  <c r="H540" i="33"/>
  <c r="H541" i="33"/>
  <c r="H542" i="33"/>
  <c r="H543" i="33"/>
  <c r="H544" i="33"/>
  <c r="H545" i="33"/>
  <c r="H546" i="33"/>
  <c r="H547" i="33"/>
  <c r="H548" i="33"/>
  <c r="H549" i="33"/>
  <c r="H550" i="33"/>
  <c r="H551" i="33"/>
  <c r="H552" i="33"/>
  <c r="H553" i="33"/>
  <c r="H554" i="33"/>
  <c r="H555" i="33"/>
  <c r="H556" i="33"/>
  <c r="H557" i="33"/>
  <c r="H558" i="33"/>
  <c r="H559" i="33"/>
  <c r="H560" i="33"/>
  <c r="H561" i="33"/>
  <c r="H562" i="33"/>
  <c r="H563" i="33"/>
  <c r="H564" i="33"/>
  <c r="H565" i="33"/>
  <c r="H566" i="33"/>
  <c r="H567" i="33"/>
  <c r="H568" i="33"/>
  <c r="H569" i="33"/>
  <c r="H570" i="33"/>
  <c r="H571" i="33"/>
  <c r="H572" i="33"/>
  <c r="H573" i="33"/>
  <c r="H574" i="33"/>
  <c r="H575" i="33"/>
  <c r="H576" i="33"/>
  <c r="H577" i="33"/>
  <c r="H578" i="33"/>
  <c r="H579" i="33"/>
  <c r="H580" i="33"/>
  <c r="H581" i="33"/>
  <c r="H582" i="33"/>
  <c r="H583" i="33"/>
  <c r="H584" i="33"/>
  <c r="H585" i="33"/>
  <c r="H586" i="33"/>
  <c r="H587" i="33"/>
  <c r="H588" i="33"/>
  <c r="H589" i="33"/>
  <c r="H590" i="33"/>
  <c r="H591" i="33"/>
  <c r="H592" i="33"/>
  <c r="H593" i="33"/>
  <c r="H594" i="33"/>
  <c r="H595" i="33"/>
  <c r="H596" i="33"/>
  <c r="H597" i="33"/>
  <c r="H598" i="33"/>
  <c r="H599" i="33"/>
  <c r="H600" i="33"/>
  <c r="H601" i="33"/>
  <c r="H602" i="33"/>
  <c r="H603" i="33"/>
  <c r="H604" i="33"/>
  <c r="H605" i="33"/>
  <c r="H606" i="33"/>
  <c r="H607" i="33"/>
  <c r="H608" i="33"/>
  <c r="H609" i="33"/>
  <c r="H610" i="33"/>
  <c r="H611" i="33"/>
  <c r="H612" i="33"/>
  <c r="H613" i="33"/>
  <c r="H614" i="33"/>
  <c r="H615" i="33"/>
  <c r="H616" i="33"/>
  <c r="H617" i="33"/>
  <c r="H618" i="33"/>
  <c r="H619" i="33"/>
  <c r="H620" i="33"/>
  <c r="H621" i="33"/>
  <c r="H622" i="33"/>
  <c r="H623" i="33"/>
  <c r="H624" i="33"/>
  <c r="H625" i="33"/>
  <c r="H626" i="33"/>
  <c r="H627" i="33"/>
  <c r="H628" i="33"/>
  <c r="H629" i="33"/>
  <c r="H630" i="33"/>
  <c r="H631" i="33"/>
  <c r="H632" i="33"/>
  <c r="H633" i="33"/>
  <c r="H634" i="33"/>
  <c r="H635" i="33"/>
  <c r="H636" i="33"/>
  <c r="H637" i="33"/>
  <c r="H638" i="33"/>
  <c r="H639" i="33"/>
  <c r="H640" i="33"/>
  <c r="H641" i="33"/>
  <c r="H642" i="33"/>
  <c r="H643" i="33"/>
  <c r="H644" i="33"/>
  <c r="H645" i="33"/>
  <c r="H646" i="33"/>
  <c r="H647" i="33"/>
  <c r="H648" i="33"/>
  <c r="H649" i="33"/>
  <c r="H650" i="33"/>
  <c r="H651" i="33"/>
  <c r="H652" i="33"/>
  <c r="H653" i="33"/>
  <c r="H654" i="33"/>
  <c r="H655" i="33"/>
  <c r="H656" i="33"/>
  <c r="H657" i="33"/>
  <c r="H658" i="33"/>
  <c r="H659" i="33"/>
  <c r="H660" i="33"/>
  <c r="H661" i="33"/>
  <c r="H662" i="33"/>
  <c r="H663" i="33"/>
  <c r="H664" i="33"/>
  <c r="H665" i="33"/>
  <c r="H666" i="33"/>
  <c r="H667" i="33"/>
  <c r="H668" i="33"/>
  <c r="H669" i="33"/>
  <c r="H670" i="33"/>
  <c r="H671" i="33"/>
  <c r="H672" i="33"/>
  <c r="H673" i="33"/>
  <c r="H674" i="33"/>
  <c r="H675" i="33"/>
  <c r="H676" i="33"/>
  <c r="H677" i="33"/>
  <c r="H678" i="33"/>
  <c r="H679" i="33"/>
  <c r="H680" i="33"/>
  <c r="H681" i="33"/>
  <c r="H682" i="33"/>
  <c r="H683" i="33"/>
  <c r="H684" i="33"/>
  <c r="H685" i="33"/>
  <c r="H686" i="33"/>
  <c r="H687" i="33"/>
  <c r="H688" i="33"/>
  <c r="H689" i="33"/>
  <c r="H690" i="33"/>
  <c r="H691" i="33"/>
  <c r="H692" i="33"/>
  <c r="H693" i="33"/>
  <c r="H694" i="33"/>
  <c r="H695" i="33"/>
  <c r="H696" i="33"/>
  <c r="H697" i="33"/>
  <c r="H698" i="33"/>
  <c r="H699" i="33"/>
  <c r="H700" i="33"/>
  <c r="H701" i="33"/>
  <c r="H702" i="33"/>
  <c r="H703" i="33"/>
  <c r="H704" i="33"/>
  <c r="H705" i="33"/>
  <c r="H706" i="33"/>
  <c r="H707" i="33"/>
  <c r="H708" i="33"/>
  <c r="H709" i="33"/>
  <c r="H710" i="33"/>
  <c r="H711" i="33"/>
  <c r="H712" i="33"/>
  <c r="H713" i="33"/>
  <c r="H714" i="33"/>
  <c r="H715" i="33"/>
  <c r="H716" i="33"/>
  <c r="H717" i="33"/>
  <c r="H718" i="33"/>
  <c r="H719" i="33"/>
  <c r="H720" i="33"/>
  <c r="H721" i="33"/>
  <c r="H722" i="33"/>
  <c r="H723" i="33"/>
  <c r="H724" i="33"/>
  <c r="H725" i="33"/>
  <c r="H726" i="33"/>
  <c r="H727" i="33"/>
  <c r="H728" i="33"/>
  <c r="H729" i="33"/>
  <c r="H730" i="33"/>
  <c r="H731" i="33"/>
  <c r="H732" i="33"/>
  <c r="H733" i="33"/>
  <c r="H734" i="33"/>
  <c r="H735" i="33"/>
  <c r="H736" i="33"/>
  <c r="H737" i="33"/>
  <c r="H738" i="33"/>
  <c r="H739" i="33"/>
  <c r="H740" i="33"/>
  <c r="H741" i="33"/>
  <c r="H742" i="33"/>
  <c r="H743" i="33"/>
  <c r="H744" i="33"/>
  <c r="H745" i="33"/>
  <c r="H746" i="33"/>
  <c r="H747" i="33"/>
  <c r="H748" i="33"/>
  <c r="H749" i="33"/>
  <c r="H750" i="33"/>
  <c r="H751" i="33"/>
  <c r="H752" i="33"/>
  <c r="H753" i="33"/>
  <c r="H754" i="33"/>
  <c r="H755" i="33"/>
  <c r="H756" i="33"/>
  <c r="H757" i="33"/>
  <c r="H758" i="33"/>
  <c r="H759" i="33"/>
  <c r="H760" i="33"/>
  <c r="H761" i="33"/>
  <c r="H762" i="33"/>
  <c r="H763" i="33"/>
  <c r="H764" i="33"/>
  <c r="H765" i="33"/>
  <c r="H766" i="33"/>
  <c r="H767" i="33"/>
  <c r="H768" i="33"/>
  <c r="H769" i="33"/>
  <c r="H770" i="33"/>
  <c r="H771" i="33"/>
  <c r="H772" i="33"/>
  <c r="H773" i="33"/>
  <c r="H774" i="33"/>
  <c r="H775" i="33"/>
  <c r="H776" i="33"/>
  <c r="H777" i="33"/>
  <c r="H778" i="33"/>
  <c r="H779" i="33"/>
  <c r="H780" i="33"/>
  <c r="H781" i="33"/>
  <c r="H782" i="33"/>
  <c r="H783" i="33"/>
  <c r="H784" i="33"/>
  <c r="H785" i="33"/>
  <c r="H786" i="33"/>
  <c r="H787" i="33"/>
  <c r="H788" i="33"/>
  <c r="H789" i="33"/>
  <c r="H790" i="33"/>
  <c r="H791" i="33"/>
  <c r="H792" i="33"/>
  <c r="H793" i="33"/>
  <c r="H794" i="33"/>
  <c r="H795" i="33"/>
  <c r="H796" i="33"/>
  <c r="H797" i="33"/>
  <c r="H798" i="33"/>
  <c r="H799" i="33"/>
  <c r="H800" i="33"/>
  <c r="H801" i="33"/>
  <c r="H802" i="33"/>
  <c r="H803" i="33"/>
  <c r="H804" i="33"/>
  <c r="H805" i="33"/>
  <c r="H806" i="33"/>
  <c r="H807" i="33"/>
  <c r="H808" i="33"/>
  <c r="H809" i="33"/>
  <c r="H810" i="33"/>
  <c r="H811" i="33"/>
  <c r="H812" i="33"/>
  <c r="H813" i="33"/>
  <c r="H814" i="33"/>
  <c r="H815" i="33"/>
  <c r="H816" i="33"/>
  <c r="H817" i="33"/>
  <c r="H818" i="33"/>
  <c r="H819" i="33"/>
  <c r="H820" i="33"/>
  <c r="H821" i="33"/>
  <c r="H822" i="33"/>
  <c r="H823" i="33"/>
  <c r="H824" i="33"/>
  <c r="H825" i="33"/>
  <c r="H826" i="33"/>
  <c r="H827" i="33"/>
  <c r="H828" i="33"/>
  <c r="H829" i="33"/>
  <c r="H830" i="33"/>
  <c r="H831" i="33"/>
  <c r="H832" i="33"/>
  <c r="H833" i="33"/>
  <c r="H834" i="33"/>
  <c r="H835" i="33"/>
  <c r="H836" i="33"/>
  <c r="H837" i="33"/>
  <c r="H838" i="33"/>
  <c r="H839" i="33"/>
  <c r="H840" i="33"/>
  <c r="H841" i="33"/>
  <c r="H842" i="33"/>
  <c r="H843" i="33"/>
  <c r="H844" i="33"/>
  <c r="H845" i="33"/>
  <c r="H846" i="33"/>
  <c r="H847" i="33"/>
  <c r="H848" i="33"/>
  <c r="H849" i="33"/>
  <c r="H850" i="33"/>
  <c r="H851" i="33"/>
  <c r="H852" i="33"/>
  <c r="H853" i="33"/>
  <c r="H854" i="33"/>
  <c r="H855" i="33"/>
  <c r="H856" i="33"/>
  <c r="H857" i="33"/>
  <c r="H858" i="33"/>
  <c r="H859" i="33"/>
  <c r="H860" i="33"/>
  <c r="H861" i="33"/>
  <c r="H862" i="33"/>
  <c r="H863" i="33"/>
  <c r="H864" i="33"/>
  <c r="H865" i="33"/>
  <c r="H866" i="33"/>
  <c r="H867" i="33"/>
  <c r="H868" i="33"/>
  <c r="H869" i="33"/>
  <c r="H870" i="33"/>
  <c r="H871" i="33"/>
  <c r="H872" i="33"/>
  <c r="H873" i="33"/>
  <c r="H874" i="33"/>
  <c r="H875" i="33"/>
  <c r="H876" i="33"/>
  <c r="H877" i="33"/>
  <c r="H878" i="33"/>
  <c r="H879" i="33"/>
  <c r="H880" i="33"/>
  <c r="H881" i="33"/>
  <c r="H882" i="33"/>
  <c r="H883" i="33"/>
  <c r="H884" i="33"/>
  <c r="H885" i="33"/>
  <c r="H886" i="33"/>
  <c r="H887" i="33"/>
  <c r="H888" i="33"/>
  <c r="H889" i="33"/>
  <c r="H890" i="33"/>
  <c r="H891" i="33"/>
  <c r="H892" i="33"/>
  <c r="H893" i="33"/>
  <c r="H894" i="33"/>
  <c r="H895" i="33"/>
  <c r="H896" i="33"/>
  <c r="H897" i="33"/>
  <c r="H898" i="33"/>
  <c r="H899" i="33"/>
  <c r="H900" i="33"/>
  <c r="H901" i="33"/>
  <c r="H902" i="33"/>
  <c r="H903" i="33"/>
  <c r="H904" i="33"/>
  <c r="H905" i="33"/>
  <c r="H906" i="33"/>
  <c r="H907" i="33"/>
  <c r="H908" i="33"/>
  <c r="H909" i="33"/>
  <c r="H910" i="33"/>
  <c r="H911" i="33"/>
  <c r="H912" i="33"/>
  <c r="H913" i="33"/>
  <c r="H914" i="33"/>
  <c r="H915" i="33"/>
  <c r="H916" i="33"/>
  <c r="H917" i="33"/>
  <c r="H918" i="33"/>
  <c r="H919" i="33"/>
  <c r="H920" i="33"/>
  <c r="H921" i="33"/>
  <c r="H922" i="33"/>
  <c r="H923" i="33"/>
  <c r="H924" i="33"/>
  <c r="H925" i="33"/>
  <c r="H926" i="33"/>
  <c r="H927" i="33"/>
  <c r="H928" i="33"/>
  <c r="H929" i="33"/>
  <c r="H930" i="33"/>
  <c r="H931" i="33"/>
  <c r="H932" i="33"/>
  <c r="H933" i="33"/>
  <c r="H934" i="33"/>
  <c r="H935" i="33"/>
  <c r="H936" i="33"/>
  <c r="H937" i="33"/>
  <c r="H938" i="33"/>
  <c r="H939" i="33"/>
  <c r="H940" i="33"/>
  <c r="H941" i="33"/>
  <c r="H942" i="33"/>
  <c r="H943" i="33"/>
  <c r="H944" i="33"/>
  <c r="H945" i="33"/>
  <c r="H946" i="33"/>
  <c r="H947" i="33"/>
  <c r="H948" i="33"/>
  <c r="H949" i="33"/>
  <c r="H950" i="33"/>
  <c r="H951" i="33"/>
  <c r="H952" i="33"/>
  <c r="H953" i="33"/>
  <c r="H954" i="33"/>
  <c r="H955" i="33"/>
  <c r="H956" i="33"/>
  <c r="H957" i="33"/>
  <c r="H958" i="33"/>
  <c r="H959" i="33"/>
  <c r="H960" i="33"/>
  <c r="H961" i="33"/>
  <c r="H962" i="33"/>
  <c r="H963" i="33"/>
  <c r="H964" i="33"/>
  <c r="H965" i="33"/>
  <c r="H966" i="33"/>
  <c r="H967" i="33"/>
  <c r="H968" i="33"/>
  <c r="H969" i="33"/>
  <c r="H970" i="33"/>
  <c r="H971" i="33"/>
  <c r="H972" i="33"/>
  <c r="H973" i="33"/>
  <c r="H974" i="33"/>
  <c r="H975" i="33"/>
  <c r="H976" i="33"/>
  <c r="H977" i="33"/>
  <c r="H978" i="33"/>
  <c r="H979" i="33"/>
  <c r="H980" i="33"/>
  <c r="H981" i="33"/>
  <c r="H982" i="33"/>
  <c r="H983" i="33"/>
  <c r="H984" i="33"/>
  <c r="H985" i="33"/>
  <c r="H986" i="33"/>
  <c r="H987" i="33"/>
  <c r="H988" i="33"/>
  <c r="H989" i="33"/>
  <c r="H990" i="33"/>
  <c r="H991" i="33"/>
  <c r="H992" i="33"/>
  <c r="H993" i="33"/>
  <c r="H994" i="33"/>
  <c r="H995" i="33"/>
  <c r="H996" i="33"/>
  <c r="H997" i="33"/>
  <c r="H998" i="33"/>
  <c r="H999" i="33"/>
  <c r="H1000" i="33"/>
  <c r="H1001" i="33"/>
  <c r="H1002" i="33"/>
  <c r="H1003" i="33"/>
  <c r="H1004" i="33"/>
  <c r="H1005" i="33"/>
  <c r="H1006" i="33"/>
  <c r="H1007" i="33"/>
  <c r="H1008" i="33"/>
  <c r="H1009" i="33"/>
  <c r="H1010" i="33"/>
  <c r="H1011" i="33"/>
  <c r="H1012" i="33"/>
  <c r="H1013" i="33"/>
  <c r="H1014" i="33"/>
  <c r="H1015" i="33"/>
  <c r="H1016" i="33"/>
  <c r="H1017" i="33"/>
  <c r="H1018" i="33"/>
  <c r="H1019" i="33"/>
  <c r="H1020" i="33"/>
  <c r="H1021" i="33"/>
  <c r="H1022" i="33"/>
  <c r="H1023" i="33"/>
  <c r="H1024" i="33"/>
  <c r="H1025" i="33"/>
  <c r="H1026" i="33"/>
  <c r="H1027" i="33"/>
  <c r="H1028" i="33"/>
  <c r="H1029" i="33"/>
  <c r="H1030" i="33"/>
  <c r="H1031" i="33"/>
  <c r="H1032" i="33"/>
  <c r="H1033" i="33"/>
  <c r="H1034" i="33"/>
  <c r="H1035" i="33"/>
  <c r="H1036" i="33"/>
  <c r="H1037" i="33"/>
  <c r="H1038" i="33"/>
  <c r="H1039" i="33"/>
  <c r="H1040" i="33"/>
  <c r="H1041" i="33"/>
  <c r="H1042" i="33"/>
  <c r="H1043" i="33"/>
  <c r="H1044" i="33"/>
  <c r="H1045" i="33"/>
  <c r="H1046" i="33"/>
  <c r="H1047" i="33"/>
  <c r="H1048" i="33"/>
  <c r="H1049" i="33"/>
  <c r="H1050" i="33"/>
  <c r="H1051" i="33"/>
  <c r="H1052" i="33"/>
  <c r="H1053" i="33"/>
  <c r="H1054" i="33"/>
  <c r="H1055" i="33"/>
  <c r="H1056" i="33"/>
  <c r="H1057" i="33"/>
  <c r="H1058" i="33"/>
  <c r="H1059" i="33"/>
  <c r="H1060" i="33"/>
  <c r="H1061" i="33"/>
  <c r="H1062" i="33"/>
  <c r="H1063" i="33"/>
  <c r="H1064" i="33"/>
  <c r="H1065" i="33"/>
  <c r="H1066" i="33"/>
  <c r="H1067" i="33"/>
  <c r="H1068" i="33"/>
  <c r="H1069" i="33"/>
  <c r="H1070" i="33"/>
  <c r="H1071" i="33"/>
  <c r="H1072" i="33"/>
  <c r="H1073" i="33"/>
  <c r="H1074" i="33"/>
  <c r="H1075" i="33"/>
  <c r="H1076" i="33"/>
  <c r="H1077" i="33"/>
  <c r="H1078" i="33"/>
  <c r="H1079" i="33"/>
  <c r="H1080" i="33"/>
  <c r="H1081" i="33"/>
  <c r="H1082" i="33"/>
  <c r="H1083" i="33"/>
  <c r="H1084" i="33"/>
  <c r="H1085" i="33"/>
  <c r="H1086" i="33"/>
  <c r="H1087" i="33"/>
  <c r="H1088" i="33"/>
  <c r="H1089" i="33"/>
  <c r="H1090" i="33"/>
  <c r="H1091" i="33"/>
  <c r="H1092" i="33"/>
  <c r="H1093" i="33"/>
  <c r="H1094" i="33"/>
  <c r="H1095" i="33"/>
  <c r="H1096" i="33"/>
  <c r="H1097" i="33"/>
  <c r="H1098" i="33"/>
  <c r="H1099" i="33"/>
  <c r="H1100" i="33"/>
  <c r="H1101" i="33"/>
  <c r="H1102" i="33"/>
  <c r="H1103" i="33"/>
  <c r="H1104" i="33"/>
  <c r="H1105" i="33"/>
  <c r="H1106" i="33"/>
  <c r="H1107" i="33"/>
  <c r="H1108" i="33"/>
  <c r="H1109" i="33"/>
  <c r="H1110" i="33"/>
  <c r="H1111" i="33"/>
  <c r="H1112" i="33"/>
  <c r="H1113" i="33"/>
  <c r="H1114" i="33"/>
  <c r="H1115" i="33"/>
  <c r="H1116" i="33"/>
  <c r="H1117" i="33"/>
  <c r="H1118" i="33"/>
  <c r="H1119" i="33"/>
  <c r="H1120" i="33"/>
  <c r="H1121" i="33"/>
  <c r="H1122" i="33"/>
  <c r="H1123" i="33"/>
  <c r="H1124" i="33"/>
  <c r="H1125" i="33"/>
  <c r="H1126" i="33"/>
  <c r="H1127" i="33"/>
  <c r="H1128" i="33"/>
  <c r="H1129" i="33"/>
  <c r="H1130" i="33"/>
  <c r="H1131" i="33"/>
  <c r="H1132" i="33"/>
  <c r="H1133" i="33"/>
  <c r="H1134" i="33"/>
  <c r="H1135" i="33"/>
  <c r="H1136" i="33"/>
  <c r="H1137" i="33"/>
  <c r="H1138" i="33"/>
  <c r="H1139" i="33"/>
  <c r="H1140" i="33"/>
  <c r="H1141" i="33"/>
  <c r="H1142" i="33"/>
  <c r="H1143" i="33"/>
  <c r="H1144" i="33"/>
  <c r="H1145" i="33"/>
  <c r="H1146" i="33"/>
  <c r="H1147" i="33"/>
  <c r="H1148" i="33"/>
  <c r="H1149" i="33"/>
  <c r="H1150" i="33"/>
  <c r="H1151" i="33"/>
  <c r="H1152" i="33"/>
  <c r="H1153" i="33"/>
  <c r="H1154" i="33"/>
  <c r="H1155" i="33"/>
  <c r="H1156" i="33"/>
  <c r="H1157" i="33"/>
  <c r="H1158" i="33"/>
  <c r="H1159" i="33"/>
  <c r="H1160" i="33"/>
  <c r="H1161" i="33"/>
  <c r="H1162" i="33"/>
  <c r="H1163" i="33"/>
  <c r="H1164" i="33"/>
  <c r="H1165" i="33"/>
  <c r="H1166" i="33"/>
  <c r="H1167" i="33"/>
  <c r="H1168" i="33"/>
  <c r="H1169" i="33"/>
  <c r="H1170" i="33"/>
  <c r="H1171" i="33"/>
  <c r="H1172" i="33"/>
  <c r="H1173" i="33"/>
  <c r="H1174" i="33"/>
  <c r="H1175" i="33"/>
  <c r="H1176" i="33"/>
  <c r="H1177" i="33"/>
  <c r="H1178" i="33"/>
  <c r="H1179" i="33"/>
  <c r="H1180" i="33"/>
  <c r="H1181" i="33"/>
  <c r="H1182" i="33"/>
  <c r="H1183" i="33"/>
  <c r="H1184" i="33"/>
  <c r="H1185" i="33"/>
  <c r="H1186" i="33"/>
  <c r="H1187" i="33"/>
  <c r="H1188" i="33"/>
  <c r="H1189" i="33"/>
  <c r="H1190" i="33"/>
  <c r="H1191" i="33"/>
  <c r="H1192" i="33"/>
  <c r="H1193" i="33"/>
  <c r="H1194" i="33"/>
  <c r="H1195" i="33"/>
  <c r="H1196" i="33"/>
  <c r="H1197" i="33"/>
  <c r="H1198" i="33"/>
  <c r="H1199" i="33"/>
  <c r="H1200" i="33"/>
  <c r="H1201" i="33"/>
  <c r="H1202" i="33"/>
  <c r="H1203" i="33"/>
  <c r="H1204" i="33"/>
  <c r="H1205" i="33"/>
  <c r="H1206" i="33"/>
  <c r="H1207" i="33"/>
  <c r="H1208" i="33"/>
  <c r="H1209" i="33"/>
  <c r="H1210" i="33"/>
  <c r="H1211" i="33"/>
  <c r="H1212" i="33"/>
  <c r="H1213" i="33"/>
  <c r="H1214" i="33"/>
  <c r="H1215" i="33"/>
  <c r="H1216" i="33"/>
  <c r="H1217" i="33"/>
  <c r="H1218" i="33"/>
  <c r="H1219" i="33"/>
  <c r="H1220" i="33"/>
  <c r="H1221" i="33"/>
  <c r="H1222" i="33"/>
  <c r="H1223" i="33"/>
  <c r="H1224" i="33"/>
  <c r="H1225" i="33"/>
  <c r="H1226" i="33"/>
  <c r="H1227" i="33"/>
  <c r="H1228" i="33"/>
  <c r="H1229" i="33"/>
  <c r="H1230" i="33"/>
  <c r="H1231" i="33"/>
  <c r="H1232" i="33"/>
  <c r="H1233" i="33"/>
  <c r="H1234" i="33"/>
  <c r="H1235" i="33"/>
  <c r="H1236" i="33"/>
  <c r="H1237" i="33"/>
  <c r="H1238" i="33"/>
  <c r="H1239" i="33"/>
  <c r="H1240" i="33"/>
  <c r="H1241" i="33"/>
  <c r="H1242" i="33"/>
  <c r="H1243" i="33"/>
  <c r="H1244" i="33"/>
  <c r="H1245" i="33"/>
  <c r="H1246" i="33"/>
  <c r="H1247" i="33"/>
  <c r="H1248" i="33"/>
  <c r="H1249" i="33"/>
  <c r="H1250" i="33"/>
  <c r="H1251" i="33"/>
  <c r="H1252" i="33"/>
  <c r="H1253" i="33"/>
  <c r="H1254" i="33"/>
  <c r="H1255" i="33"/>
  <c r="H1256" i="33"/>
  <c r="H1257" i="33"/>
  <c r="H1258" i="33"/>
  <c r="H1259" i="33"/>
  <c r="H1260" i="33"/>
  <c r="H1261" i="33"/>
  <c r="H1262" i="33"/>
  <c r="H1263" i="33"/>
  <c r="H1264" i="33"/>
  <c r="H1265" i="33"/>
  <c r="H1266" i="33"/>
  <c r="H1267" i="33"/>
  <c r="H1268" i="33"/>
  <c r="H1269" i="33"/>
  <c r="H1270" i="33"/>
  <c r="H1271" i="33"/>
  <c r="H1272" i="33"/>
  <c r="H1273" i="33"/>
  <c r="H1274" i="33"/>
  <c r="H1275" i="33"/>
  <c r="H1276" i="33"/>
  <c r="H1277" i="33"/>
  <c r="H1278" i="33"/>
  <c r="H1279" i="33"/>
  <c r="H1280" i="33"/>
  <c r="H1281" i="33"/>
  <c r="H1282" i="33"/>
  <c r="H1283" i="33"/>
  <c r="H1284" i="33"/>
  <c r="H1285" i="33"/>
  <c r="H1286" i="33"/>
  <c r="H1287" i="33"/>
  <c r="H1288" i="33"/>
  <c r="H1289" i="33"/>
  <c r="H1290" i="33"/>
  <c r="H1291" i="33"/>
  <c r="H1292" i="33"/>
  <c r="H1293" i="33"/>
  <c r="H1294" i="33"/>
  <c r="H1295" i="33"/>
  <c r="H1296" i="33"/>
  <c r="H1297" i="33"/>
  <c r="H1298" i="33"/>
  <c r="H1299" i="33"/>
  <c r="H1300" i="33"/>
  <c r="H1301" i="33"/>
  <c r="H1302" i="33"/>
  <c r="H1303" i="33"/>
  <c r="H1304" i="33"/>
  <c r="H1305" i="33"/>
  <c r="H1306" i="33"/>
  <c r="H1307" i="33"/>
  <c r="H1308" i="33"/>
  <c r="H1309" i="33"/>
  <c r="H1310" i="33"/>
  <c r="H1311" i="33"/>
  <c r="H1312" i="33"/>
  <c r="H1313" i="33"/>
  <c r="H1314" i="33"/>
  <c r="H1315" i="33"/>
  <c r="H1316" i="33"/>
  <c r="H1317" i="33"/>
  <c r="H1318" i="33"/>
  <c r="H1319" i="33"/>
  <c r="H1320" i="33"/>
  <c r="H1321" i="33"/>
  <c r="H1322" i="33"/>
  <c r="H1323" i="33"/>
  <c r="H1324" i="33"/>
  <c r="H1325" i="33"/>
  <c r="H1326" i="33"/>
  <c r="H1327" i="33"/>
  <c r="H1328" i="33"/>
  <c r="H1329" i="33"/>
  <c r="H1330" i="33"/>
  <c r="H1331" i="33"/>
  <c r="H1332" i="33"/>
  <c r="H1333" i="33"/>
  <c r="H1334" i="33"/>
  <c r="H1335" i="33"/>
  <c r="H1336" i="33"/>
  <c r="H1337" i="33"/>
  <c r="H1338" i="33"/>
  <c r="H1339" i="33"/>
  <c r="H1340" i="33"/>
  <c r="H1341" i="33"/>
  <c r="H1342" i="33"/>
  <c r="H1343" i="33"/>
  <c r="H1344" i="33"/>
  <c r="H1345" i="33"/>
  <c r="H1346" i="33"/>
  <c r="H1347" i="33"/>
  <c r="H1348" i="33"/>
  <c r="H1349" i="33"/>
  <c r="H1350" i="33"/>
  <c r="H1351" i="33"/>
  <c r="H1352" i="33"/>
  <c r="H1353" i="33"/>
  <c r="H1354" i="33"/>
  <c r="H1355" i="33"/>
  <c r="H1356" i="33"/>
  <c r="H1357" i="33"/>
  <c r="H1358" i="33"/>
  <c r="H1359" i="33"/>
  <c r="H1360" i="33"/>
  <c r="H1361" i="33"/>
  <c r="H1362" i="33"/>
  <c r="H1363" i="33"/>
  <c r="H1364" i="33"/>
  <c r="H1365" i="33"/>
  <c r="H1366" i="33"/>
  <c r="H1367" i="33"/>
  <c r="H1368" i="33"/>
  <c r="H1369" i="33"/>
  <c r="H1370" i="33"/>
  <c r="H1371" i="33"/>
  <c r="H1372" i="33"/>
  <c r="H1373" i="33"/>
  <c r="H1374" i="33"/>
  <c r="H1375" i="33"/>
  <c r="H1376" i="33"/>
  <c r="H1377" i="33"/>
  <c r="H1378" i="33"/>
  <c r="H1379" i="33"/>
  <c r="H1380" i="33"/>
  <c r="H1381" i="33"/>
  <c r="H1382" i="33"/>
  <c r="H1383" i="33"/>
  <c r="H1384" i="33"/>
  <c r="H1385" i="33"/>
  <c r="H1386" i="33"/>
  <c r="H1387" i="33"/>
  <c r="H1388" i="33"/>
  <c r="H1389" i="33"/>
  <c r="H1390" i="33"/>
  <c r="H1391" i="33"/>
  <c r="H1392" i="33"/>
  <c r="H1393" i="33"/>
  <c r="H1394" i="33"/>
  <c r="H1395" i="33"/>
  <c r="H1396" i="33"/>
  <c r="H1397" i="33"/>
  <c r="H1398" i="33"/>
  <c r="H1399" i="33"/>
  <c r="H1400" i="33"/>
  <c r="H1401" i="33"/>
  <c r="H1402" i="33"/>
  <c r="H1403" i="33"/>
  <c r="H1404" i="33"/>
  <c r="H1405" i="33"/>
  <c r="H1406" i="33"/>
  <c r="H1407" i="33"/>
  <c r="H1408" i="33"/>
  <c r="H1409" i="33"/>
  <c r="H1410" i="33"/>
  <c r="H1411" i="33"/>
  <c r="H1412" i="33"/>
  <c r="H1413" i="33"/>
  <c r="H1414" i="33"/>
  <c r="H1415" i="33"/>
  <c r="H1416" i="33"/>
  <c r="H1417" i="33"/>
  <c r="H1418" i="33"/>
  <c r="H1419" i="33"/>
  <c r="H1420" i="33"/>
  <c r="H1421" i="33"/>
  <c r="H1422" i="33"/>
  <c r="H1423" i="33"/>
  <c r="H1424" i="33"/>
  <c r="H1425" i="33"/>
  <c r="H1426" i="33"/>
  <c r="H1427" i="33"/>
  <c r="H1428" i="33"/>
  <c r="H1429" i="33"/>
  <c r="H1430" i="33"/>
  <c r="H1431" i="33"/>
  <c r="H1432" i="33"/>
  <c r="H1433" i="33"/>
  <c r="H1434" i="33"/>
  <c r="H1435" i="33"/>
  <c r="H1436" i="33"/>
  <c r="H1437" i="33"/>
  <c r="H1438" i="33"/>
  <c r="H1439" i="33"/>
  <c r="H1440" i="33"/>
  <c r="H1441" i="33"/>
  <c r="H1442" i="33"/>
  <c r="H1443" i="33"/>
  <c r="H1444" i="33"/>
  <c r="H1445" i="33"/>
  <c r="H1446" i="33"/>
  <c r="H1447" i="33"/>
  <c r="H1448" i="33"/>
  <c r="H1449" i="33"/>
  <c r="H1450" i="33"/>
  <c r="H1451" i="33"/>
  <c r="H1452" i="33"/>
  <c r="H1453" i="33"/>
  <c r="H1454" i="33"/>
  <c r="H1455" i="33"/>
  <c r="H1456" i="33"/>
  <c r="H1457" i="33"/>
  <c r="H1458" i="33"/>
  <c r="H1459" i="33"/>
  <c r="H1460" i="33"/>
  <c r="H1461" i="33"/>
  <c r="H1462" i="33"/>
  <c r="H1463" i="33"/>
  <c r="H1464" i="33"/>
  <c r="H1465" i="33"/>
  <c r="H1466" i="33"/>
  <c r="H1467" i="33"/>
  <c r="H1468" i="33"/>
  <c r="H1469" i="33"/>
  <c r="H1470" i="33"/>
  <c r="H1471" i="33"/>
  <c r="H1472" i="33"/>
  <c r="H1473" i="33"/>
  <c r="H1474" i="33"/>
  <c r="H1475" i="33"/>
  <c r="H1476" i="33"/>
  <c r="H1477" i="33"/>
  <c r="H1478" i="33"/>
  <c r="H1479" i="33"/>
  <c r="H1480" i="33"/>
  <c r="H1481" i="33"/>
  <c r="H1482" i="33"/>
  <c r="H1483" i="33"/>
  <c r="H1484" i="33"/>
  <c r="H1485" i="33"/>
  <c r="H1486" i="33"/>
  <c r="H1487" i="33"/>
  <c r="H1488" i="33"/>
  <c r="H1489" i="33"/>
  <c r="H1490" i="33"/>
  <c r="H1491" i="33"/>
  <c r="H1492" i="33"/>
  <c r="H1493" i="33"/>
  <c r="H1494" i="33"/>
  <c r="H1495" i="33"/>
  <c r="H1496" i="33"/>
  <c r="H1497" i="33"/>
  <c r="H1498" i="33"/>
  <c r="H1499" i="33"/>
  <c r="H1500" i="33"/>
  <c r="H1501" i="33"/>
  <c r="H1502" i="33"/>
  <c r="H1503" i="33"/>
  <c r="H1504" i="33"/>
  <c r="H1505" i="33"/>
  <c r="H1506" i="33"/>
  <c r="H1507" i="33"/>
  <c r="H1508" i="33"/>
  <c r="H1509" i="33"/>
  <c r="H1510" i="33"/>
  <c r="H1511" i="33"/>
  <c r="H1512" i="33"/>
  <c r="H1513" i="33"/>
  <c r="H1514" i="33"/>
  <c r="H1515" i="33"/>
  <c r="H1516" i="33"/>
  <c r="H1517" i="33"/>
  <c r="H1518" i="33"/>
  <c r="H1519" i="33"/>
  <c r="H1520" i="33"/>
  <c r="H1521" i="33"/>
  <c r="H1522" i="33"/>
  <c r="H1523" i="33"/>
  <c r="H1524" i="33"/>
  <c r="H1525" i="33"/>
  <c r="H1526" i="33"/>
  <c r="H1527" i="33"/>
  <c r="H1528" i="33"/>
  <c r="H1529" i="33"/>
  <c r="H1530" i="33"/>
  <c r="H1531" i="33"/>
  <c r="H1532" i="33"/>
  <c r="H1533" i="33"/>
  <c r="H1534" i="33"/>
  <c r="H1535" i="33"/>
  <c r="H1536" i="33"/>
  <c r="H1537" i="33"/>
  <c r="H1538" i="33"/>
  <c r="H1539" i="33"/>
  <c r="H1540" i="33"/>
  <c r="H1541" i="33"/>
  <c r="H1542" i="33"/>
  <c r="H1543" i="33"/>
  <c r="H1544" i="33"/>
  <c r="H1545" i="33"/>
  <c r="H1546" i="33"/>
  <c r="H1547" i="33"/>
  <c r="H1548" i="33"/>
  <c r="H1549" i="33"/>
  <c r="H1550" i="33"/>
  <c r="H1551" i="33"/>
  <c r="H1552" i="33"/>
  <c r="H1553" i="33"/>
  <c r="H1554" i="33"/>
  <c r="H1555" i="33"/>
  <c r="H1556" i="33"/>
  <c r="H1557" i="33"/>
  <c r="H1558" i="33"/>
  <c r="H1559" i="33"/>
  <c r="H1560" i="33"/>
  <c r="H1561" i="33"/>
  <c r="H1562" i="33"/>
  <c r="H1563" i="33"/>
  <c r="H1564" i="33"/>
  <c r="H1565" i="33"/>
  <c r="H1566" i="33"/>
  <c r="H1567" i="33"/>
  <c r="H1568" i="33"/>
  <c r="H1569" i="33"/>
  <c r="H1570" i="33"/>
  <c r="H1571" i="33"/>
  <c r="H1572" i="33"/>
  <c r="H1573" i="33"/>
  <c r="H1574" i="33"/>
  <c r="H1575" i="33"/>
  <c r="H1576" i="33"/>
  <c r="H1577" i="33"/>
  <c r="H1578" i="33"/>
  <c r="H1579" i="33"/>
  <c r="H1580" i="33"/>
  <c r="H1581" i="33"/>
  <c r="H1582" i="33"/>
  <c r="H1583" i="33"/>
  <c r="H1584" i="33"/>
  <c r="H1585" i="33"/>
  <c r="H1586" i="33"/>
  <c r="H1587" i="33"/>
  <c r="H1588" i="33"/>
  <c r="H1589" i="33"/>
  <c r="H1590" i="33"/>
  <c r="H1591" i="33"/>
  <c r="H1592" i="33"/>
  <c r="H1593" i="33"/>
  <c r="H1594" i="33"/>
  <c r="H1595" i="33"/>
  <c r="H1596" i="33"/>
  <c r="H1597" i="33"/>
  <c r="H1598" i="33"/>
  <c r="H1599" i="33"/>
  <c r="H1600" i="33"/>
  <c r="H1601" i="33"/>
  <c r="H1602" i="33"/>
  <c r="H1603" i="33"/>
  <c r="H1604" i="33"/>
  <c r="H1605" i="33"/>
  <c r="H1606" i="33"/>
  <c r="H1607" i="33"/>
  <c r="H1608" i="33"/>
  <c r="H1609" i="33"/>
  <c r="H1610" i="33"/>
  <c r="H1611" i="33"/>
  <c r="H1612" i="33"/>
  <c r="H1613" i="33"/>
  <c r="H1614" i="33"/>
  <c r="H1615" i="33"/>
  <c r="H1616" i="33"/>
  <c r="H1617" i="33"/>
  <c r="H1618" i="33"/>
  <c r="H1619" i="33"/>
  <c r="H1620" i="33"/>
  <c r="H1621" i="33"/>
  <c r="H1622" i="33"/>
  <c r="H1623" i="33"/>
  <c r="H1624" i="33"/>
  <c r="H1625" i="33"/>
  <c r="H1626" i="33"/>
  <c r="H1627" i="33"/>
  <c r="H1628" i="33"/>
  <c r="H1629" i="33"/>
  <c r="H1630" i="33"/>
  <c r="H1631" i="33"/>
  <c r="H1632" i="33"/>
  <c r="H1633" i="33"/>
  <c r="H1634" i="33"/>
  <c r="H1635" i="33"/>
  <c r="H1636" i="33"/>
  <c r="H1637" i="33"/>
  <c r="H1638" i="33"/>
  <c r="H1639" i="33"/>
  <c r="H1640" i="33"/>
  <c r="H1641" i="33"/>
  <c r="H1642" i="33"/>
  <c r="H1643" i="33"/>
  <c r="H1644" i="33"/>
  <c r="H1645" i="33"/>
  <c r="H1646" i="33"/>
  <c r="H1647" i="33"/>
  <c r="H1648" i="33"/>
  <c r="H1649" i="33"/>
  <c r="H1650" i="33"/>
  <c r="H1651" i="33"/>
  <c r="H1652" i="33"/>
  <c r="H1653" i="33"/>
  <c r="H1654" i="33"/>
  <c r="H1655" i="33"/>
  <c r="H1656" i="33"/>
  <c r="H1657" i="33"/>
  <c r="H1658" i="33"/>
  <c r="H1659" i="33"/>
  <c r="H1660" i="33"/>
  <c r="H1661" i="33"/>
  <c r="H1662" i="33"/>
  <c r="H1663" i="33"/>
  <c r="H1664" i="33"/>
  <c r="H1665" i="33"/>
  <c r="H1666" i="33"/>
  <c r="H1667" i="33"/>
  <c r="H1668" i="33"/>
  <c r="H1669" i="33"/>
  <c r="H1670" i="33"/>
  <c r="H1671" i="33"/>
  <c r="H1672" i="33"/>
  <c r="H1673" i="33"/>
  <c r="H1674" i="33"/>
  <c r="H1675" i="33"/>
  <c r="H1676" i="33"/>
  <c r="H1677" i="33"/>
  <c r="H1678" i="33"/>
  <c r="H1679" i="33"/>
  <c r="H1680" i="33"/>
  <c r="H1681" i="33"/>
  <c r="H1682" i="33"/>
  <c r="H1683" i="33"/>
  <c r="H1684" i="33"/>
  <c r="H1685" i="33"/>
  <c r="H1686" i="33"/>
  <c r="H1687" i="33"/>
  <c r="H1688" i="33"/>
  <c r="H1689" i="33"/>
  <c r="H1690" i="33"/>
  <c r="H1691" i="33"/>
  <c r="H1692" i="33"/>
  <c r="H1693" i="33"/>
  <c r="H1694" i="33"/>
  <c r="H1695" i="33"/>
  <c r="H1696" i="33"/>
  <c r="H1697" i="33"/>
  <c r="H1698" i="33"/>
  <c r="H1699" i="33"/>
  <c r="H1700" i="33"/>
  <c r="H1701" i="33"/>
  <c r="H1702" i="33"/>
  <c r="H1703" i="33"/>
  <c r="H1704" i="33"/>
  <c r="H1705" i="33"/>
  <c r="H1706" i="33"/>
  <c r="H1707" i="33"/>
  <c r="H1708" i="33"/>
  <c r="H1709" i="33"/>
  <c r="H1710" i="33"/>
  <c r="H1711" i="33"/>
  <c r="H1712" i="33"/>
  <c r="H1713" i="33"/>
  <c r="H1714" i="33"/>
  <c r="H1715" i="33"/>
  <c r="H1716" i="33"/>
  <c r="H1717" i="33"/>
  <c r="H1718" i="33"/>
  <c r="H1719" i="33"/>
  <c r="H1720" i="33"/>
  <c r="H1721" i="33"/>
  <c r="H1722" i="33"/>
  <c r="H1723" i="33"/>
  <c r="H1724" i="33"/>
  <c r="H1725" i="33"/>
  <c r="H1726" i="33"/>
  <c r="H1727" i="33"/>
  <c r="H1728" i="33"/>
  <c r="H1729" i="33"/>
  <c r="H1730" i="33"/>
  <c r="H1731" i="33"/>
  <c r="H1732" i="33"/>
  <c r="H1733" i="33"/>
  <c r="H1734" i="33"/>
  <c r="H1735" i="33"/>
  <c r="H1736" i="33"/>
  <c r="H1737" i="33"/>
  <c r="H1738" i="33"/>
  <c r="H1739" i="33"/>
  <c r="H1740" i="33"/>
  <c r="H1741" i="33"/>
  <c r="H1742" i="33"/>
  <c r="H1743" i="33"/>
  <c r="H1744" i="33"/>
  <c r="H1745" i="33"/>
  <c r="H1746" i="33"/>
  <c r="H1747" i="33"/>
  <c r="H1748" i="33"/>
  <c r="H1749" i="33"/>
  <c r="H1750" i="33"/>
  <c r="H1751" i="33"/>
  <c r="H1752" i="33"/>
  <c r="H1753" i="33"/>
  <c r="H1754" i="33"/>
  <c r="H1755" i="33"/>
  <c r="H1756" i="33"/>
  <c r="H1757" i="33"/>
  <c r="H1758" i="33"/>
  <c r="H1759" i="33"/>
  <c r="H1760" i="33"/>
  <c r="H1761" i="33"/>
  <c r="H1762" i="33"/>
  <c r="H1763" i="33"/>
  <c r="H1764" i="33"/>
  <c r="H1765" i="33"/>
  <c r="H1766" i="33"/>
  <c r="H1767" i="33"/>
  <c r="H1768" i="33"/>
  <c r="H1769" i="33"/>
  <c r="H1770" i="33"/>
  <c r="H1771" i="33"/>
  <c r="H1772" i="33"/>
  <c r="H1773" i="33"/>
  <c r="H1774" i="33"/>
  <c r="H1775" i="33"/>
  <c r="H1776" i="33"/>
  <c r="H1777" i="33"/>
  <c r="H1778" i="33"/>
  <c r="H1779" i="33"/>
  <c r="H1780" i="33"/>
  <c r="H1781" i="33"/>
  <c r="H1782" i="33"/>
  <c r="H1783" i="33"/>
  <c r="H1784" i="33"/>
  <c r="H1785" i="33"/>
  <c r="H1786" i="33"/>
  <c r="H1787" i="33"/>
  <c r="H1788" i="33"/>
  <c r="H1789" i="33"/>
  <c r="H1790" i="33"/>
  <c r="H1791" i="33"/>
  <c r="H1792" i="33"/>
  <c r="H1793" i="33"/>
  <c r="H1794" i="33"/>
  <c r="H1795" i="33"/>
  <c r="H1796" i="33"/>
  <c r="H1797" i="33"/>
  <c r="H1798" i="33"/>
  <c r="H1799" i="33"/>
  <c r="H1800" i="33"/>
  <c r="H1801" i="33"/>
  <c r="H1802" i="33"/>
  <c r="H1803" i="33"/>
  <c r="H1804" i="33"/>
  <c r="H1805" i="33"/>
  <c r="H1806" i="33"/>
  <c r="H1807" i="33"/>
  <c r="H1808" i="33"/>
  <c r="H1809" i="33"/>
  <c r="H1810" i="33"/>
  <c r="H1811" i="33"/>
  <c r="H1812" i="33"/>
  <c r="H1813" i="33"/>
  <c r="H1814" i="33"/>
  <c r="H1815" i="33"/>
  <c r="H1816" i="33"/>
  <c r="H1817" i="33"/>
  <c r="H1818" i="33"/>
  <c r="H1819" i="33"/>
  <c r="H1820" i="33"/>
  <c r="H1821" i="33"/>
  <c r="H1822" i="33"/>
  <c r="H1823" i="33"/>
  <c r="H1824" i="33"/>
  <c r="H1825" i="33"/>
  <c r="H1826" i="33"/>
  <c r="H1827" i="33"/>
  <c r="H1828" i="33"/>
  <c r="H1829" i="33"/>
  <c r="H1830" i="33"/>
  <c r="H1831" i="33"/>
  <c r="H1832" i="33"/>
  <c r="H1833" i="33"/>
  <c r="H1834" i="33"/>
  <c r="H1835" i="33"/>
  <c r="H1836" i="33"/>
  <c r="H1837" i="33"/>
  <c r="H1838" i="33"/>
  <c r="H1839" i="33"/>
  <c r="H1840" i="33"/>
  <c r="H1841" i="33"/>
  <c r="H1842" i="33"/>
  <c r="H1843" i="33"/>
  <c r="H1844" i="33"/>
  <c r="H1845" i="33"/>
  <c r="H1846" i="33"/>
  <c r="H1847" i="33"/>
  <c r="H1848" i="33"/>
  <c r="H1849" i="33"/>
  <c r="H1850" i="33"/>
  <c r="H1851" i="33"/>
  <c r="H1852" i="33"/>
  <c r="H1853" i="33"/>
  <c r="H1854" i="33"/>
  <c r="H1855" i="33"/>
  <c r="H1856" i="33"/>
  <c r="H1857" i="33"/>
  <c r="H1858" i="33"/>
  <c r="H1859" i="33"/>
  <c r="H1860" i="33"/>
  <c r="H1861" i="33"/>
  <c r="H1862" i="33"/>
  <c r="H1863" i="33"/>
  <c r="H1864" i="33"/>
  <c r="H1865" i="33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207" i="33"/>
  <c r="G208" i="33"/>
  <c r="G209" i="33"/>
  <c r="G210" i="33"/>
  <c r="G211" i="33"/>
  <c r="G212" i="33"/>
  <c r="G213" i="33"/>
  <c r="G214" i="33"/>
  <c r="G215" i="33"/>
  <c r="G216" i="33"/>
  <c r="G217" i="33"/>
  <c r="G218" i="33"/>
  <c r="G219" i="33"/>
  <c r="G220" i="33"/>
  <c r="G221" i="33"/>
  <c r="G222" i="33"/>
  <c r="G223" i="33"/>
  <c r="G224" i="33"/>
  <c r="G225" i="33"/>
  <c r="G226" i="33"/>
  <c r="G227" i="33"/>
  <c r="G228" i="33"/>
  <c r="G229" i="33"/>
  <c r="G230" i="33"/>
  <c r="G231" i="33"/>
  <c r="G232" i="33"/>
  <c r="G233" i="33"/>
  <c r="G234" i="33"/>
  <c r="G235" i="33"/>
  <c r="G236" i="33"/>
  <c r="G237" i="33"/>
  <c r="G238" i="33"/>
  <c r="G239" i="33"/>
  <c r="G240" i="33"/>
  <c r="G241" i="33"/>
  <c r="G242" i="33"/>
  <c r="G243" i="33"/>
  <c r="G244" i="33"/>
  <c r="G245" i="33"/>
  <c r="G246" i="33"/>
  <c r="G247" i="33"/>
  <c r="G248" i="33"/>
  <c r="G249" i="33"/>
  <c r="G250" i="33"/>
  <c r="G251" i="33"/>
  <c r="G252" i="33"/>
  <c r="G253" i="33"/>
  <c r="G254" i="33"/>
  <c r="G255" i="33"/>
  <c r="G256" i="33"/>
  <c r="G257" i="33"/>
  <c r="G258" i="33"/>
  <c r="G259" i="33"/>
  <c r="G260" i="33"/>
  <c r="G261" i="33"/>
  <c r="G262" i="33"/>
  <c r="G263" i="33"/>
  <c r="G264" i="33"/>
  <c r="G265" i="33"/>
  <c r="G266" i="33"/>
  <c r="G267" i="33"/>
  <c r="G268" i="33"/>
  <c r="G269" i="33"/>
  <c r="G270" i="33"/>
  <c r="G271" i="33"/>
  <c r="G272" i="33"/>
  <c r="G273" i="33"/>
  <c r="G274" i="33"/>
  <c r="G275" i="33"/>
  <c r="G276" i="33"/>
  <c r="G277" i="33"/>
  <c r="G278" i="33"/>
  <c r="G279" i="33"/>
  <c r="G280" i="33"/>
  <c r="G281" i="33"/>
  <c r="G282" i="33"/>
  <c r="G283" i="33"/>
  <c r="G284" i="33"/>
  <c r="G285" i="33"/>
  <c r="G286" i="33"/>
  <c r="G287" i="33"/>
  <c r="G288" i="33"/>
  <c r="G289" i="33"/>
  <c r="G290" i="33"/>
  <c r="G291" i="33"/>
  <c r="G292" i="33"/>
  <c r="G293" i="33"/>
  <c r="G294" i="33"/>
  <c r="G295" i="33"/>
  <c r="G296" i="33"/>
  <c r="G297" i="33"/>
  <c r="G298" i="33"/>
  <c r="G299" i="33"/>
  <c r="G300" i="33"/>
  <c r="G301" i="33"/>
  <c r="G302" i="33"/>
  <c r="G303" i="33"/>
  <c r="G304" i="33"/>
  <c r="G305" i="33"/>
  <c r="G306" i="33"/>
  <c r="G307" i="33"/>
  <c r="G308" i="33"/>
  <c r="G309" i="33"/>
  <c r="G310" i="33"/>
  <c r="G311" i="33"/>
  <c r="G312" i="33"/>
  <c r="G313" i="33"/>
  <c r="G314" i="33"/>
  <c r="G315" i="33"/>
  <c r="G316" i="33"/>
  <c r="G317" i="33"/>
  <c r="G318" i="33"/>
  <c r="G319" i="33"/>
  <c r="G320" i="33"/>
  <c r="G321" i="33"/>
  <c r="G322" i="33"/>
  <c r="G323" i="33"/>
  <c r="G324" i="33"/>
  <c r="G325" i="33"/>
  <c r="G326" i="33"/>
  <c r="G327" i="33"/>
  <c r="G328" i="33"/>
  <c r="G329" i="33"/>
  <c r="G330" i="33"/>
  <c r="G331" i="33"/>
  <c r="G332" i="33"/>
  <c r="G333" i="33"/>
  <c r="G334" i="33"/>
  <c r="G335" i="33"/>
  <c r="G336" i="33"/>
  <c r="G337" i="33"/>
  <c r="G338" i="33"/>
  <c r="G339" i="33"/>
  <c r="G340" i="33"/>
  <c r="G341" i="33"/>
  <c r="G342" i="33"/>
  <c r="G343" i="33"/>
  <c r="G344" i="33"/>
  <c r="G345" i="33"/>
  <c r="G346" i="33"/>
  <c r="G347" i="33"/>
  <c r="G348" i="33"/>
  <c r="G349" i="33"/>
  <c r="G350" i="33"/>
  <c r="G351" i="33"/>
  <c r="G352" i="33"/>
  <c r="G353" i="33"/>
  <c r="G354" i="33"/>
  <c r="G355" i="33"/>
  <c r="G356" i="33"/>
  <c r="G357" i="33"/>
  <c r="G358" i="33"/>
  <c r="G359" i="33"/>
  <c r="G360" i="33"/>
  <c r="G361" i="33"/>
  <c r="G362" i="33"/>
  <c r="G363" i="33"/>
  <c r="G364" i="33"/>
  <c r="G365" i="33"/>
  <c r="G366" i="33"/>
  <c r="G367" i="33"/>
  <c r="G368" i="33"/>
  <c r="G369" i="33"/>
  <c r="G370" i="33"/>
  <c r="G371" i="33"/>
  <c r="G372" i="33"/>
  <c r="G373" i="33"/>
  <c r="G374" i="33"/>
  <c r="G375" i="33"/>
  <c r="G376" i="33"/>
  <c r="G377" i="33"/>
  <c r="G378" i="33"/>
  <c r="G379" i="33"/>
  <c r="G380" i="33"/>
  <c r="G381" i="33"/>
  <c r="G382" i="33"/>
  <c r="G383" i="33"/>
  <c r="G384" i="33"/>
  <c r="G385" i="33"/>
  <c r="G386" i="33"/>
  <c r="G387" i="33"/>
  <c r="G388" i="33"/>
  <c r="G389" i="33"/>
  <c r="G390" i="33"/>
  <c r="G391" i="33"/>
  <c r="G392" i="33"/>
  <c r="G393" i="33"/>
  <c r="G394" i="33"/>
  <c r="G395" i="33"/>
  <c r="G396" i="33"/>
  <c r="G397" i="33"/>
  <c r="G398" i="33"/>
  <c r="G399" i="33"/>
  <c r="G400" i="33"/>
  <c r="G401" i="33"/>
  <c r="G402" i="33"/>
  <c r="G403" i="33"/>
  <c r="G404" i="33"/>
  <c r="G405" i="33"/>
  <c r="G406" i="33"/>
  <c r="G407" i="33"/>
  <c r="G408" i="33"/>
  <c r="G409" i="33"/>
  <c r="G410" i="33"/>
  <c r="G411" i="33"/>
  <c r="G412" i="33"/>
  <c r="G413" i="33"/>
  <c r="G414" i="33"/>
  <c r="G415" i="33"/>
  <c r="G416" i="33"/>
  <c r="G417" i="33"/>
  <c r="G418" i="33"/>
  <c r="G419" i="33"/>
  <c r="G420" i="33"/>
  <c r="G421" i="33"/>
  <c r="G422" i="33"/>
  <c r="G423" i="33"/>
  <c r="G424" i="33"/>
  <c r="G425" i="33"/>
  <c r="G426" i="33"/>
  <c r="G427" i="33"/>
  <c r="G428" i="33"/>
  <c r="G429" i="33"/>
  <c r="G430" i="33"/>
  <c r="G431" i="33"/>
  <c r="G432" i="33"/>
  <c r="G433" i="33"/>
  <c r="G434" i="33"/>
  <c r="G435" i="33"/>
  <c r="G436" i="33"/>
  <c r="G437" i="33"/>
  <c r="G438" i="33"/>
  <c r="G439" i="33"/>
  <c r="G440" i="33"/>
  <c r="G441" i="33"/>
  <c r="G442" i="33"/>
  <c r="G443" i="33"/>
  <c r="G444" i="33"/>
  <c r="G445" i="33"/>
  <c r="G446" i="33"/>
  <c r="G447" i="33"/>
  <c r="G448" i="33"/>
  <c r="G449" i="33"/>
  <c r="G450" i="33"/>
  <c r="G451" i="33"/>
  <c r="G452" i="33"/>
  <c r="G453" i="33"/>
  <c r="G454" i="33"/>
  <c r="G455" i="33"/>
  <c r="G456" i="33"/>
  <c r="G457" i="33"/>
  <c r="G458" i="33"/>
  <c r="G459" i="33"/>
  <c r="G460" i="33"/>
  <c r="G461" i="33"/>
  <c r="G462" i="33"/>
  <c r="G463" i="33"/>
  <c r="G464" i="33"/>
  <c r="G465" i="33"/>
  <c r="G466" i="33"/>
  <c r="G467" i="33"/>
  <c r="G468" i="33"/>
  <c r="G469" i="33"/>
  <c r="G470" i="33"/>
  <c r="G471" i="33"/>
  <c r="G472" i="33"/>
  <c r="G473" i="33"/>
  <c r="G474" i="33"/>
  <c r="G475" i="33"/>
  <c r="G476" i="33"/>
  <c r="G477" i="33"/>
  <c r="G478" i="33"/>
  <c r="G479" i="33"/>
  <c r="G480" i="33"/>
  <c r="G481" i="33"/>
  <c r="G482" i="33"/>
  <c r="G483" i="33"/>
  <c r="G484" i="33"/>
  <c r="G485" i="33"/>
  <c r="G486" i="33"/>
  <c r="G487" i="33"/>
  <c r="G488" i="33"/>
  <c r="G489" i="33"/>
  <c r="G490" i="33"/>
  <c r="G491" i="33"/>
  <c r="G492" i="33"/>
  <c r="G493" i="33"/>
  <c r="G494" i="33"/>
  <c r="G495" i="33"/>
  <c r="G496" i="33"/>
  <c r="G497" i="33"/>
  <c r="G498" i="33"/>
  <c r="G499" i="33"/>
  <c r="G500" i="33"/>
  <c r="G501" i="33"/>
  <c r="G502" i="33"/>
  <c r="G503" i="33"/>
  <c r="G504" i="33"/>
  <c r="G505" i="33"/>
  <c r="G506" i="33"/>
  <c r="G507" i="33"/>
  <c r="G508" i="33"/>
  <c r="G509" i="33"/>
  <c r="G510" i="33"/>
  <c r="G511" i="33"/>
  <c r="G512" i="33"/>
  <c r="G513" i="33"/>
  <c r="G514" i="33"/>
  <c r="G515" i="33"/>
  <c r="G516" i="33"/>
  <c r="G517" i="33"/>
  <c r="G518" i="33"/>
  <c r="G519" i="33"/>
  <c r="G520" i="33"/>
  <c r="G521" i="33"/>
  <c r="G522" i="33"/>
  <c r="G523" i="33"/>
  <c r="G524" i="33"/>
  <c r="G525" i="33"/>
  <c r="G526" i="33"/>
  <c r="G527" i="33"/>
  <c r="G528" i="33"/>
  <c r="G529" i="33"/>
  <c r="G530" i="33"/>
  <c r="G531" i="33"/>
  <c r="G532" i="33"/>
  <c r="G533" i="33"/>
  <c r="G534" i="33"/>
  <c r="G535" i="33"/>
  <c r="G536" i="33"/>
  <c r="G537" i="33"/>
  <c r="G538" i="33"/>
  <c r="G539" i="33"/>
  <c r="G540" i="33"/>
  <c r="G541" i="33"/>
  <c r="G542" i="33"/>
  <c r="G543" i="33"/>
  <c r="G544" i="33"/>
  <c r="G545" i="33"/>
  <c r="G546" i="33"/>
  <c r="G547" i="33"/>
  <c r="G548" i="33"/>
  <c r="G549" i="33"/>
  <c r="G550" i="33"/>
  <c r="G551" i="33"/>
  <c r="G552" i="33"/>
  <c r="G553" i="33"/>
  <c r="G554" i="33"/>
  <c r="G555" i="33"/>
  <c r="G556" i="33"/>
  <c r="G557" i="33"/>
  <c r="G558" i="33"/>
  <c r="G559" i="33"/>
  <c r="G560" i="33"/>
  <c r="G561" i="33"/>
  <c r="G562" i="33"/>
  <c r="G563" i="33"/>
  <c r="G564" i="33"/>
  <c r="G565" i="33"/>
  <c r="G566" i="33"/>
  <c r="G567" i="33"/>
  <c r="G568" i="33"/>
  <c r="G569" i="33"/>
  <c r="G570" i="33"/>
  <c r="G571" i="33"/>
  <c r="G572" i="33"/>
  <c r="G573" i="33"/>
  <c r="G574" i="33"/>
  <c r="G575" i="33"/>
  <c r="G576" i="33"/>
  <c r="G577" i="33"/>
  <c r="G578" i="33"/>
  <c r="G579" i="33"/>
  <c r="G580" i="33"/>
  <c r="G581" i="33"/>
  <c r="G582" i="33"/>
  <c r="G583" i="33"/>
  <c r="G584" i="33"/>
  <c r="G585" i="33"/>
  <c r="G586" i="33"/>
  <c r="G587" i="33"/>
  <c r="G588" i="33"/>
  <c r="G589" i="33"/>
  <c r="G590" i="33"/>
  <c r="G591" i="33"/>
  <c r="G592" i="33"/>
  <c r="G593" i="33"/>
  <c r="G594" i="33"/>
  <c r="G595" i="33"/>
  <c r="G596" i="33"/>
  <c r="G597" i="33"/>
  <c r="G598" i="33"/>
  <c r="G599" i="33"/>
  <c r="G600" i="33"/>
  <c r="G601" i="33"/>
  <c r="G602" i="33"/>
  <c r="G603" i="33"/>
  <c r="G604" i="33"/>
  <c r="G605" i="33"/>
  <c r="G606" i="33"/>
  <c r="G607" i="33"/>
  <c r="G608" i="33"/>
  <c r="G609" i="33"/>
  <c r="G610" i="33"/>
  <c r="G611" i="33"/>
  <c r="G612" i="33"/>
  <c r="G613" i="33"/>
  <c r="G614" i="33"/>
  <c r="G615" i="33"/>
  <c r="G616" i="33"/>
  <c r="G617" i="33"/>
  <c r="G618" i="33"/>
  <c r="G619" i="33"/>
  <c r="G620" i="33"/>
  <c r="G621" i="33"/>
  <c r="G622" i="33"/>
  <c r="G623" i="33"/>
  <c r="G624" i="33"/>
  <c r="G625" i="33"/>
  <c r="G626" i="33"/>
  <c r="G627" i="33"/>
  <c r="G628" i="33"/>
  <c r="G629" i="33"/>
  <c r="G630" i="33"/>
  <c r="G631" i="33"/>
  <c r="G632" i="33"/>
  <c r="G633" i="33"/>
  <c r="G634" i="33"/>
  <c r="G635" i="33"/>
  <c r="G636" i="33"/>
  <c r="G637" i="33"/>
  <c r="G638" i="33"/>
  <c r="G639" i="33"/>
  <c r="G640" i="33"/>
  <c r="G641" i="33"/>
  <c r="G642" i="33"/>
  <c r="G643" i="33"/>
  <c r="G644" i="33"/>
  <c r="G645" i="33"/>
  <c r="G646" i="33"/>
  <c r="G647" i="33"/>
  <c r="G648" i="33"/>
  <c r="G649" i="33"/>
  <c r="G650" i="33"/>
  <c r="G651" i="33"/>
  <c r="G652" i="33"/>
  <c r="G653" i="33"/>
  <c r="G654" i="33"/>
  <c r="G655" i="33"/>
  <c r="G656" i="33"/>
  <c r="G657" i="33"/>
  <c r="G658" i="33"/>
  <c r="G659" i="33"/>
  <c r="G660" i="33"/>
  <c r="G661" i="33"/>
  <c r="G662" i="33"/>
  <c r="G663" i="33"/>
  <c r="G664" i="33"/>
  <c r="G665" i="33"/>
  <c r="G666" i="33"/>
  <c r="G667" i="33"/>
  <c r="G668" i="33"/>
  <c r="G669" i="33"/>
  <c r="G670" i="33"/>
  <c r="G671" i="33"/>
  <c r="G672" i="33"/>
  <c r="G673" i="33"/>
  <c r="G674" i="33"/>
  <c r="G675" i="33"/>
  <c r="G676" i="33"/>
  <c r="G677" i="33"/>
  <c r="G678" i="33"/>
  <c r="G679" i="33"/>
  <c r="G680" i="33"/>
  <c r="G681" i="33"/>
  <c r="G682" i="33"/>
  <c r="G683" i="33"/>
  <c r="G684" i="33"/>
  <c r="G685" i="33"/>
  <c r="G686" i="33"/>
  <c r="G687" i="33"/>
  <c r="G688" i="33"/>
  <c r="G689" i="33"/>
  <c r="G690" i="33"/>
  <c r="G691" i="33"/>
  <c r="G692" i="33"/>
  <c r="G693" i="33"/>
  <c r="G694" i="33"/>
  <c r="G695" i="33"/>
  <c r="G696" i="33"/>
  <c r="G697" i="33"/>
  <c r="G698" i="33"/>
  <c r="G699" i="33"/>
  <c r="G700" i="33"/>
  <c r="G701" i="33"/>
  <c r="G702" i="33"/>
  <c r="G703" i="33"/>
  <c r="G704" i="33"/>
  <c r="G705" i="33"/>
  <c r="G706" i="33"/>
  <c r="G707" i="33"/>
  <c r="G708" i="33"/>
  <c r="G709" i="33"/>
  <c r="G710" i="33"/>
  <c r="G711" i="33"/>
  <c r="G712" i="33"/>
  <c r="G713" i="33"/>
  <c r="G714" i="33"/>
  <c r="G715" i="33"/>
  <c r="G716" i="33"/>
  <c r="G717" i="33"/>
  <c r="G718" i="33"/>
  <c r="G719" i="33"/>
  <c r="G720" i="33"/>
  <c r="G721" i="33"/>
  <c r="G722" i="33"/>
  <c r="G723" i="33"/>
  <c r="G724" i="33"/>
  <c r="G725" i="33"/>
  <c r="G726" i="33"/>
  <c r="G727" i="33"/>
  <c r="G728" i="33"/>
  <c r="G729" i="33"/>
  <c r="G730" i="33"/>
  <c r="G731" i="33"/>
  <c r="G732" i="33"/>
  <c r="G733" i="33"/>
  <c r="G734" i="33"/>
  <c r="G735" i="33"/>
  <c r="G736" i="33"/>
  <c r="G737" i="33"/>
  <c r="G738" i="33"/>
  <c r="G739" i="33"/>
  <c r="G740" i="33"/>
  <c r="G741" i="33"/>
  <c r="G742" i="33"/>
  <c r="G743" i="33"/>
  <c r="G744" i="33"/>
  <c r="G745" i="33"/>
  <c r="G746" i="33"/>
  <c r="G747" i="33"/>
  <c r="G748" i="33"/>
  <c r="G749" i="33"/>
  <c r="G750" i="33"/>
  <c r="G751" i="33"/>
  <c r="G752" i="33"/>
  <c r="G753" i="33"/>
  <c r="G754" i="33"/>
  <c r="G755" i="33"/>
  <c r="G756" i="33"/>
  <c r="G757" i="33"/>
  <c r="G758" i="33"/>
  <c r="G759" i="33"/>
  <c r="G760" i="33"/>
  <c r="G761" i="33"/>
  <c r="G762" i="33"/>
  <c r="G763" i="33"/>
  <c r="G764" i="33"/>
  <c r="G765" i="33"/>
  <c r="G766" i="33"/>
  <c r="G767" i="33"/>
  <c r="G768" i="33"/>
  <c r="G769" i="33"/>
  <c r="G770" i="33"/>
  <c r="G771" i="33"/>
  <c r="G772" i="33"/>
  <c r="G773" i="33"/>
  <c r="G774" i="33"/>
  <c r="G775" i="33"/>
  <c r="G776" i="33"/>
  <c r="G777" i="33"/>
  <c r="G778" i="33"/>
  <c r="G779" i="33"/>
  <c r="G780" i="33"/>
  <c r="G781" i="33"/>
  <c r="G782" i="33"/>
  <c r="G783" i="33"/>
  <c r="G784" i="33"/>
  <c r="G785" i="33"/>
  <c r="G786" i="33"/>
  <c r="G787" i="33"/>
  <c r="G788" i="33"/>
  <c r="G789" i="33"/>
  <c r="G790" i="33"/>
  <c r="G791" i="33"/>
  <c r="G792" i="33"/>
  <c r="G793" i="33"/>
  <c r="G794" i="33"/>
  <c r="G795" i="33"/>
  <c r="G796" i="33"/>
  <c r="G797" i="33"/>
  <c r="G798" i="33"/>
  <c r="G799" i="33"/>
  <c r="G800" i="33"/>
  <c r="G801" i="33"/>
  <c r="G802" i="33"/>
  <c r="G803" i="33"/>
  <c r="G804" i="33"/>
  <c r="G805" i="33"/>
  <c r="G806" i="33"/>
  <c r="G807" i="33"/>
  <c r="G808" i="33"/>
  <c r="G809" i="33"/>
  <c r="G810" i="33"/>
  <c r="G811" i="33"/>
  <c r="G812" i="33"/>
  <c r="G813" i="33"/>
  <c r="G814" i="33"/>
  <c r="G815" i="33"/>
  <c r="G816" i="33"/>
  <c r="G817" i="33"/>
  <c r="G818" i="33"/>
  <c r="G819" i="33"/>
  <c r="G820" i="33"/>
  <c r="G821" i="33"/>
  <c r="G822" i="33"/>
  <c r="G823" i="33"/>
  <c r="G824" i="33"/>
  <c r="G825" i="33"/>
  <c r="G826" i="33"/>
  <c r="G827" i="33"/>
  <c r="G828" i="33"/>
  <c r="G829" i="33"/>
  <c r="G830" i="33"/>
  <c r="G831" i="33"/>
  <c r="G832" i="33"/>
  <c r="G833" i="33"/>
  <c r="G834" i="33"/>
  <c r="G835" i="33"/>
  <c r="G836" i="33"/>
  <c r="G837" i="33"/>
  <c r="G838" i="33"/>
  <c r="G839" i="33"/>
  <c r="G840" i="33"/>
  <c r="G841" i="33"/>
  <c r="G842" i="33"/>
  <c r="G843" i="33"/>
  <c r="G844" i="33"/>
  <c r="G845" i="33"/>
  <c r="G846" i="33"/>
  <c r="G847" i="33"/>
  <c r="G848" i="33"/>
  <c r="G849" i="33"/>
  <c r="G850" i="33"/>
  <c r="G851" i="33"/>
  <c r="G852" i="33"/>
  <c r="G853" i="33"/>
  <c r="G854" i="33"/>
  <c r="G855" i="33"/>
  <c r="G856" i="33"/>
  <c r="G857" i="33"/>
  <c r="G858" i="33"/>
  <c r="G859" i="33"/>
  <c r="G860" i="33"/>
  <c r="G861" i="33"/>
  <c r="G862" i="33"/>
  <c r="G863" i="33"/>
  <c r="G864" i="33"/>
  <c r="G865" i="33"/>
  <c r="G866" i="33"/>
  <c r="G867" i="33"/>
  <c r="G868" i="33"/>
  <c r="G869" i="33"/>
  <c r="G870" i="33"/>
  <c r="G871" i="33"/>
  <c r="G872" i="33"/>
  <c r="G873" i="33"/>
  <c r="G874" i="33"/>
  <c r="G875" i="33"/>
  <c r="G876" i="33"/>
  <c r="G877" i="33"/>
  <c r="G878" i="33"/>
  <c r="G879" i="33"/>
  <c r="G880" i="33"/>
  <c r="G881" i="33"/>
  <c r="G882" i="33"/>
  <c r="G883" i="33"/>
  <c r="G884" i="33"/>
  <c r="G885" i="33"/>
  <c r="G886" i="33"/>
  <c r="G887" i="33"/>
  <c r="G888" i="33"/>
  <c r="G889" i="33"/>
  <c r="G890" i="33"/>
  <c r="G891" i="33"/>
  <c r="G892" i="33"/>
  <c r="G893" i="33"/>
  <c r="G894" i="33"/>
  <c r="G895" i="33"/>
  <c r="G896" i="33"/>
  <c r="G897" i="33"/>
  <c r="G898" i="33"/>
  <c r="G899" i="33"/>
  <c r="G900" i="33"/>
  <c r="G901" i="33"/>
  <c r="G902" i="33"/>
  <c r="G903" i="33"/>
  <c r="G904" i="33"/>
  <c r="G905" i="33"/>
  <c r="G906" i="33"/>
  <c r="G907" i="33"/>
  <c r="G908" i="33"/>
  <c r="G909" i="33"/>
  <c r="G910" i="33"/>
  <c r="G911" i="33"/>
  <c r="G912" i="33"/>
  <c r="G913" i="33"/>
  <c r="G914" i="33"/>
  <c r="G915" i="33"/>
  <c r="G916" i="33"/>
  <c r="G917" i="33"/>
  <c r="G918" i="33"/>
  <c r="G919" i="33"/>
  <c r="G920" i="33"/>
  <c r="G921" i="33"/>
  <c r="G922" i="33"/>
  <c r="G923" i="33"/>
  <c r="G924" i="33"/>
  <c r="G925" i="33"/>
  <c r="G926" i="33"/>
  <c r="G927" i="33"/>
  <c r="G928" i="33"/>
  <c r="G929" i="33"/>
  <c r="G930" i="33"/>
  <c r="G931" i="33"/>
  <c r="G932" i="33"/>
  <c r="G933" i="33"/>
  <c r="G934" i="33"/>
  <c r="G935" i="33"/>
  <c r="G936" i="33"/>
  <c r="G937" i="33"/>
  <c r="G938" i="33"/>
  <c r="G939" i="33"/>
  <c r="G940" i="33"/>
  <c r="G941" i="33"/>
  <c r="G942" i="33"/>
  <c r="G943" i="33"/>
  <c r="G944" i="33"/>
  <c r="G945" i="33"/>
  <c r="G946" i="33"/>
  <c r="G947" i="33"/>
  <c r="G948" i="33"/>
  <c r="G949" i="33"/>
  <c r="G950" i="33"/>
  <c r="G951" i="33"/>
  <c r="G952" i="33"/>
  <c r="G953" i="33"/>
  <c r="G954" i="33"/>
  <c r="G955" i="33"/>
  <c r="G956" i="33"/>
  <c r="G957" i="33"/>
  <c r="G958" i="33"/>
  <c r="G959" i="33"/>
  <c r="G960" i="33"/>
  <c r="G961" i="33"/>
  <c r="G962" i="33"/>
  <c r="G963" i="33"/>
  <c r="G964" i="33"/>
  <c r="G965" i="33"/>
  <c r="G966" i="33"/>
  <c r="G967" i="33"/>
  <c r="G968" i="33"/>
  <c r="G969" i="33"/>
  <c r="G970" i="33"/>
  <c r="G971" i="33"/>
  <c r="G972" i="33"/>
  <c r="G973" i="33"/>
  <c r="G974" i="33"/>
  <c r="G975" i="33"/>
  <c r="G976" i="33"/>
  <c r="G977" i="33"/>
  <c r="G978" i="33"/>
  <c r="G979" i="33"/>
  <c r="G980" i="33"/>
  <c r="G981" i="33"/>
  <c r="G982" i="33"/>
  <c r="G983" i="33"/>
  <c r="G984" i="33"/>
  <c r="G985" i="33"/>
  <c r="G986" i="33"/>
  <c r="G987" i="33"/>
  <c r="G988" i="33"/>
  <c r="G989" i="33"/>
  <c r="G990" i="33"/>
  <c r="G991" i="33"/>
  <c r="G992" i="33"/>
  <c r="G993" i="33"/>
  <c r="G994" i="33"/>
  <c r="G995" i="33"/>
  <c r="G996" i="33"/>
  <c r="G997" i="33"/>
  <c r="G998" i="33"/>
  <c r="G999" i="33"/>
  <c r="G1000" i="33"/>
  <c r="G1001" i="33"/>
  <c r="G1002" i="33"/>
  <c r="G1003" i="33"/>
  <c r="G1004" i="33"/>
  <c r="G1005" i="33"/>
  <c r="G1006" i="33"/>
  <c r="G1007" i="33"/>
  <c r="G1008" i="33"/>
  <c r="G1009" i="33"/>
  <c r="G1010" i="33"/>
  <c r="G1011" i="33"/>
  <c r="G1012" i="33"/>
  <c r="G1013" i="33"/>
  <c r="G1014" i="33"/>
  <c r="G1015" i="33"/>
  <c r="G1016" i="33"/>
  <c r="G1017" i="33"/>
  <c r="G1018" i="33"/>
  <c r="G1019" i="33"/>
  <c r="G1020" i="33"/>
  <c r="G1021" i="33"/>
  <c r="G1022" i="33"/>
  <c r="G1023" i="33"/>
  <c r="G1024" i="33"/>
  <c r="G1025" i="33"/>
  <c r="G1026" i="33"/>
  <c r="G1027" i="33"/>
  <c r="G1028" i="33"/>
  <c r="G1029" i="33"/>
  <c r="G1030" i="33"/>
  <c r="G1031" i="33"/>
  <c r="G1032" i="33"/>
  <c r="G1033" i="33"/>
  <c r="G1034" i="33"/>
  <c r="G1035" i="33"/>
  <c r="G1036" i="33"/>
  <c r="G1037" i="33"/>
  <c r="G1038" i="33"/>
  <c r="G1039" i="33"/>
  <c r="G1040" i="33"/>
  <c r="G1041" i="33"/>
  <c r="G1042" i="33"/>
  <c r="G1043" i="33"/>
  <c r="G1044" i="33"/>
  <c r="G1045" i="33"/>
  <c r="G1046" i="33"/>
  <c r="G1047" i="33"/>
  <c r="G1048" i="33"/>
  <c r="G1049" i="33"/>
  <c r="G1050" i="33"/>
  <c r="G1051" i="33"/>
  <c r="G1052" i="33"/>
  <c r="G1053" i="33"/>
  <c r="G1054" i="33"/>
  <c r="G1055" i="33"/>
  <c r="G1056" i="33"/>
  <c r="G1057" i="33"/>
  <c r="G1058" i="33"/>
  <c r="G1059" i="33"/>
  <c r="G1060" i="33"/>
  <c r="G1061" i="33"/>
  <c r="G1062" i="33"/>
  <c r="G1063" i="33"/>
  <c r="G1064" i="33"/>
  <c r="G1065" i="33"/>
  <c r="G1066" i="33"/>
  <c r="G1067" i="33"/>
  <c r="G1068" i="33"/>
  <c r="G1069" i="33"/>
  <c r="G1070" i="33"/>
  <c r="G1071" i="33"/>
  <c r="G1072" i="33"/>
  <c r="G1073" i="33"/>
  <c r="G1074" i="33"/>
  <c r="G1075" i="33"/>
  <c r="G1076" i="33"/>
  <c r="G1077" i="33"/>
  <c r="G1078" i="33"/>
  <c r="G1079" i="33"/>
  <c r="G1080" i="33"/>
  <c r="G1081" i="33"/>
  <c r="G1082" i="33"/>
  <c r="G1083" i="33"/>
  <c r="G1084" i="33"/>
  <c r="G1085" i="33"/>
  <c r="G1086" i="33"/>
  <c r="G1087" i="33"/>
  <c r="G1088" i="33"/>
  <c r="G1089" i="33"/>
  <c r="G1090" i="33"/>
  <c r="G1091" i="33"/>
  <c r="G1092" i="33"/>
  <c r="G1093" i="33"/>
  <c r="G1094" i="33"/>
  <c r="G1095" i="33"/>
  <c r="G1096" i="33"/>
  <c r="G1097" i="33"/>
  <c r="G1098" i="33"/>
  <c r="G1099" i="33"/>
  <c r="G1100" i="33"/>
  <c r="G1101" i="33"/>
  <c r="G1102" i="33"/>
  <c r="G1103" i="33"/>
  <c r="G1104" i="33"/>
  <c r="G1105" i="33"/>
  <c r="G1106" i="33"/>
  <c r="G1107" i="33"/>
  <c r="G1108" i="33"/>
  <c r="G1109" i="33"/>
  <c r="G1110" i="33"/>
  <c r="G1111" i="33"/>
  <c r="G1112" i="33"/>
  <c r="G1113" i="33"/>
  <c r="G1114" i="33"/>
  <c r="G1115" i="33"/>
  <c r="G1116" i="33"/>
  <c r="G1117" i="33"/>
  <c r="G1118" i="33"/>
  <c r="G1119" i="33"/>
  <c r="G1120" i="33"/>
  <c r="G1121" i="33"/>
  <c r="G1122" i="33"/>
  <c r="G1123" i="33"/>
  <c r="G1124" i="33"/>
  <c r="G1125" i="33"/>
  <c r="G1126" i="33"/>
  <c r="G1127" i="33"/>
  <c r="G1128" i="33"/>
  <c r="G1129" i="33"/>
  <c r="G1130" i="33"/>
  <c r="G1131" i="33"/>
  <c r="G1132" i="33"/>
  <c r="G1133" i="33"/>
  <c r="G1134" i="33"/>
  <c r="G1135" i="33"/>
  <c r="G1136" i="33"/>
  <c r="G1137" i="33"/>
  <c r="G1138" i="33"/>
  <c r="G1139" i="33"/>
  <c r="G1140" i="33"/>
  <c r="G1141" i="33"/>
  <c r="G1142" i="33"/>
  <c r="G1143" i="33"/>
  <c r="G1144" i="33"/>
  <c r="G1145" i="33"/>
  <c r="G1146" i="33"/>
  <c r="G1147" i="33"/>
  <c r="G1148" i="33"/>
  <c r="G1149" i="33"/>
  <c r="G1150" i="33"/>
  <c r="G1151" i="33"/>
  <c r="G1152" i="33"/>
  <c r="G1153" i="33"/>
  <c r="G1154" i="33"/>
  <c r="G1155" i="33"/>
  <c r="G1156" i="33"/>
  <c r="G1157" i="33"/>
  <c r="G1158" i="33"/>
  <c r="G1159" i="33"/>
  <c r="G1160" i="33"/>
  <c r="G1161" i="33"/>
  <c r="G1162" i="33"/>
  <c r="G1163" i="33"/>
  <c r="G1164" i="33"/>
  <c r="G1165" i="33"/>
  <c r="G1166" i="33"/>
  <c r="G1167" i="33"/>
  <c r="G1168" i="33"/>
  <c r="G1169" i="33"/>
  <c r="G1170" i="33"/>
  <c r="G1171" i="33"/>
  <c r="G1172" i="33"/>
  <c r="G1173" i="33"/>
  <c r="G1174" i="33"/>
  <c r="G1175" i="33"/>
  <c r="G1176" i="33"/>
  <c r="G1177" i="33"/>
  <c r="G1178" i="33"/>
  <c r="G1179" i="33"/>
  <c r="G1180" i="33"/>
  <c r="G1181" i="33"/>
  <c r="G1182" i="33"/>
  <c r="G1183" i="33"/>
  <c r="G1184" i="33"/>
  <c r="G1185" i="33"/>
  <c r="G1186" i="33"/>
  <c r="G1187" i="33"/>
  <c r="G1188" i="33"/>
  <c r="G1189" i="33"/>
  <c r="G1190" i="33"/>
  <c r="G1191" i="33"/>
  <c r="G1192" i="33"/>
  <c r="G1193" i="33"/>
  <c r="G1194" i="33"/>
  <c r="G1195" i="33"/>
  <c r="G1196" i="33"/>
  <c r="G1197" i="33"/>
  <c r="G1198" i="33"/>
  <c r="G1199" i="33"/>
  <c r="G1200" i="33"/>
  <c r="G1201" i="33"/>
  <c r="G1202" i="33"/>
  <c r="G1203" i="33"/>
  <c r="G1204" i="33"/>
  <c r="G1205" i="33"/>
  <c r="G1206" i="33"/>
  <c r="G1207" i="33"/>
  <c r="G1208" i="33"/>
  <c r="G1209" i="33"/>
  <c r="G1210" i="33"/>
  <c r="G1211" i="33"/>
  <c r="G1212" i="33"/>
  <c r="G1213" i="33"/>
  <c r="G1214" i="33"/>
  <c r="G1215" i="33"/>
  <c r="G1216" i="33"/>
  <c r="G1217" i="33"/>
  <c r="G1218" i="33"/>
  <c r="G1219" i="33"/>
  <c r="G1220" i="33"/>
  <c r="G1221" i="33"/>
  <c r="G1222" i="33"/>
  <c r="G1223" i="33"/>
  <c r="G1224" i="33"/>
  <c r="G1225" i="33"/>
  <c r="G1226" i="33"/>
  <c r="G1227" i="33"/>
  <c r="G1228" i="33"/>
  <c r="G1229" i="33"/>
  <c r="G1230" i="33"/>
  <c r="G1231" i="33"/>
  <c r="G1232" i="33"/>
  <c r="G1233" i="33"/>
  <c r="G1234" i="33"/>
  <c r="G1235" i="33"/>
  <c r="G1236" i="33"/>
  <c r="G1237" i="33"/>
  <c r="G1238" i="33"/>
  <c r="G1239" i="33"/>
  <c r="G1240" i="33"/>
  <c r="G1241" i="33"/>
  <c r="G1242" i="33"/>
  <c r="G1243" i="33"/>
  <c r="G1244" i="33"/>
  <c r="G1245" i="33"/>
  <c r="G1246" i="33"/>
  <c r="G1247" i="33"/>
  <c r="G1248" i="33"/>
  <c r="G1249" i="33"/>
  <c r="G1250" i="33"/>
  <c r="G1251" i="33"/>
  <c r="G1252" i="33"/>
  <c r="G1253" i="33"/>
  <c r="G1254" i="33"/>
  <c r="G1255" i="33"/>
  <c r="G1256" i="33"/>
  <c r="G1257" i="33"/>
  <c r="G1258" i="33"/>
  <c r="G1259" i="33"/>
  <c r="G1260" i="33"/>
  <c r="G1261" i="33"/>
  <c r="G1262" i="33"/>
  <c r="G1263" i="33"/>
  <c r="G1264" i="33"/>
  <c r="G1265" i="33"/>
  <c r="G1266" i="33"/>
  <c r="G1267" i="33"/>
  <c r="G1268" i="33"/>
  <c r="G1269" i="33"/>
  <c r="G1270" i="33"/>
  <c r="G1271" i="33"/>
  <c r="G1272" i="33"/>
  <c r="G1273" i="33"/>
  <c r="G1274" i="33"/>
  <c r="G1275" i="33"/>
  <c r="G1276" i="33"/>
  <c r="G1277" i="33"/>
  <c r="G1278" i="33"/>
  <c r="G1279" i="33"/>
  <c r="G1280" i="33"/>
  <c r="G1281" i="33"/>
  <c r="G1282" i="33"/>
  <c r="G1283" i="33"/>
  <c r="G1284" i="33"/>
  <c r="G1285" i="33"/>
  <c r="G1286" i="33"/>
  <c r="G1287" i="33"/>
  <c r="G1288" i="33"/>
  <c r="G1289" i="33"/>
  <c r="G1290" i="33"/>
  <c r="G1291" i="33"/>
  <c r="G1292" i="33"/>
  <c r="G1293" i="33"/>
  <c r="G1294" i="33"/>
  <c r="G1295" i="33"/>
  <c r="G1296" i="33"/>
  <c r="G1297" i="33"/>
  <c r="G1298" i="33"/>
  <c r="G1299" i="33"/>
  <c r="G1300" i="33"/>
  <c r="G1301" i="33"/>
  <c r="G1302" i="33"/>
  <c r="G1303" i="33"/>
  <c r="G1304" i="33"/>
  <c r="G1305" i="33"/>
  <c r="G1306" i="33"/>
  <c r="G1307" i="33"/>
  <c r="G1308" i="33"/>
  <c r="G1309" i="33"/>
  <c r="G1310" i="33"/>
  <c r="G1311" i="33"/>
  <c r="G1312" i="33"/>
  <c r="G1313" i="33"/>
  <c r="G1314" i="33"/>
  <c r="G1315" i="33"/>
  <c r="G1316" i="33"/>
  <c r="G1317" i="33"/>
  <c r="G1318" i="33"/>
  <c r="G1319" i="33"/>
  <c r="G1320" i="33"/>
  <c r="G1321" i="33"/>
  <c r="G1322" i="33"/>
  <c r="G1323" i="33"/>
  <c r="G1324" i="33"/>
  <c r="G1325" i="33"/>
  <c r="G1326" i="33"/>
  <c r="G1327" i="33"/>
  <c r="G1328" i="33"/>
  <c r="G1329" i="33"/>
  <c r="G1330" i="33"/>
  <c r="G1331" i="33"/>
  <c r="G1332" i="33"/>
  <c r="G1333" i="33"/>
  <c r="G1334" i="33"/>
  <c r="G1335" i="33"/>
  <c r="G1336" i="33"/>
  <c r="G1337" i="33"/>
  <c r="G1338" i="33"/>
  <c r="G1339" i="33"/>
  <c r="G1340" i="33"/>
  <c r="G1341" i="33"/>
  <c r="G1342" i="33"/>
  <c r="G1343" i="33"/>
  <c r="G1344" i="33"/>
  <c r="G1345" i="33"/>
  <c r="G1346" i="33"/>
  <c r="G1347" i="33"/>
  <c r="G1348" i="33"/>
  <c r="G1349" i="33"/>
  <c r="G1350" i="33"/>
  <c r="G1351" i="33"/>
  <c r="G1352" i="33"/>
  <c r="G1353" i="33"/>
  <c r="G1354" i="33"/>
  <c r="G1355" i="33"/>
  <c r="G1356" i="33"/>
  <c r="G1357" i="33"/>
  <c r="G1358" i="33"/>
  <c r="G1359" i="33"/>
  <c r="G1360" i="33"/>
  <c r="G1361" i="33"/>
  <c r="G1362" i="33"/>
  <c r="G1363" i="33"/>
  <c r="G1364" i="33"/>
  <c r="G1365" i="33"/>
  <c r="G1366" i="33"/>
  <c r="G1367" i="33"/>
  <c r="G1368" i="33"/>
  <c r="G1369" i="33"/>
  <c r="G1370" i="33"/>
  <c r="G1371" i="33"/>
  <c r="G1372" i="33"/>
  <c r="G1373" i="33"/>
  <c r="G1374" i="33"/>
  <c r="G1375" i="33"/>
  <c r="G1376" i="33"/>
  <c r="G1377" i="33"/>
  <c r="G1378" i="33"/>
  <c r="G1379" i="33"/>
  <c r="G1380" i="33"/>
  <c r="G1381" i="33"/>
  <c r="G1382" i="33"/>
  <c r="G1383" i="33"/>
  <c r="G1384" i="33"/>
  <c r="G1385" i="33"/>
  <c r="G1386" i="33"/>
  <c r="G1387" i="33"/>
  <c r="G1388" i="33"/>
  <c r="G1389" i="33"/>
  <c r="G1390" i="33"/>
  <c r="G1391" i="33"/>
  <c r="G1392" i="33"/>
  <c r="G1393" i="33"/>
  <c r="G1394" i="33"/>
  <c r="G1395" i="33"/>
  <c r="G1396" i="33"/>
  <c r="G1397" i="33"/>
  <c r="G1398" i="33"/>
  <c r="G1399" i="33"/>
  <c r="G1400" i="33"/>
  <c r="G1401" i="33"/>
  <c r="G1402" i="33"/>
  <c r="G1403" i="33"/>
  <c r="G1404" i="33"/>
  <c r="G1405" i="33"/>
  <c r="G1406" i="33"/>
  <c r="G1407" i="33"/>
  <c r="G1408" i="33"/>
  <c r="G1409" i="33"/>
  <c r="G1410" i="33"/>
  <c r="G1411" i="33"/>
  <c r="G1412" i="33"/>
  <c r="G1413" i="33"/>
  <c r="G1414" i="33"/>
  <c r="G1415" i="33"/>
  <c r="G1416" i="33"/>
  <c r="G1417" i="33"/>
  <c r="G1418" i="33"/>
  <c r="G1419" i="33"/>
  <c r="G1420" i="33"/>
  <c r="G1421" i="33"/>
  <c r="G1422" i="33"/>
  <c r="G1423" i="33"/>
  <c r="G1424" i="33"/>
  <c r="G1425" i="33"/>
  <c r="G1426" i="33"/>
  <c r="G1427" i="33"/>
  <c r="G1428" i="33"/>
  <c r="G1429" i="33"/>
  <c r="G1430" i="33"/>
  <c r="G1431" i="33"/>
  <c r="G1432" i="33"/>
  <c r="G1433" i="33"/>
  <c r="G1434" i="33"/>
  <c r="G1435" i="33"/>
  <c r="G1436" i="33"/>
  <c r="G1437" i="33"/>
  <c r="G1438" i="33"/>
  <c r="G1439" i="33"/>
  <c r="G1440" i="33"/>
  <c r="G1441" i="33"/>
  <c r="G1442" i="33"/>
  <c r="G1443" i="33"/>
  <c r="G1444" i="33"/>
  <c r="G1445" i="33"/>
  <c r="G1446" i="33"/>
  <c r="G1447" i="33"/>
  <c r="G1448" i="33"/>
  <c r="G1449" i="33"/>
  <c r="G1450" i="33"/>
  <c r="G1451" i="33"/>
  <c r="G1452" i="33"/>
  <c r="G1453" i="33"/>
  <c r="G1454" i="33"/>
  <c r="G1455" i="33"/>
  <c r="G1456" i="33"/>
  <c r="G1457" i="33"/>
  <c r="G1458" i="33"/>
  <c r="G1459" i="33"/>
  <c r="G1460" i="33"/>
  <c r="G1461" i="33"/>
  <c r="G1462" i="33"/>
  <c r="G1463" i="33"/>
  <c r="G1464" i="33"/>
  <c r="G1465" i="33"/>
  <c r="G1466" i="33"/>
  <c r="G1467" i="33"/>
  <c r="G1468" i="33"/>
  <c r="G1469" i="33"/>
  <c r="G1470" i="33"/>
  <c r="G1471" i="33"/>
  <c r="G1472" i="33"/>
  <c r="G1473" i="33"/>
  <c r="G1474" i="33"/>
  <c r="G1475" i="33"/>
  <c r="G1476" i="33"/>
  <c r="G1477" i="33"/>
  <c r="G1478" i="33"/>
  <c r="G1479" i="33"/>
  <c r="G1480" i="33"/>
  <c r="G1481" i="33"/>
  <c r="G1482" i="33"/>
  <c r="G1483" i="33"/>
  <c r="G1484" i="33"/>
  <c r="G1485" i="33"/>
  <c r="G1486" i="33"/>
  <c r="G1487" i="33"/>
  <c r="G1488" i="33"/>
  <c r="G1489" i="33"/>
  <c r="G1490" i="33"/>
  <c r="G1491" i="33"/>
  <c r="G1492" i="33"/>
  <c r="G1493" i="33"/>
  <c r="G1494" i="33"/>
  <c r="G1495" i="33"/>
  <c r="G1496" i="33"/>
  <c r="G1497" i="33"/>
  <c r="G1498" i="33"/>
  <c r="G1499" i="33"/>
  <c r="G1500" i="33"/>
  <c r="G1501" i="33"/>
  <c r="G1502" i="33"/>
  <c r="G1503" i="33"/>
  <c r="G1504" i="33"/>
  <c r="G1505" i="33"/>
  <c r="G1506" i="33"/>
  <c r="G1507" i="33"/>
  <c r="G1508" i="33"/>
  <c r="G1509" i="33"/>
  <c r="G1510" i="33"/>
  <c r="G1511" i="33"/>
  <c r="G1512" i="33"/>
  <c r="G1513" i="33"/>
  <c r="G1514" i="33"/>
  <c r="G1515" i="33"/>
  <c r="G1516" i="33"/>
  <c r="G1517" i="33"/>
  <c r="G1518" i="33"/>
  <c r="G1519" i="33"/>
  <c r="G1520" i="33"/>
  <c r="G1521" i="33"/>
  <c r="G1522" i="33"/>
  <c r="G1523" i="33"/>
  <c r="G1524" i="33"/>
  <c r="G1525" i="33"/>
  <c r="G1526" i="33"/>
  <c r="G1527" i="33"/>
  <c r="G1528" i="33"/>
  <c r="G1529" i="33"/>
  <c r="G1530" i="33"/>
  <c r="G1531" i="33"/>
  <c r="G1532" i="33"/>
  <c r="G1533" i="33"/>
  <c r="G1534" i="33"/>
  <c r="G1535" i="33"/>
  <c r="G1536" i="33"/>
  <c r="G1537" i="33"/>
  <c r="G1538" i="33"/>
  <c r="G1539" i="33"/>
  <c r="G1540" i="33"/>
  <c r="G1541" i="33"/>
  <c r="G1542" i="33"/>
  <c r="G1543" i="33"/>
  <c r="G1544" i="33"/>
  <c r="G1545" i="33"/>
  <c r="G1546" i="33"/>
  <c r="G1547" i="33"/>
  <c r="G1548" i="33"/>
  <c r="G1549" i="33"/>
  <c r="G1550" i="33"/>
  <c r="G1551" i="33"/>
  <c r="G1552" i="33"/>
  <c r="G1553" i="33"/>
  <c r="G1554" i="33"/>
  <c r="G1555" i="33"/>
  <c r="G1556" i="33"/>
  <c r="G1557" i="33"/>
  <c r="G1558" i="33"/>
  <c r="G1559" i="33"/>
  <c r="G1560" i="33"/>
  <c r="G1561" i="33"/>
  <c r="G1562" i="33"/>
  <c r="G1563" i="33"/>
  <c r="G1564" i="33"/>
  <c r="G1565" i="33"/>
  <c r="G1566" i="33"/>
  <c r="G1567" i="33"/>
  <c r="G1568" i="33"/>
  <c r="G1569" i="33"/>
  <c r="G1570" i="33"/>
  <c r="G1571" i="33"/>
  <c r="G1572" i="33"/>
  <c r="G1573" i="33"/>
  <c r="G1574" i="33"/>
  <c r="G1575" i="33"/>
  <c r="G1576" i="33"/>
  <c r="G1577" i="33"/>
  <c r="G1578" i="33"/>
  <c r="G1579" i="33"/>
  <c r="G1580" i="33"/>
  <c r="G1581" i="33"/>
  <c r="G1582" i="33"/>
  <c r="G1583" i="33"/>
  <c r="G1584" i="33"/>
  <c r="G1585" i="33"/>
  <c r="G1586" i="33"/>
  <c r="G1587" i="33"/>
  <c r="G1588" i="33"/>
  <c r="G1589" i="33"/>
  <c r="G1590" i="33"/>
  <c r="G1591" i="33"/>
  <c r="G1592" i="33"/>
  <c r="G1593" i="33"/>
  <c r="G1594" i="33"/>
  <c r="G1595" i="33"/>
  <c r="G1596" i="33"/>
  <c r="G1597" i="33"/>
  <c r="G1598" i="33"/>
  <c r="G1599" i="33"/>
  <c r="G1600" i="33"/>
  <c r="G1601" i="33"/>
  <c r="G1602" i="33"/>
  <c r="G1603" i="33"/>
  <c r="G1604" i="33"/>
  <c r="G1605" i="33"/>
  <c r="G1606" i="33"/>
  <c r="G1607" i="33"/>
  <c r="G1608" i="33"/>
  <c r="G1609" i="33"/>
  <c r="G1610" i="33"/>
  <c r="G1611" i="33"/>
  <c r="G1612" i="33"/>
  <c r="G1613" i="33"/>
  <c r="G1614" i="33"/>
  <c r="G1615" i="33"/>
  <c r="G1616" i="33"/>
  <c r="G1617" i="33"/>
  <c r="G1618" i="33"/>
  <c r="G1619" i="33"/>
  <c r="G1620" i="33"/>
  <c r="G1621" i="33"/>
  <c r="G1622" i="33"/>
  <c r="G1623" i="33"/>
  <c r="G1624" i="33"/>
  <c r="G1625" i="33"/>
  <c r="G1626" i="33"/>
  <c r="G1627" i="33"/>
  <c r="G1628" i="33"/>
  <c r="G1629" i="33"/>
  <c r="G1630" i="33"/>
  <c r="G1631" i="33"/>
  <c r="G1632" i="33"/>
  <c r="G1633" i="33"/>
  <c r="G1634" i="33"/>
  <c r="G1635" i="33"/>
  <c r="G1636" i="33"/>
  <c r="G1637" i="33"/>
  <c r="G1638" i="33"/>
  <c r="G1639" i="33"/>
  <c r="G1640" i="33"/>
  <c r="G1641" i="33"/>
  <c r="G1642" i="33"/>
  <c r="G1643" i="33"/>
  <c r="G1644" i="33"/>
  <c r="G1645" i="33"/>
  <c r="G1646" i="33"/>
  <c r="G1647" i="33"/>
  <c r="G1648" i="33"/>
  <c r="G1649" i="33"/>
  <c r="G1650" i="33"/>
  <c r="G1651" i="33"/>
  <c r="G1652" i="33"/>
  <c r="G1653" i="33"/>
  <c r="G1654" i="33"/>
  <c r="G1655" i="33"/>
  <c r="G1656" i="33"/>
  <c r="G1657" i="33"/>
  <c r="G1658" i="33"/>
  <c r="G1659" i="33"/>
  <c r="G1660" i="33"/>
  <c r="G1661" i="33"/>
  <c r="G1662" i="33"/>
  <c r="G1663" i="33"/>
  <c r="G1664" i="33"/>
  <c r="G1665" i="33"/>
  <c r="G1666" i="33"/>
  <c r="G1667" i="33"/>
  <c r="G1668" i="33"/>
  <c r="G1669" i="33"/>
  <c r="G1670" i="33"/>
  <c r="G1671" i="33"/>
  <c r="G1672" i="33"/>
  <c r="G1673" i="33"/>
  <c r="G1674" i="33"/>
  <c r="G1675" i="33"/>
  <c r="G1676" i="33"/>
  <c r="G1677" i="33"/>
  <c r="G1678" i="33"/>
  <c r="G1679" i="33"/>
  <c r="G1680" i="33"/>
  <c r="G1681" i="33"/>
  <c r="G1682" i="33"/>
  <c r="G1683" i="33"/>
  <c r="G1684" i="33"/>
  <c r="G1685" i="33"/>
  <c r="G1686" i="33"/>
  <c r="G1687" i="33"/>
  <c r="G1688" i="33"/>
  <c r="G1689" i="33"/>
  <c r="G1690" i="33"/>
  <c r="G1691" i="33"/>
  <c r="G1692" i="33"/>
  <c r="G1693" i="33"/>
  <c r="G1694" i="33"/>
  <c r="G1695" i="33"/>
  <c r="G1696" i="33"/>
  <c r="G1697" i="33"/>
  <c r="G1698" i="33"/>
  <c r="G1699" i="33"/>
  <c r="G1700" i="33"/>
  <c r="G1701" i="33"/>
  <c r="G1702" i="33"/>
  <c r="G1703" i="33"/>
  <c r="G1704" i="33"/>
  <c r="G1705" i="33"/>
  <c r="G1706" i="33"/>
  <c r="G1707" i="33"/>
  <c r="G1708" i="33"/>
  <c r="G1709" i="33"/>
  <c r="G1710" i="33"/>
  <c r="G1711" i="33"/>
  <c r="G1712" i="33"/>
  <c r="G1713" i="33"/>
  <c r="G1714" i="33"/>
  <c r="G1715" i="33"/>
  <c r="G1716" i="33"/>
  <c r="G1717" i="33"/>
  <c r="G1718" i="33"/>
  <c r="G1719" i="33"/>
  <c r="G1720" i="33"/>
  <c r="G1721" i="33"/>
  <c r="G1722" i="33"/>
  <c r="G1723" i="33"/>
  <c r="G1724" i="33"/>
  <c r="G1725" i="33"/>
  <c r="G1726" i="33"/>
  <c r="G1727" i="33"/>
  <c r="G1728" i="33"/>
  <c r="G1729" i="33"/>
  <c r="G1730" i="33"/>
  <c r="G1731" i="33"/>
  <c r="G1732" i="33"/>
  <c r="G1733" i="33"/>
  <c r="G1734" i="33"/>
  <c r="G1735" i="33"/>
  <c r="G1736" i="33"/>
  <c r="G1737" i="33"/>
  <c r="G1738" i="33"/>
  <c r="G1739" i="33"/>
  <c r="G1740" i="33"/>
  <c r="G1741" i="33"/>
  <c r="G1742" i="33"/>
  <c r="G1743" i="33"/>
  <c r="G1744" i="33"/>
  <c r="G1745" i="33"/>
  <c r="G1746" i="33"/>
  <c r="G1747" i="33"/>
  <c r="G1748" i="33"/>
  <c r="G1749" i="33"/>
  <c r="G1750" i="33"/>
  <c r="G1751" i="33"/>
  <c r="G1752" i="33"/>
  <c r="G1753" i="33"/>
  <c r="G1754" i="33"/>
  <c r="G1755" i="33"/>
  <c r="G1756" i="33"/>
  <c r="G1757" i="33"/>
  <c r="G1758" i="33"/>
  <c r="G1759" i="33"/>
  <c r="G1760" i="33"/>
  <c r="G1761" i="33"/>
  <c r="G1762" i="33"/>
  <c r="G1763" i="33"/>
  <c r="G1764" i="33"/>
  <c r="G1765" i="33"/>
  <c r="G1766" i="33"/>
  <c r="G1767" i="33"/>
  <c r="G1768" i="33"/>
  <c r="G1769" i="33"/>
  <c r="G1770" i="33"/>
  <c r="G1771" i="33"/>
  <c r="G1772" i="33"/>
  <c r="G1773" i="33"/>
  <c r="G1774" i="33"/>
  <c r="G1775" i="33"/>
  <c r="G1776" i="33"/>
  <c r="G1777" i="33"/>
  <c r="G1778" i="33"/>
  <c r="G1779" i="33"/>
  <c r="G1780" i="33"/>
  <c r="G1781" i="33"/>
  <c r="G1782" i="33"/>
  <c r="G1783" i="33"/>
  <c r="G1784" i="33"/>
  <c r="G1785" i="33"/>
  <c r="G1786" i="33"/>
  <c r="G1787" i="33"/>
  <c r="G1788" i="33"/>
  <c r="G1789" i="33"/>
  <c r="G1790" i="33"/>
  <c r="G1791" i="33"/>
  <c r="G1792" i="33"/>
  <c r="G1793" i="33"/>
  <c r="G1794" i="33"/>
  <c r="G1795" i="33"/>
  <c r="G1796" i="33"/>
  <c r="G1797" i="33"/>
  <c r="G1798" i="33"/>
  <c r="G1799" i="33"/>
  <c r="G1800" i="33"/>
  <c r="G1801" i="33"/>
  <c r="G1802" i="33"/>
  <c r="G1803" i="33"/>
  <c r="G1804" i="33"/>
  <c r="G1805" i="33"/>
  <c r="G1806" i="33"/>
  <c r="G1807" i="33"/>
  <c r="G1808" i="33"/>
  <c r="G1809" i="33"/>
  <c r="G1810" i="33"/>
  <c r="G1811" i="33"/>
  <c r="G1812" i="33"/>
  <c r="G1813" i="33"/>
  <c r="G1814" i="33"/>
  <c r="G1815" i="33"/>
  <c r="G1816" i="33"/>
  <c r="G1817" i="33"/>
  <c r="G1818" i="33"/>
  <c r="G1819" i="33"/>
  <c r="G1820" i="33"/>
  <c r="G1821" i="33"/>
  <c r="G1822" i="33"/>
  <c r="G1823" i="33"/>
  <c r="G1824" i="33"/>
  <c r="G1825" i="33"/>
  <c r="G1826" i="33"/>
  <c r="G1827" i="33"/>
  <c r="G1828" i="33"/>
  <c r="G1829" i="33"/>
  <c r="G1830" i="33"/>
  <c r="G1831" i="33"/>
  <c r="G1832" i="33"/>
  <c r="G1833" i="33"/>
  <c r="G1834" i="33"/>
  <c r="G1835" i="33"/>
  <c r="G1836" i="33"/>
  <c r="G1837" i="33"/>
  <c r="G1838" i="33"/>
  <c r="G1839" i="33"/>
  <c r="G1840" i="33"/>
  <c r="G1841" i="33"/>
  <c r="G1842" i="33"/>
  <c r="G1843" i="33"/>
  <c r="G1844" i="33"/>
  <c r="G1845" i="33"/>
  <c r="G1846" i="33"/>
  <c r="G1847" i="33"/>
  <c r="G1848" i="33"/>
  <c r="G1849" i="33"/>
  <c r="G1850" i="33"/>
  <c r="G1851" i="33"/>
  <c r="G1852" i="33"/>
  <c r="G1853" i="33"/>
  <c r="G1854" i="33"/>
  <c r="G1855" i="33"/>
  <c r="G1856" i="33"/>
  <c r="G1857" i="33"/>
  <c r="G1858" i="33"/>
  <c r="G1859" i="33"/>
  <c r="G1860" i="33"/>
  <c r="G1861" i="33"/>
  <c r="G1862" i="33"/>
  <c r="G1863" i="33"/>
  <c r="G1864" i="33"/>
  <c r="G1865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67" i="33"/>
  <c r="F268" i="33"/>
  <c r="F269" i="33"/>
  <c r="F270" i="33"/>
  <c r="F271" i="33"/>
  <c r="F272" i="33"/>
  <c r="F273" i="33"/>
  <c r="F274" i="33"/>
  <c r="F275" i="33"/>
  <c r="F276" i="33"/>
  <c r="F277" i="33"/>
  <c r="F278" i="33"/>
  <c r="F279" i="33"/>
  <c r="F280" i="33"/>
  <c r="F281" i="33"/>
  <c r="F282" i="33"/>
  <c r="F283" i="33"/>
  <c r="F284" i="33"/>
  <c r="F285" i="33"/>
  <c r="F286" i="33"/>
  <c r="F287" i="33"/>
  <c r="F288" i="33"/>
  <c r="F289" i="33"/>
  <c r="F290" i="33"/>
  <c r="F291" i="33"/>
  <c r="F292" i="33"/>
  <c r="F293" i="33"/>
  <c r="F294" i="33"/>
  <c r="F295" i="33"/>
  <c r="F296" i="33"/>
  <c r="F297" i="33"/>
  <c r="F298" i="33"/>
  <c r="F299" i="33"/>
  <c r="F300" i="33"/>
  <c r="F301" i="33"/>
  <c r="F302" i="33"/>
  <c r="F303" i="33"/>
  <c r="F304" i="33"/>
  <c r="F305" i="33"/>
  <c r="F306" i="33"/>
  <c r="F307" i="33"/>
  <c r="F308" i="33"/>
  <c r="F309" i="33"/>
  <c r="F310" i="33"/>
  <c r="F311" i="33"/>
  <c r="F312" i="33"/>
  <c r="F313" i="33"/>
  <c r="F314" i="33"/>
  <c r="F315" i="33"/>
  <c r="F316" i="33"/>
  <c r="F317" i="33"/>
  <c r="F318" i="33"/>
  <c r="F319" i="33"/>
  <c r="F320" i="33"/>
  <c r="F321" i="33"/>
  <c r="F322" i="33"/>
  <c r="F323" i="33"/>
  <c r="F324" i="33"/>
  <c r="F325" i="33"/>
  <c r="F326" i="33"/>
  <c r="F327" i="33"/>
  <c r="F328" i="33"/>
  <c r="F329" i="33"/>
  <c r="F330" i="33"/>
  <c r="F331" i="33"/>
  <c r="F332" i="33"/>
  <c r="F333" i="33"/>
  <c r="F334" i="33"/>
  <c r="F335" i="33"/>
  <c r="F336" i="33"/>
  <c r="F337" i="33"/>
  <c r="F338" i="33"/>
  <c r="F339" i="33"/>
  <c r="F340" i="33"/>
  <c r="F341" i="33"/>
  <c r="F342" i="33"/>
  <c r="F343" i="33"/>
  <c r="F344" i="33"/>
  <c r="F345" i="33"/>
  <c r="F346" i="33"/>
  <c r="F347" i="33"/>
  <c r="F348" i="33"/>
  <c r="F349" i="33"/>
  <c r="F350" i="33"/>
  <c r="F351" i="33"/>
  <c r="F352" i="33"/>
  <c r="F353" i="33"/>
  <c r="F354" i="33"/>
  <c r="F355" i="33"/>
  <c r="F356" i="33"/>
  <c r="F357" i="33"/>
  <c r="F358" i="33"/>
  <c r="F359" i="33"/>
  <c r="F360" i="33"/>
  <c r="F361" i="33"/>
  <c r="F362" i="33"/>
  <c r="F363" i="33"/>
  <c r="F364" i="33"/>
  <c r="F365" i="33"/>
  <c r="F366" i="33"/>
  <c r="F367" i="33"/>
  <c r="F368" i="33"/>
  <c r="F369" i="33"/>
  <c r="F370" i="33"/>
  <c r="F371" i="33"/>
  <c r="F372" i="33"/>
  <c r="F373" i="33"/>
  <c r="F374" i="33"/>
  <c r="F375" i="33"/>
  <c r="F376" i="33"/>
  <c r="F377" i="33"/>
  <c r="F378" i="33"/>
  <c r="F379" i="33"/>
  <c r="F380" i="33"/>
  <c r="F381" i="33"/>
  <c r="F382" i="33"/>
  <c r="F383" i="33"/>
  <c r="F384" i="33"/>
  <c r="F385" i="33"/>
  <c r="F386" i="33"/>
  <c r="F387" i="33"/>
  <c r="F388" i="33"/>
  <c r="F389" i="33"/>
  <c r="F390" i="33"/>
  <c r="F391" i="33"/>
  <c r="F392" i="33"/>
  <c r="F393" i="33"/>
  <c r="F394" i="33"/>
  <c r="F395" i="33"/>
  <c r="F396" i="33"/>
  <c r="F397" i="33"/>
  <c r="F398" i="33"/>
  <c r="F399" i="33"/>
  <c r="F400" i="33"/>
  <c r="F401" i="33"/>
  <c r="F402" i="33"/>
  <c r="F403" i="33"/>
  <c r="F404" i="33"/>
  <c r="F405" i="33"/>
  <c r="F406" i="33"/>
  <c r="F407" i="33"/>
  <c r="F408" i="33"/>
  <c r="F409" i="33"/>
  <c r="F410" i="33"/>
  <c r="F411" i="33"/>
  <c r="F412" i="33"/>
  <c r="F413" i="33"/>
  <c r="F414" i="33"/>
  <c r="F415" i="33"/>
  <c r="F416" i="33"/>
  <c r="F417" i="33"/>
  <c r="F418" i="33"/>
  <c r="F419" i="33"/>
  <c r="F420" i="33"/>
  <c r="F421" i="33"/>
  <c r="F422" i="33"/>
  <c r="F423" i="33"/>
  <c r="F424" i="33"/>
  <c r="F425" i="33"/>
  <c r="F426" i="33"/>
  <c r="F427" i="33"/>
  <c r="F428" i="33"/>
  <c r="F429" i="33"/>
  <c r="F430" i="33"/>
  <c r="F431" i="33"/>
  <c r="F432" i="33"/>
  <c r="F433" i="33"/>
  <c r="F434" i="33"/>
  <c r="F435" i="33"/>
  <c r="F436" i="33"/>
  <c r="F437" i="33"/>
  <c r="F438" i="33"/>
  <c r="F439" i="33"/>
  <c r="F440" i="33"/>
  <c r="F441" i="33"/>
  <c r="F442" i="33"/>
  <c r="F443" i="33"/>
  <c r="F444" i="33"/>
  <c r="F445" i="33"/>
  <c r="F446" i="33"/>
  <c r="F447" i="33"/>
  <c r="F448" i="33"/>
  <c r="F449" i="33"/>
  <c r="F450" i="33"/>
  <c r="F451" i="33"/>
  <c r="F452" i="33"/>
  <c r="F453" i="33"/>
  <c r="F454" i="33"/>
  <c r="F455" i="33"/>
  <c r="F456" i="33"/>
  <c r="F457" i="33"/>
  <c r="F458" i="33"/>
  <c r="F459" i="33"/>
  <c r="F460" i="33"/>
  <c r="F461" i="33"/>
  <c r="F462" i="33"/>
  <c r="F463" i="33"/>
  <c r="F464" i="33"/>
  <c r="F465" i="33"/>
  <c r="F466" i="33"/>
  <c r="F467" i="33"/>
  <c r="F468" i="33"/>
  <c r="F469" i="33"/>
  <c r="F470" i="33"/>
  <c r="F471" i="33"/>
  <c r="F472" i="33"/>
  <c r="F473" i="33"/>
  <c r="F474" i="33"/>
  <c r="F475" i="33"/>
  <c r="F476" i="33"/>
  <c r="F477" i="33"/>
  <c r="F478" i="33"/>
  <c r="F479" i="33"/>
  <c r="F480" i="33"/>
  <c r="F481" i="33"/>
  <c r="F482" i="33"/>
  <c r="F483" i="33"/>
  <c r="F484" i="33"/>
  <c r="F485" i="33"/>
  <c r="F486" i="33"/>
  <c r="F487" i="33"/>
  <c r="F488" i="33"/>
  <c r="F489" i="33"/>
  <c r="F490" i="33"/>
  <c r="F491" i="33"/>
  <c r="F492" i="33"/>
  <c r="F493" i="33"/>
  <c r="F494" i="33"/>
  <c r="F495" i="33"/>
  <c r="F496" i="33"/>
  <c r="F497" i="33"/>
  <c r="F498" i="33"/>
  <c r="F499" i="33"/>
  <c r="F500" i="33"/>
  <c r="F501" i="33"/>
  <c r="F502" i="33"/>
  <c r="F503" i="33"/>
  <c r="F504" i="33"/>
  <c r="F505" i="33"/>
  <c r="F506" i="33"/>
  <c r="F507" i="33"/>
  <c r="F508" i="33"/>
  <c r="F509" i="33"/>
  <c r="F510" i="33"/>
  <c r="F511" i="33"/>
  <c r="F512" i="33"/>
  <c r="F513" i="33"/>
  <c r="F514" i="33"/>
  <c r="F515" i="33"/>
  <c r="F516" i="33"/>
  <c r="F517" i="33"/>
  <c r="F518" i="33"/>
  <c r="F519" i="33"/>
  <c r="F520" i="33"/>
  <c r="F521" i="33"/>
  <c r="F522" i="33"/>
  <c r="F523" i="33"/>
  <c r="F524" i="33"/>
  <c r="F525" i="33"/>
  <c r="F526" i="33"/>
  <c r="F527" i="33"/>
  <c r="F528" i="33"/>
  <c r="F529" i="33"/>
  <c r="F530" i="33"/>
  <c r="F531" i="33"/>
  <c r="F532" i="33"/>
  <c r="F533" i="33"/>
  <c r="F534" i="33"/>
  <c r="F535" i="33"/>
  <c r="F536" i="33"/>
  <c r="F537" i="33"/>
  <c r="F538" i="33"/>
  <c r="F539" i="33"/>
  <c r="F540" i="33"/>
  <c r="F541" i="33"/>
  <c r="F542" i="33"/>
  <c r="F543" i="33"/>
  <c r="F544" i="33"/>
  <c r="F545" i="33"/>
  <c r="F546" i="33"/>
  <c r="F547" i="33"/>
  <c r="F548" i="33"/>
  <c r="F549" i="33"/>
  <c r="F550" i="33"/>
  <c r="F551" i="33"/>
  <c r="F552" i="33"/>
  <c r="F553" i="33"/>
  <c r="F554" i="33"/>
  <c r="F555" i="33"/>
  <c r="F556" i="33"/>
  <c r="F557" i="33"/>
  <c r="F558" i="33"/>
  <c r="F559" i="33"/>
  <c r="F560" i="33"/>
  <c r="F561" i="33"/>
  <c r="F562" i="33"/>
  <c r="F563" i="33"/>
  <c r="F564" i="33"/>
  <c r="F565" i="33"/>
  <c r="F566" i="33"/>
  <c r="F567" i="33"/>
  <c r="F568" i="33"/>
  <c r="F569" i="33"/>
  <c r="F570" i="33"/>
  <c r="F571" i="33"/>
  <c r="F572" i="33"/>
  <c r="F573" i="33"/>
  <c r="F574" i="33"/>
  <c r="F575" i="33"/>
  <c r="F576" i="33"/>
  <c r="F577" i="33"/>
  <c r="F578" i="33"/>
  <c r="F579" i="33"/>
  <c r="F580" i="33"/>
  <c r="F581" i="33"/>
  <c r="F582" i="33"/>
  <c r="F583" i="33"/>
  <c r="F584" i="33"/>
  <c r="F585" i="33"/>
  <c r="F586" i="33"/>
  <c r="F587" i="33"/>
  <c r="F588" i="33"/>
  <c r="F589" i="33"/>
  <c r="F590" i="33"/>
  <c r="F591" i="33"/>
  <c r="F592" i="33"/>
  <c r="F593" i="33"/>
  <c r="F594" i="33"/>
  <c r="F595" i="33"/>
  <c r="F596" i="33"/>
  <c r="F597" i="33"/>
  <c r="F598" i="33"/>
  <c r="F599" i="33"/>
  <c r="F600" i="33"/>
  <c r="F601" i="33"/>
  <c r="F602" i="33"/>
  <c r="F603" i="33"/>
  <c r="F604" i="33"/>
  <c r="F605" i="33"/>
  <c r="F606" i="33"/>
  <c r="F607" i="33"/>
  <c r="F608" i="33"/>
  <c r="F609" i="33"/>
  <c r="F610" i="33"/>
  <c r="F611" i="33"/>
  <c r="F612" i="33"/>
  <c r="F613" i="33"/>
  <c r="F614" i="33"/>
  <c r="F615" i="33"/>
  <c r="F616" i="33"/>
  <c r="F617" i="33"/>
  <c r="F618" i="33"/>
  <c r="F619" i="33"/>
  <c r="F620" i="33"/>
  <c r="F621" i="33"/>
  <c r="F622" i="33"/>
  <c r="F623" i="33"/>
  <c r="F624" i="33"/>
  <c r="F625" i="33"/>
  <c r="F626" i="33"/>
  <c r="F627" i="33"/>
  <c r="F628" i="33"/>
  <c r="F629" i="33"/>
  <c r="F630" i="33"/>
  <c r="F631" i="33"/>
  <c r="F632" i="33"/>
  <c r="F633" i="33"/>
  <c r="F634" i="33"/>
  <c r="F635" i="33"/>
  <c r="F636" i="33"/>
  <c r="F637" i="33"/>
  <c r="F638" i="33"/>
  <c r="F639" i="33"/>
  <c r="F640" i="33"/>
  <c r="F641" i="33"/>
  <c r="F642" i="33"/>
  <c r="F643" i="33"/>
  <c r="F644" i="33"/>
  <c r="F645" i="33"/>
  <c r="F646" i="33"/>
  <c r="F647" i="33"/>
  <c r="F648" i="33"/>
  <c r="F649" i="33"/>
  <c r="F650" i="33"/>
  <c r="F651" i="33"/>
  <c r="F652" i="33"/>
  <c r="F653" i="33"/>
  <c r="F654" i="33"/>
  <c r="F655" i="33"/>
  <c r="F656" i="33"/>
  <c r="F657" i="33"/>
  <c r="F658" i="33"/>
  <c r="F659" i="33"/>
  <c r="F660" i="33"/>
  <c r="F661" i="33"/>
  <c r="F662" i="33"/>
  <c r="F663" i="33"/>
  <c r="F664" i="33"/>
  <c r="F665" i="33"/>
  <c r="F666" i="33"/>
  <c r="F667" i="33"/>
  <c r="F668" i="33"/>
  <c r="F669" i="33"/>
  <c r="F670" i="33"/>
  <c r="F671" i="33"/>
  <c r="F672" i="33"/>
  <c r="F673" i="33"/>
  <c r="F674" i="33"/>
  <c r="F675" i="33"/>
  <c r="F676" i="33"/>
  <c r="F677" i="33"/>
  <c r="F678" i="33"/>
  <c r="F679" i="33"/>
  <c r="F680" i="33"/>
  <c r="F681" i="33"/>
  <c r="F682" i="33"/>
  <c r="F683" i="33"/>
  <c r="F684" i="33"/>
  <c r="F685" i="33"/>
  <c r="F686" i="33"/>
  <c r="F687" i="33"/>
  <c r="F688" i="33"/>
  <c r="F689" i="33"/>
  <c r="F690" i="33"/>
  <c r="F691" i="33"/>
  <c r="F692" i="33"/>
  <c r="F693" i="33"/>
  <c r="F694" i="33"/>
  <c r="F695" i="33"/>
  <c r="F696" i="33"/>
  <c r="F697" i="33"/>
  <c r="F698" i="33"/>
  <c r="F699" i="33"/>
  <c r="F700" i="33"/>
  <c r="F701" i="33"/>
  <c r="F702" i="33"/>
  <c r="F703" i="33"/>
  <c r="F704" i="33"/>
  <c r="F705" i="33"/>
  <c r="F706" i="33"/>
  <c r="F707" i="33"/>
  <c r="F708" i="33"/>
  <c r="F709" i="33"/>
  <c r="F710" i="33"/>
  <c r="F711" i="33"/>
  <c r="F712" i="33"/>
  <c r="F713" i="33"/>
  <c r="F714" i="33"/>
  <c r="F715" i="33"/>
  <c r="F716" i="33"/>
  <c r="F717" i="33"/>
  <c r="F718" i="33"/>
  <c r="F719" i="33"/>
  <c r="F720" i="33"/>
  <c r="F721" i="33"/>
  <c r="F722" i="33"/>
  <c r="F723" i="33"/>
  <c r="F724" i="33"/>
  <c r="F725" i="33"/>
  <c r="F726" i="33"/>
  <c r="F727" i="33"/>
  <c r="F728" i="33"/>
  <c r="F729" i="33"/>
  <c r="F730" i="33"/>
  <c r="F731" i="33"/>
  <c r="F732" i="33"/>
  <c r="F733" i="33"/>
  <c r="F734" i="33"/>
  <c r="F735" i="33"/>
  <c r="F736" i="33"/>
  <c r="F737" i="33"/>
  <c r="F738" i="33"/>
  <c r="F739" i="33"/>
  <c r="F740" i="33"/>
  <c r="F741" i="33"/>
  <c r="F742" i="33"/>
  <c r="F743" i="33"/>
  <c r="F744" i="33"/>
  <c r="F745" i="33"/>
  <c r="F746" i="33"/>
  <c r="F747" i="33"/>
  <c r="F748" i="33"/>
  <c r="F749" i="33"/>
  <c r="F750" i="33"/>
  <c r="F751" i="33"/>
  <c r="F752" i="33"/>
  <c r="F753" i="33"/>
  <c r="F754" i="33"/>
  <c r="F755" i="33"/>
  <c r="F756" i="33"/>
  <c r="F757" i="33"/>
  <c r="F758" i="33"/>
  <c r="F759" i="33"/>
  <c r="F760" i="33"/>
  <c r="F761" i="33"/>
  <c r="F762" i="33"/>
  <c r="F763" i="33"/>
  <c r="F764" i="33"/>
  <c r="F765" i="33"/>
  <c r="F766" i="33"/>
  <c r="F767" i="33"/>
  <c r="F768" i="33"/>
  <c r="F769" i="33"/>
  <c r="F770" i="33"/>
  <c r="F771" i="33"/>
  <c r="F772" i="33"/>
  <c r="F773" i="33"/>
  <c r="F774" i="33"/>
  <c r="F775" i="33"/>
  <c r="F776" i="33"/>
  <c r="F777" i="33"/>
  <c r="F778" i="33"/>
  <c r="F779" i="33"/>
  <c r="F780" i="33"/>
  <c r="F781" i="33"/>
  <c r="F782" i="33"/>
  <c r="F783" i="33"/>
  <c r="F784" i="33"/>
  <c r="F785" i="33"/>
  <c r="F786" i="33"/>
  <c r="F787" i="33"/>
  <c r="F788" i="33"/>
  <c r="F789" i="33"/>
  <c r="F790" i="33"/>
  <c r="F791" i="33"/>
  <c r="F792" i="33"/>
  <c r="F793" i="33"/>
  <c r="F794" i="33"/>
  <c r="F795" i="33"/>
  <c r="F796" i="33"/>
  <c r="F797" i="33"/>
  <c r="F798" i="33"/>
  <c r="F799" i="33"/>
  <c r="F800" i="33"/>
  <c r="F801" i="33"/>
  <c r="F802" i="33"/>
  <c r="F803" i="33"/>
  <c r="F804" i="33"/>
  <c r="F805" i="33"/>
  <c r="F806" i="33"/>
  <c r="F807" i="33"/>
  <c r="F808" i="33"/>
  <c r="F809" i="33"/>
  <c r="F810" i="33"/>
  <c r="F811" i="33"/>
  <c r="F812" i="33"/>
  <c r="F813" i="33"/>
  <c r="F814" i="33"/>
  <c r="F815" i="33"/>
  <c r="F816" i="33"/>
  <c r="F817" i="33"/>
  <c r="F818" i="33"/>
  <c r="F819" i="33"/>
  <c r="F820" i="33"/>
  <c r="F821" i="33"/>
  <c r="F822" i="33"/>
  <c r="F823" i="33"/>
  <c r="F824" i="33"/>
  <c r="F825" i="33"/>
  <c r="F826" i="33"/>
  <c r="F827" i="33"/>
  <c r="F828" i="33"/>
  <c r="F829" i="33"/>
  <c r="F830" i="33"/>
  <c r="F831" i="33"/>
  <c r="F832" i="33"/>
  <c r="F833" i="33"/>
  <c r="F834" i="33"/>
  <c r="F835" i="33"/>
  <c r="F836" i="33"/>
  <c r="F837" i="33"/>
  <c r="F838" i="33"/>
  <c r="F839" i="33"/>
  <c r="F840" i="33"/>
  <c r="F841" i="33"/>
  <c r="F842" i="33"/>
  <c r="F843" i="33"/>
  <c r="F844" i="33"/>
  <c r="F845" i="33"/>
  <c r="F846" i="33"/>
  <c r="F847" i="33"/>
  <c r="F848" i="33"/>
  <c r="F849" i="33"/>
  <c r="F850" i="33"/>
  <c r="F851" i="33"/>
  <c r="F852" i="33"/>
  <c r="F853" i="33"/>
  <c r="F854" i="33"/>
  <c r="F855" i="33"/>
  <c r="F856" i="33"/>
  <c r="F857" i="33"/>
  <c r="F858" i="33"/>
  <c r="F859" i="33"/>
  <c r="F860" i="33"/>
  <c r="F861" i="33"/>
  <c r="F862" i="33"/>
  <c r="F863" i="33"/>
  <c r="F864" i="33"/>
  <c r="F865" i="33"/>
  <c r="F866" i="33"/>
  <c r="F867" i="33"/>
  <c r="F868" i="33"/>
  <c r="F869" i="33"/>
  <c r="F870" i="33"/>
  <c r="F871" i="33"/>
  <c r="F872" i="33"/>
  <c r="F873" i="33"/>
  <c r="F874" i="33"/>
  <c r="F875" i="33"/>
  <c r="F876" i="33"/>
  <c r="F877" i="33"/>
  <c r="F878" i="33"/>
  <c r="F879" i="33"/>
  <c r="F880" i="33"/>
  <c r="F881" i="33"/>
  <c r="F882" i="33"/>
  <c r="F883" i="33"/>
  <c r="F884" i="33"/>
  <c r="F885" i="33"/>
  <c r="F886" i="33"/>
  <c r="F887" i="33"/>
  <c r="F888" i="33"/>
  <c r="F889" i="33"/>
  <c r="F890" i="33"/>
  <c r="F891" i="33"/>
  <c r="F892" i="33"/>
  <c r="F893" i="33"/>
  <c r="F894" i="33"/>
  <c r="F895" i="33"/>
  <c r="F896" i="33"/>
  <c r="F897" i="33"/>
  <c r="F898" i="33"/>
  <c r="F899" i="33"/>
  <c r="F900" i="33"/>
  <c r="F901" i="33"/>
  <c r="F902" i="33"/>
  <c r="F903" i="33"/>
  <c r="F904" i="33"/>
  <c r="F905" i="33"/>
  <c r="F906" i="33"/>
  <c r="F907" i="33"/>
  <c r="F908" i="33"/>
  <c r="F909" i="33"/>
  <c r="F910" i="33"/>
  <c r="F911" i="33"/>
  <c r="F912" i="33"/>
  <c r="F913" i="33"/>
  <c r="F914" i="33"/>
  <c r="F915" i="33"/>
  <c r="F916" i="33"/>
  <c r="F917" i="33"/>
  <c r="F918" i="33"/>
  <c r="F919" i="33"/>
  <c r="F920" i="33"/>
  <c r="F921" i="33"/>
  <c r="F922" i="33"/>
  <c r="F923" i="33"/>
  <c r="F924" i="33"/>
  <c r="F925" i="33"/>
  <c r="F926" i="33"/>
  <c r="F927" i="33"/>
  <c r="F928" i="33"/>
  <c r="F929" i="33"/>
  <c r="F930" i="33"/>
  <c r="F931" i="33"/>
  <c r="F932" i="33"/>
  <c r="F933" i="33"/>
  <c r="F934" i="33"/>
  <c r="F935" i="33"/>
  <c r="F936" i="33"/>
  <c r="F937" i="33"/>
  <c r="F938" i="33"/>
  <c r="F939" i="33"/>
  <c r="F940" i="33"/>
  <c r="F941" i="33"/>
  <c r="F942" i="33"/>
  <c r="F943" i="33"/>
  <c r="F944" i="33"/>
  <c r="F945" i="33"/>
  <c r="F946" i="33"/>
  <c r="F947" i="33"/>
  <c r="F948" i="33"/>
  <c r="F949" i="33"/>
  <c r="F950" i="33"/>
  <c r="F951" i="33"/>
  <c r="F952" i="33"/>
  <c r="F953" i="33"/>
  <c r="F954" i="33"/>
  <c r="F955" i="33"/>
  <c r="F956" i="33"/>
  <c r="F957" i="33"/>
  <c r="F958" i="33"/>
  <c r="F959" i="33"/>
  <c r="F960" i="33"/>
  <c r="F961" i="33"/>
  <c r="F962" i="33"/>
  <c r="F963" i="33"/>
  <c r="F964" i="33"/>
  <c r="F965" i="33"/>
  <c r="F966" i="33"/>
  <c r="F967" i="33"/>
  <c r="F968" i="33"/>
  <c r="F969" i="33"/>
  <c r="F970" i="33"/>
  <c r="F971" i="33"/>
  <c r="F972" i="33"/>
  <c r="F973" i="33"/>
  <c r="F974" i="33"/>
  <c r="F975" i="33"/>
  <c r="F976" i="33"/>
  <c r="F977" i="33"/>
  <c r="F978" i="33"/>
  <c r="F979" i="33"/>
  <c r="F980" i="33"/>
  <c r="F981" i="33"/>
  <c r="F982" i="33"/>
  <c r="F983" i="33"/>
  <c r="F984" i="33"/>
  <c r="F985" i="33"/>
  <c r="F986" i="33"/>
  <c r="F987" i="33"/>
  <c r="F988" i="33"/>
  <c r="F989" i="33"/>
  <c r="F990" i="33"/>
  <c r="F991" i="33"/>
  <c r="F992" i="33"/>
  <c r="F993" i="33"/>
  <c r="F994" i="33"/>
  <c r="F995" i="33"/>
  <c r="F996" i="33"/>
  <c r="F997" i="33"/>
  <c r="F998" i="33"/>
  <c r="F999" i="33"/>
  <c r="F1000" i="33"/>
  <c r="F1001" i="33"/>
  <c r="F1002" i="33"/>
  <c r="F1003" i="33"/>
  <c r="F1004" i="33"/>
  <c r="F1005" i="33"/>
  <c r="F1006" i="33"/>
  <c r="F1007" i="33"/>
  <c r="F1008" i="33"/>
  <c r="F1009" i="33"/>
  <c r="F1010" i="33"/>
  <c r="F1011" i="33"/>
  <c r="F1012" i="33"/>
  <c r="F1013" i="33"/>
  <c r="F1014" i="33"/>
  <c r="F1015" i="33"/>
  <c r="F1016" i="33"/>
  <c r="F1017" i="33"/>
  <c r="F1018" i="33"/>
  <c r="F1019" i="33"/>
  <c r="F1020" i="33"/>
  <c r="F1021" i="33"/>
  <c r="F1022" i="33"/>
  <c r="F1023" i="33"/>
  <c r="F1024" i="33"/>
  <c r="F1025" i="33"/>
  <c r="F1026" i="33"/>
  <c r="F1027" i="33"/>
  <c r="F1028" i="33"/>
  <c r="F1029" i="33"/>
  <c r="F1030" i="33"/>
  <c r="F1031" i="33"/>
  <c r="F1032" i="33"/>
  <c r="F1033" i="33"/>
  <c r="F1034" i="33"/>
  <c r="F1035" i="33"/>
  <c r="F1036" i="33"/>
  <c r="F1037" i="33"/>
  <c r="F1038" i="33"/>
  <c r="F1039" i="33"/>
  <c r="F1040" i="33"/>
  <c r="F1041" i="33"/>
  <c r="F1042" i="33"/>
  <c r="F1043" i="33"/>
  <c r="F1044" i="33"/>
  <c r="F1045" i="33"/>
  <c r="F1046" i="33"/>
  <c r="F1047" i="33"/>
  <c r="F1048" i="33"/>
  <c r="F1049" i="33"/>
  <c r="F1050" i="33"/>
  <c r="F1051" i="33"/>
  <c r="F1052" i="33"/>
  <c r="F1053" i="33"/>
  <c r="F1054" i="33"/>
  <c r="F1055" i="33"/>
  <c r="F1056" i="33"/>
  <c r="F1057" i="33"/>
  <c r="F1058" i="33"/>
  <c r="F1059" i="33"/>
  <c r="F1060" i="33"/>
  <c r="F1061" i="33"/>
  <c r="F1062" i="33"/>
  <c r="F1063" i="33"/>
  <c r="F1064" i="33"/>
  <c r="F1065" i="33"/>
  <c r="F1066" i="33"/>
  <c r="F1067" i="33"/>
  <c r="F1068" i="33"/>
  <c r="F1069" i="33"/>
  <c r="F1070" i="33"/>
  <c r="F1071" i="33"/>
  <c r="F1072" i="33"/>
  <c r="F1073" i="33"/>
  <c r="F1074" i="33"/>
  <c r="F1075" i="33"/>
  <c r="F1076" i="33"/>
  <c r="F1077" i="33"/>
  <c r="F1078" i="33"/>
  <c r="F1079" i="33"/>
  <c r="F1080" i="33"/>
  <c r="F1081" i="33"/>
  <c r="F1082" i="33"/>
  <c r="F1083" i="33"/>
  <c r="F1084" i="33"/>
  <c r="F1085" i="33"/>
  <c r="F1086" i="33"/>
  <c r="F1087" i="33"/>
  <c r="F1088" i="33"/>
  <c r="F1089" i="33"/>
  <c r="F1090" i="33"/>
  <c r="F1091" i="33"/>
  <c r="F1092" i="33"/>
  <c r="F1093" i="33"/>
  <c r="F1094" i="33"/>
  <c r="F1095" i="33"/>
  <c r="F1096" i="33"/>
  <c r="F1097" i="33"/>
  <c r="F1098" i="33"/>
  <c r="F1099" i="33"/>
  <c r="F1100" i="33"/>
  <c r="F1101" i="33"/>
  <c r="F1102" i="33"/>
  <c r="F1103" i="33"/>
  <c r="F1104" i="33"/>
  <c r="F1105" i="33"/>
  <c r="F1106" i="33"/>
  <c r="F1107" i="33"/>
  <c r="F1108" i="33"/>
  <c r="F1109" i="33"/>
  <c r="F1110" i="33"/>
  <c r="F1111" i="33"/>
  <c r="F1112" i="33"/>
  <c r="F1113" i="33"/>
  <c r="F1114" i="33"/>
  <c r="F1115" i="33"/>
  <c r="F1116" i="33"/>
  <c r="F1117" i="33"/>
  <c r="F1118" i="33"/>
  <c r="F1119" i="33"/>
  <c r="F1120" i="33"/>
  <c r="F1121" i="33"/>
  <c r="F1122" i="33"/>
  <c r="F1123" i="33"/>
  <c r="F1124" i="33"/>
  <c r="F1125" i="33"/>
  <c r="F1126" i="33"/>
  <c r="F1127" i="33"/>
  <c r="F1128" i="33"/>
  <c r="F1129" i="33"/>
  <c r="F1130" i="33"/>
  <c r="F1131" i="33"/>
  <c r="F1132" i="33"/>
  <c r="F1133" i="33"/>
  <c r="F1134" i="33"/>
  <c r="F1135" i="33"/>
  <c r="F1136" i="33"/>
  <c r="F1137" i="33"/>
  <c r="F1138" i="33"/>
  <c r="F1139" i="33"/>
  <c r="F1140" i="33"/>
  <c r="F1141" i="33"/>
  <c r="F1142" i="33"/>
  <c r="F1143" i="33"/>
  <c r="F1144" i="33"/>
  <c r="F1145" i="33"/>
  <c r="F1146" i="33"/>
  <c r="F1147" i="33"/>
  <c r="F1148" i="33"/>
  <c r="F1149" i="33"/>
  <c r="F1150" i="33"/>
  <c r="F1151" i="33"/>
  <c r="F1152" i="33"/>
  <c r="F1153" i="33"/>
  <c r="F1154" i="33"/>
  <c r="F1155" i="33"/>
  <c r="F1156" i="33"/>
  <c r="F1157" i="33"/>
  <c r="F1158" i="33"/>
  <c r="F1159" i="33"/>
  <c r="F1160" i="33"/>
  <c r="F1161" i="33"/>
  <c r="F1162" i="33"/>
  <c r="F1163" i="33"/>
  <c r="F1164" i="33"/>
  <c r="F1165" i="33"/>
  <c r="F1166" i="33"/>
  <c r="F1167" i="33"/>
  <c r="F1168" i="33"/>
  <c r="F1169" i="33"/>
  <c r="F1170" i="33"/>
  <c r="F1171" i="33"/>
  <c r="F1172" i="33"/>
  <c r="F1173" i="33"/>
  <c r="F1174" i="33"/>
  <c r="F1175" i="33"/>
  <c r="F1176" i="33"/>
  <c r="F1177" i="33"/>
  <c r="F1178" i="33"/>
  <c r="F1179" i="33"/>
  <c r="F1180" i="33"/>
  <c r="F1181" i="33"/>
  <c r="F1182" i="33"/>
  <c r="F1183" i="33"/>
  <c r="F1184" i="33"/>
  <c r="F1185" i="33"/>
  <c r="F1186" i="33"/>
  <c r="F1187" i="33"/>
  <c r="F1188" i="33"/>
  <c r="F1189" i="33"/>
  <c r="F1190" i="33"/>
  <c r="F1191" i="33"/>
  <c r="F1192" i="33"/>
  <c r="F1193" i="33"/>
  <c r="F1194" i="33"/>
  <c r="F1195" i="33"/>
  <c r="F1196" i="33"/>
  <c r="F1197" i="33"/>
  <c r="F1198" i="33"/>
  <c r="F1199" i="33"/>
  <c r="F1200" i="33"/>
  <c r="F1201" i="33"/>
  <c r="F1202" i="33"/>
  <c r="F1203" i="33"/>
  <c r="F1204" i="33"/>
  <c r="F1205" i="33"/>
  <c r="F1206" i="33"/>
  <c r="F1207" i="33"/>
  <c r="F1208" i="33"/>
  <c r="F1209" i="33"/>
  <c r="F1210" i="33"/>
  <c r="F1211" i="33"/>
  <c r="F1212" i="33"/>
  <c r="F1213" i="33"/>
  <c r="F1214" i="33"/>
  <c r="F1215" i="33"/>
  <c r="F1216" i="33"/>
  <c r="F1217" i="33"/>
  <c r="F1218" i="33"/>
  <c r="F1219" i="33"/>
  <c r="F1220" i="33"/>
  <c r="F1221" i="33"/>
  <c r="F1222" i="33"/>
  <c r="F1223" i="33"/>
  <c r="F1224" i="33"/>
  <c r="F1225" i="33"/>
  <c r="F1226" i="33"/>
  <c r="F1227" i="33"/>
  <c r="F1228" i="33"/>
  <c r="F1229" i="33"/>
  <c r="F1230" i="33"/>
  <c r="F1231" i="33"/>
  <c r="F1232" i="33"/>
  <c r="F1233" i="33"/>
  <c r="F1234" i="33"/>
  <c r="F1235" i="33"/>
  <c r="F1236" i="33"/>
  <c r="F1237" i="33"/>
  <c r="F1238" i="33"/>
  <c r="F1239" i="33"/>
  <c r="F1240" i="33"/>
  <c r="F1241" i="33"/>
  <c r="F1242" i="33"/>
  <c r="F1243" i="33"/>
  <c r="F1244" i="33"/>
  <c r="F1245" i="33"/>
  <c r="F1246" i="33"/>
  <c r="F1247" i="33"/>
  <c r="F1248" i="33"/>
  <c r="F1249" i="33"/>
  <c r="F1250" i="33"/>
  <c r="F1251" i="33"/>
  <c r="F1252" i="33"/>
  <c r="F1253" i="33"/>
  <c r="F1254" i="33"/>
  <c r="F1255" i="33"/>
  <c r="F1256" i="33"/>
  <c r="F1257" i="33"/>
  <c r="F1258" i="33"/>
  <c r="F1259" i="33"/>
  <c r="F1260" i="33"/>
  <c r="F1261" i="33"/>
  <c r="F1262" i="33"/>
  <c r="F1263" i="33"/>
  <c r="F1264" i="33"/>
  <c r="F1265" i="33"/>
  <c r="F1266" i="33"/>
  <c r="F1267" i="33"/>
  <c r="F1268" i="33"/>
  <c r="F1269" i="33"/>
  <c r="F1270" i="33"/>
  <c r="F1271" i="33"/>
  <c r="F1272" i="33"/>
  <c r="F1273" i="33"/>
  <c r="F1274" i="33"/>
  <c r="F1275" i="33"/>
  <c r="F1276" i="33"/>
  <c r="F1277" i="33"/>
  <c r="F1278" i="33"/>
  <c r="F1279" i="33"/>
  <c r="F1280" i="33"/>
  <c r="F1281" i="33"/>
  <c r="F1282" i="33"/>
  <c r="F1283" i="33"/>
  <c r="F1284" i="33"/>
  <c r="F1285" i="33"/>
  <c r="F1286" i="33"/>
  <c r="F1287" i="33"/>
  <c r="F1288" i="33"/>
  <c r="F1289" i="33"/>
  <c r="F1290" i="33"/>
  <c r="F1291" i="33"/>
  <c r="F1292" i="33"/>
  <c r="F1293" i="33"/>
  <c r="F1294" i="33"/>
  <c r="F1295" i="33"/>
  <c r="F1296" i="33"/>
  <c r="F1297" i="33"/>
  <c r="F1298" i="33"/>
  <c r="F1299" i="33"/>
  <c r="F1300" i="33"/>
  <c r="F1301" i="33"/>
  <c r="F1302" i="33"/>
  <c r="F1303" i="33"/>
  <c r="F1304" i="33"/>
  <c r="F1305" i="33"/>
  <c r="F1306" i="33"/>
  <c r="F1307" i="33"/>
  <c r="F1308" i="33"/>
  <c r="F1309" i="33"/>
  <c r="F1310" i="33"/>
  <c r="F1311" i="33"/>
  <c r="F1312" i="33"/>
  <c r="F1313" i="33"/>
  <c r="F1314" i="33"/>
  <c r="F1315" i="33"/>
  <c r="F1316" i="33"/>
  <c r="F1317" i="33"/>
  <c r="F1318" i="33"/>
  <c r="F1319" i="33"/>
  <c r="F1320" i="33"/>
  <c r="F1321" i="33"/>
  <c r="F1322" i="33"/>
  <c r="F1323" i="33"/>
  <c r="F1324" i="33"/>
  <c r="F1325" i="33"/>
  <c r="F1326" i="33"/>
  <c r="F1327" i="33"/>
  <c r="F1328" i="33"/>
  <c r="F1329" i="33"/>
  <c r="F1330" i="33"/>
  <c r="F1331" i="33"/>
  <c r="F1332" i="33"/>
  <c r="F1333" i="33"/>
  <c r="F1334" i="33"/>
  <c r="F1335" i="33"/>
  <c r="F1336" i="33"/>
  <c r="F1337" i="33"/>
  <c r="F1338" i="33"/>
  <c r="F1339" i="33"/>
  <c r="F1340" i="33"/>
  <c r="F1341" i="33"/>
  <c r="F1342" i="33"/>
  <c r="F1343" i="33"/>
  <c r="F1344" i="33"/>
  <c r="F1345" i="33"/>
  <c r="F1346" i="33"/>
  <c r="F1347" i="33"/>
  <c r="F1348" i="33"/>
  <c r="F1349" i="33"/>
  <c r="F1350" i="33"/>
  <c r="F1351" i="33"/>
  <c r="F1352" i="33"/>
  <c r="F1353" i="33"/>
  <c r="F1354" i="33"/>
  <c r="F1355" i="33"/>
  <c r="F1356" i="33"/>
  <c r="F1357" i="33"/>
  <c r="F1358" i="33"/>
  <c r="F1359" i="33"/>
  <c r="F1360" i="33"/>
  <c r="F1361" i="33"/>
  <c r="F1362" i="33"/>
  <c r="F1363" i="33"/>
  <c r="F1364" i="33"/>
  <c r="F1365" i="33"/>
  <c r="F1366" i="33"/>
  <c r="F1367" i="33"/>
  <c r="F1368" i="33"/>
  <c r="F1369" i="33"/>
  <c r="F1370" i="33"/>
  <c r="F1371" i="33"/>
  <c r="F1372" i="33"/>
  <c r="F1373" i="33"/>
  <c r="F1374" i="33"/>
  <c r="F1375" i="33"/>
  <c r="F1376" i="33"/>
  <c r="F1377" i="33"/>
  <c r="F1378" i="33"/>
  <c r="F1379" i="33"/>
  <c r="F1380" i="33"/>
  <c r="F1381" i="33"/>
  <c r="F1382" i="33"/>
  <c r="F1383" i="33"/>
  <c r="F1384" i="33"/>
  <c r="F1385" i="33"/>
  <c r="F1386" i="33"/>
  <c r="F1387" i="33"/>
  <c r="F1388" i="33"/>
  <c r="F1389" i="33"/>
  <c r="F1390" i="33"/>
  <c r="F1391" i="33"/>
  <c r="F1392" i="33"/>
  <c r="F1393" i="33"/>
  <c r="F1394" i="33"/>
  <c r="F1395" i="33"/>
  <c r="F1396" i="33"/>
  <c r="F1397" i="33"/>
  <c r="F1398" i="33"/>
  <c r="F1399" i="33"/>
  <c r="F1400" i="33"/>
  <c r="F1401" i="33"/>
  <c r="F1402" i="33"/>
  <c r="F1403" i="33"/>
  <c r="F1404" i="33"/>
  <c r="F1405" i="33"/>
  <c r="F1406" i="33"/>
  <c r="F1407" i="33"/>
  <c r="F1408" i="33"/>
  <c r="F1409" i="33"/>
  <c r="F1410" i="33"/>
  <c r="F1411" i="33"/>
  <c r="F1412" i="33"/>
  <c r="F1413" i="33"/>
  <c r="F1414" i="33"/>
  <c r="F1415" i="33"/>
  <c r="F1416" i="33"/>
  <c r="F1417" i="33"/>
  <c r="F1418" i="33"/>
  <c r="F1419" i="33"/>
  <c r="F1420" i="33"/>
  <c r="F1421" i="33"/>
  <c r="F1422" i="33"/>
  <c r="F1423" i="33"/>
  <c r="F1424" i="33"/>
  <c r="F1425" i="33"/>
  <c r="F1426" i="33"/>
  <c r="F1427" i="33"/>
  <c r="F1428" i="33"/>
  <c r="F1429" i="33"/>
  <c r="F1430" i="33"/>
  <c r="F1431" i="33"/>
  <c r="F1432" i="33"/>
  <c r="F1433" i="33"/>
  <c r="F1434" i="33"/>
  <c r="F1435" i="33"/>
  <c r="F1436" i="33"/>
  <c r="F1437" i="33"/>
  <c r="F1438" i="33"/>
  <c r="F1439" i="33"/>
  <c r="F1440" i="33"/>
  <c r="F1441" i="33"/>
  <c r="F1442" i="33"/>
  <c r="F1443" i="33"/>
  <c r="F1444" i="33"/>
  <c r="F1445" i="33"/>
  <c r="F1446" i="33"/>
  <c r="F1447" i="33"/>
  <c r="F1448" i="33"/>
  <c r="F1449" i="33"/>
  <c r="F1450" i="33"/>
  <c r="F1451" i="33"/>
  <c r="F1452" i="33"/>
  <c r="F1453" i="33"/>
  <c r="F1454" i="33"/>
  <c r="F1455" i="33"/>
  <c r="F1456" i="33"/>
  <c r="F1457" i="33"/>
  <c r="F1458" i="33"/>
  <c r="F1459" i="33"/>
  <c r="F1460" i="33"/>
  <c r="F1461" i="33"/>
  <c r="F1462" i="33"/>
  <c r="F1463" i="33"/>
  <c r="F1464" i="33"/>
  <c r="F1465" i="33"/>
  <c r="F1466" i="33"/>
  <c r="F1467" i="33"/>
  <c r="F1468" i="33"/>
  <c r="F1469" i="33"/>
  <c r="F1470" i="33"/>
  <c r="F1471" i="33"/>
  <c r="F1472" i="33"/>
  <c r="F1473" i="33"/>
  <c r="F1474" i="33"/>
  <c r="F1475" i="33"/>
  <c r="F1476" i="33"/>
  <c r="F1477" i="33"/>
  <c r="F1478" i="33"/>
  <c r="F1479" i="33"/>
  <c r="F1480" i="33"/>
  <c r="F1481" i="33"/>
  <c r="F1482" i="33"/>
  <c r="F1483" i="33"/>
  <c r="F1484" i="33"/>
  <c r="F1485" i="33"/>
  <c r="F1486" i="33"/>
  <c r="F1487" i="33"/>
  <c r="F1488" i="33"/>
  <c r="F1489" i="33"/>
  <c r="F1490" i="33"/>
  <c r="F1491" i="33"/>
  <c r="F1492" i="33"/>
  <c r="F1493" i="33"/>
  <c r="F1494" i="33"/>
  <c r="F1495" i="33"/>
  <c r="F1496" i="33"/>
  <c r="F1497" i="33"/>
  <c r="F1498" i="33"/>
  <c r="F1499" i="33"/>
  <c r="F1500" i="33"/>
  <c r="F1501" i="33"/>
  <c r="F1502" i="33"/>
  <c r="F1503" i="33"/>
  <c r="F1504" i="33"/>
  <c r="F1505" i="33"/>
  <c r="F1506" i="33"/>
  <c r="F1507" i="33"/>
  <c r="F1508" i="33"/>
  <c r="F1509" i="33"/>
  <c r="F1510" i="33"/>
  <c r="F1511" i="33"/>
  <c r="F1512" i="33"/>
  <c r="F1513" i="33"/>
  <c r="F1514" i="33"/>
  <c r="F1515" i="33"/>
  <c r="F1516" i="33"/>
  <c r="F1517" i="33"/>
  <c r="F1518" i="33"/>
  <c r="F1519" i="33"/>
  <c r="F1520" i="33"/>
  <c r="F1521" i="33"/>
  <c r="F1522" i="33"/>
  <c r="F1523" i="33"/>
  <c r="F1524" i="33"/>
  <c r="F1525" i="33"/>
  <c r="F1526" i="33"/>
  <c r="F1527" i="33"/>
  <c r="F1528" i="33"/>
  <c r="F1529" i="33"/>
  <c r="F1530" i="33"/>
  <c r="F1531" i="33"/>
  <c r="F1532" i="33"/>
  <c r="F1533" i="33"/>
  <c r="F1534" i="33"/>
  <c r="F1535" i="33"/>
  <c r="F1536" i="33"/>
  <c r="F1537" i="33"/>
  <c r="F1538" i="33"/>
  <c r="F1539" i="33"/>
  <c r="F1540" i="33"/>
  <c r="F1541" i="33"/>
  <c r="F1542" i="33"/>
  <c r="F1543" i="33"/>
  <c r="F1544" i="33"/>
  <c r="F1545" i="33"/>
  <c r="F1546" i="33"/>
  <c r="F1547" i="33"/>
  <c r="F1548" i="33"/>
  <c r="F1549" i="33"/>
  <c r="F1550" i="33"/>
  <c r="F1551" i="33"/>
  <c r="F1552" i="33"/>
  <c r="F1553" i="33"/>
  <c r="F1554" i="33"/>
  <c r="F1555" i="33"/>
  <c r="F1556" i="33"/>
  <c r="F1557" i="33"/>
  <c r="F1558" i="33"/>
  <c r="F1559" i="33"/>
  <c r="F1560" i="33"/>
  <c r="F1561" i="33"/>
  <c r="F1562" i="33"/>
  <c r="F1563" i="33"/>
  <c r="F1564" i="33"/>
  <c r="F1565" i="33"/>
  <c r="F1566" i="33"/>
  <c r="F1567" i="33"/>
  <c r="F1568" i="33"/>
  <c r="F1569" i="33"/>
  <c r="F1570" i="33"/>
  <c r="F1571" i="33"/>
  <c r="F1572" i="33"/>
  <c r="F1573" i="33"/>
  <c r="F1574" i="33"/>
  <c r="F1575" i="33"/>
  <c r="F1576" i="33"/>
  <c r="F1577" i="33"/>
  <c r="F1578" i="33"/>
  <c r="F1579" i="33"/>
  <c r="F1580" i="33"/>
  <c r="F1581" i="33"/>
  <c r="F1582" i="33"/>
  <c r="F1583" i="33"/>
  <c r="F1584" i="33"/>
  <c r="F1585" i="33"/>
  <c r="F1586" i="33"/>
  <c r="F1587" i="33"/>
  <c r="F1588" i="33"/>
  <c r="F1589" i="33"/>
  <c r="F1590" i="33"/>
  <c r="F1591" i="33"/>
  <c r="F1592" i="33"/>
  <c r="F1593" i="33"/>
  <c r="F1594" i="33"/>
  <c r="F1595" i="33"/>
  <c r="F1596" i="33"/>
  <c r="F1597" i="33"/>
  <c r="F1598" i="33"/>
  <c r="F1599" i="33"/>
  <c r="F1600" i="33"/>
  <c r="F1601" i="33"/>
  <c r="F1602" i="33"/>
  <c r="F1603" i="33"/>
  <c r="F1604" i="33"/>
  <c r="F1605" i="33"/>
  <c r="F1606" i="33"/>
  <c r="F1607" i="33"/>
  <c r="F1608" i="33"/>
  <c r="F1609" i="33"/>
  <c r="F1610" i="33"/>
  <c r="F1611" i="33"/>
  <c r="F1612" i="33"/>
  <c r="F1613" i="33"/>
  <c r="F1614" i="33"/>
  <c r="F1615" i="33"/>
  <c r="F1616" i="33"/>
  <c r="F1617" i="33"/>
  <c r="F1618" i="33"/>
  <c r="F1619" i="33"/>
  <c r="F1620" i="33"/>
  <c r="F1621" i="33"/>
  <c r="F1622" i="33"/>
  <c r="F1623" i="33"/>
  <c r="F1624" i="33"/>
  <c r="F1625" i="33"/>
  <c r="F1626" i="33"/>
  <c r="F1627" i="33"/>
  <c r="F1628" i="33"/>
  <c r="F1629" i="33"/>
  <c r="F1630" i="33"/>
  <c r="F1631" i="33"/>
  <c r="F1632" i="33"/>
  <c r="F1633" i="33"/>
  <c r="F1634" i="33"/>
  <c r="F1635" i="33"/>
  <c r="F1636" i="33"/>
  <c r="F1637" i="33"/>
  <c r="F1638" i="33"/>
  <c r="F1639" i="33"/>
  <c r="F1640" i="33"/>
  <c r="F1641" i="33"/>
  <c r="F1642" i="33"/>
  <c r="F1643" i="33"/>
  <c r="F1644" i="33"/>
  <c r="F1645" i="33"/>
  <c r="F1646" i="33"/>
  <c r="F1647" i="33"/>
  <c r="F1648" i="33"/>
  <c r="F1649" i="33"/>
  <c r="F1650" i="33"/>
  <c r="F1651" i="33"/>
  <c r="F1652" i="33"/>
  <c r="F1653" i="33"/>
  <c r="F1654" i="33"/>
  <c r="F1655" i="33"/>
  <c r="F1656" i="33"/>
  <c r="F1657" i="33"/>
  <c r="F1658" i="33"/>
  <c r="F1659" i="33"/>
  <c r="F1660" i="33"/>
  <c r="F1661" i="33"/>
  <c r="F1662" i="33"/>
  <c r="F1663" i="33"/>
  <c r="F1664" i="33"/>
  <c r="F1665" i="33"/>
  <c r="F1666" i="33"/>
  <c r="F1667" i="33"/>
  <c r="F1668" i="33"/>
  <c r="F1669" i="33"/>
  <c r="F1670" i="33"/>
  <c r="F1671" i="33"/>
  <c r="F1672" i="33"/>
  <c r="F1673" i="33"/>
  <c r="F1674" i="33"/>
  <c r="F1675" i="33"/>
  <c r="F1676" i="33"/>
  <c r="F1677" i="33"/>
  <c r="F1678" i="33"/>
  <c r="F1679" i="33"/>
  <c r="F1680" i="33"/>
  <c r="F1681" i="33"/>
  <c r="F1682" i="33"/>
  <c r="F1683" i="33"/>
  <c r="F1684" i="33"/>
  <c r="F1685" i="33"/>
  <c r="F1686" i="33"/>
  <c r="F1687" i="33"/>
  <c r="F1688" i="33"/>
  <c r="F1689" i="33"/>
  <c r="F1690" i="33"/>
  <c r="F1691" i="33"/>
  <c r="F1692" i="33"/>
  <c r="F1693" i="33"/>
  <c r="F1694" i="33"/>
  <c r="F1695" i="33"/>
  <c r="F1696" i="33"/>
  <c r="F1697" i="33"/>
  <c r="F1698" i="33"/>
  <c r="F1699" i="33"/>
  <c r="F1700" i="33"/>
  <c r="F1701" i="33"/>
  <c r="F1702" i="33"/>
  <c r="F1703" i="33"/>
  <c r="F1704" i="33"/>
  <c r="F1705" i="33"/>
  <c r="F1706" i="33"/>
  <c r="F1707" i="33"/>
  <c r="F1708" i="33"/>
  <c r="F1709" i="33"/>
  <c r="F1710" i="33"/>
  <c r="F1711" i="33"/>
  <c r="F1712" i="33"/>
  <c r="F1713" i="33"/>
  <c r="F1714" i="33"/>
  <c r="F1715" i="33"/>
  <c r="F1716" i="33"/>
  <c r="F1717" i="33"/>
  <c r="F1718" i="33"/>
  <c r="F1719" i="33"/>
  <c r="F1720" i="33"/>
  <c r="F1721" i="33"/>
  <c r="F1722" i="33"/>
  <c r="F1723" i="33"/>
  <c r="F1724" i="33"/>
  <c r="F1725" i="33"/>
  <c r="F1726" i="33"/>
  <c r="F1727" i="33"/>
  <c r="F1728" i="33"/>
  <c r="F1729" i="33"/>
  <c r="F1730" i="33"/>
  <c r="F1731" i="33"/>
  <c r="F1732" i="33"/>
  <c r="F1733" i="33"/>
  <c r="F1734" i="33"/>
  <c r="F1735" i="33"/>
  <c r="F1736" i="33"/>
  <c r="F1737" i="33"/>
  <c r="F1738" i="33"/>
  <c r="F1739" i="33"/>
  <c r="F1740" i="33"/>
  <c r="F1741" i="33"/>
  <c r="F1742" i="33"/>
  <c r="F1743" i="33"/>
  <c r="F1744" i="33"/>
  <c r="F1745" i="33"/>
  <c r="F1746" i="33"/>
  <c r="F1747" i="33"/>
  <c r="F1748" i="33"/>
  <c r="F1749" i="33"/>
  <c r="F1750" i="33"/>
  <c r="F1751" i="33"/>
  <c r="F1752" i="33"/>
  <c r="F1753" i="33"/>
  <c r="F1754" i="33"/>
  <c r="F1755" i="33"/>
  <c r="F1756" i="33"/>
  <c r="F1757" i="33"/>
  <c r="F1758" i="33"/>
  <c r="F1759" i="33"/>
  <c r="F1760" i="33"/>
  <c r="F1761" i="33"/>
  <c r="F1762" i="33"/>
  <c r="F1763" i="33"/>
  <c r="F1764" i="33"/>
  <c r="F1765" i="33"/>
  <c r="F1766" i="33"/>
  <c r="F1767" i="33"/>
  <c r="F1768" i="33"/>
  <c r="F1769" i="33"/>
  <c r="F1770" i="33"/>
  <c r="F1771" i="33"/>
  <c r="F1772" i="33"/>
  <c r="F1773" i="33"/>
  <c r="F1774" i="33"/>
  <c r="F1775" i="33"/>
  <c r="F1776" i="33"/>
  <c r="F1777" i="33"/>
  <c r="F1778" i="33"/>
  <c r="F1779" i="33"/>
  <c r="F1780" i="33"/>
  <c r="F1781" i="33"/>
  <c r="F1782" i="33"/>
  <c r="F1783" i="33"/>
  <c r="F1784" i="33"/>
  <c r="F1785" i="33"/>
  <c r="F1786" i="33"/>
  <c r="F1787" i="33"/>
  <c r="F1788" i="33"/>
  <c r="F1789" i="33"/>
  <c r="F1790" i="33"/>
  <c r="F1791" i="33"/>
  <c r="F1792" i="33"/>
  <c r="F1793" i="33"/>
  <c r="F1794" i="33"/>
  <c r="F1795" i="33"/>
  <c r="F1796" i="33"/>
  <c r="F1797" i="33"/>
  <c r="F1798" i="33"/>
  <c r="F1799" i="33"/>
  <c r="F1800" i="33"/>
  <c r="F1801" i="33"/>
  <c r="F1802" i="33"/>
  <c r="F1803" i="33"/>
  <c r="F1804" i="33"/>
  <c r="F1805" i="33"/>
  <c r="F1806" i="33"/>
  <c r="F1807" i="33"/>
  <c r="F1808" i="33"/>
  <c r="F1809" i="33"/>
  <c r="F1810" i="33"/>
  <c r="F1811" i="33"/>
  <c r="F1812" i="33"/>
  <c r="F1813" i="33"/>
  <c r="F1814" i="33"/>
  <c r="F1815" i="33"/>
  <c r="F1816" i="33"/>
  <c r="F1817" i="33"/>
  <c r="F1818" i="33"/>
  <c r="F1819" i="33"/>
  <c r="F1820" i="33"/>
  <c r="F1821" i="33"/>
  <c r="F1822" i="33"/>
  <c r="F1823" i="33"/>
  <c r="F1824" i="33"/>
  <c r="F1825" i="33"/>
  <c r="F1826" i="33"/>
  <c r="F1827" i="33"/>
  <c r="F1828" i="33"/>
  <c r="F1829" i="33"/>
  <c r="F1830" i="33"/>
  <c r="F1831" i="33"/>
  <c r="F1832" i="33"/>
  <c r="F1833" i="33"/>
  <c r="F1834" i="33"/>
  <c r="F1835" i="33"/>
  <c r="F1836" i="33"/>
  <c r="F1837" i="33"/>
  <c r="F1838" i="33"/>
  <c r="F1839" i="33"/>
  <c r="F1840" i="33"/>
  <c r="F1841" i="33"/>
  <c r="F1842" i="33"/>
  <c r="F1843" i="33"/>
  <c r="F1844" i="33"/>
  <c r="F1845" i="33"/>
  <c r="F1846" i="33"/>
  <c r="F1847" i="33"/>
  <c r="F1848" i="33"/>
  <c r="F1849" i="33"/>
  <c r="F1850" i="33"/>
  <c r="F1851" i="33"/>
  <c r="F1852" i="33"/>
  <c r="F1853" i="33"/>
  <c r="F1854" i="33"/>
  <c r="F1855" i="33"/>
  <c r="F1856" i="33"/>
  <c r="F1857" i="33"/>
  <c r="F1858" i="33"/>
  <c r="F1859" i="33"/>
  <c r="F1860" i="33"/>
  <c r="F1861" i="33"/>
  <c r="F1862" i="33"/>
  <c r="F1863" i="33"/>
  <c r="F1864" i="33"/>
  <c r="F1865" i="33"/>
  <c r="E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5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E257" i="33"/>
  <c r="E258" i="33"/>
  <c r="E259" i="33"/>
  <c r="E260" i="33"/>
  <c r="E261" i="33"/>
  <c r="E262" i="33"/>
  <c r="E263" i="33"/>
  <c r="E264" i="33"/>
  <c r="E265" i="33"/>
  <c r="E266" i="33"/>
  <c r="E267" i="33"/>
  <c r="E268" i="33"/>
  <c r="E269" i="33"/>
  <c r="E270" i="33"/>
  <c r="E271" i="33"/>
  <c r="E272" i="33"/>
  <c r="E273" i="33"/>
  <c r="E274" i="33"/>
  <c r="E275" i="33"/>
  <c r="E276" i="33"/>
  <c r="E277" i="33"/>
  <c r="E278" i="33"/>
  <c r="E279" i="33"/>
  <c r="E280" i="33"/>
  <c r="E281" i="33"/>
  <c r="E282" i="33"/>
  <c r="E283" i="33"/>
  <c r="E284" i="33"/>
  <c r="E285" i="33"/>
  <c r="E286" i="33"/>
  <c r="E287" i="33"/>
  <c r="E288" i="33"/>
  <c r="E289" i="33"/>
  <c r="E290" i="33"/>
  <c r="E291" i="33"/>
  <c r="E292" i="33"/>
  <c r="E293" i="33"/>
  <c r="E294" i="33"/>
  <c r="E295" i="33"/>
  <c r="E296" i="33"/>
  <c r="E297" i="33"/>
  <c r="E298" i="33"/>
  <c r="E299" i="33"/>
  <c r="E300" i="33"/>
  <c r="E301" i="33"/>
  <c r="E302" i="33"/>
  <c r="E303" i="33"/>
  <c r="E304" i="33"/>
  <c r="E305" i="33"/>
  <c r="E306" i="33"/>
  <c r="E307" i="33"/>
  <c r="E308" i="33"/>
  <c r="E309" i="33"/>
  <c r="E310" i="33"/>
  <c r="E311" i="33"/>
  <c r="E312" i="33"/>
  <c r="E313" i="33"/>
  <c r="E314" i="33"/>
  <c r="E315" i="33"/>
  <c r="E316" i="33"/>
  <c r="E317" i="33"/>
  <c r="E318" i="33"/>
  <c r="E319" i="33"/>
  <c r="E320" i="33"/>
  <c r="E321" i="33"/>
  <c r="E322" i="33"/>
  <c r="E323" i="33"/>
  <c r="E324" i="33"/>
  <c r="E325" i="33"/>
  <c r="E326" i="33"/>
  <c r="E327" i="33"/>
  <c r="E328" i="33"/>
  <c r="E329" i="33"/>
  <c r="E330" i="33"/>
  <c r="E331" i="33"/>
  <c r="E332" i="33"/>
  <c r="E333" i="33"/>
  <c r="E334" i="33"/>
  <c r="E335" i="33"/>
  <c r="E336" i="33"/>
  <c r="E337" i="33"/>
  <c r="E338" i="33"/>
  <c r="E339" i="33"/>
  <c r="E340" i="33"/>
  <c r="E341" i="33"/>
  <c r="E342" i="33"/>
  <c r="E343" i="33"/>
  <c r="E344" i="33"/>
  <c r="E345" i="33"/>
  <c r="E346" i="33"/>
  <c r="E347" i="33"/>
  <c r="E348" i="33"/>
  <c r="E349" i="33"/>
  <c r="E350" i="33"/>
  <c r="E351" i="33"/>
  <c r="E352" i="33"/>
  <c r="E353" i="33"/>
  <c r="E354" i="33"/>
  <c r="E355" i="33"/>
  <c r="E356" i="33"/>
  <c r="E357" i="33"/>
  <c r="E358" i="33"/>
  <c r="E359" i="33"/>
  <c r="E360" i="33"/>
  <c r="E361" i="33"/>
  <c r="E362" i="33"/>
  <c r="E363" i="33"/>
  <c r="E364" i="33"/>
  <c r="E365" i="33"/>
  <c r="E366" i="33"/>
  <c r="E367" i="33"/>
  <c r="E368" i="33"/>
  <c r="E369" i="33"/>
  <c r="E370" i="33"/>
  <c r="E371" i="33"/>
  <c r="E372" i="33"/>
  <c r="E373" i="33"/>
  <c r="E374" i="33"/>
  <c r="E375" i="33"/>
  <c r="E376" i="33"/>
  <c r="E377" i="33"/>
  <c r="E378" i="33"/>
  <c r="E379" i="33"/>
  <c r="E380" i="33"/>
  <c r="E381" i="33"/>
  <c r="E382" i="33"/>
  <c r="E383" i="33"/>
  <c r="E384" i="33"/>
  <c r="E385" i="33"/>
  <c r="E386" i="33"/>
  <c r="E387" i="33"/>
  <c r="E388" i="33"/>
  <c r="E389" i="33"/>
  <c r="E390" i="33"/>
  <c r="E391" i="33"/>
  <c r="E392" i="33"/>
  <c r="E393" i="33"/>
  <c r="E394" i="33"/>
  <c r="E395" i="33"/>
  <c r="E396" i="33"/>
  <c r="E397" i="33"/>
  <c r="E398" i="33"/>
  <c r="E399" i="33"/>
  <c r="E400" i="33"/>
  <c r="E401" i="33"/>
  <c r="E402" i="33"/>
  <c r="E403" i="33"/>
  <c r="E404" i="33"/>
  <c r="E405" i="33"/>
  <c r="E406" i="33"/>
  <c r="E407" i="33"/>
  <c r="E408" i="33"/>
  <c r="E409" i="33"/>
  <c r="E410" i="33"/>
  <c r="E411" i="33"/>
  <c r="E412" i="33"/>
  <c r="E413" i="33"/>
  <c r="E414" i="33"/>
  <c r="E415" i="33"/>
  <c r="E416" i="33"/>
  <c r="E417" i="33"/>
  <c r="E418" i="33"/>
  <c r="E419" i="33"/>
  <c r="E420" i="33"/>
  <c r="E421" i="33"/>
  <c r="E422" i="33"/>
  <c r="E423" i="33"/>
  <c r="E424" i="33"/>
  <c r="E425" i="33"/>
  <c r="E426" i="33"/>
  <c r="E427" i="33"/>
  <c r="E428" i="33"/>
  <c r="E429" i="33"/>
  <c r="E430" i="33"/>
  <c r="E431" i="33"/>
  <c r="E432" i="33"/>
  <c r="E433" i="33"/>
  <c r="E434" i="33"/>
  <c r="E435" i="33"/>
  <c r="E436" i="33"/>
  <c r="E437" i="33"/>
  <c r="E438" i="33"/>
  <c r="E439" i="33"/>
  <c r="E440" i="33"/>
  <c r="E441" i="33"/>
  <c r="E442" i="33"/>
  <c r="E443" i="33"/>
  <c r="E444" i="33"/>
  <c r="E445" i="33"/>
  <c r="E446" i="33"/>
  <c r="E447" i="33"/>
  <c r="E448" i="33"/>
  <c r="E449" i="33"/>
  <c r="E450" i="33"/>
  <c r="E451" i="33"/>
  <c r="E452" i="33"/>
  <c r="E453" i="33"/>
  <c r="E454" i="33"/>
  <c r="E455" i="33"/>
  <c r="E456" i="33"/>
  <c r="E457" i="33"/>
  <c r="E458" i="33"/>
  <c r="E459" i="33"/>
  <c r="E460" i="33"/>
  <c r="E461" i="33"/>
  <c r="E462" i="33"/>
  <c r="E463" i="33"/>
  <c r="E464" i="33"/>
  <c r="E465" i="33"/>
  <c r="E466" i="33"/>
  <c r="E467" i="33"/>
  <c r="E468" i="33"/>
  <c r="E469" i="33"/>
  <c r="E470" i="33"/>
  <c r="E471" i="33"/>
  <c r="E472" i="33"/>
  <c r="E473" i="33"/>
  <c r="E474" i="33"/>
  <c r="E475" i="33"/>
  <c r="E476" i="33"/>
  <c r="E477" i="33"/>
  <c r="E478" i="33"/>
  <c r="E479" i="33"/>
  <c r="E480" i="33"/>
  <c r="E481" i="33"/>
  <c r="E482" i="33"/>
  <c r="E483" i="33"/>
  <c r="E484" i="33"/>
  <c r="E485" i="33"/>
  <c r="E486" i="33"/>
  <c r="E487" i="33"/>
  <c r="E488" i="33"/>
  <c r="E489" i="33"/>
  <c r="E490" i="33"/>
  <c r="E491" i="33"/>
  <c r="E492" i="33"/>
  <c r="E493" i="33"/>
  <c r="E494" i="33"/>
  <c r="E495" i="33"/>
  <c r="E496" i="33"/>
  <c r="E497" i="33"/>
  <c r="E498" i="33"/>
  <c r="E499" i="33"/>
  <c r="E500" i="33"/>
  <c r="E501" i="33"/>
  <c r="E502" i="33"/>
  <c r="E503" i="33"/>
  <c r="E504" i="33"/>
  <c r="E505" i="33"/>
  <c r="E506" i="33"/>
  <c r="E507" i="33"/>
  <c r="E508" i="33"/>
  <c r="E509" i="33"/>
  <c r="E510" i="33"/>
  <c r="E511" i="33"/>
  <c r="E512" i="33"/>
  <c r="E513" i="33"/>
  <c r="E514" i="33"/>
  <c r="E515" i="33"/>
  <c r="E516" i="33"/>
  <c r="E517" i="33"/>
  <c r="E518" i="33"/>
  <c r="E519" i="33"/>
  <c r="E520" i="33"/>
  <c r="E521" i="33"/>
  <c r="E522" i="33"/>
  <c r="E523" i="33"/>
  <c r="E524" i="33"/>
  <c r="E525" i="33"/>
  <c r="E526" i="33"/>
  <c r="E527" i="33"/>
  <c r="E528" i="33"/>
  <c r="E529" i="33"/>
  <c r="E530" i="33"/>
  <c r="E531" i="33"/>
  <c r="E532" i="33"/>
  <c r="E533" i="33"/>
  <c r="E534" i="33"/>
  <c r="E535" i="33"/>
  <c r="E536" i="33"/>
  <c r="E537" i="33"/>
  <c r="E538" i="33"/>
  <c r="E539" i="33"/>
  <c r="E540" i="33"/>
  <c r="E541" i="33"/>
  <c r="E542" i="33"/>
  <c r="E543" i="33"/>
  <c r="E544" i="33"/>
  <c r="E545" i="33"/>
  <c r="E546" i="33"/>
  <c r="E547" i="33"/>
  <c r="E548" i="33"/>
  <c r="E549" i="33"/>
  <c r="E550" i="33"/>
  <c r="E551" i="33"/>
  <c r="E552" i="33"/>
  <c r="E553" i="33"/>
  <c r="E554" i="33"/>
  <c r="E555" i="33"/>
  <c r="E556" i="33"/>
  <c r="E557" i="33"/>
  <c r="E558" i="33"/>
  <c r="E559" i="33"/>
  <c r="E560" i="33"/>
  <c r="E561" i="33"/>
  <c r="E562" i="33"/>
  <c r="E563" i="33"/>
  <c r="E564" i="33"/>
  <c r="E565" i="33"/>
  <c r="E566" i="33"/>
  <c r="E567" i="33"/>
  <c r="E568" i="33"/>
  <c r="E569" i="33"/>
  <c r="E570" i="33"/>
  <c r="E571" i="33"/>
  <c r="E572" i="33"/>
  <c r="E573" i="33"/>
  <c r="E574" i="33"/>
  <c r="E575" i="33"/>
  <c r="E576" i="33"/>
  <c r="E577" i="33"/>
  <c r="E578" i="33"/>
  <c r="E579" i="33"/>
  <c r="E580" i="33"/>
  <c r="E581" i="33"/>
  <c r="E582" i="33"/>
  <c r="E583" i="33"/>
  <c r="E584" i="33"/>
  <c r="E585" i="33"/>
  <c r="E586" i="33"/>
  <c r="E587" i="33"/>
  <c r="E588" i="33"/>
  <c r="E589" i="33"/>
  <c r="E590" i="33"/>
  <c r="E591" i="33"/>
  <c r="E592" i="33"/>
  <c r="E593" i="33"/>
  <c r="E594" i="33"/>
  <c r="E595" i="33"/>
  <c r="E596" i="33"/>
  <c r="E597" i="33"/>
  <c r="E598" i="33"/>
  <c r="E599" i="33"/>
  <c r="E600" i="33"/>
  <c r="E601" i="33"/>
  <c r="E602" i="33"/>
  <c r="E603" i="33"/>
  <c r="E604" i="33"/>
  <c r="E605" i="33"/>
  <c r="E606" i="33"/>
  <c r="E607" i="33"/>
  <c r="E608" i="33"/>
  <c r="E609" i="33"/>
  <c r="E610" i="33"/>
  <c r="E611" i="33"/>
  <c r="E612" i="33"/>
  <c r="E613" i="33"/>
  <c r="E614" i="33"/>
  <c r="E615" i="33"/>
  <c r="E616" i="33"/>
  <c r="E617" i="33"/>
  <c r="E618" i="33"/>
  <c r="E619" i="33"/>
  <c r="E620" i="33"/>
  <c r="E621" i="33"/>
  <c r="E622" i="33"/>
  <c r="E623" i="33"/>
  <c r="E624" i="33"/>
  <c r="E625" i="33"/>
  <c r="E626" i="33"/>
  <c r="E627" i="33"/>
  <c r="E628" i="33"/>
  <c r="E629" i="33"/>
  <c r="E630" i="33"/>
  <c r="E631" i="33"/>
  <c r="E632" i="33"/>
  <c r="E633" i="33"/>
  <c r="E634" i="33"/>
  <c r="E635" i="33"/>
  <c r="E636" i="33"/>
  <c r="E637" i="33"/>
  <c r="E638" i="33"/>
  <c r="E639" i="33"/>
  <c r="E640" i="33"/>
  <c r="E641" i="33"/>
  <c r="E642" i="33"/>
  <c r="E643" i="33"/>
  <c r="E644" i="33"/>
  <c r="E645" i="33"/>
  <c r="E646" i="33"/>
  <c r="E647" i="33"/>
  <c r="E648" i="33"/>
  <c r="E649" i="33"/>
  <c r="E650" i="33"/>
  <c r="E651" i="33"/>
  <c r="E652" i="33"/>
  <c r="E653" i="33"/>
  <c r="E654" i="33"/>
  <c r="E655" i="33"/>
  <c r="E656" i="33"/>
  <c r="E657" i="33"/>
  <c r="E658" i="33"/>
  <c r="E659" i="33"/>
  <c r="E660" i="33"/>
  <c r="E661" i="33"/>
  <c r="E662" i="33"/>
  <c r="E663" i="33"/>
  <c r="E664" i="33"/>
  <c r="E665" i="33"/>
  <c r="E666" i="33"/>
  <c r="E667" i="33"/>
  <c r="E668" i="33"/>
  <c r="E669" i="33"/>
  <c r="E670" i="33"/>
  <c r="E671" i="33"/>
  <c r="E672" i="33"/>
  <c r="E673" i="33"/>
  <c r="E674" i="33"/>
  <c r="E675" i="33"/>
  <c r="E676" i="33"/>
  <c r="E677" i="33"/>
  <c r="E678" i="33"/>
  <c r="E679" i="33"/>
  <c r="E680" i="33"/>
  <c r="E681" i="33"/>
  <c r="E682" i="33"/>
  <c r="E683" i="33"/>
  <c r="E684" i="33"/>
  <c r="E685" i="33"/>
  <c r="E686" i="33"/>
  <c r="E687" i="33"/>
  <c r="E688" i="33"/>
  <c r="E689" i="33"/>
  <c r="E690" i="33"/>
  <c r="E691" i="33"/>
  <c r="E692" i="33"/>
  <c r="E693" i="33"/>
  <c r="E694" i="33"/>
  <c r="E695" i="33"/>
  <c r="E696" i="33"/>
  <c r="E697" i="33"/>
  <c r="E698" i="33"/>
  <c r="E699" i="33"/>
  <c r="E700" i="33"/>
  <c r="E701" i="33"/>
  <c r="E702" i="33"/>
  <c r="E703" i="33"/>
  <c r="E704" i="33"/>
  <c r="E705" i="33"/>
  <c r="E706" i="33"/>
  <c r="E707" i="33"/>
  <c r="E708" i="33"/>
  <c r="E709" i="33"/>
  <c r="E710" i="33"/>
  <c r="E711" i="33"/>
  <c r="E712" i="33"/>
  <c r="E713" i="33"/>
  <c r="E714" i="33"/>
  <c r="E715" i="33"/>
  <c r="E716" i="33"/>
  <c r="E717" i="33"/>
  <c r="E718" i="33"/>
  <c r="E719" i="33"/>
  <c r="E720" i="33"/>
  <c r="E721" i="33"/>
  <c r="E722" i="33"/>
  <c r="E723" i="33"/>
  <c r="E724" i="33"/>
  <c r="E725" i="33"/>
  <c r="E726" i="33"/>
  <c r="E727" i="33"/>
  <c r="E728" i="33"/>
  <c r="E729" i="33"/>
  <c r="E730" i="33"/>
  <c r="E731" i="33"/>
  <c r="E732" i="33"/>
  <c r="E733" i="33"/>
  <c r="E734" i="33"/>
  <c r="E735" i="33"/>
  <c r="E736" i="33"/>
  <c r="E737" i="33"/>
  <c r="E738" i="33"/>
  <c r="E739" i="33"/>
  <c r="E740" i="33"/>
  <c r="E741" i="33"/>
  <c r="E742" i="33"/>
  <c r="E743" i="33"/>
  <c r="E744" i="33"/>
  <c r="E745" i="33"/>
  <c r="E746" i="33"/>
  <c r="E747" i="33"/>
  <c r="E748" i="33"/>
  <c r="E749" i="33"/>
  <c r="E750" i="33"/>
  <c r="E751" i="33"/>
  <c r="E752" i="33"/>
  <c r="E753" i="33"/>
  <c r="E754" i="33"/>
  <c r="E755" i="33"/>
  <c r="E756" i="33"/>
  <c r="E757" i="33"/>
  <c r="E758" i="33"/>
  <c r="E759" i="33"/>
  <c r="E760" i="33"/>
  <c r="E761" i="33"/>
  <c r="E762" i="33"/>
  <c r="E763" i="33"/>
  <c r="E764" i="33"/>
  <c r="E765" i="33"/>
  <c r="E766" i="33"/>
  <c r="E767" i="33"/>
  <c r="E768" i="33"/>
  <c r="E769" i="33"/>
  <c r="E770" i="33"/>
  <c r="E771" i="33"/>
  <c r="E772" i="33"/>
  <c r="E773" i="33"/>
  <c r="E774" i="33"/>
  <c r="E775" i="33"/>
  <c r="E776" i="33"/>
  <c r="E777" i="33"/>
  <c r="E778" i="33"/>
  <c r="E779" i="33"/>
  <c r="E780" i="33"/>
  <c r="E781" i="33"/>
  <c r="E782" i="33"/>
  <c r="E783" i="33"/>
  <c r="E784" i="33"/>
  <c r="E785" i="33"/>
  <c r="E786" i="33"/>
  <c r="E787" i="33"/>
  <c r="E788" i="33"/>
  <c r="E789" i="33"/>
  <c r="E790" i="33"/>
  <c r="E791" i="33"/>
  <c r="E792" i="33"/>
  <c r="E793" i="33"/>
  <c r="E794" i="33"/>
  <c r="E795" i="33"/>
  <c r="E796" i="33"/>
  <c r="E797" i="33"/>
  <c r="E798" i="33"/>
  <c r="E799" i="33"/>
  <c r="E800" i="33"/>
  <c r="E801" i="33"/>
  <c r="E802" i="33"/>
  <c r="E803" i="33"/>
  <c r="E804" i="33"/>
  <c r="E805" i="33"/>
  <c r="E806" i="33"/>
  <c r="E807" i="33"/>
  <c r="E808" i="33"/>
  <c r="E809" i="33"/>
  <c r="E810" i="33"/>
  <c r="E811" i="33"/>
  <c r="E812" i="33"/>
  <c r="E813" i="33"/>
  <c r="E814" i="33"/>
  <c r="E815" i="33"/>
  <c r="E816" i="33"/>
  <c r="E817" i="33"/>
  <c r="E818" i="33"/>
  <c r="E819" i="33"/>
  <c r="E820" i="33"/>
  <c r="E821" i="33"/>
  <c r="E822" i="33"/>
  <c r="E823" i="33"/>
  <c r="E824" i="33"/>
  <c r="E825" i="33"/>
  <c r="E826" i="33"/>
  <c r="E827" i="33"/>
  <c r="E828" i="33"/>
  <c r="E829" i="33"/>
  <c r="E830" i="33"/>
  <c r="E831" i="33"/>
  <c r="E832" i="33"/>
  <c r="E833" i="33"/>
  <c r="E834" i="33"/>
  <c r="E835" i="33"/>
  <c r="E836" i="33"/>
  <c r="E837" i="33"/>
  <c r="E838" i="33"/>
  <c r="E839" i="33"/>
  <c r="E840" i="33"/>
  <c r="E841" i="33"/>
  <c r="E842" i="33"/>
  <c r="E843" i="33"/>
  <c r="E844" i="33"/>
  <c r="E845" i="33"/>
  <c r="E846" i="33"/>
  <c r="E847" i="33"/>
  <c r="E848" i="33"/>
  <c r="E849" i="33"/>
  <c r="E850" i="33"/>
  <c r="E851" i="33"/>
  <c r="E852" i="33"/>
  <c r="E853" i="33"/>
  <c r="E854" i="33"/>
  <c r="E855" i="33"/>
  <c r="E856" i="33"/>
  <c r="E857" i="33"/>
  <c r="E858" i="33"/>
  <c r="E859" i="33"/>
  <c r="E860" i="33"/>
  <c r="E861" i="33"/>
  <c r="E862" i="33"/>
  <c r="E863" i="33"/>
  <c r="E864" i="33"/>
  <c r="E865" i="33"/>
  <c r="E866" i="33"/>
  <c r="E867" i="33"/>
  <c r="E868" i="33"/>
  <c r="E869" i="33"/>
  <c r="E870" i="33"/>
  <c r="E871" i="33"/>
  <c r="E872" i="33"/>
  <c r="E873" i="33"/>
  <c r="E874" i="33"/>
  <c r="E875" i="33"/>
  <c r="E876" i="33"/>
  <c r="E877" i="33"/>
  <c r="E878" i="33"/>
  <c r="E879" i="33"/>
  <c r="E880" i="33"/>
  <c r="E881" i="33"/>
  <c r="E882" i="33"/>
  <c r="E883" i="33"/>
  <c r="E884" i="33"/>
  <c r="E885" i="33"/>
  <c r="E886" i="33"/>
  <c r="E887" i="33"/>
  <c r="E888" i="33"/>
  <c r="E889" i="33"/>
  <c r="E890" i="33"/>
  <c r="E891" i="33"/>
  <c r="E892" i="33"/>
  <c r="E893" i="33"/>
  <c r="E894" i="33"/>
  <c r="E895" i="33"/>
  <c r="E896" i="33"/>
  <c r="E897" i="33"/>
  <c r="E898" i="33"/>
  <c r="E899" i="33"/>
  <c r="E900" i="33"/>
  <c r="E901" i="33"/>
  <c r="E902" i="33"/>
  <c r="E903" i="33"/>
  <c r="E904" i="33"/>
  <c r="E905" i="33"/>
  <c r="E906" i="33"/>
  <c r="E907" i="33"/>
  <c r="E908" i="33"/>
  <c r="E909" i="33"/>
  <c r="E910" i="33"/>
  <c r="E911" i="33"/>
  <c r="E912" i="33"/>
  <c r="E913" i="33"/>
  <c r="E914" i="33"/>
  <c r="E915" i="33"/>
  <c r="E916" i="33"/>
  <c r="E917" i="33"/>
  <c r="E918" i="33"/>
  <c r="E919" i="33"/>
  <c r="E920" i="33"/>
  <c r="E921" i="33"/>
  <c r="E922" i="33"/>
  <c r="E923" i="33"/>
  <c r="E924" i="33"/>
  <c r="E925" i="33"/>
  <c r="E926" i="33"/>
  <c r="E927" i="33"/>
  <c r="E928" i="33"/>
  <c r="E929" i="33"/>
  <c r="E930" i="33"/>
  <c r="E931" i="33"/>
  <c r="E932" i="33"/>
  <c r="E933" i="33"/>
  <c r="E934" i="33"/>
  <c r="E935" i="33"/>
  <c r="E936" i="33"/>
  <c r="E937" i="33"/>
  <c r="E938" i="33"/>
  <c r="E939" i="33"/>
  <c r="E940" i="33"/>
  <c r="E941" i="33"/>
  <c r="E942" i="33"/>
  <c r="E943" i="33"/>
  <c r="E944" i="33"/>
  <c r="E945" i="33"/>
  <c r="E946" i="33"/>
  <c r="E947" i="33"/>
  <c r="E948" i="33"/>
  <c r="E949" i="33"/>
  <c r="E950" i="33"/>
  <c r="E951" i="33"/>
  <c r="E952" i="33"/>
  <c r="E953" i="33"/>
  <c r="E954" i="33"/>
  <c r="E955" i="33"/>
  <c r="E956" i="33"/>
  <c r="E957" i="33"/>
  <c r="E958" i="33"/>
  <c r="E959" i="33"/>
  <c r="E960" i="33"/>
  <c r="E961" i="33"/>
  <c r="E962" i="33"/>
  <c r="E963" i="33"/>
  <c r="E964" i="33"/>
  <c r="E965" i="33"/>
  <c r="E966" i="33"/>
  <c r="E967" i="33"/>
  <c r="E968" i="33"/>
  <c r="E969" i="33"/>
  <c r="E970" i="33"/>
  <c r="E971" i="33"/>
  <c r="E972" i="33"/>
  <c r="E973" i="33"/>
  <c r="E974" i="33"/>
  <c r="E975" i="33"/>
  <c r="E976" i="33"/>
  <c r="E977" i="33"/>
  <c r="E978" i="33"/>
  <c r="E979" i="33"/>
  <c r="E980" i="33"/>
  <c r="E981" i="33"/>
  <c r="E982" i="33"/>
  <c r="E983" i="33"/>
  <c r="E984" i="33"/>
  <c r="E985" i="33"/>
  <c r="E986" i="33"/>
  <c r="E987" i="33"/>
  <c r="E988" i="33"/>
  <c r="E989" i="33"/>
  <c r="E990" i="33"/>
  <c r="E991" i="33"/>
  <c r="E992" i="33"/>
  <c r="E993" i="33"/>
  <c r="E994" i="33"/>
  <c r="E995" i="33"/>
  <c r="E996" i="33"/>
  <c r="E997" i="33"/>
  <c r="E998" i="33"/>
  <c r="E999" i="33"/>
  <c r="E1000" i="33"/>
  <c r="E1001" i="33"/>
  <c r="E1002" i="33"/>
  <c r="E1003" i="33"/>
  <c r="E1004" i="33"/>
  <c r="E1005" i="33"/>
  <c r="E1006" i="33"/>
  <c r="E1007" i="33"/>
  <c r="E1008" i="33"/>
  <c r="E1009" i="33"/>
  <c r="E1010" i="33"/>
  <c r="E1011" i="33"/>
  <c r="E1012" i="33"/>
  <c r="E1013" i="33"/>
  <c r="E1014" i="33"/>
  <c r="E1015" i="33"/>
  <c r="E1016" i="33"/>
  <c r="E1017" i="33"/>
  <c r="E1018" i="33"/>
  <c r="E1019" i="33"/>
  <c r="E1020" i="33"/>
  <c r="E1021" i="33"/>
  <c r="E1022" i="33"/>
  <c r="E1023" i="33"/>
  <c r="E1024" i="33"/>
  <c r="E1025" i="33"/>
  <c r="E1026" i="33"/>
  <c r="E1027" i="33"/>
  <c r="E1028" i="33"/>
  <c r="E1029" i="33"/>
  <c r="E1030" i="33"/>
  <c r="E1031" i="33"/>
  <c r="E1032" i="33"/>
  <c r="E1033" i="33"/>
  <c r="E1034" i="33"/>
  <c r="E1035" i="33"/>
  <c r="E1036" i="33"/>
  <c r="E1037" i="33"/>
  <c r="E1038" i="33"/>
  <c r="E1039" i="33"/>
  <c r="E1040" i="33"/>
  <c r="E1041" i="33"/>
  <c r="E1042" i="33"/>
  <c r="E1043" i="33"/>
  <c r="E1044" i="33"/>
  <c r="E1045" i="33"/>
  <c r="E1046" i="33"/>
  <c r="E1047" i="33"/>
  <c r="E1048" i="33"/>
  <c r="E1049" i="33"/>
  <c r="E1050" i="33"/>
  <c r="E1051" i="33"/>
  <c r="E1052" i="33"/>
  <c r="E1053" i="33"/>
  <c r="E1054" i="33"/>
  <c r="E1055" i="33"/>
  <c r="E1056" i="33"/>
  <c r="E1057" i="33"/>
  <c r="E1058" i="33"/>
  <c r="E1059" i="33"/>
  <c r="E1060" i="33"/>
  <c r="E1061" i="33"/>
  <c r="E1062" i="33"/>
  <c r="E1063" i="33"/>
  <c r="E1064" i="33"/>
  <c r="E1065" i="33"/>
  <c r="E1066" i="33"/>
  <c r="E1067" i="33"/>
  <c r="E1068" i="33"/>
  <c r="E1069" i="33"/>
  <c r="E1070" i="33"/>
  <c r="E1071" i="33"/>
  <c r="E1072" i="33"/>
  <c r="E1073" i="33"/>
  <c r="E1074" i="33"/>
  <c r="E1075" i="33"/>
  <c r="E1076" i="33"/>
  <c r="E1077" i="33"/>
  <c r="E1078" i="33"/>
  <c r="E1079" i="33"/>
  <c r="E1080" i="33"/>
  <c r="E1081" i="33"/>
  <c r="E1082" i="33"/>
  <c r="E1083" i="33"/>
  <c r="E1084" i="33"/>
  <c r="E1085" i="33"/>
  <c r="E1086" i="33"/>
  <c r="E1087" i="33"/>
  <c r="E1088" i="33"/>
  <c r="E1089" i="33"/>
  <c r="E1090" i="33"/>
  <c r="E1091" i="33"/>
  <c r="E1092" i="33"/>
  <c r="E1093" i="33"/>
  <c r="E1094" i="33"/>
  <c r="E1095" i="33"/>
  <c r="E1096" i="33"/>
  <c r="E1097" i="33"/>
  <c r="E1098" i="33"/>
  <c r="E1099" i="33"/>
  <c r="E1100" i="33"/>
  <c r="E1101" i="33"/>
  <c r="E1102" i="33"/>
  <c r="E1103" i="33"/>
  <c r="E1104" i="33"/>
  <c r="E1105" i="33"/>
  <c r="E1106" i="33"/>
  <c r="E1107" i="33"/>
  <c r="E1108" i="33"/>
  <c r="E1109" i="33"/>
  <c r="E1110" i="33"/>
  <c r="E1111" i="33"/>
  <c r="E1112" i="33"/>
  <c r="E1113" i="33"/>
  <c r="E1114" i="33"/>
  <c r="E1115" i="33"/>
  <c r="E1116" i="33"/>
  <c r="E1117" i="33"/>
  <c r="E1118" i="33"/>
  <c r="E1119" i="33"/>
  <c r="E1120" i="33"/>
  <c r="E1121" i="33"/>
  <c r="E1122" i="33"/>
  <c r="E1123" i="33"/>
  <c r="E1124" i="33"/>
  <c r="E1125" i="33"/>
  <c r="E1126" i="33"/>
  <c r="E1127" i="33"/>
  <c r="E1128" i="33"/>
  <c r="E1129" i="33"/>
  <c r="E1130" i="33"/>
  <c r="E1131" i="33"/>
  <c r="E1132" i="33"/>
  <c r="E1133" i="33"/>
  <c r="E1134" i="33"/>
  <c r="E1135" i="33"/>
  <c r="E1136" i="33"/>
  <c r="E1137" i="33"/>
  <c r="E1138" i="33"/>
  <c r="E1139" i="33"/>
  <c r="E1140" i="33"/>
  <c r="E1141" i="33"/>
  <c r="E1142" i="33"/>
  <c r="E1143" i="33"/>
  <c r="E1144" i="33"/>
  <c r="E1145" i="33"/>
  <c r="E1146" i="33"/>
  <c r="E1147" i="33"/>
  <c r="E1148" i="33"/>
  <c r="E1149" i="33"/>
  <c r="E1150" i="33"/>
  <c r="E1151" i="33"/>
  <c r="E1152" i="33"/>
  <c r="E1153" i="33"/>
  <c r="E1154" i="33"/>
  <c r="E1155" i="33"/>
  <c r="E1156" i="33"/>
  <c r="E1157" i="33"/>
  <c r="E1158" i="33"/>
  <c r="E1159" i="33"/>
  <c r="E1160" i="33"/>
  <c r="E1161" i="33"/>
  <c r="E1162" i="33"/>
  <c r="E1163" i="33"/>
  <c r="E1164" i="33"/>
  <c r="E1165" i="33"/>
  <c r="E1166" i="33"/>
  <c r="E1167" i="33"/>
  <c r="E1168" i="33"/>
  <c r="E1169" i="33"/>
  <c r="E1170" i="33"/>
  <c r="E1171" i="33"/>
  <c r="E1172" i="33"/>
  <c r="E1173" i="33"/>
  <c r="E1174" i="33"/>
  <c r="E1175" i="33"/>
  <c r="E1176" i="33"/>
  <c r="E1177" i="33"/>
  <c r="E1178" i="33"/>
  <c r="E1179" i="33"/>
  <c r="E1180" i="33"/>
  <c r="E1181" i="33"/>
  <c r="E1182" i="33"/>
  <c r="E1183" i="33"/>
  <c r="E1184" i="33"/>
  <c r="E1185" i="33"/>
  <c r="E1186" i="33"/>
  <c r="E1187" i="33"/>
  <c r="E1188" i="33"/>
  <c r="E1189" i="33"/>
  <c r="E1190" i="33"/>
  <c r="E1191" i="33"/>
  <c r="E1192" i="33"/>
  <c r="E1193" i="33"/>
  <c r="E1194" i="33"/>
  <c r="E1195" i="33"/>
  <c r="E1196" i="33"/>
  <c r="E1197" i="33"/>
  <c r="E1198" i="33"/>
  <c r="E1199" i="33"/>
  <c r="E1200" i="33"/>
  <c r="E1201" i="33"/>
  <c r="E1202" i="33"/>
  <c r="E1203" i="33"/>
  <c r="E1204" i="33"/>
  <c r="E1205" i="33"/>
  <c r="E1206" i="33"/>
  <c r="E1207" i="33"/>
  <c r="E1208" i="33"/>
  <c r="E1209" i="33"/>
  <c r="E1210" i="33"/>
  <c r="E1211" i="33"/>
  <c r="E1212" i="33"/>
  <c r="E1213" i="33"/>
  <c r="E1214" i="33"/>
  <c r="E1215" i="33"/>
  <c r="E1216" i="33"/>
  <c r="E1217" i="33"/>
  <c r="E1218" i="33"/>
  <c r="E1219" i="33"/>
  <c r="E1220" i="33"/>
  <c r="E1221" i="33"/>
  <c r="E1222" i="33"/>
  <c r="E1223" i="33"/>
  <c r="E1224" i="33"/>
  <c r="E1225" i="33"/>
  <c r="E1226" i="33"/>
  <c r="E1227" i="33"/>
  <c r="E1228" i="33"/>
  <c r="E1229" i="33"/>
  <c r="E1230" i="33"/>
  <c r="E1231" i="33"/>
  <c r="E1232" i="33"/>
  <c r="E1233" i="33"/>
  <c r="E1234" i="33"/>
  <c r="E1235" i="33"/>
  <c r="E1236" i="33"/>
  <c r="E1237" i="33"/>
  <c r="E1238" i="33"/>
  <c r="E1239" i="33"/>
  <c r="E1240" i="33"/>
  <c r="E1241" i="33"/>
  <c r="E1242" i="33"/>
  <c r="E1243" i="33"/>
  <c r="E1244" i="33"/>
  <c r="E1245" i="33"/>
  <c r="E1246" i="33"/>
  <c r="E1247" i="33"/>
  <c r="E1248" i="33"/>
  <c r="E1249" i="33"/>
  <c r="E1250" i="33"/>
  <c r="E1251" i="33"/>
  <c r="E1252" i="33"/>
  <c r="E1253" i="33"/>
  <c r="E1254" i="33"/>
  <c r="E1255" i="33"/>
  <c r="E1256" i="33"/>
  <c r="E1257" i="33"/>
  <c r="E1258" i="33"/>
  <c r="E1259" i="33"/>
  <c r="E1260" i="33"/>
  <c r="E1261" i="33"/>
  <c r="E1262" i="33"/>
  <c r="E1263" i="33"/>
  <c r="E1264" i="33"/>
  <c r="E1265" i="33"/>
  <c r="E1266" i="33"/>
  <c r="E1267" i="33"/>
  <c r="E1268" i="33"/>
  <c r="E1269" i="33"/>
  <c r="E1270" i="33"/>
  <c r="E1271" i="33"/>
  <c r="E1272" i="33"/>
  <c r="E1273" i="33"/>
  <c r="E1274" i="33"/>
  <c r="E1275" i="33"/>
  <c r="E1276" i="33"/>
  <c r="E1277" i="33"/>
  <c r="E1278" i="33"/>
  <c r="E1279" i="33"/>
  <c r="E1280" i="33"/>
  <c r="E1281" i="33"/>
  <c r="E1282" i="33"/>
  <c r="E1283" i="33"/>
  <c r="E1284" i="33"/>
  <c r="E1285" i="33"/>
  <c r="E1286" i="33"/>
  <c r="E1287" i="33"/>
  <c r="E1288" i="33"/>
  <c r="E1289" i="33"/>
  <c r="E1290" i="33"/>
  <c r="E1291" i="33"/>
  <c r="E1292" i="33"/>
  <c r="E1293" i="33"/>
  <c r="E1294" i="33"/>
  <c r="E1295" i="33"/>
  <c r="E1296" i="33"/>
  <c r="E1297" i="33"/>
  <c r="E1298" i="33"/>
  <c r="E1299" i="33"/>
  <c r="E1300" i="33"/>
  <c r="E1301" i="33"/>
  <c r="E1302" i="33"/>
  <c r="E1303" i="33"/>
  <c r="E1304" i="33"/>
  <c r="E1305" i="33"/>
  <c r="E1306" i="33"/>
  <c r="E1307" i="33"/>
  <c r="E1308" i="33"/>
  <c r="E1309" i="33"/>
  <c r="E1310" i="33"/>
  <c r="E1311" i="33"/>
  <c r="E1312" i="33"/>
  <c r="E1313" i="33"/>
  <c r="E1314" i="33"/>
  <c r="E1315" i="33"/>
  <c r="E1316" i="33"/>
  <c r="E1317" i="33"/>
  <c r="E1318" i="33"/>
  <c r="E1319" i="33"/>
  <c r="E1320" i="33"/>
  <c r="E1321" i="33"/>
  <c r="E1322" i="33"/>
  <c r="E1323" i="33"/>
  <c r="E1324" i="33"/>
  <c r="E1325" i="33"/>
  <c r="E1326" i="33"/>
  <c r="E1327" i="33"/>
  <c r="E1328" i="33"/>
  <c r="E1329" i="33"/>
  <c r="E1330" i="33"/>
  <c r="E1331" i="33"/>
  <c r="E1332" i="33"/>
  <c r="E1333" i="33"/>
  <c r="E1334" i="33"/>
  <c r="E1335" i="33"/>
  <c r="E1336" i="33"/>
  <c r="E1337" i="33"/>
  <c r="E1338" i="33"/>
  <c r="E1339" i="33"/>
  <c r="E1340" i="33"/>
  <c r="E1341" i="33"/>
  <c r="E1342" i="33"/>
  <c r="E1343" i="33"/>
  <c r="E1344" i="33"/>
  <c r="E1345" i="33"/>
  <c r="E1346" i="33"/>
  <c r="E1347" i="33"/>
  <c r="E1348" i="33"/>
  <c r="E1349" i="33"/>
  <c r="E1350" i="33"/>
  <c r="E1351" i="33"/>
  <c r="E1352" i="33"/>
  <c r="E1353" i="33"/>
  <c r="E1354" i="33"/>
  <c r="E1355" i="33"/>
  <c r="E1356" i="33"/>
  <c r="E1357" i="33"/>
  <c r="E1358" i="33"/>
  <c r="E1359" i="33"/>
  <c r="E1360" i="33"/>
  <c r="E1361" i="33"/>
  <c r="E1362" i="33"/>
  <c r="E1363" i="33"/>
  <c r="E1364" i="33"/>
  <c r="E1365" i="33"/>
  <c r="E1366" i="33"/>
  <c r="E1367" i="33"/>
  <c r="E1368" i="33"/>
  <c r="E1369" i="33"/>
  <c r="E1370" i="33"/>
  <c r="E1371" i="33"/>
  <c r="E1372" i="33"/>
  <c r="E1373" i="33"/>
  <c r="E1374" i="33"/>
  <c r="E1375" i="33"/>
  <c r="E1376" i="33"/>
  <c r="E1377" i="33"/>
  <c r="E1378" i="33"/>
  <c r="E1379" i="33"/>
  <c r="E1380" i="33"/>
  <c r="E1381" i="33"/>
  <c r="E1382" i="33"/>
  <c r="E1383" i="33"/>
  <c r="E1384" i="33"/>
  <c r="E1385" i="33"/>
  <c r="E1386" i="33"/>
  <c r="E1387" i="33"/>
  <c r="E1388" i="33"/>
  <c r="E1389" i="33"/>
  <c r="E1390" i="33"/>
  <c r="E1391" i="33"/>
  <c r="E1392" i="33"/>
  <c r="E1393" i="33"/>
  <c r="E1394" i="33"/>
  <c r="E1395" i="33"/>
  <c r="E1396" i="33"/>
  <c r="E1397" i="33"/>
  <c r="E1398" i="33"/>
  <c r="E1399" i="33"/>
  <c r="E1400" i="33"/>
  <c r="E1401" i="33"/>
  <c r="E1402" i="33"/>
  <c r="E1403" i="33"/>
  <c r="E1404" i="33"/>
  <c r="E1405" i="33"/>
  <c r="E1406" i="33"/>
  <c r="E1407" i="33"/>
  <c r="E1408" i="33"/>
  <c r="E1409" i="33"/>
  <c r="E1410" i="33"/>
  <c r="E1411" i="33"/>
  <c r="E1412" i="33"/>
  <c r="E1413" i="33"/>
  <c r="E1414" i="33"/>
  <c r="E1415" i="33"/>
  <c r="E1416" i="33"/>
  <c r="E1417" i="33"/>
  <c r="E1418" i="33"/>
  <c r="E1419" i="33"/>
  <c r="E1420" i="33"/>
  <c r="E1421" i="33"/>
  <c r="E1422" i="33"/>
  <c r="E1423" i="33"/>
  <c r="E1424" i="33"/>
  <c r="E1425" i="33"/>
  <c r="E1426" i="33"/>
  <c r="E1427" i="33"/>
  <c r="E1428" i="33"/>
  <c r="E1429" i="33"/>
  <c r="E1430" i="33"/>
  <c r="E1431" i="33"/>
  <c r="E1432" i="33"/>
  <c r="E1433" i="33"/>
  <c r="E1434" i="33"/>
  <c r="E1435" i="33"/>
  <c r="E1436" i="33"/>
  <c r="E1437" i="33"/>
  <c r="E1438" i="33"/>
  <c r="E1439" i="33"/>
  <c r="E1440" i="33"/>
  <c r="E1441" i="33"/>
  <c r="E1442" i="33"/>
  <c r="E1443" i="33"/>
  <c r="E1444" i="33"/>
  <c r="E1445" i="33"/>
  <c r="E1446" i="33"/>
  <c r="E1447" i="33"/>
  <c r="E1448" i="33"/>
  <c r="E1449" i="33"/>
  <c r="E1450" i="33"/>
  <c r="E1451" i="33"/>
  <c r="E1452" i="33"/>
  <c r="E1453" i="33"/>
  <c r="E1454" i="33"/>
  <c r="E1455" i="33"/>
  <c r="E1456" i="33"/>
  <c r="E1457" i="33"/>
  <c r="E1458" i="33"/>
  <c r="E1459" i="33"/>
  <c r="E1460" i="33"/>
  <c r="E1461" i="33"/>
  <c r="E1462" i="33"/>
  <c r="E1463" i="33"/>
  <c r="E1464" i="33"/>
  <c r="E1465" i="33"/>
  <c r="E1466" i="33"/>
  <c r="E1467" i="33"/>
  <c r="E1468" i="33"/>
  <c r="E1469" i="33"/>
  <c r="E1470" i="33"/>
  <c r="E1471" i="33"/>
  <c r="E1472" i="33"/>
  <c r="E1473" i="33"/>
  <c r="E1474" i="33"/>
  <c r="E1475" i="33"/>
  <c r="E1476" i="33"/>
  <c r="E1477" i="33"/>
  <c r="E1478" i="33"/>
  <c r="E1479" i="33"/>
  <c r="E1480" i="33"/>
  <c r="E1481" i="33"/>
  <c r="E1482" i="33"/>
  <c r="E1483" i="33"/>
  <c r="E1484" i="33"/>
  <c r="E1485" i="33"/>
  <c r="E1486" i="33"/>
  <c r="E1487" i="33"/>
  <c r="E1488" i="33"/>
  <c r="E1489" i="33"/>
  <c r="E1490" i="33"/>
  <c r="E1491" i="33"/>
  <c r="E1492" i="33"/>
  <c r="E1493" i="33"/>
  <c r="E1494" i="33"/>
  <c r="E1495" i="33"/>
  <c r="E1496" i="33"/>
  <c r="E1497" i="33"/>
  <c r="E1498" i="33"/>
  <c r="E1499" i="33"/>
  <c r="E1500" i="33"/>
  <c r="E1501" i="33"/>
  <c r="E1502" i="33"/>
  <c r="E1503" i="33"/>
  <c r="E1504" i="33"/>
  <c r="E1505" i="33"/>
  <c r="E1506" i="33"/>
  <c r="E1507" i="33"/>
  <c r="E1508" i="33"/>
  <c r="E1509" i="33"/>
  <c r="E1510" i="33"/>
  <c r="E1511" i="33"/>
  <c r="E1512" i="33"/>
  <c r="E1513" i="33"/>
  <c r="E1514" i="33"/>
  <c r="E1515" i="33"/>
  <c r="E1516" i="33"/>
  <c r="E1517" i="33"/>
  <c r="E1518" i="33"/>
  <c r="E1519" i="33"/>
  <c r="E1520" i="33"/>
  <c r="E1521" i="33"/>
  <c r="E1522" i="33"/>
  <c r="E1523" i="33"/>
  <c r="E1524" i="33"/>
  <c r="E1525" i="33"/>
  <c r="E1526" i="33"/>
  <c r="E1527" i="33"/>
  <c r="E1528" i="33"/>
  <c r="E1529" i="33"/>
  <c r="E1530" i="33"/>
  <c r="E1531" i="33"/>
  <c r="E1532" i="33"/>
  <c r="E1533" i="33"/>
  <c r="E1534" i="33"/>
  <c r="E1535" i="33"/>
  <c r="E1536" i="33"/>
  <c r="E1537" i="33"/>
  <c r="E1538" i="33"/>
  <c r="E1539" i="33"/>
  <c r="E1540" i="33"/>
  <c r="E1541" i="33"/>
  <c r="E1542" i="33"/>
  <c r="E1543" i="33"/>
  <c r="E1544" i="33"/>
  <c r="E1545" i="33"/>
  <c r="E1546" i="33"/>
  <c r="E1547" i="33"/>
  <c r="E1548" i="33"/>
  <c r="E1549" i="33"/>
  <c r="E1550" i="33"/>
  <c r="E1551" i="33"/>
  <c r="E1552" i="33"/>
  <c r="E1553" i="33"/>
  <c r="E1554" i="33"/>
  <c r="E1555" i="33"/>
  <c r="E1556" i="33"/>
  <c r="E1557" i="33"/>
  <c r="E1558" i="33"/>
  <c r="E1559" i="33"/>
  <c r="E1560" i="33"/>
  <c r="E1561" i="33"/>
  <c r="E1562" i="33"/>
  <c r="E1563" i="33"/>
  <c r="E1564" i="33"/>
  <c r="E1565" i="33"/>
  <c r="E1566" i="33"/>
  <c r="E1567" i="33"/>
  <c r="E1568" i="33"/>
  <c r="E1569" i="33"/>
  <c r="E1570" i="33"/>
  <c r="E1571" i="33"/>
  <c r="E1572" i="33"/>
  <c r="E1573" i="33"/>
  <c r="E1574" i="33"/>
  <c r="E1575" i="33"/>
  <c r="E1576" i="33"/>
  <c r="E1577" i="33"/>
  <c r="E1578" i="33"/>
  <c r="E1579" i="33"/>
  <c r="E1580" i="33"/>
  <c r="E1581" i="33"/>
  <c r="E1582" i="33"/>
  <c r="E1583" i="33"/>
  <c r="E1584" i="33"/>
  <c r="E1585" i="33"/>
  <c r="E1586" i="33"/>
  <c r="E1587" i="33"/>
  <c r="E1588" i="33"/>
  <c r="E1589" i="33"/>
  <c r="E1590" i="33"/>
  <c r="E1591" i="33"/>
  <c r="E1592" i="33"/>
  <c r="E1593" i="33"/>
  <c r="E1594" i="33"/>
  <c r="E1595" i="33"/>
  <c r="E1596" i="33"/>
  <c r="E1597" i="33"/>
  <c r="E1598" i="33"/>
  <c r="E1599" i="33"/>
  <c r="E1600" i="33"/>
  <c r="E1601" i="33"/>
  <c r="E1602" i="33"/>
  <c r="E1603" i="33"/>
  <c r="E1604" i="33"/>
  <c r="E1605" i="33"/>
  <c r="E1606" i="33"/>
  <c r="E1607" i="33"/>
  <c r="E1608" i="33"/>
  <c r="E1609" i="33"/>
  <c r="E1610" i="33"/>
  <c r="E1611" i="33"/>
  <c r="E1612" i="33"/>
  <c r="E1613" i="33"/>
  <c r="E1614" i="33"/>
  <c r="E1615" i="33"/>
  <c r="E1616" i="33"/>
  <c r="E1617" i="33"/>
  <c r="E1618" i="33"/>
  <c r="E1619" i="33"/>
  <c r="E1620" i="33"/>
  <c r="E1621" i="33"/>
  <c r="E1622" i="33"/>
  <c r="E1623" i="33"/>
  <c r="E1624" i="33"/>
  <c r="E1625" i="33"/>
  <c r="E1626" i="33"/>
  <c r="E1627" i="33"/>
  <c r="E1628" i="33"/>
  <c r="E1629" i="33"/>
  <c r="E1630" i="33"/>
  <c r="E1631" i="33"/>
  <c r="E1632" i="33"/>
  <c r="E1633" i="33"/>
  <c r="E1634" i="33"/>
  <c r="E1635" i="33"/>
  <c r="E1636" i="33"/>
  <c r="E1637" i="33"/>
  <c r="E1638" i="33"/>
  <c r="E1639" i="33"/>
  <c r="E1640" i="33"/>
  <c r="E1641" i="33"/>
  <c r="E1642" i="33"/>
  <c r="E1643" i="33"/>
  <c r="E1644" i="33"/>
  <c r="E1645" i="33"/>
  <c r="E1646" i="33"/>
  <c r="E1647" i="33"/>
  <c r="E1648" i="33"/>
  <c r="E1649" i="33"/>
  <c r="E1650" i="33"/>
  <c r="E1651" i="33"/>
  <c r="E1652" i="33"/>
  <c r="E1653" i="33"/>
  <c r="E1654" i="33"/>
  <c r="E1655" i="33"/>
  <c r="E1656" i="33"/>
  <c r="E1657" i="33"/>
  <c r="E1658" i="33"/>
  <c r="E1659" i="33"/>
  <c r="E1660" i="33"/>
  <c r="E1661" i="33"/>
  <c r="E1662" i="33"/>
  <c r="E1663" i="33"/>
  <c r="E1664" i="33"/>
  <c r="E1665" i="33"/>
  <c r="E1666" i="33"/>
  <c r="E1667" i="33"/>
  <c r="E1668" i="33"/>
  <c r="E1669" i="33"/>
  <c r="E1670" i="33"/>
  <c r="E1671" i="33"/>
  <c r="E1672" i="33"/>
  <c r="E1673" i="33"/>
  <c r="E1674" i="33"/>
  <c r="E1675" i="33"/>
  <c r="E1676" i="33"/>
  <c r="E1677" i="33"/>
  <c r="E1678" i="33"/>
  <c r="E1679" i="33"/>
  <c r="E1680" i="33"/>
  <c r="E1681" i="33"/>
  <c r="E1682" i="33"/>
  <c r="E1683" i="33"/>
  <c r="E1684" i="33"/>
  <c r="E1685" i="33"/>
  <c r="E1686" i="33"/>
  <c r="E1687" i="33"/>
  <c r="E1688" i="33"/>
  <c r="E1689" i="33"/>
  <c r="E1690" i="33"/>
  <c r="E1691" i="33"/>
  <c r="E1692" i="33"/>
  <c r="E1693" i="33"/>
  <c r="E1694" i="33"/>
  <c r="E1695" i="33"/>
  <c r="E1696" i="33"/>
  <c r="E1697" i="33"/>
  <c r="E1698" i="33"/>
  <c r="E1699" i="33"/>
  <c r="E1700" i="33"/>
  <c r="E1701" i="33"/>
  <c r="E1702" i="33"/>
  <c r="E1703" i="33"/>
  <c r="E1704" i="33"/>
  <c r="E1705" i="33"/>
  <c r="E1706" i="33"/>
  <c r="E1707" i="33"/>
  <c r="E1708" i="33"/>
  <c r="E1709" i="33"/>
  <c r="E1710" i="33"/>
  <c r="E1711" i="33"/>
  <c r="E1712" i="33"/>
  <c r="E1713" i="33"/>
  <c r="E1714" i="33"/>
  <c r="E1715" i="33"/>
  <c r="E1716" i="33"/>
  <c r="E1717" i="33"/>
  <c r="E1718" i="33"/>
  <c r="E1719" i="33"/>
  <c r="E1720" i="33"/>
  <c r="E1721" i="33"/>
  <c r="E1722" i="33"/>
  <c r="E1723" i="33"/>
  <c r="E1724" i="33"/>
  <c r="E1725" i="33"/>
  <c r="E1726" i="33"/>
  <c r="E1727" i="33"/>
  <c r="E1728" i="33"/>
  <c r="E1729" i="33"/>
  <c r="E1730" i="33"/>
  <c r="E1731" i="33"/>
  <c r="E1732" i="33"/>
  <c r="E1733" i="33"/>
  <c r="E1734" i="33"/>
  <c r="E1735" i="33"/>
  <c r="E1736" i="33"/>
  <c r="E1737" i="33"/>
  <c r="E1738" i="33"/>
  <c r="E1739" i="33"/>
  <c r="E1740" i="33"/>
  <c r="E1741" i="33"/>
  <c r="E1742" i="33"/>
  <c r="E1743" i="33"/>
  <c r="E1744" i="33"/>
  <c r="E1745" i="33"/>
  <c r="E1746" i="33"/>
  <c r="E1747" i="33"/>
  <c r="E1748" i="33"/>
  <c r="E1749" i="33"/>
  <c r="E1750" i="33"/>
  <c r="E1751" i="33"/>
  <c r="E1752" i="33"/>
  <c r="E1753" i="33"/>
  <c r="E1754" i="33"/>
  <c r="E1755" i="33"/>
  <c r="E1756" i="33"/>
  <c r="E1757" i="33"/>
  <c r="E1758" i="33"/>
  <c r="E1759" i="33"/>
  <c r="E1760" i="33"/>
  <c r="E1761" i="33"/>
  <c r="E1762" i="33"/>
  <c r="E1763" i="33"/>
  <c r="E1764" i="33"/>
  <c r="E1765" i="33"/>
  <c r="E1766" i="33"/>
  <c r="E1767" i="33"/>
  <c r="E1768" i="33"/>
  <c r="E1769" i="33"/>
  <c r="E1770" i="33"/>
  <c r="E1771" i="33"/>
  <c r="E1772" i="33"/>
  <c r="E1773" i="33"/>
  <c r="E1774" i="33"/>
  <c r="E1775" i="33"/>
  <c r="E1776" i="33"/>
  <c r="E1777" i="33"/>
  <c r="E1778" i="33"/>
  <c r="E1779" i="33"/>
  <c r="E1780" i="33"/>
  <c r="E1781" i="33"/>
  <c r="E1782" i="33"/>
  <c r="E1783" i="33"/>
  <c r="E1784" i="33"/>
  <c r="E1785" i="33"/>
  <c r="E1786" i="33"/>
  <c r="E1787" i="33"/>
  <c r="E1788" i="33"/>
  <c r="E1789" i="33"/>
  <c r="E1790" i="33"/>
  <c r="E1791" i="33"/>
  <c r="E1792" i="33"/>
  <c r="E1793" i="33"/>
  <c r="E1794" i="33"/>
  <c r="E1795" i="33"/>
  <c r="E1796" i="33"/>
  <c r="E1797" i="33"/>
  <c r="E1798" i="33"/>
  <c r="E1799" i="33"/>
  <c r="E1800" i="33"/>
  <c r="E1801" i="33"/>
  <c r="E1802" i="33"/>
  <c r="E1803" i="33"/>
  <c r="E1804" i="33"/>
  <c r="E1805" i="33"/>
  <c r="E1806" i="33"/>
  <c r="E1807" i="33"/>
  <c r="E1808" i="33"/>
  <c r="E1809" i="33"/>
  <c r="E1810" i="33"/>
  <c r="E1811" i="33"/>
  <c r="E1812" i="33"/>
  <c r="E1813" i="33"/>
  <c r="E1814" i="33"/>
  <c r="E1815" i="33"/>
  <c r="E1816" i="33"/>
  <c r="E1817" i="33"/>
  <c r="E1818" i="33"/>
  <c r="E1819" i="33"/>
  <c r="E1820" i="33"/>
  <c r="E1821" i="33"/>
  <c r="E1822" i="33"/>
  <c r="E1823" i="33"/>
  <c r="E1824" i="33"/>
  <c r="E1825" i="33"/>
  <c r="E1826" i="33"/>
  <c r="E1827" i="33"/>
  <c r="E1828" i="33"/>
  <c r="E1829" i="33"/>
  <c r="E1830" i="33"/>
  <c r="E1831" i="33"/>
  <c r="E1832" i="33"/>
  <c r="E1833" i="33"/>
  <c r="E1834" i="33"/>
  <c r="E1835" i="33"/>
  <c r="E1836" i="33"/>
  <c r="E1837" i="33"/>
  <c r="E1838" i="33"/>
  <c r="E1839" i="33"/>
  <c r="E1840" i="33"/>
  <c r="E1841" i="33"/>
  <c r="E1842" i="33"/>
  <c r="E1843" i="33"/>
  <c r="E1844" i="33"/>
  <c r="E1845" i="33"/>
  <c r="E1846" i="33"/>
  <c r="E1847" i="33"/>
  <c r="E1848" i="33"/>
  <c r="E1849" i="33"/>
  <c r="E1850" i="33"/>
  <c r="E1851" i="33"/>
  <c r="E1852" i="33"/>
  <c r="E1853" i="33"/>
  <c r="E1854" i="33"/>
  <c r="E1855" i="33"/>
  <c r="E1856" i="33"/>
  <c r="E1857" i="33"/>
  <c r="E1858" i="33"/>
  <c r="E1859" i="33"/>
  <c r="E1860" i="33"/>
  <c r="E1861" i="33"/>
  <c r="E1862" i="33"/>
  <c r="E1863" i="33"/>
  <c r="E1864" i="33"/>
  <c r="E1865" i="33"/>
  <c r="R26" i="33"/>
  <c r="R59" i="33"/>
  <c r="D2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D173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8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208" i="33"/>
  <c r="D209" i="33"/>
  <c r="D210" i="33"/>
  <c r="D211" i="33"/>
  <c r="D212" i="33"/>
  <c r="D213" i="33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5" i="33"/>
  <c r="D236" i="33"/>
  <c r="D237" i="33"/>
  <c r="D238" i="33"/>
  <c r="D239" i="33"/>
  <c r="D240" i="33"/>
  <c r="D241" i="33"/>
  <c r="D242" i="33"/>
  <c r="D243" i="33"/>
  <c r="D244" i="33"/>
  <c r="D245" i="33"/>
  <c r="D246" i="33"/>
  <c r="D247" i="33"/>
  <c r="D248" i="33"/>
  <c r="D249" i="33"/>
  <c r="D250" i="33"/>
  <c r="D251" i="33"/>
  <c r="D252" i="33"/>
  <c r="D253" i="33"/>
  <c r="D254" i="33"/>
  <c r="D255" i="33"/>
  <c r="D256" i="33"/>
  <c r="D257" i="33"/>
  <c r="D258" i="33"/>
  <c r="D259" i="33"/>
  <c r="D260" i="33"/>
  <c r="D261" i="33"/>
  <c r="D262" i="33"/>
  <c r="D263" i="33"/>
  <c r="D264" i="33"/>
  <c r="D265" i="33"/>
  <c r="D266" i="33"/>
  <c r="D267" i="33"/>
  <c r="D268" i="33"/>
  <c r="D269" i="33"/>
  <c r="D270" i="33"/>
  <c r="D271" i="33"/>
  <c r="D272" i="33"/>
  <c r="D273" i="33"/>
  <c r="D274" i="33"/>
  <c r="D275" i="33"/>
  <c r="D276" i="33"/>
  <c r="D277" i="33"/>
  <c r="D278" i="33"/>
  <c r="D279" i="33"/>
  <c r="D280" i="33"/>
  <c r="D281" i="33"/>
  <c r="D282" i="33"/>
  <c r="D283" i="33"/>
  <c r="D284" i="33"/>
  <c r="D285" i="33"/>
  <c r="D286" i="33"/>
  <c r="D287" i="33"/>
  <c r="D288" i="33"/>
  <c r="D289" i="33"/>
  <c r="D290" i="33"/>
  <c r="D291" i="33"/>
  <c r="D292" i="33"/>
  <c r="D293" i="33"/>
  <c r="D294" i="33"/>
  <c r="D295" i="33"/>
  <c r="D296" i="33"/>
  <c r="D297" i="33"/>
  <c r="D298" i="33"/>
  <c r="D299" i="33"/>
  <c r="D300" i="33"/>
  <c r="D301" i="33"/>
  <c r="D302" i="33"/>
  <c r="D303" i="33"/>
  <c r="D304" i="33"/>
  <c r="D305" i="33"/>
  <c r="D306" i="33"/>
  <c r="D307" i="33"/>
  <c r="D308" i="33"/>
  <c r="D309" i="33"/>
  <c r="D310" i="33"/>
  <c r="D311" i="33"/>
  <c r="D312" i="33"/>
  <c r="D313" i="33"/>
  <c r="D314" i="33"/>
  <c r="D315" i="33"/>
  <c r="D316" i="33"/>
  <c r="D317" i="33"/>
  <c r="D318" i="33"/>
  <c r="D319" i="33"/>
  <c r="D320" i="33"/>
  <c r="D321" i="33"/>
  <c r="D322" i="33"/>
  <c r="D323" i="33"/>
  <c r="D324" i="33"/>
  <c r="D325" i="33"/>
  <c r="D326" i="33"/>
  <c r="D327" i="33"/>
  <c r="D328" i="33"/>
  <c r="D329" i="33"/>
  <c r="D330" i="33"/>
  <c r="D331" i="33"/>
  <c r="D332" i="33"/>
  <c r="D333" i="33"/>
  <c r="D334" i="33"/>
  <c r="D335" i="33"/>
  <c r="D336" i="33"/>
  <c r="D337" i="33"/>
  <c r="D338" i="33"/>
  <c r="D339" i="33"/>
  <c r="D340" i="33"/>
  <c r="D341" i="33"/>
  <c r="D342" i="33"/>
  <c r="D343" i="33"/>
  <c r="D344" i="33"/>
  <c r="D345" i="33"/>
  <c r="D346" i="33"/>
  <c r="D347" i="33"/>
  <c r="D348" i="33"/>
  <c r="D349" i="33"/>
  <c r="D350" i="33"/>
  <c r="D351" i="33"/>
  <c r="D352" i="33"/>
  <c r="D353" i="33"/>
  <c r="D354" i="33"/>
  <c r="D355" i="33"/>
  <c r="D356" i="33"/>
  <c r="D357" i="33"/>
  <c r="D358" i="33"/>
  <c r="D359" i="33"/>
  <c r="D360" i="33"/>
  <c r="D361" i="33"/>
  <c r="D362" i="33"/>
  <c r="D363" i="33"/>
  <c r="D364" i="33"/>
  <c r="D365" i="33"/>
  <c r="D366" i="33"/>
  <c r="D367" i="33"/>
  <c r="D368" i="33"/>
  <c r="D369" i="33"/>
  <c r="D370" i="33"/>
  <c r="D371" i="33"/>
  <c r="D372" i="33"/>
  <c r="D373" i="33"/>
  <c r="D374" i="33"/>
  <c r="D375" i="33"/>
  <c r="D376" i="33"/>
  <c r="D377" i="33"/>
  <c r="D378" i="33"/>
  <c r="D379" i="33"/>
  <c r="D380" i="33"/>
  <c r="D381" i="33"/>
  <c r="D382" i="33"/>
  <c r="D383" i="33"/>
  <c r="D384" i="33"/>
  <c r="D385" i="33"/>
  <c r="D386" i="33"/>
  <c r="D387" i="33"/>
  <c r="D388" i="33"/>
  <c r="D389" i="33"/>
  <c r="D390" i="33"/>
  <c r="D391" i="33"/>
  <c r="D392" i="33"/>
  <c r="D393" i="33"/>
  <c r="D394" i="33"/>
  <c r="D395" i="33"/>
  <c r="D396" i="33"/>
  <c r="D397" i="33"/>
  <c r="D398" i="33"/>
  <c r="D399" i="33"/>
  <c r="D400" i="33"/>
  <c r="D401" i="33"/>
  <c r="D402" i="33"/>
  <c r="D403" i="33"/>
  <c r="D404" i="33"/>
  <c r="D405" i="33"/>
  <c r="D406" i="33"/>
  <c r="D407" i="33"/>
  <c r="D408" i="33"/>
  <c r="D409" i="33"/>
  <c r="D410" i="33"/>
  <c r="D411" i="33"/>
  <c r="D412" i="33"/>
  <c r="D413" i="33"/>
  <c r="D414" i="33"/>
  <c r="D415" i="33"/>
  <c r="D416" i="33"/>
  <c r="D417" i="33"/>
  <c r="D418" i="33"/>
  <c r="D419" i="33"/>
  <c r="D420" i="33"/>
  <c r="D421" i="33"/>
  <c r="D422" i="33"/>
  <c r="D423" i="33"/>
  <c r="D424" i="33"/>
  <c r="D425" i="33"/>
  <c r="D426" i="33"/>
  <c r="D427" i="33"/>
  <c r="D428" i="33"/>
  <c r="D429" i="33"/>
  <c r="D430" i="33"/>
  <c r="D431" i="33"/>
  <c r="D432" i="33"/>
  <c r="D433" i="33"/>
  <c r="D434" i="33"/>
  <c r="D435" i="33"/>
  <c r="D436" i="33"/>
  <c r="D437" i="33"/>
  <c r="D438" i="33"/>
  <c r="D439" i="33"/>
  <c r="D440" i="33"/>
  <c r="D441" i="33"/>
  <c r="D442" i="33"/>
  <c r="D443" i="33"/>
  <c r="D444" i="33"/>
  <c r="D445" i="33"/>
  <c r="D446" i="33"/>
  <c r="D447" i="33"/>
  <c r="D448" i="33"/>
  <c r="D449" i="33"/>
  <c r="D450" i="33"/>
  <c r="D451" i="33"/>
  <c r="D452" i="33"/>
  <c r="D453" i="33"/>
  <c r="D454" i="33"/>
  <c r="D455" i="33"/>
  <c r="D456" i="33"/>
  <c r="D457" i="33"/>
  <c r="D458" i="33"/>
  <c r="D459" i="33"/>
  <c r="D460" i="33"/>
  <c r="D461" i="33"/>
  <c r="D462" i="33"/>
  <c r="D463" i="33"/>
  <c r="D464" i="33"/>
  <c r="D465" i="33"/>
  <c r="D466" i="33"/>
  <c r="D467" i="33"/>
  <c r="D468" i="33"/>
  <c r="D469" i="33"/>
  <c r="D470" i="33"/>
  <c r="D471" i="33"/>
  <c r="D472" i="33"/>
  <c r="D473" i="33"/>
  <c r="D474" i="33"/>
  <c r="D475" i="33"/>
  <c r="D476" i="33"/>
  <c r="D477" i="33"/>
  <c r="D478" i="33"/>
  <c r="D479" i="33"/>
  <c r="D480" i="33"/>
  <c r="D481" i="33"/>
  <c r="D482" i="33"/>
  <c r="D483" i="33"/>
  <c r="D484" i="33"/>
  <c r="D485" i="33"/>
  <c r="D486" i="33"/>
  <c r="D487" i="33"/>
  <c r="D488" i="33"/>
  <c r="D489" i="33"/>
  <c r="D490" i="33"/>
  <c r="D491" i="33"/>
  <c r="D492" i="33"/>
  <c r="D493" i="33"/>
  <c r="D494" i="33"/>
  <c r="D495" i="33"/>
  <c r="D496" i="33"/>
  <c r="D497" i="33"/>
  <c r="D498" i="33"/>
  <c r="D499" i="33"/>
  <c r="D500" i="33"/>
  <c r="D501" i="33"/>
  <c r="D502" i="33"/>
  <c r="D503" i="33"/>
  <c r="D504" i="33"/>
  <c r="D505" i="33"/>
  <c r="D506" i="33"/>
  <c r="D507" i="33"/>
  <c r="D508" i="33"/>
  <c r="D509" i="33"/>
  <c r="D510" i="33"/>
  <c r="D511" i="33"/>
  <c r="D512" i="33"/>
  <c r="D513" i="33"/>
  <c r="D514" i="33"/>
  <c r="D515" i="33"/>
  <c r="D516" i="33"/>
  <c r="D517" i="33"/>
  <c r="D518" i="33"/>
  <c r="D519" i="33"/>
  <c r="D520" i="33"/>
  <c r="D521" i="33"/>
  <c r="D522" i="33"/>
  <c r="D523" i="33"/>
  <c r="D524" i="33"/>
  <c r="D525" i="33"/>
  <c r="D526" i="33"/>
  <c r="D527" i="33"/>
  <c r="D528" i="33"/>
  <c r="D529" i="33"/>
  <c r="D530" i="33"/>
  <c r="D531" i="33"/>
  <c r="D532" i="33"/>
  <c r="D533" i="33"/>
  <c r="D534" i="33"/>
  <c r="D535" i="33"/>
  <c r="D536" i="33"/>
  <c r="D537" i="33"/>
  <c r="D538" i="33"/>
  <c r="D539" i="33"/>
  <c r="D540" i="33"/>
  <c r="D541" i="33"/>
  <c r="D542" i="33"/>
  <c r="D543" i="33"/>
  <c r="D544" i="33"/>
  <c r="D545" i="33"/>
  <c r="D546" i="33"/>
  <c r="D547" i="33"/>
  <c r="D548" i="33"/>
  <c r="D549" i="33"/>
  <c r="D550" i="33"/>
  <c r="D551" i="33"/>
  <c r="D552" i="33"/>
  <c r="D553" i="33"/>
  <c r="D554" i="33"/>
  <c r="D555" i="33"/>
  <c r="D556" i="33"/>
  <c r="D557" i="33"/>
  <c r="D558" i="33"/>
  <c r="D559" i="33"/>
  <c r="D560" i="33"/>
  <c r="D561" i="33"/>
  <c r="D562" i="33"/>
  <c r="D563" i="33"/>
  <c r="D564" i="33"/>
  <c r="D565" i="33"/>
  <c r="D566" i="33"/>
  <c r="D567" i="33"/>
  <c r="D568" i="33"/>
  <c r="D569" i="33"/>
  <c r="D570" i="33"/>
  <c r="D571" i="33"/>
  <c r="D572" i="33"/>
  <c r="D573" i="33"/>
  <c r="D574" i="33"/>
  <c r="D575" i="33"/>
  <c r="D576" i="33"/>
  <c r="D577" i="33"/>
  <c r="D578" i="33"/>
  <c r="D579" i="33"/>
  <c r="D580" i="33"/>
  <c r="D581" i="33"/>
  <c r="D582" i="33"/>
  <c r="D583" i="33"/>
  <c r="D584" i="33"/>
  <c r="D585" i="33"/>
  <c r="D586" i="33"/>
  <c r="D587" i="33"/>
  <c r="D588" i="33"/>
  <c r="D589" i="33"/>
  <c r="D590" i="33"/>
  <c r="D591" i="33"/>
  <c r="D592" i="33"/>
  <c r="D593" i="33"/>
  <c r="D594" i="33"/>
  <c r="D595" i="33"/>
  <c r="D596" i="33"/>
  <c r="D597" i="33"/>
  <c r="D598" i="33"/>
  <c r="D599" i="33"/>
  <c r="D600" i="33"/>
  <c r="D601" i="33"/>
  <c r="D602" i="33"/>
  <c r="D603" i="33"/>
  <c r="D604" i="33"/>
  <c r="D605" i="33"/>
  <c r="D606" i="33"/>
  <c r="D607" i="33"/>
  <c r="D608" i="33"/>
  <c r="D609" i="33"/>
  <c r="D610" i="33"/>
  <c r="D611" i="33"/>
  <c r="D612" i="33"/>
  <c r="D613" i="33"/>
  <c r="D614" i="33"/>
  <c r="D615" i="33"/>
  <c r="D616" i="33"/>
  <c r="D617" i="33"/>
  <c r="D618" i="33"/>
  <c r="D619" i="33"/>
  <c r="D620" i="33"/>
  <c r="D621" i="33"/>
  <c r="D622" i="33"/>
  <c r="D623" i="33"/>
  <c r="D624" i="33"/>
  <c r="D625" i="33"/>
  <c r="D626" i="33"/>
  <c r="D627" i="33"/>
  <c r="D628" i="33"/>
  <c r="D629" i="33"/>
  <c r="D630" i="33"/>
  <c r="D631" i="33"/>
  <c r="D632" i="33"/>
  <c r="D633" i="33"/>
  <c r="D634" i="33"/>
  <c r="D635" i="33"/>
  <c r="D636" i="33"/>
  <c r="D637" i="33"/>
  <c r="D638" i="33"/>
  <c r="D639" i="33"/>
  <c r="D640" i="33"/>
  <c r="D641" i="33"/>
  <c r="D642" i="33"/>
  <c r="D643" i="33"/>
  <c r="D644" i="33"/>
  <c r="D645" i="33"/>
  <c r="D646" i="33"/>
  <c r="D647" i="33"/>
  <c r="D648" i="33"/>
  <c r="D649" i="33"/>
  <c r="D650" i="33"/>
  <c r="D651" i="33"/>
  <c r="D652" i="33"/>
  <c r="D653" i="33"/>
  <c r="D654" i="33"/>
  <c r="D655" i="33"/>
  <c r="D656" i="33"/>
  <c r="D657" i="33"/>
  <c r="D658" i="33"/>
  <c r="D659" i="33"/>
  <c r="D660" i="33"/>
  <c r="D661" i="33"/>
  <c r="D662" i="33"/>
  <c r="D663" i="33"/>
  <c r="D664" i="33"/>
  <c r="D665" i="33"/>
  <c r="D666" i="33"/>
  <c r="D667" i="33"/>
  <c r="D668" i="33"/>
  <c r="D669" i="33"/>
  <c r="D670" i="33"/>
  <c r="D671" i="33"/>
  <c r="D672" i="33"/>
  <c r="D673" i="33"/>
  <c r="D674" i="33"/>
  <c r="D675" i="33"/>
  <c r="D676" i="33"/>
  <c r="D677" i="33"/>
  <c r="D678" i="33"/>
  <c r="D679" i="33"/>
  <c r="D680" i="33"/>
  <c r="D681" i="33"/>
  <c r="D682" i="33"/>
  <c r="D683" i="33"/>
  <c r="D684" i="33"/>
  <c r="D685" i="33"/>
  <c r="D686" i="33"/>
  <c r="D687" i="33"/>
  <c r="D688" i="33"/>
  <c r="D689" i="33"/>
  <c r="D690" i="33"/>
  <c r="D691" i="33"/>
  <c r="D692" i="33"/>
  <c r="D693" i="33"/>
  <c r="D694" i="33"/>
  <c r="D695" i="33"/>
  <c r="D696" i="33"/>
  <c r="D697" i="33"/>
  <c r="D698" i="33"/>
  <c r="D699" i="33"/>
  <c r="D700" i="33"/>
  <c r="D701" i="33"/>
  <c r="D702" i="33"/>
  <c r="D703" i="33"/>
  <c r="D704" i="33"/>
  <c r="D705" i="33"/>
  <c r="D706" i="33"/>
  <c r="D707" i="33"/>
  <c r="D708" i="33"/>
  <c r="D709" i="33"/>
  <c r="D710" i="33"/>
  <c r="D711" i="33"/>
  <c r="D712" i="33"/>
  <c r="D713" i="33"/>
  <c r="D714" i="33"/>
  <c r="D715" i="33"/>
  <c r="D716" i="33"/>
  <c r="D717" i="33"/>
  <c r="D718" i="33"/>
  <c r="D719" i="33"/>
  <c r="D720" i="33"/>
  <c r="D721" i="33"/>
  <c r="D722" i="33"/>
  <c r="D723" i="33"/>
  <c r="D724" i="33"/>
  <c r="D725" i="33"/>
  <c r="D726" i="33"/>
  <c r="D727" i="33"/>
  <c r="D728" i="33"/>
  <c r="D729" i="33"/>
  <c r="D730" i="33"/>
  <c r="D731" i="33"/>
  <c r="D732" i="33"/>
  <c r="D733" i="33"/>
  <c r="D734" i="33"/>
  <c r="D735" i="33"/>
  <c r="D736" i="33"/>
  <c r="D737" i="33"/>
  <c r="D738" i="33"/>
  <c r="D739" i="33"/>
  <c r="D740" i="33"/>
  <c r="D741" i="33"/>
  <c r="D742" i="33"/>
  <c r="D743" i="33"/>
  <c r="D744" i="33"/>
  <c r="D745" i="33"/>
  <c r="D746" i="33"/>
  <c r="D747" i="33"/>
  <c r="D748" i="33"/>
  <c r="D749" i="33"/>
  <c r="D750" i="33"/>
  <c r="D751" i="33"/>
  <c r="D752" i="33"/>
  <c r="D753" i="33"/>
  <c r="D754" i="33"/>
  <c r="D755" i="33"/>
  <c r="D756" i="33"/>
  <c r="D757" i="33"/>
  <c r="D758" i="33"/>
  <c r="D759" i="33"/>
  <c r="D760" i="33"/>
  <c r="D761" i="33"/>
  <c r="D762" i="33"/>
  <c r="D763" i="33"/>
  <c r="D764" i="33"/>
  <c r="D765" i="33"/>
  <c r="D766" i="33"/>
  <c r="D767" i="33"/>
  <c r="D768" i="33"/>
  <c r="D769" i="33"/>
  <c r="D770" i="33"/>
  <c r="D771" i="33"/>
  <c r="D772" i="33"/>
  <c r="D773" i="33"/>
  <c r="D774" i="33"/>
  <c r="D775" i="33"/>
  <c r="D776" i="33"/>
  <c r="D777" i="33"/>
  <c r="D778" i="33"/>
  <c r="D779" i="33"/>
  <c r="D780" i="33"/>
  <c r="D781" i="33"/>
  <c r="D782" i="33"/>
  <c r="D783" i="33"/>
  <c r="D784" i="33"/>
  <c r="D785" i="33"/>
  <c r="D786" i="33"/>
  <c r="D787" i="33"/>
  <c r="D788" i="33"/>
  <c r="D789" i="33"/>
  <c r="D790" i="33"/>
  <c r="D791" i="33"/>
  <c r="D792" i="33"/>
  <c r="D793" i="33"/>
  <c r="D794" i="33"/>
  <c r="D795" i="33"/>
  <c r="D796" i="33"/>
  <c r="D797" i="33"/>
  <c r="D798" i="33"/>
  <c r="D799" i="33"/>
  <c r="D800" i="33"/>
  <c r="D801" i="33"/>
  <c r="D802" i="33"/>
  <c r="D803" i="33"/>
  <c r="D804" i="33"/>
  <c r="D805" i="33"/>
  <c r="D806" i="33"/>
  <c r="D807" i="33"/>
  <c r="D808" i="33"/>
  <c r="D809" i="33"/>
  <c r="D810" i="33"/>
  <c r="D811" i="33"/>
  <c r="D812" i="33"/>
  <c r="D813" i="33"/>
  <c r="D814" i="33"/>
  <c r="D815" i="33"/>
  <c r="D816" i="33"/>
  <c r="D817" i="33"/>
  <c r="D818" i="33"/>
  <c r="D819" i="33"/>
  <c r="D820" i="33"/>
  <c r="D821" i="33"/>
  <c r="D822" i="33"/>
  <c r="D823" i="33"/>
  <c r="D824" i="33"/>
  <c r="D825" i="33"/>
  <c r="D826" i="33"/>
  <c r="D827" i="33"/>
  <c r="D828" i="33"/>
  <c r="D829" i="33"/>
  <c r="D830" i="33"/>
  <c r="D831" i="33"/>
  <c r="D832" i="33"/>
  <c r="D833" i="33"/>
  <c r="D834" i="33"/>
  <c r="D835" i="33"/>
  <c r="D836" i="33"/>
  <c r="D837" i="33"/>
  <c r="D838" i="33"/>
  <c r="D839" i="33"/>
  <c r="D840" i="33"/>
  <c r="D841" i="33"/>
  <c r="D842" i="33"/>
  <c r="D843" i="33"/>
  <c r="D844" i="33"/>
  <c r="D845" i="33"/>
  <c r="D846" i="33"/>
  <c r="D847" i="33"/>
  <c r="D848" i="33"/>
  <c r="D849" i="33"/>
  <c r="D850" i="33"/>
  <c r="D851" i="33"/>
  <c r="D852" i="33"/>
  <c r="D853" i="33"/>
  <c r="D854" i="33"/>
  <c r="D855" i="33"/>
  <c r="D856" i="33"/>
  <c r="D857" i="33"/>
  <c r="D858" i="33"/>
  <c r="D859" i="33"/>
  <c r="D860" i="33"/>
  <c r="D861" i="33"/>
  <c r="D862" i="33"/>
  <c r="D863" i="33"/>
  <c r="D864" i="33"/>
  <c r="D865" i="33"/>
  <c r="D866" i="33"/>
  <c r="D867" i="33"/>
  <c r="D868" i="33"/>
  <c r="D869" i="33"/>
  <c r="D870" i="33"/>
  <c r="D871" i="33"/>
  <c r="D872" i="33"/>
  <c r="D873" i="33"/>
  <c r="D874" i="33"/>
  <c r="D875" i="33"/>
  <c r="D876" i="33"/>
  <c r="D877" i="33"/>
  <c r="D878" i="33"/>
  <c r="D879" i="33"/>
  <c r="D880" i="33"/>
  <c r="D881" i="33"/>
  <c r="D882" i="33"/>
  <c r="D883" i="33"/>
  <c r="D884" i="33"/>
  <c r="D885" i="33"/>
  <c r="D886" i="33"/>
  <c r="D887" i="33"/>
  <c r="D888" i="33"/>
  <c r="D889" i="33"/>
  <c r="D890" i="33"/>
  <c r="D891" i="33"/>
  <c r="D892" i="33"/>
  <c r="D893" i="33"/>
  <c r="D894" i="33"/>
  <c r="D895" i="33"/>
  <c r="D896" i="33"/>
  <c r="D897" i="33"/>
  <c r="D898" i="33"/>
  <c r="D899" i="33"/>
  <c r="D900" i="33"/>
  <c r="D901" i="33"/>
  <c r="D902" i="33"/>
  <c r="D903" i="33"/>
  <c r="D904" i="33"/>
  <c r="D905" i="33"/>
  <c r="D906" i="33"/>
  <c r="D907" i="33"/>
  <c r="D908" i="33"/>
  <c r="D909" i="33"/>
  <c r="D910" i="33"/>
  <c r="D911" i="33"/>
  <c r="D912" i="33"/>
  <c r="D913" i="33"/>
  <c r="D914" i="33"/>
  <c r="D915" i="33"/>
  <c r="D916" i="33"/>
  <c r="D917" i="33"/>
  <c r="D918" i="33"/>
  <c r="D919" i="33"/>
  <c r="D920" i="33"/>
  <c r="D921" i="33"/>
  <c r="D922" i="33"/>
  <c r="D923" i="33"/>
  <c r="D924" i="33"/>
  <c r="D925" i="33"/>
  <c r="D926" i="33"/>
  <c r="D927" i="33"/>
  <c r="D928" i="33"/>
  <c r="D929" i="33"/>
  <c r="D930" i="33"/>
  <c r="D931" i="33"/>
  <c r="D932" i="33"/>
  <c r="D933" i="33"/>
  <c r="D934" i="33"/>
  <c r="D935" i="33"/>
  <c r="D936" i="33"/>
  <c r="D937" i="33"/>
  <c r="D938" i="33"/>
  <c r="D939" i="33"/>
  <c r="D940" i="33"/>
  <c r="D941" i="33"/>
  <c r="D942" i="33"/>
  <c r="D943" i="33"/>
  <c r="D944" i="33"/>
  <c r="D945" i="33"/>
  <c r="D946" i="33"/>
  <c r="D947" i="33"/>
  <c r="D948" i="33"/>
  <c r="D949" i="33"/>
  <c r="D950" i="33"/>
  <c r="D951" i="33"/>
  <c r="D952" i="33"/>
  <c r="D953" i="33"/>
  <c r="D954" i="33"/>
  <c r="D955" i="33"/>
  <c r="D956" i="33"/>
  <c r="D957" i="33"/>
  <c r="D958" i="33"/>
  <c r="D959" i="33"/>
  <c r="D960" i="33"/>
  <c r="D961" i="33"/>
  <c r="D962" i="33"/>
  <c r="D963" i="33"/>
  <c r="D964" i="33"/>
  <c r="D965" i="33"/>
  <c r="D966" i="33"/>
  <c r="D967" i="33"/>
  <c r="D968" i="33"/>
  <c r="D969" i="33"/>
  <c r="D970" i="33"/>
  <c r="D971" i="33"/>
  <c r="D972" i="33"/>
  <c r="D973" i="33"/>
  <c r="D974" i="33"/>
  <c r="D975" i="33"/>
  <c r="D976" i="33"/>
  <c r="D977" i="33"/>
  <c r="D978" i="33"/>
  <c r="D979" i="33"/>
  <c r="D980" i="33"/>
  <c r="D981" i="33"/>
  <c r="D982" i="33"/>
  <c r="D983" i="33"/>
  <c r="D984" i="33"/>
  <c r="D985" i="33"/>
  <c r="D986" i="33"/>
  <c r="D987" i="33"/>
  <c r="D988" i="33"/>
  <c r="D989" i="33"/>
  <c r="D990" i="33"/>
  <c r="D991" i="33"/>
  <c r="D992" i="33"/>
  <c r="D993" i="33"/>
  <c r="D994" i="33"/>
  <c r="D995" i="33"/>
  <c r="D996" i="33"/>
  <c r="D997" i="33"/>
  <c r="D998" i="33"/>
  <c r="D999" i="33"/>
  <c r="D1000" i="33"/>
  <c r="D1001" i="33"/>
  <c r="D1002" i="33"/>
  <c r="D1003" i="33"/>
  <c r="D1004" i="33"/>
  <c r="D1005" i="33"/>
  <c r="D1006" i="33"/>
  <c r="D1007" i="33"/>
  <c r="D1008" i="33"/>
  <c r="D1009" i="33"/>
  <c r="D1010" i="33"/>
  <c r="D1011" i="33"/>
  <c r="D1012" i="33"/>
  <c r="D1013" i="33"/>
  <c r="D1014" i="33"/>
  <c r="D1015" i="33"/>
  <c r="D1016" i="33"/>
  <c r="D1017" i="33"/>
  <c r="D1018" i="33"/>
  <c r="D1019" i="33"/>
  <c r="D1020" i="33"/>
  <c r="D1021" i="33"/>
  <c r="D1022" i="33"/>
  <c r="D1023" i="33"/>
  <c r="D1024" i="33"/>
  <c r="D1025" i="33"/>
  <c r="D1026" i="33"/>
  <c r="D1027" i="33"/>
  <c r="D1028" i="33"/>
  <c r="D1029" i="33"/>
  <c r="D1030" i="33"/>
  <c r="D1031" i="33"/>
  <c r="D1032" i="33"/>
  <c r="D1033" i="33"/>
  <c r="D1034" i="33"/>
  <c r="D1035" i="33"/>
  <c r="D1036" i="33"/>
  <c r="D1037" i="33"/>
  <c r="D1038" i="33"/>
  <c r="D1039" i="33"/>
  <c r="D1040" i="33"/>
  <c r="D1041" i="33"/>
  <c r="D1042" i="33"/>
  <c r="D1043" i="33"/>
  <c r="D1044" i="33"/>
  <c r="D1045" i="33"/>
  <c r="D1046" i="33"/>
  <c r="D1047" i="33"/>
  <c r="D1048" i="33"/>
  <c r="D1049" i="33"/>
  <c r="D1050" i="33"/>
  <c r="D1051" i="33"/>
  <c r="D1052" i="33"/>
  <c r="D1053" i="33"/>
  <c r="D1054" i="33"/>
  <c r="D1055" i="33"/>
  <c r="D1056" i="33"/>
  <c r="D1057" i="33"/>
  <c r="D1058" i="33"/>
  <c r="D1059" i="33"/>
  <c r="D1060" i="33"/>
  <c r="D1061" i="33"/>
  <c r="D1062" i="33"/>
  <c r="D1063" i="33"/>
  <c r="D1064" i="33"/>
  <c r="D1065" i="33"/>
  <c r="D1066" i="33"/>
  <c r="D1067" i="33"/>
  <c r="D1068" i="33"/>
  <c r="D1069" i="33"/>
  <c r="D1070" i="33"/>
  <c r="D1071" i="33"/>
  <c r="D1072" i="33"/>
  <c r="D1073" i="33"/>
  <c r="D1074" i="33"/>
  <c r="D1075" i="33"/>
  <c r="D1076" i="33"/>
  <c r="D1077" i="33"/>
  <c r="D1078" i="33"/>
  <c r="D1079" i="33"/>
  <c r="D1080" i="33"/>
  <c r="D1081" i="33"/>
  <c r="D1082" i="33"/>
  <c r="D1083" i="33"/>
  <c r="D1084" i="33"/>
  <c r="D1085" i="33"/>
  <c r="D1086" i="33"/>
  <c r="D1087" i="33"/>
  <c r="D1088" i="33"/>
  <c r="D1089" i="33"/>
  <c r="D1090" i="33"/>
  <c r="D1091" i="33"/>
  <c r="D1092" i="33"/>
  <c r="D1093" i="33"/>
  <c r="D1094" i="33"/>
  <c r="D1095" i="33"/>
  <c r="D1096" i="33"/>
  <c r="D1097" i="33"/>
  <c r="D1098" i="33"/>
  <c r="D1099" i="33"/>
  <c r="D1100" i="33"/>
  <c r="D1101" i="33"/>
  <c r="D1102" i="33"/>
  <c r="D1103" i="33"/>
  <c r="D1104" i="33"/>
  <c r="D1105" i="33"/>
  <c r="D1106" i="33"/>
  <c r="D1107" i="33"/>
  <c r="D1108" i="33"/>
  <c r="D1109" i="33"/>
  <c r="D1110" i="33"/>
  <c r="D1111" i="33"/>
  <c r="D1112" i="33"/>
  <c r="D1113" i="33"/>
  <c r="D1114" i="33"/>
  <c r="D1115" i="33"/>
  <c r="D1116" i="33"/>
  <c r="D1117" i="33"/>
  <c r="D1118" i="33"/>
  <c r="D1119" i="33"/>
  <c r="D1120" i="33"/>
  <c r="D1121" i="33"/>
  <c r="D1122" i="33"/>
  <c r="D1123" i="33"/>
  <c r="D1124" i="33"/>
  <c r="D1125" i="33"/>
  <c r="D1126" i="33"/>
  <c r="D1127" i="33"/>
  <c r="D1128" i="33"/>
  <c r="D1129" i="33"/>
  <c r="D1130" i="33"/>
  <c r="D1131" i="33"/>
  <c r="D1132" i="33"/>
  <c r="D1133" i="33"/>
  <c r="D1134" i="33"/>
  <c r="D1135" i="33"/>
  <c r="D1136" i="33"/>
  <c r="D1137" i="33"/>
  <c r="D1138" i="33"/>
  <c r="D1139" i="33"/>
  <c r="D1140" i="33"/>
  <c r="D1141" i="33"/>
  <c r="D1142" i="33"/>
  <c r="D1143" i="33"/>
  <c r="D1144" i="33"/>
  <c r="D1145" i="33"/>
  <c r="D1146" i="33"/>
  <c r="D1147" i="33"/>
  <c r="D1148" i="33"/>
  <c r="D1149" i="33"/>
  <c r="D1150" i="33"/>
  <c r="D1151" i="33"/>
  <c r="D1152" i="33"/>
  <c r="D1153" i="33"/>
  <c r="D1154" i="33"/>
  <c r="D1155" i="33"/>
  <c r="D1156" i="33"/>
  <c r="D1157" i="33"/>
  <c r="D1158" i="33"/>
  <c r="D1159" i="33"/>
  <c r="D1160" i="33"/>
  <c r="D1161" i="33"/>
  <c r="D1162" i="33"/>
  <c r="D1163" i="33"/>
  <c r="D1164" i="33"/>
  <c r="D1165" i="33"/>
  <c r="D1166" i="33"/>
  <c r="D1167" i="33"/>
  <c r="D1168" i="33"/>
  <c r="D1169" i="33"/>
  <c r="D1170" i="33"/>
  <c r="D1171" i="33"/>
  <c r="D1172" i="33"/>
  <c r="D1173" i="33"/>
  <c r="D1174" i="33"/>
  <c r="D1175" i="33"/>
  <c r="D1176" i="33"/>
  <c r="D1177" i="33"/>
  <c r="D1178" i="33"/>
  <c r="D1179" i="33"/>
  <c r="D1180" i="33"/>
  <c r="D1181" i="33"/>
  <c r="D1182" i="33"/>
  <c r="D1183" i="33"/>
  <c r="D1184" i="33"/>
  <c r="D1185" i="33"/>
  <c r="D1186" i="33"/>
  <c r="D1187" i="33"/>
  <c r="D1188" i="33"/>
  <c r="D1189" i="33"/>
  <c r="D1190" i="33"/>
  <c r="D1191" i="33"/>
  <c r="D1192" i="33"/>
  <c r="D1193" i="33"/>
  <c r="D1194" i="33"/>
  <c r="D1195" i="33"/>
  <c r="D1196" i="33"/>
  <c r="D1197" i="33"/>
  <c r="D1198" i="33"/>
  <c r="D1199" i="33"/>
  <c r="D1200" i="33"/>
  <c r="D1201" i="33"/>
  <c r="D1202" i="33"/>
  <c r="D1203" i="33"/>
  <c r="D1204" i="33"/>
  <c r="D1205" i="33"/>
  <c r="D1206" i="33"/>
  <c r="D1207" i="33"/>
  <c r="D1208" i="33"/>
  <c r="D1209" i="33"/>
  <c r="D1210" i="33"/>
  <c r="D1211" i="33"/>
  <c r="D1212" i="33"/>
  <c r="D1213" i="33"/>
  <c r="D1214" i="33"/>
  <c r="D1215" i="33"/>
  <c r="D1216" i="33"/>
  <c r="D1217" i="33"/>
  <c r="D1218" i="33"/>
  <c r="D1219" i="33"/>
  <c r="D1220" i="33"/>
  <c r="D1221" i="33"/>
  <c r="D1222" i="33"/>
  <c r="D1223" i="33"/>
  <c r="D1224" i="33"/>
  <c r="D1225" i="33"/>
  <c r="D1226" i="33"/>
  <c r="D1227" i="33"/>
  <c r="D1228" i="33"/>
  <c r="D1229" i="33"/>
  <c r="D1230" i="33"/>
  <c r="D1231" i="33"/>
  <c r="D1232" i="33"/>
  <c r="D1233" i="33"/>
  <c r="D1234" i="33"/>
  <c r="D1235" i="33"/>
  <c r="D1236" i="33"/>
  <c r="D1237" i="33"/>
  <c r="D1238" i="33"/>
  <c r="D1239" i="33"/>
  <c r="D1240" i="33"/>
  <c r="D1241" i="33"/>
  <c r="D1242" i="33"/>
  <c r="D1243" i="33"/>
  <c r="D1244" i="33"/>
  <c r="D1245" i="33"/>
  <c r="D1246" i="33"/>
  <c r="D1247" i="33"/>
  <c r="D1248" i="33"/>
  <c r="D1249" i="33"/>
  <c r="D1250" i="33"/>
  <c r="D1251" i="33"/>
  <c r="D1252" i="33"/>
  <c r="D1253" i="33"/>
  <c r="D1254" i="33"/>
  <c r="D1255" i="33"/>
  <c r="D1256" i="33"/>
  <c r="D1257" i="33"/>
  <c r="D1258" i="33"/>
  <c r="D1259" i="33"/>
  <c r="D1260" i="33"/>
  <c r="D1261" i="33"/>
  <c r="D1262" i="33"/>
  <c r="D1263" i="33"/>
  <c r="D1264" i="33"/>
  <c r="D1265" i="33"/>
  <c r="D1266" i="33"/>
  <c r="D1267" i="33"/>
  <c r="D1268" i="33"/>
  <c r="D1269" i="33"/>
  <c r="D1270" i="33"/>
  <c r="D1271" i="33"/>
  <c r="D1272" i="33"/>
  <c r="D1273" i="33"/>
  <c r="D1274" i="33"/>
  <c r="D1275" i="33"/>
  <c r="D1276" i="33"/>
  <c r="D1277" i="33"/>
  <c r="D1278" i="33"/>
  <c r="D1279" i="33"/>
  <c r="D1280" i="33"/>
  <c r="D1281" i="33"/>
  <c r="D1282" i="33"/>
  <c r="D1283" i="33"/>
  <c r="D1284" i="33"/>
  <c r="D1285" i="33"/>
  <c r="D1286" i="33"/>
  <c r="D1287" i="33"/>
  <c r="D1288" i="33"/>
  <c r="D1289" i="33"/>
  <c r="D1290" i="33"/>
  <c r="D1291" i="33"/>
  <c r="D1292" i="33"/>
  <c r="D1293" i="33"/>
  <c r="D1294" i="33"/>
  <c r="D1295" i="33"/>
  <c r="D1296" i="33"/>
  <c r="D1297" i="33"/>
  <c r="D1298" i="33"/>
  <c r="D1299" i="33"/>
  <c r="D1300" i="33"/>
  <c r="D1301" i="33"/>
  <c r="D1302" i="33"/>
  <c r="D1303" i="33"/>
  <c r="D1304" i="33"/>
  <c r="D1305" i="33"/>
  <c r="D1306" i="33"/>
  <c r="D1307" i="33"/>
  <c r="D1308" i="33"/>
  <c r="D1309" i="33"/>
  <c r="D1310" i="33"/>
  <c r="D1311" i="33"/>
  <c r="D1312" i="33"/>
  <c r="D1313" i="33"/>
  <c r="D1314" i="33"/>
  <c r="D1315" i="33"/>
  <c r="D1316" i="33"/>
  <c r="D1317" i="33"/>
  <c r="D1318" i="33"/>
  <c r="D1319" i="33"/>
  <c r="D1320" i="33"/>
  <c r="D1321" i="33"/>
  <c r="D1322" i="33"/>
  <c r="D1323" i="33"/>
  <c r="D1324" i="33"/>
  <c r="D1325" i="33"/>
  <c r="D1326" i="33"/>
  <c r="D1327" i="33"/>
  <c r="D1328" i="33"/>
  <c r="D1329" i="33"/>
  <c r="D1330" i="33"/>
  <c r="D1331" i="33"/>
  <c r="D1332" i="33"/>
  <c r="D1333" i="33"/>
  <c r="D1334" i="33"/>
  <c r="D1335" i="33"/>
  <c r="D1336" i="33"/>
  <c r="D1337" i="33"/>
  <c r="D1338" i="33"/>
  <c r="D1339" i="33"/>
  <c r="D1340" i="33"/>
  <c r="D1341" i="33"/>
  <c r="D1342" i="33"/>
  <c r="D1343" i="33"/>
  <c r="D1344" i="33"/>
  <c r="D1345" i="33"/>
  <c r="D1346" i="33"/>
  <c r="D1347" i="33"/>
  <c r="D1348" i="33"/>
  <c r="D1349" i="33"/>
  <c r="D1350" i="33"/>
  <c r="D1351" i="33"/>
  <c r="D1352" i="33"/>
  <c r="D1353" i="33"/>
  <c r="D1354" i="33"/>
  <c r="D1355" i="33"/>
  <c r="D1356" i="33"/>
  <c r="D1357" i="33"/>
  <c r="D1358" i="33"/>
  <c r="D1359" i="33"/>
  <c r="D1360" i="33"/>
  <c r="D1361" i="33"/>
  <c r="D1362" i="33"/>
  <c r="D1363" i="33"/>
  <c r="D1364" i="33"/>
  <c r="D1365" i="33"/>
  <c r="D1366" i="33"/>
  <c r="D1367" i="33"/>
  <c r="D1368" i="33"/>
  <c r="D1369" i="33"/>
  <c r="D1370" i="33"/>
  <c r="D1371" i="33"/>
  <c r="D1372" i="33"/>
  <c r="D1373" i="33"/>
  <c r="D1374" i="33"/>
  <c r="D1375" i="33"/>
  <c r="D1376" i="33"/>
  <c r="D1377" i="33"/>
  <c r="D1378" i="33"/>
  <c r="D1379" i="33"/>
  <c r="D1380" i="33"/>
  <c r="D1381" i="33"/>
  <c r="D1382" i="33"/>
  <c r="D1383" i="33"/>
  <c r="D1384" i="33"/>
  <c r="D1385" i="33"/>
  <c r="D1386" i="33"/>
  <c r="D1387" i="33"/>
  <c r="D1388" i="33"/>
  <c r="D1389" i="33"/>
  <c r="D1390" i="33"/>
  <c r="D1391" i="33"/>
  <c r="D1392" i="33"/>
  <c r="D1393" i="33"/>
  <c r="D1394" i="33"/>
  <c r="D1395" i="33"/>
  <c r="D1396" i="33"/>
  <c r="D1397" i="33"/>
  <c r="D1398" i="33"/>
  <c r="D1399" i="33"/>
  <c r="D1400" i="33"/>
  <c r="D1401" i="33"/>
  <c r="D1402" i="33"/>
  <c r="D1403" i="33"/>
  <c r="D1404" i="33"/>
  <c r="D1405" i="33"/>
  <c r="D1406" i="33"/>
  <c r="D1407" i="33"/>
  <c r="D1408" i="33"/>
  <c r="D1409" i="33"/>
  <c r="D1410" i="33"/>
  <c r="D1411" i="33"/>
  <c r="D1412" i="33"/>
  <c r="D1413" i="33"/>
  <c r="D1414" i="33"/>
  <c r="D1415" i="33"/>
  <c r="D1416" i="33"/>
  <c r="D1417" i="33"/>
  <c r="D1418" i="33"/>
  <c r="D1419" i="33"/>
  <c r="D1420" i="33"/>
  <c r="D1421" i="33"/>
  <c r="D1422" i="33"/>
  <c r="D1423" i="33"/>
  <c r="D1424" i="33"/>
  <c r="D1425" i="33"/>
  <c r="D1426" i="33"/>
  <c r="D1427" i="33"/>
  <c r="D1428" i="33"/>
  <c r="D1429" i="33"/>
  <c r="D1430" i="33"/>
  <c r="D1431" i="33"/>
  <c r="D1432" i="33"/>
  <c r="D1433" i="33"/>
  <c r="D1434" i="33"/>
  <c r="D1435" i="33"/>
  <c r="D1436" i="33"/>
  <c r="D1437" i="33"/>
  <c r="D1438" i="33"/>
  <c r="D1439" i="33"/>
  <c r="D1440" i="33"/>
  <c r="D1441" i="33"/>
  <c r="D1442" i="33"/>
  <c r="D1443" i="33"/>
  <c r="D1444" i="33"/>
  <c r="D1445" i="33"/>
  <c r="D1446" i="33"/>
  <c r="D1447" i="33"/>
  <c r="D1448" i="33"/>
  <c r="D1449" i="33"/>
  <c r="D1450" i="33"/>
  <c r="D1451" i="33"/>
  <c r="D1452" i="33"/>
  <c r="D1453" i="33"/>
  <c r="D1454" i="33"/>
  <c r="D1455" i="33"/>
  <c r="D1456" i="33"/>
  <c r="D1457" i="33"/>
  <c r="D1458" i="33"/>
  <c r="D1459" i="33"/>
  <c r="D1460" i="33"/>
  <c r="D1461" i="33"/>
  <c r="D1462" i="33"/>
  <c r="D1463" i="33"/>
  <c r="D1464" i="33"/>
  <c r="D1465" i="33"/>
  <c r="D1466" i="33"/>
  <c r="D1467" i="33"/>
  <c r="D1468" i="33"/>
  <c r="D1469" i="33"/>
  <c r="D1470" i="33"/>
  <c r="D1471" i="33"/>
  <c r="D1472" i="33"/>
  <c r="D1473" i="33"/>
  <c r="D1474" i="33"/>
  <c r="D1475" i="33"/>
  <c r="D1476" i="33"/>
  <c r="D1477" i="33"/>
  <c r="D1478" i="33"/>
  <c r="D1479" i="33"/>
  <c r="D1480" i="33"/>
  <c r="D1481" i="33"/>
  <c r="D1482" i="33"/>
  <c r="D1483" i="33"/>
  <c r="D1484" i="33"/>
  <c r="D1485" i="33"/>
  <c r="D1486" i="33"/>
  <c r="D1487" i="33"/>
  <c r="D1488" i="33"/>
  <c r="D1489" i="33"/>
  <c r="D1490" i="33"/>
  <c r="D1491" i="33"/>
  <c r="D1492" i="33"/>
  <c r="D1493" i="33"/>
  <c r="D1494" i="33"/>
  <c r="D1495" i="33"/>
  <c r="D1496" i="33"/>
  <c r="D1497" i="33"/>
  <c r="D1498" i="33"/>
  <c r="D1499" i="33"/>
  <c r="D1500" i="33"/>
  <c r="D1501" i="33"/>
  <c r="D1502" i="33"/>
  <c r="D1503" i="33"/>
  <c r="D1504" i="33"/>
  <c r="D1505" i="33"/>
  <c r="D1506" i="33"/>
  <c r="D1507" i="33"/>
  <c r="D1508" i="33"/>
  <c r="D1509" i="33"/>
  <c r="D1510" i="33"/>
  <c r="D1511" i="33"/>
  <c r="D1512" i="33"/>
  <c r="D1513" i="33"/>
  <c r="D1514" i="33"/>
  <c r="D1515" i="33"/>
  <c r="D1516" i="33"/>
  <c r="D1517" i="33"/>
  <c r="D1518" i="33"/>
  <c r="D1519" i="33"/>
  <c r="D1520" i="33"/>
  <c r="D1521" i="33"/>
  <c r="D1522" i="33"/>
  <c r="D1523" i="33"/>
  <c r="D1524" i="33"/>
  <c r="D1525" i="33"/>
  <c r="D1526" i="33"/>
  <c r="D1527" i="33"/>
  <c r="D1528" i="33"/>
  <c r="D1529" i="33"/>
  <c r="D1530" i="33"/>
  <c r="D1531" i="33"/>
  <c r="D1532" i="33"/>
  <c r="D1533" i="33"/>
  <c r="D1534" i="33"/>
  <c r="D1535" i="33"/>
  <c r="D1536" i="33"/>
  <c r="D1537" i="33"/>
  <c r="D1538" i="33"/>
  <c r="D1539" i="33"/>
  <c r="D1540" i="33"/>
  <c r="D1541" i="33"/>
  <c r="D1542" i="33"/>
  <c r="D1543" i="33"/>
  <c r="D1544" i="33"/>
  <c r="D1545" i="33"/>
  <c r="D1546" i="33"/>
  <c r="D1547" i="33"/>
  <c r="D1548" i="33"/>
  <c r="D1549" i="33"/>
  <c r="D1550" i="33"/>
  <c r="D1551" i="33"/>
  <c r="D1552" i="33"/>
  <c r="D1553" i="33"/>
  <c r="D1554" i="33"/>
  <c r="D1555" i="33"/>
  <c r="D1556" i="33"/>
  <c r="D1557" i="33"/>
  <c r="D1558" i="33"/>
  <c r="D1559" i="33"/>
  <c r="D1560" i="33"/>
  <c r="D1561" i="33"/>
  <c r="D1562" i="33"/>
  <c r="D1563" i="33"/>
  <c r="D1564" i="33"/>
  <c r="D1565" i="33"/>
  <c r="D1566" i="33"/>
  <c r="D1567" i="33"/>
  <c r="D1568" i="33"/>
  <c r="D1569" i="33"/>
  <c r="D1570" i="33"/>
  <c r="D1571" i="33"/>
  <c r="D1572" i="33"/>
  <c r="D1573" i="33"/>
  <c r="D1574" i="33"/>
  <c r="D1575" i="33"/>
  <c r="D1576" i="33"/>
  <c r="D1577" i="33"/>
  <c r="D1578" i="33"/>
  <c r="D1579" i="33"/>
  <c r="D1580" i="33"/>
  <c r="D1581" i="33"/>
  <c r="D1582" i="33"/>
  <c r="D1583" i="33"/>
  <c r="D1584" i="33"/>
  <c r="D1585" i="33"/>
  <c r="D1586" i="33"/>
  <c r="D1587" i="33"/>
  <c r="D1588" i="33"/>
  <c r="D1589" i="33"/>
  <c r="D1590" i="33"/>
  <c r="D1591" i="33"/>
  <c r="D1592" i="33"/>
  <c r="D1593" i="33"/>
  <c r="D1594" i="33"/>
  <c r="D1595" i="33"/>
  <c r="D1596" i="33"/>
  <c r="D1597" i="33"/>
  <c r="D1598" i="33"/>
  <c r="D1599" i="33"/>
  <c r="D1600" i="33"/>
  <c r="D1601" i="33"/>
  <c r="D1602" i="33"/>
  <c r="D1603" i="33"/>
  <c r="D1604" i="33"/>
  <c r="D1605" i="33"/>
  <c r="D1606" i="33"/>
  <c r="D1607" i="33"/>
  <c r="D1608" i="33"/>
  <c r="D1609" i="33"/>
  <c r="D1610" i="33"/>
  <c r="D1611" i="33"/>
  <c r="D1612" i="33"/>
  <c r="D1613" i="33"/>
  <c r="D1614" i="33"/>
  <c r="D1615" i="33"/>
  <c r="D1616" i="33"/>
  <c r="D1617" i="33"/>
  <c r="D1618" i="33"/>
  <c r="D1619" i="33"/>
  <c r="D1620" i="33"/>
  <c r="D1621" i="33"/>
  <c r="D1622" i="33"/>
  <c r="D1623" i="33"/>
  <c r="D1624" i="33"/>
  <c r="D1625" i="33"/>
  <c r="D1626" i="33"/>
  <c r="D1627" i="33"/>
  <c r="D1628" i="33"/>
  <c r="D1629" i="33"/>
  <c r="D1630" i="33"/>
  <c r="D1631" i="33"/>
  <c r="D1632" i="33"/>
  <c r="D1633" i="33"/>
  <c r="D1634" i="33"/>
  <c r="D1635" i="33"/>
  <c r="D1636" i="33"/>
  <c r="D1637" i="33"/>
  <c r="D1638" i="33"/>
  <c r="D1639" i="33"/>
  <c r="D1640" i="33"/>
  <c r="D1641" i="33"/>
  <c r="D1642" i="33"/>
  <c r="D1643" i="33"/>
  <c r="D1644" i="33"/>
  <c r="D1645" i="33"/>
  <c r="D1646" i="33"/>
  <c r="D1647" i="33"/>
  <c r="D1648" i="33"/>
  <c r="D1649" i="33"/>
  <c r="D1650" i="33"/>
  <c r="D1651" i="33"/>
  <c r="D1652" i="33"/>
  <c r="D1653" i="33"/>
  <c r="D1654" i="33"/>
  <c r="D1655" i="33"/>
  <c r="D1656" i="33"/>
  <c r="D1657" i="33"/>
  <c r="D1658" i="33"/>
  <c r="D1659" i="33"/>
  <c r="D1660" i="33"/>
  <c r="D1661" i="33"/>
  <c r="D1662" i="33"/>
  <c r="D1663" i="33"/>
  <c r="D1664" i="33"/>
  <c r="D1665" i="33"/>
  <c r="D1666" i="33"/>
  <c r="D1667" i="33"/>
  <c r="D1668" i="33"/>
  <c r="D1669" i="33"/>
  <c r="D1670" i="33"/>
  <c r="D1671" i="33"/>
  <c r="D1672" i="33"/>
  <c r="D1673" i="33"/>
  <c r="D1674" i="33"/>
  <c r="D1675" i="33"/>
  <c r="D1676" i="33"/>
  <c r="D1677" i="33"/>
  <c r="D1678" i="33"/>
  <c r="D1679" i="33"/>
  <c r="D1680" i="33"/>
  <c r="D1681" i="33"/>
  <c r="D1682" i="33"/>
  <c r="D1683" i="33"/>
  <c r="D1684" i="33"/>
  <c r="D1685" i="33"/>
  <c r="D1686" i="33"/>
  <c r="D1687" i="33"/>
  <c r="D1688" i="33"/>
  <c r="D1689" i="33"/>
  <c r="D1690" i="33"/>
  <c r="D1691" i="33"/>
  <c r="D1692" i="33"/>
  <c r="D1693" i="33"/>
  <c r="D1694" i="33"/>
  <c r="D1695" i="33"/>
  <c r="D1696" i="33"/>
  <c r="D1697" i="33"/>
  <c r="D1698" i="33"/>
  <c r="D1699" i="33"/>
  <c r="D1700" i="33"/>
  <c r="D1701" i="33"/>
  <c r="D1702" i="33"/>
  <c r="D1703" i="33"/>
  <c r="D1704" i="33"/>
  <c r="D1705" i="33"/>
  <c r="D1706" i="33"/>
  <c r="D1707" i="33"/>
  <c r="D1708" i="33"/>
  <c r="D1709" i="33"/>
  <c r="D1710" i="33"/>
  <c r="D1711" i="33"/>
  <c r="D1712" i="33"/>
  <c r="D1713" i="33"/>
  <c r="D1714" i="33"/>
  <c r="D1715" i="33"/>
  <c r="D1716" i="33"/>
  <c r="D1717" i="33"/>
  <c r="D1718" i="33"/>
  <c r="D1719" i="33"/>
  <c r="D1720" i="33"/>
  <c r="D1721" i="33"/>
  <c r="D1722" i="33"/>
  <c r="D1723" i="33"/>
  <c r="D1724" i="33"/>
  <c r="D1725" i="33"/>
  <c r="D1726" i="33"/>
  <c r="D1727" i="33"/>
  <c r="D1728" i="33"/>
  <c r="D1729" i="33"/>
  <c r="D1730" i="33"/>
  <c r="D1731" i="33"/>
  <c r="D1732" i="33"/>
  <c r="D1733" i="33"/>
  <c r="D1734" i="33"/>
  <c r="D1735" i="33"/>
  <c r="D1736" i="33"/>
  <c r="D1737" i="33"/>
  <c r="D1738" i="33"/>
  <c r="D1739" i="33"/>
  <c r="D1740" i="33"/>
  <c r="D1741" i="33"/>
  <c r="D1742" i="33"/>
  <c r="D1743" i="33"/>
  <c r="D1744" i="33"/>
  <c r="D1745" i="33"/>
  <c r="D1746" i="33"/>
  <c r="D1747" i="33"/>
  <c r="D1748" i="33"/>
  <c r="D1749" i="33"/>
  <c r="D1750" i="33"/>
  <c r="D1751" i="33"/>
  <c r="D1752" i="33"/>
  <c r="D1753" i="33"/>
  <c r="D1754" i="33"/>
  <c r="D1755" i="33"/>
  <c r="D1756" i="33"/>
  <c r="D1757" i="33"/>
  <c r="D1758" i="33"/>
  <c r="D1759" i="33"/>
  <c r="D1760" i="33"/>
  <c r="D1761" i="33"/>
  <c r="D1762" i="33"/>
  <c r="D1763" i="33"/>
  <c r="D1764" i="33"/>
  <c r="D1765" i="33"/>
  <c r="D1766" i="33"/>
  <c r="D1767" i="33"/>
  <c r="D1768" i="33"/>
  <c r="D1769" i="33"/>
  <c r="D1770" i="33"/>
  <c r="D1771" i="33"/>
  <c r="D1772" i="33"/>
  <c r="D1773" i="33"/>
  <c r="D1774" i="33"/>
  <c r="D1775" i="33"/>
  <c r="D1776" i="33"/>
  <c r="D1777" i="33"/>
  <c r="D1778" i="33"/>
  <c r="D1779" i="33"/>
  <c r="D1780" i="33"/>
  <c r="D1781" i="33"/>
  <c r="D1782" i="33"/>
  <c r="D1783" i="33"/>
  <c r="D1784" i="33"/>
  <c r="D1785" i="33"/>
  <c r="D1786" i="33"/>
  <c r="D1787" i="33"/>
  <c r="D1788" i="33"/>
  <c r="D1789" i="33"/>
  <c r="D1790" i="33"/>
  <c r="D1791" i="33"/>
  <c r="D1792" i="33"/>
  <c r="D1793" i="33"/>
  <c r="D1794" i="33"/>
  <c r="D1795" i="33"/>
  <c r="D1796" i="33"/>
  <c r="D1797" i="33"/>
  <c r="D1798" i="33"/>
  <c r="D1799" i="33"/>
  <c r="D1800" i="33"/>
  <c r="D1801" i="33"/>
  <c r="D1802" i="33"/>
  <c r="D1803" i="33"/>
  <c r="D1804" i="33"/>
  <c r="D1805" i="33"/>
  <c r="D1806" i="33"/>
  <c r="D1807" i="33"/>
  <c r="D1808" i="33"/>
  <c r="D1809" i="33"/>
  <c r="D1810" i="33"/>
  <c r="D1811" i="33"/>
  <c r="D1812" i="33"/>
  <c r="D1813" i="33"/>
  <c r="D1814" i="33"/>
  <c r="D1815" i="33"/>
  <c r="D1816" i="33"/>
  <c r="D1817" i="33"/>
  <c r="D1818" i="33"/>
  <c r="D1819" i="33"/>
  <c r="D1820" i="33"/>
  <c r="D1821" i="33"/>
  <c r="D1822" i="33"/>
  <c r="D1823" i="33"/>
  <c r="D1824" i="33"/>
  <c r="D1825" i="33"/>
  <c r="D1826" i="33"/>
  <c r="D1827" i="33"/>
  <c r="D1828" i="33"/>
  <c r="D1829" i="33"/>
  <c r="D1830" i="33"/>
  <c r="D1831" i="33"/>
  <c r="D1832" i="33"/>
  <c r="D1833" i="33"/>
  <c r="D1834" i="33"/>
  <c r="D1835" i="33"/>
  <c r="D1836" i="33"/>
  <c r="D1837" i="33"/>
  <c r="D1838" i="33"/>
  <c r="D1839" i="33"/>
  <c r="D1840" i="33"/>
  <c r="D1841" i="33"/>
  <c r="D1842" i="33"/>
  <c r="D1843" i="33"/>
  <c r="D1844" i="33"/>
  <c r="D1845" i="33"/>
  <c r="D1846" i="33"/>
  <c r="D1847" i="33"/>
  <c r="D1848" i="33"/>
  <c r="D1849" i="33"/>
  <c r="D1850" i="33"/>
  <c r="D1851" i="33"/>
  <c r="D1852" i="33"/>
  <c r="D1853" i="33"/>
  <c r="D1854" i="33"/>
  <c r="D1855" i="33"/>
  <c r="D1856" i="33"/>
  <c r="D1857" i="33"/>
  <c r="D1858" i="33"/>
  <c r="D1859" i="33"/>
  <c r="D1860" i="33"/>
  <c r="D1861" i="33"/>
  <c r="D1862" i="33"/>
  <c r="D1863" i="33"/>
  <c r="D1864" i="33"/>
  <c r="D1865" i="33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C537" i="33"/>
  <c r="C538" i="33"/>
  <c r="C539" i="33"/>
  <c r="C540" i="33"/>
  <c r="C541" i="33"/>
  <c r="C542" i="33"/>
  <c r="C543" i="33"/>
  <c r="C544" i="33"/>
  <c r="C545" i="33"/>
  <c r="C546" i="33"/>
  <c r="C547" i="33"/>
  <c r="C548" i="33"/>
  <c r="C549" i="33"/>
  <c r="C550" i="33"/>
  <c r="C551" i="33"/>
  <c r="C552" i="33"/>
  <c r="C553" i="33"/>
  <c r="C554" i="33"/>
  <c r="C555" i="33"/>
  <c r="C556" i="33"/>
  <c r="C557" i="33"/>
  <c r="C558" i="33"/>
  <c r="C559" i="33"/>
  <c r="C560" i="33"/>
  <c r="C561" i="33"/>
  <c r="C562" i="33"/>
  <c r="C563" i="33"/>
  <c r="C564" i="33"/>
  <c r="C565" i="33"/>
  <c r="C566" i="33"/>
  <c r="C567" i="33"/>
  <c r="C568" i="33"/>
  <c r="C569" i="33"/>
  <c r="C570" i="33"/>
  <c r="C571" i="33"/>
  <c r="C572" i="33"/>
  <c r="C573" i="33"/>
  <c r="C574" i="33"/>
  <c r="C575" i="33"/>
  <c r="C576" i="33"/>
  <c r="C577" i="33"/>
  <c r="C578" i="33"/>
  <c r="C579" i="33"/>
  <c r="C580" i="33"/>
  <c r="C581" i="33"/>
  <c r="C582" i="33"/>
  <c r="C583" i="33"/>
  <c r="C584" i="33"/>
  <c r="C585" i="33"/>
  <c r="C586" i="33"/>
  <c r="C587" i="33"/>
  <c r="C588" i="33"/>
  <c r="C589" i="33"/>
  <c r="C590" i="33"/>
  <c r="C591" i="33"/>
  <c r="C592" i="33"/>
  <c r="C593" i="33"/>
  <c r="C594" i="33"/>
  <c r="C595" i="33"/>
  <c r="C596" i="33"/>
  <c r="C597" i="33"/>
  <c r="C598" i="33"/>
  <c r="C599" i="33"/>
  <c r="C600" i="33"/>
  <c r="C601" i="33"/>
  <c r="C602" i="33"/>
  <c r="C603" i="33"/>
  <c r="C604" i="33"/>
  <c r="C605" i="33"/>
  <c r="C606" i="33"/>
  <c r="C607" i="33"/>
  <c r="C608" i="33"/>
  <c r="C609" i="33"/>
  <c r="C610" i="33"/>
  <c r="C611" i="33"/>
  <c r="C612" i="33"/>
  <c r="C613" i="33"/>
  <c r="C614" i="33"/>
  <c r="C615" i="33"/>
  <c r="C616" i="33"/>
  <c r="C617" i="33"/>
  <c r="C618" i="33"/>
  <c r="C619" i="33"/>
  <c r="C620" i="33"/>
  <c r="C621" i="33"/>
  <c r="C622" i="33"/>
  <c r="C623" i="33"/>
  <c r="C624" i="33"/>
  <c r="C625" i="33"/>
  <c r="C626" i="33"/>
  <c r="C627" i="33"/>
  <c r="C628" i="33"/>
  <c r="C629" i="33"/>
  <c r="C630" i="33"/>
  <c r="C631" i="33"/>
  <c r="C632" i="33"/>
  <c r="C633" i="33"/>
  <c r="C634" i="33"/>
  <c r="C635" i="33"/>
  <c r="C636" i="33"/>
  <c r="C637" i="33"/>
  <c r="C638" i="33"/>
  <c r="C639" i="33"/>
  <c r="C640" i="33"/>
  <c r="C641" i="33"/>
  <c r="C642" i="33"/>
  <c r="C643" i="33"/>
  <c r="C644" i="33"/>
  <c r="C645" i="33"/>
  <c r="C646" i="33"/>
  <c r="C647" i="33"/>
  <c r="C648" i="33"/>
  <c r="C649" i="33"/>
  <c r="C650" i="33"/>
  <c r="C651" i="33"/>
  <c r="C652" i="33"/>
  <c r="C653" i="33"/>
  <c r="C654" i="33"/>
  <c r="C655" i="33"/>
  <c r="C656" i="33"/>
  <c r="C657" i="33"/>
  <c r="C658" i="33"/>
  <c r="C659" i="33"/>
  <c r="C660" i="33"/>
  <c r="C661" i="33"/>
  <c r="C662" i="33"/>
  <c r="C663" i="33"/>
  <c r="C664" i="33"/>
  <c r="C665" i="33"/>
  <c r="C666" i="33"/>
  <c r="C667" i="33"/>
  <c r="C668" i="33"/>
  <c r="C669" i="33"/>
  <c r="C670" i="33"/>
  <c r="C671" i="33"/>
  <c r="C672" i="33"/>
  <c r="C673" i="33"/>
  <c r="C674" i="33"/>
  <c r="C675" i="33"/>
  <c r="C676" i="33"/>
  <c r="C677" i="33"/>
  <c r="C678" i="33"/>
  <c r="C679" i="33"/>
  <c r="C680" i="33"/>
  <c r="C681" i="33"/>
  <c r="C682" i="33"/>
  <c r="C683" i="33"/>
  <c r="C684" i="33"/>
  <c r="C685" i="33"/>
  <c r="C686" i="33"/>
  <c r="C687" i="33"/>
  <c r="C688" i="33"/>
  <c r="C689" i="33"/>
  <c r="C690" i="33"/>
  <c r="C691" i="33"/>
  <c r="C692" i="33"/>
  <c r="C693" i="33"/>
  <c r="C694" i="33"/>
  <c r="C695" i="33"/>
  <c r="C696" i="33"/>
  <c r="C697" i="33"/>
  <c r="C698" i="33"/>
  <c r="C699" i="33"/>
  <c r="C700" i="33"/>
  <c r="C701" i="33"/>
  <c r="C702" i="33"/>
  <c r="C703" i="33"/>
  <c r="C704" i="33"/>
  <c r="C705" i="33"/>
  <c r="C706" i="33"/>
  <c r="C707" i="33"/>
  <c r="C708" i="33"/>
  <c r="C709" i="33"/>
  <c r="C710" i="33"/>
  <c r="C711" i="33"/>
  <c r="C712" i="33"/>
  <c r="C713" i="33"/>
  <c r="C714" i="33"/>
  <c r="C715" i="33"/>
  <c r="C716" i="33"/>
  <c r="C717" i="33"/>
  <c r="C718" i="33"/>
  <c r="C719" i="33"/>
  <c r="C720" i="33"/>
  <c r="C721" i="33"/>
  <c r="C722" i="33"/>
  <c r="C723" i="33"/>
  <c r="C724" i="33"/>
  <c r="C725" i="33"/>
  <c r="C726" i="33"/>
  <c r="C727" i="33"/>
  <c r="C728" i="33"/>
  <c r="C729" i="33"/>
  <c r="C730" i="33"/>
  <c r="C731" i="33"/>
  <c r="C732" i="33"/>
  <c r="C733" i="33"/>
  <c r="C734" i="33"/>
  <c r="C735" i="33"/>
  <c r="C736" i="33"/>
  <c r="C737" i="33"/>
  <c r="C738" i="33"/>
  <c r="C739" i="33"/>
  <c r="C740" i="33"/>
  <c r="C741" i="33"/>
  <c r="C742" i="33"/>
  <c r="C743" i="33"/>
  <c r="C744" i="33"/>
  <c r="C745" i="33"/>
  <c r="C746" i="33"/>
  <c r="C747" i="33"/>
  <c r="C748" i="33"/>
  <c r="C749" i="33"/>
  <c r="C750" i="33"/>
  <c r="C751" i="33"/>
  <c r="C752" i="33"/>
  <c r="C753" i="33"/>
  <c r="C754" i="33"/>
  <c r="C755" i="33"/>
  <c r="C756" i="33"/>
  <c r="C757" i="33"/>
  <c r="C758" i="33"/>
  <c r="C759" i="33"/>
  <c r="C760" i="33"/>
  <c r="C761" i="33"/>
  <c r="C762" i="33"/>
  <c r="C763" i="33"/>
  <c r="C764" i="33"/>
  <c r="C765" i="33"/>
  <c r="C766" i="33"/>
  <c r="C767" i="33"/>
  <c r="C768" i="33"/>
  <c r="C769" i="33"/>
  <c r="C770" i="33"/>
  <c r="C771" i="33"/>
  <c r="C772" i="33"/>
  <c r="C773" i="33"/>
  <c r="C774" i="33"/>
  <c r="C775" i="33"/>
  <c r="C776" i="33"/>
  <c r="C777" i="33"/>
  <c r="C778" i="33"/>
  <c r="C779" i="33"/>
  <c r="C780" i="33"/>
  <c r="C781" i="33"/>
  <c r="C782" i="33"/>
  <c r="C783" i="33"/>
  <c r="C784" i="33"/>
  <c r="C785" i="33"/>
  <c r="C786" i="33"/>
  <c r="C787" i="33"/>
  <c r="C788" i="33"/>
  <c r="C789" i="33"/>
  <c r="C790" i="33"/>
  <c r="C791" i="33"/>
  <c r="C792" i="33"/>
  <c r="C793" i="33"/>
  <c r="C794" i="33"/>
  <c r="C795" i="33"/>
  <c r="C796" i="33"/>
  <c r="C797" i="33"/>
  <c r="C798" i="33"/>
  <c r="C799" i="33"/>
  <c r="C800" i="33"/>
  <c r="C801" i="33"/>
  <c r="C802" i="33"/>
  <c r="C803" i="33"/>
  <c r="C804" i="33"/>
  <c r="C805" i="33"/>
  <c r="C806" i="33"/>
  <c r="C807" i="33"/>
  <c r="C808" i="33"/>
  <c r="C809" i="33"/>
  <c r="C810" i="33"/>
  <c r="C811" i="33"/>
  <c r="C812" i="33"/>
  <c r="C813" i="33"/>
  <c r="C814" i="33"/>
  <c r="C815" i="33"/>
  <c r="C816" i="33"/>
  <c r="C817" i="33"/>
  <c r="C818" i="33"/>
  <c r="C819" i="33"/>
  <c r="C820" i="33"/>
  <c r="C821" i="33"/>
  <c r="C822" i="33"/>
  <c r="C823" i="33"/>
  <c r="C824" i="33"/>
  <c r="C825" i="33"/>
  <c r="C826" i="33"/>
  <c r="C827" i="33"/>
  <c r="C828" i="33"/>
  <c r="C829" i="33"/>
  <c r="C830" i="33"/>
  <c r="C831" i="33"/>
  <c r="C832" i="33"/>
  <c r="C833" i="33"/>
  <c r="C834" i="33"/>
  <c r="C835" i="33"/>
  <c r="C836" i="33"/>
  <c r="C837" i="33"/>
  <c r="C838" i="33"/>
  <c r="C839" i="33"/>
  <c r="C840" i="33"/>
  <c r="C841" i="33"/>
  <c r="C842" i="33"/>
  <c r="C843" i="33"/>
  <c r="C844" i="33"/>
  <c r="C845" i="33"/>
  <c r="C846" i="33"/>
  <c r="C847" i="33"/>
  <c r="C848" i="33"/>
  <c r="C849" i="33"/>
  <c r="C850" i="33"/>
  <c r="C851" i="33"/>
  <c r="C852" i="33"/>
  <c r="C853" i="33"/>
  <c r="C854" i="33"/>
  <c r="C855" i="33"/>
  <c r="C856" i="33"/>
  <c r="C857" i="33"/>
  <c r="C858" i="33"/>
  <c r="C859" i="33"/>
  <c r="C860" i="33"/>
  <c r="C861" i="33"/>
  <c r="C862" i="33"/>
  <c r="C863" i="33"/>
  <c r="C864" i="33"/>
  <c r="C865" i="33"/>
  <c r="C866" i="33"/>
  <c r="C867" i="33"/>
  <c r="C868" i="33"/>
  <c r="C869" i="33"/>
  <c r="C870" i="33"/>
  <c r="C871" i="33"/>
  <c r="C872" i="33"/>
  <c r="C873" i="33"/>
  <c r="C874" i="33"/>
  <c r="C875" i="33"/>
  <c r="C876" i="33"/>
  <c r="C877" i="33"/>
  <c r="C878" i="33"/>
  <c r="C879" i="33"/>
  <c r="C880" i="33"/>
  <c r="C881" i="33"/>
  <c r="C882" i="33"/>
  <c r="C883" i="33"/>
  <c r="C884" i="33"/>
  <c r="C885" i="33"/>
  <c r="C886" i="33"/>
  <c r="C887" i="33"/>
  <c r="C888" i="33"/>
  <c r="C889" i="33"/>
  <c r="C890" i="33"/>
  <c r="C891" i="33"/>
  <c r="C892" i="33"/>
  <c r="C893" i="33"/>
  <c r="C894" i="33"/>
  <c r="C895" i="33"/>
  <c r="C896" i="33"/>
  <c r="C897" i="33"/>
  <c r="C898" i="33"/>
  <c r="C899" i="33"/>
  <c r="C900" i="33"/>
  <c r="C901" i="33"/>
  <c r="C902" i="33"/>
  <c r="C903" i="33"/>
  <c r="C904" i="33"/>
  <c r="C905" i="33"/>
  <c r="C906" i="33"/>
  <c r="C907" i="33"/>
  <c r="C908" i="33"/>
  <c r="C909" i="33"/>
  <c r="C910" i="33"/>
  <c r="C911" i="33"/>
  <c r="C912" i="33"/>
  <c r="C913" i="33"/>
  <c r="C914" i="33"/>
  <c r="C915" i="33"/>
  <c r="C916" i="33"/>
  <c r="C917" i="33"/>
  <c r="C918" i="33"/>
  <c r="C919" i="33"/>
  <c r="C920" i="33"/>
  <c r="C921" i="33"/>
  <c r="C922" i="33"/>
  <c r="C923" i="33"/>
  <c r="C924" i="33"/>
  <c r="C925" i="33"/>
  <c r="C926" i="33"/>
  <c r="C927" i="33"/>
  <c r="C928" i="33"/>
  <c r="C929" i="33"/>
  <c r="C930" i="33"/>
  <c r="C931" i="33"/>
  <c r="C932" i="33"/>
  <c r="C933" i="33"/>
  <c r="C934" i="33"/>
  <c r="C935" i="33"/>
  <c r="C936" i="33"/>
  <c r="C937" i="33"/>
  <c r="C938" i="33"/>
  <c r="C939" i="33"/>
  <c r="C940" i="33"/>
  <c r="C941" i="33"/>
  <c r="C942" i="33"/>
  <c r="C943" i="33"/>
  <c r="C944" i="33"/>
  <c r="C945" i="33"/>
  <c r="C946" i="33"/>
  <c r="C947" i="33"/>
  <c r="C948" i="33"/>
  <c r="C949" i="33"/>
  <c r="C950" i="33"/>
  <c r="C951" i="33"/>
  <c r="C952" i="33"/>
  <c r="C953" i="33"/>
  <c r="C954" i="33"/>
  <c r="C955" i="33"/>
  <c r="C956" i="33"/>
  <c r="C957" i="33"/>
  <c r="C958" i="33"/>
  <c r="C959" i="33"/>
  <c r="C960" i="33"/>
  <c r="C961" i="33"/>
  <c r="C962" i="33"/>
  <c r="C963" i="33"/>
  <c r="C964" i="33"/>
  <c r="C965" i="33"/>
  <c r="C966" i="33"/>
  <c r="C967" i="33"/>
  <c r="C968" i="33"/>
  <c r="C969" i="33"/>
  <c r="C970" i="33"/>
  <c r="C971" i="33"/>
  <c r="C972" i="33"/>
  <c r="C973" i="33"/>
  <c r="C974" i="33"/>
  <c r="C975" i="33"/>
  <c r="C976" i="33"/>
  <c r="C977" i="33"/>
  <c r="C978" i="33"/>
  <c r="C979" i="33"/>
  <c r="C980" i="33"/>
  <c r="C981" i="33"/>
  <c r="C982" i="33"/>
  <c r="C983" i="33"/>
  <c r="C984" i="33"/>
  <c r="C985" i="33"/>
  <c r="C986" i="33"/>
  <c r="C987" i="33"/>
  <c r="C988" i="33"/>
  <c r="C989" i="33"/>
  <c r="C990" i="33"/>
  <c r="C991" i="33"/>
  <c r="C992" i="33"/>
  <c r="C993" i="33"/>
  <c r="C994" i="33"/>
  <c r="C995" i="33"/>
  <c r="C996" i="33"/>
  <c r="C997" i="33"/>
  <c r="C998" i="33"/>
  <c r="C999" i="33"/>
  <c r="C1000" i="33"/>
  <c r="C1001" i="33"/>
  <c r="C1002" i="33"/>
  <c r="C1003" i="33"/>
  <c r="C1004" i="33"/>
  <c r="C1005" i="33"/>
  <c r="C1006" i="33"/>
  <c r="C1007" i="33"/>
  <c r="C1008" i="33"/>
  <c r="C1009" i="33"/>
  <c r="C1010" i="33"/>
  <c r="C1011" i="33"/>
  <c r="C1012" i="33"/>
  <c r="C1013" i="33"/>
  <c r="C1014" i="33"/>
  <c r="C1015" i="33"/>
  <c r="C1016" i="33"/>
  <c r="C1017" i="33"/>
  <c r="C1018" i="33"/>
  <c r="C1019" i="33"/>
  <c r="C1020" i="33"/>
  <c r="C1021" i="33"/>
  <c r="C1022" i="33"/>
  <c r="C1023" i="33"/>
  <c r="C1024" i="33"/>
  <c r="C1025" i="33"/>
  <c r="C1026" i="33"/>
  <c r="C1027" i="33"/>
  <c r="C1028" i="33"/>
  <c r="C1029" i="33"/>
  <c r="C1030" i="33"/>
  <c r="C1031" i="33"/>
  <c r="C1032" i="33"/>
  <c r="C1033" i="33"/>
  <c r="C1034" i="33"/>
  <c r="C1035" i="33"/>
  <c r="C1036" i="33"/>
  <c r="C1037" i="33"/>
  <c r="C1038" i="33"/>
  <c r="C1039" i="33"/>
  <c r="C1040" i="33"/>
  <c r="C1041" i="33"/>
  <c r="C1042" i="33"/>
  <c r="C1043" i="33"/>
  <c r="C1044" i="33"/>
  <c r="C1045" i="33"/>
  <c r="C1046" i="33"/>
  <c r="C1047" i="33"/>
  <c r="C1048" i="33"/>
  <c r="C1049" i="33"/>
  <c r="C1050" i="33"/>
  <c r="C1051" i="33"/>
  <c r="C1052" i="33"/>
  <c r="C1053" i="33"/>
  <c r="C1054" i="33"/>
  <c r="C1055" i="33"/>
  <c r="C1056" i="33"/>
  <c r="C1057" i="33"/>
  <c r="C1058" i="33"/>
  <c r="C1059" i="33"/>
  <c r="C1060" i="33"/>
  <c r="C1061" i="33"/>
  <c r="C1062" i="33"/>
  <c r="C1063" i="33"/>
  <c r="C1064" i="33"/>
  <c r="C1065" i="33"/>
  <c r="C1066" i="33"/>
  <c r="C1067" i="33"/>
  <c r="C1068" i="33"/>
  <c r="C1069" i="33"/>
  <c r="C1070" i="33"/>
  <c r="C1071" i="33"/>
  <c r="C1072" i="33"/>
  <c r="C1073" i="33"/>
  <c r="C1074" i="33"/>
  <c r="C1075" i="33"/>
  <c r="C1076" i="33"/>
  <c r="C1077" i="33"/>
  <c r="C1078" i="33"/>
  <c r="C1079" i="33"/>
  <c r="C1080" i="33"/>
  <c r="C1081" i="33"/>
  <c r="C1082" i="33"/>
  <c r="C1083" i="33"/>
  <c r="C1084" i="33"/>
  <c r="C1085" i="33"/>
  <c r="C1086" i="33"/>
  <c r="C1087" i="33"/>
  <c r="C1088" i="33"/>
  <c r="C1089" i="33"/>
  <c r="C1090" i="33"/>
  <c r="C1091" i="33"/>
  <c r="C1092" i="33"/>
  <c r="C1093" i="33"/>
  <c r="C1094" i="33"/>
  <c r="C1095" i="33"/>
  <c r="C1096" i="33"/>
  <c r="C1097" i="33"/>
  <c r="C1098" i="33"/>
  <c r="C1099" i="33"/>
  <c r="C1100" i="33"/>
  <c r="C1101" i="33"/>
  <c r="C1102" i="33"/>
  <c r="C1103" i="33"/>
  <c r="C1104" i="33"/>
  <c r="C1105" i="33"/>
  <c r="C1106" i="33"/>
  <c r="C1107" i="33"/>
  <c r="C1108" i="33"/>
  <c r="C1109" i="33"/>
  <c r="C1110" i="33"/>
  <c r="C1111" i="33"/>
  <c r="C1112" i="33"/>
  <c r="C1113" i="33"/>
  <c r="C1114" i="33"/>
  <c r="C1115" i="33"/>
  <c r="C1116" i="33"/>
  <c r="C1117" i="33"/>
  <c r="C1118" i="33"/>
  <c r="C1119" i="33"/>
  <c r="C1120" i="33"/>
  <c r="C1121" i="33"/>
  <c r="C1122" i="33"/>
  <c r="C1123" i="33"/>
  <c r="C1124" i="33"/>
  <c r="C1125" i="33"/>
  <c r="C1126" i="33"/>
  <c r="C1127" i="33"/>
  <c r="C1128" i="33"/>
  <c r="C1129" i="33"/>
  <c r="C1130" i="33"/>
  <c r="C1131" i="33"/>
  <c r="C1132" i="33"/>
  <c r="C1133" i="33"/>
  <c r="C1134" i="33"/>
  <c r="C1135" i="33"/>
  <c r="C1136" i="33"/>
  <c r="C1137" i="33"/>
  <c r="C1138" i="33"/>
  <c r="C1139" i="33"/>
  <c r="C1140" i="33"/>
  <c r="C1141" i="33"/>
  <c r="C1142" i="33"/>
  <c r="C1143" i="33"/>
  <c r="C1144" i="33"/>
  <c r="C1145" i="33"/>
  <c r="C1146" i="33"/>
  <c r="C1147" i="33"/>
  <c r="C1148" i="33"/>
  <c r="C1149" i="33"/>
  <c r="C1150" i="33"/>
  <c r="C1151" i="33"/>
  <c r="C1152" i="33"/>
  <c r="C1153" i="33"/>
  <c r="C1154" i="33"/>
  <c r="C1155" i="33"/>
  <c r="C1156" i="33"/>
  <c r="C1157" i="33"/>
  <c r="C1158" i="33"/>
  <c r="C1159" i="33"/>
  <c r="C1160" i="33"/>
  <c r="C1161" i="33"/>
  <c r="C1162" i="33"/>
  <c r="C1163" i="33"/>
  <c r="C1164" i="33"/>
  <c r="C1165" i="33"/>
  <c r="C1166" i="33"/>
  <c r="C1167" i="33"/>
  <c r="C1168" i="33"/>
  <c r="C1169" i="33"/>
  <c r="C1170" i="33"/>
  <c r="C1171" i="33"/>
  <c r="C1172" i="33"/>
  <c r="C1173" i="33"/>
  <c r="C1174" i="33"/>
  <c r="C1175" i="33"/>
  <c r="C1176" i="33"/>
  <c r="C1177" i="33"/>
  <c r="C1178" i="33"/>
  <c r="C1179" i="33"/>
  <c r="C1180" i="33"/>
  <c r="C1181" i="33"/>
  <c r="C1182" i="33"/>
  <c r="C1183" i="33"/>
  <c r="C1184" i="33"/>
  <c r="C1185" i="33"/>
  <c r="C1186" i="33"/>
  <c r="C1187" i="33"/>
  <c r="C1188" i="33"/>
  <c r="C1189" i="33"/>
  <c r="C1190" i="33"/>
  <c r="C1191" i="33"/>
  <c r="C1192" i="33"/>
  <c r="C1193" i="33"/>
  <c r="C1194" i="33"/>
  <c r="C1195" i="33"/>
  <c r="C1196" i="33"/>
  <c r="C1197" i="33"/>
  <c r="C1198" i="33"/>
  <c r="C1199" i="33"/>
  <c r="C1200" i="33"/>
  <c r="C1201" i="33"/>
  <c r="C1202" i="33"/>
  <c r="C1203" i="33"/>
  <c r="C1204" i="33"/>
  <c r="C1205" i="33"/>
  <c r="C1206" i="33"/>
  <c r="C1207" i="33"/>
  <c r="C1208" i="33"/>
  <c r="C1209" i="33"/>
  <c r="C1210" i="33"/>
  <c r="C1211" i="33"/>
  <c r="C1212" i="33"/>
  <c r="C1213" i="33"/>
  <c r="C1214" i="33"/>
  <c r="C1215" i="33"/>
  <c r="C1216" i="33"/>
  <c r="C1217" i="33"/>
  <c r="C1218" i="33"/>
  <c r="C1219" i="33"/>
  <c r="C1220" i="33"/>
  <c r="C1221" i="33"/>
  <c r="C1222" i="33"/>
  <c r="C1223" i="33"/>
  <c r="C1224" i="33"/>
  <c r="C1225" i="33"/>
  <c r="C1226" i="33"/>
  <c r="C1227" i="33"/>
  <c r="C1228" i="33"/>
  <c r="C1229" i="33"/>
  <c r="C1230" i="33"/>
  <c r="C1231" i="33"/>
  <c r="C1232" i="33"/>
  <c r="C1233" i="33"/>
  <c r="C1234" i="33"/>
  <c r="C1235" i="33"/>
  <c r="C1236" i="33"/>
  <c r="C1237" i="33"/>
  <c r="C1238" i="33"/>
  <c r="C1239" i="33"/>
  <c r="C1240" i="33"/>
  <c r="C1241" i="33"/>
  <c r="C1242" i="33"/>
  <c r="C1243" i="33"/>
  <c r="C1244" i="33"/>
  <c r="C1245" i="33"/>
  <c r="C1246" i="33"/>
  <c r="C1247" i="33"/>
  <c r="C1248" i="33"/>
  <c r="C1249" i="33"/>
  <c r="C1250" i="33"/>
  <c r="C1251" i="33"/>
  <c r="C1252" i="33"/>
  <c r="C1253" i="33"/>
  <c r="C1254" i="33"/>
  <c r="C1255" i="33"/>
  <c r="C1256" i="33"/>
  <c r="C1257" i="33"/>
  <c r="C1258" i="33"/>
  <c r="C1259" i="33"/>
  <c r="C1260" i="33"/>
  <c r="C1261" i="33"/>
  <c r="C1262" i="33"/>
  <c r="C1263" i="33"/>
  <c r="C1264" i="33"/>
  <c r="C1265" i="33"/>
  <c r="C1266" i="33"/>
  <c r="C1267" i="33"/>
  <c r="C1268" i="33"/>
  <c r="C1269" i="33"/>
  <c r="C1270" i="33"/>
  <c r="C1271" i="33"/>
  <c r="C1272" i="33"/>
  <c r="C1273" i="33"/>
  <c r="C1274" i="33"/>
  <c r="C1275" i="33"/>
  <c r="C1276" i="33"/>
  <c r="C1277" i="33"/>
  <c r="C1278" i="33"/>
  <c r="C1279" i="33"/>
  <c r="C1280" i="33"/>
  <c r="C1281" i="33"/>
  <c r="C1282" i="33"/>
  <c r="C1283" i="33"/>
  <c r="C1284" i="33"/>
  <c r="C1285" i="33"/>
  <c r="C1286" i="33"/>
  <c r="C1287" i="33"/>
  <c r="C1288" i="33"/>
  <c r="C1289" i="33"/>
  <c r="C1290" i="33"/>
  <c r="C1291" i="33"/>
  <c r="C1292" i="33"/>
  <c r="C1293" i="33"/>
  <c r="C1294" i="33"/>
  <c r="C1295" i="33"/>
  <c r="C1296" i="33"/>
  <c r="C1297" i="33"/>
  <c r="C1298" i="33"/>
  <c r="C1299" i="33"/>
  <c r="C1300" i="33"/>
  <c r="C1301" i="33"/>
  <c r="C1302" i="33"/>
  <c r="C1303" i="33"/>
  <c r="C1304" i="33"/>
  <c r="C1305" i="33"/>
  <c r="C1306" i="33"/>
  <c r="C1307" i="33"/>
  <c r="C1308" i="33"/>
  <c r="C1309" i="33"/>
  <c r="C1310" i="33"/>
  <c r="C1311" i="33"/>
  <c r="C1312" i="33"/>
  <c r="C1313" i="33"/>
  <c r="C1314" i="33"/>
  <c r="C1315" i="33"/>
  <c r="C1316" i="33"/>
  <c r="C1317" i="33"/>
  <c r="C1318" i="33"/>
  <c r="C1319" i="33"/>
  <c r="C1320" i="33"/>
  <c r="C1321" i="33"/>
  <c r="C1322" i="33"/>
  <c r="C1323" i="33"/>
  <c r="C1324" i="33"/>
  <c r="C1325" i="33"/>
  <c r="C1326" i="33"/>
  <c r="C1327" i="33"/>
  <c r="C1328" i="33"/>
  <c r="C1329" i="33"/>
  <c r="C1330" i="33"/>
  <c r="C1331" i="33"/>
  <c r="C1332" i="33"/>
  <c r="C1333" i="33"/>
  <c r="C1334" i="33"/>
  <c r="C1335" i="33"/>
  <c r="C1336" i="33"/>
  <c r="C1337" i="33"/>
  <c r="C1338" i="33"/>
  <c r="C1339" i="33"/>
  <c r="C1340" i="33"/>
  <c r="C1341" i="33"/>
  <c r="C1342" i="33"/>
  <c r="C1343" i="33"/>
  <c r="C1344" i="33"/>
  <c r="C1345" i="33"/>
  <c r="C1346" i="33"/>
  <c r="C1347" i="33"/>
  <c r="C1348" i="33"/>
  <c r="C1349" i="33"/>
  <c r="C1350" i="33"/>
  <c r="C1351" i="33"/>
  <c r="C1352" i="33"/>
  <c r="C1353" i="33"/>
  <c r="C1354" i="33"/>
  <c r="C1355" i="33"/>
  <c r="C1356" i="33"/>
  <c r="C1357" i="33"/>
  <c r="C1358" i="33"/>
  <c r="C1359" i="33"/>
  <c r="C1360" i="33"/>
  <c r="C1361" i="33"/>
  <c r="C1362" i="33"/>
  <c r="C1363" i="33"/>
  <c r="C1364" i="33"/>
  <c r="C1365" i="33"/>
  <c r="C1366" i="33"/>
  <c r="C1367" i="33"/>
  <c r="C1368" i="33"/>
  <c r="C1369" i="33"/>
  <c r="C1370" i="33"/>
  <c r="C1371" i="33"/>
  <c r="C1372" i="33"/>
  <c r="C1373" i="33"/>
  <c r="C1374" i="33"/>
  <c r="C1375" i="33"/>
  <c r="C1376" i="33"/>
  <c r="C1377" i="33"/>
  <c r="C1378" i="33"/>
  <c r="C1379" i="33"/>
  <c r="C1380" i="33"/>
  <c r="C1381" i="33"/>
  <c r="C1382" i="33"/>
  <c r="C1383" i="33"/>
  <c r="C1384" i="33"/>
  <c r="C1385" i="33"/>
  <c r="C1386" i="33"/>
  <c r="C1387" i="33"/>
  <c r="C1388" i="33"/>
  <c r="C1389" i="33"/>
  <c r="C1390" i="33"/>
  <c r="C1391" i="33"/>
  <c r="C1392" i="33"/>
  <c r="C1393" i="33"/>
  <c r="C1394" i="33"/>
  <c r="C1395" i="33"/>
  <c r="C1396" i="33"/>
  <c r="C1397" i="33"/>
  <c r="C1398" i="33"/>
  <c r="C1399" i="33"/>
  <c r="C1400" i="33"/>
  <c r="C1401" i="33"/>
  <c r="C1402" i="33"/>
  <c r="C1403" i="33"/>
  <c r="C1404" i="33"/>
  <c r="C1405" i="33"/>
  <c r="C1406" i="33"/>
  <c r="C1407" i="33"/>
  <c r="C1408" i="33"/>
  <c r="C1409" i="33"/>
  <c r="C1410" i="33"/>
  <c r="C1411" i="33"/>
  <c r="C1412" i="33"/>
  <c r="C1413" i="33"/>
  <c r="C1414" i="33"/>
  <c r="C1415" i="33"/>
  <c r="C1416" i="33"/>
  <c r="C1417" i="33"/>
  <c r="C1418" i="33"/>
  <c r="C1419" i="33"/>
  <c r="C1420" i="33"/>
  <c r="C1421" i="33"/>
  <c r="C1422" i="33"/>
  <c r="C1423" i="33"/>
  <c r="C1424" i="33"/>
  <c r="C1425" i="33"/>
  <c r="C1426" i="33"/>
  <c r="C1427" i="33"/>
  <c r="C1428" i="33"/>
  <c r="C1429" i="33"/>
  <c r="C1430" i="33"/>
  <c r="C1431" i="33"/>
  <c r="C1432" i="33"/>
  <c r="C1433" i="33"/>
  <c r="C1434" i="33"/>
  <c r="C1435" i="33"/>
  <c r="C1436" i="33"/>
  <c r="C1437" i="33"/>
  <c r="C1438" i="33"/>
  <c r="C1439" i="33"/>
  <c r="C1440" i="33"/>
  <c r="C1441" i="33"/>
  <c r="C1442" i="33"/>
  <c r="C1443" i="33"/>
  <c r="C1444" i="33"/>
  <c r="C1445" i="33"/>
  <c r="C1446" i="33"/>
  <c r="C1447" i="33"/>
  <c r="C1448" i="33"/>
  <c r="C1449" i="33"/>
  <c r="C1450" i="33"/>
  <c r="C1451" i="33"/>
  <c r="C1452" i="33"/>
  <c r="C1453" i="33"/>
  <c r="C1454" i="33"/>
  <c r="C1455" i="33"/>
  <c r="C1456" i="33"/>
  <c r="C1457" i="33"/>
  <c r="C1458" i="33"/>
  <c r="C1459" i="33"/>
  <c r="C1460" i="33"/>
  <c r="C1461" i="33"/>
  <c r="C1462" i="33"/>
  <c r="C1463" i="33"/>
  <c r="C1464" i="33"/>
  <c r="C1465" i="33"/>
  <c r="C1466" i="33"/>
  <c r="C1467" i="33"/>
  <c r="C1468" i="33"/>
  <c r="C1469" i="33"/>
  <c r="C1470" i="33"/>
  <c r="C1471" i="33"/>
  <c r="C1472" i="33"/>
  <c r="C1473" i="33"/>
  <c r="C1474" i="33"/>
  <c r="C1475" i="33"/>
  <c r="C1476" i="33"/>
  <c r="C1477" i="33"/>
  <c r="C1478" i="33"/>
  <c r="C1479" i="33"/>
  <c r="C1480" i="33"/>
  <c r="C1481" i="33"/>
  <c r="C1482" i="33"/>
  <c r="C1483" i="33"/>
  <c r="C1484" i="33"/>
  <c r="C1485" i="33"/>
  <c r="C1486" i="33"/>
  <c r="C1487" i="33"/>
  <c r="C1488" i="33"/>
  <c r="C1489" i="33"/>
  <c r="C1490" i="33"/>
  <c r="C1491" i="33"/>
  <c r="C1492" i="33"/>
  <c r="C1493" i="33"/>
  <c r="C1494" i="33"/>
  <c r="C1495" i="33"/>
  <c r="C1496" i="33"/>
  <c r="C1497" i="33"/>
  <c r="C1498" i="33"/>
  <c r="C1499" i="33"/>
  <c r="C1500" i="33"/>
  <c r="C1501" i="33"/>
  <c r="C1502" i="33"/>
  <c r="C1503" i="33"/>
  <c r="C1504" i="33"/>
  <c r="C1505" i="33"/>
  <c r="C1506" i="33"/>
  <c r="C1507" i="33"/>
  <c r="C1508" i="33"/>
  <c r="C1509" i="33"/>
  <c r="C1510" i="33"/>
  <c r="C1511" i="33"/>
  <c r="C1512" i="33"/>
  <c r="C1513" i="33"/>
  <c r="C1514" i="33"/>
  <c r="C1515" i="33"/>
  <c r="C1516" i="33"/>
  <c r="C1517" i="33"/>
  <c r="C1518" i="33"/>
  <c r="C1519" i="33"/>
  <c r="C1520" i="33"/>
  <c r="C1521" i="33"/>
  <c r="C1522" i="33"/>
  <c r="C1523" i="33"/>
  <c r="C1524" i="33"/>
  <c r="C1525" i="33"/>
  <c r="C1526" i="33"/>
  <c r="C1527" i="33"/>
  <c r="C1528" i="33"/>
  <c r="C1529" i="33"/>
  <c r="C1530" i="33"/>
  <c r="C1531" i="33"/>
  <c r="C1532" i="33"/>
  <c r="C1533" i="33"/>
  <c r="C1534" i="33"/>
  <c r="C1535" i="33"/>
  <c r="C1536" i="33"/>
  <c r="C1537" i="33"/>
  <c r="C1538" i="33"/>
  <c r="C1539" i="33"/>
  <c r="C1540" i="33"/>
  <c r="C1541" i="33"/>
  <c r="C1542" i="33"/>
  <c r="C1543" i="33"/>
  <c r="C1544" i="33"/>
  <c r="C1545" i="33"/>
  <c r="C1546" i="33"/>
  <c r="C1547" i="33"/>
  <c r="C1548" i="33"/>
  <c r="C1549" i="33"/>
  <c r="C1550" i="33"/>
  <c r="C1551" i="33"/>
  <c r="C1552" i="33"/>
  <c r="C1553" i="33"/>
  <c r="C1554" i="33"/>
  <c r="C1555" i="33"/>
  <c r="C1556" i="33"/>
  <c r="C1557" i="33"/>
  <c r="C1558" i="33"/>
  <c r="C1559" i="33"/>
  <c r="C1560" i="33"/>
  <c r="C1561" i="33"/>
  <c r="C1562" i="33"/>
  <c r="C1563" i="33"/>
  <c r="C1564" i="33"/>
  <c r="C1565" i="33"/>
  <c r="C1566" i="33"/>
  <c r="C1567" i="33"/>
  <c r="C1568" i="33"/>
  <c r="C1569" i="33"/>
  <c r="C1570" i="33"/>
  <c r="C1571" i="33"/>
  <c r="C1572" i="33"/>
  <c r="C1573" i="33"/>
  <c r="C1574" i="33"/>
  <c r="C1575" i="33"/>
  <c r="C1576" i="33"/>
  <c r="C1577" i="33"/>
  <c r="C1578" i="33"/>
  <c r="C1579" i="33"/>
  <c r="C1580" i="33"/>
  <c r="C1581" i="33"/>
  <c r="C1582" i="33"/>
  <c r="C1583" i="33"/>
  <c r="C1584" i="33"/>
  <c r="C1585" i="33"/>
  <c r="C1586" i="33"/>
  <c r="C1587" i="33"/>
  <c r="C1588" i="33"/>
  <c r="C1589" i="33"/>
  <c r="C1590" i="33"/>
  <c r="C1591" i="33"/>
  <c r="C1592" i="33"/>
  <c r="C1593" i="33"/>
  <c r="C1594" i="33"/>
  <c r="C1595" i="33"/>
  <c r="C1596" i="33"/>
  <c r="C1597" i="33"/>
  <c r="C1598" i="33"/>
  <c r="C1599" i="33"/>
  <c r="C1600" i="33"/>
  <c r="C1601" i="33"/>
  <c r="C1602" i="33"/>
  <c r="C1603" i="33"/>
  <c r="C1604" i="33"/>
  <c r="C1605" i="33"/>
  <c r="C1606" i="33"/>
  <c r="C1607" i="33"/>
  <c r="C1608" i="33"/>
  <c r="C1609" i="33"/>
  <c r="C1610" i="33"/>
  <c r="C1611" i="33"/>
  <c r="C1612" i="33"/>
  <c r="C1613" i="33"/>
  <c r="C1614" i="33"/>
  <c r="C1615" i="33"/>
  <c r="C1616" i="33"/>
  <c r="C1617" i="33"/>
  <c r="C1618" i="33"/>
  <c r="C1619" i="33"/>
  <c r="C1620" i="33"/>
  <c r="C1621" i="33"/>
  <c r="C1622" i="33"/>
  <c r="C1623" i="33"/>
  <c r="C1624" i="33"/>
  <c r="C1625" i="33"/>
  <c r="C1626" i="33"/>
  <c r="C1627" i="33"/>
  <c r="C1628" i="33"/>
  <c r="C1629" i="33"/>
  <c r="C1630" i="33"/>
  <c r="C1631" i="33"/>
  <c r="C1632" i="33"/>
  <c r="C1633" i="33"/>
  <c r="C1634" i="33"/>
  <c r="C1635" i="33"/>
  <c r="C1636" i="33"/>
  <c r="C1637" i="33"/>
  <c r="C1638" i="33"/>
  <c r="C1639" i="33"/>
  <c r="C1640" i="33"/>
  <c r="C1641" i="33"/>
  <c r="C1642" i="33"/>
  <c r="C1643" i="33"/>
  <c r="C1644" i="33"/>
  <c r="C1645" i="33"/>
  <c r="C1646" i="33"/>
  <c r="C1647" i="33"/>
  <c r="C1648" i="33"/>
  <c r="C1649" i="33"/>
  <c r="C1650" i="33"/>
  <c r="C1651" i="33"/>
  <c r="C1652" i="33"/>
  <c r="C1653" i="33"/>
  <c r="C1654" i="33"/>
  <c r="C1655" i="33"/>
  <c r="C1656" i="33"/>
  <c r="C1657" i="33"/>
  <c r="C1658" i="33"/>
  <c r="C1659" i="33"/>
  <c r="C1660" i="33"/>
  <c r="C1661" i="33"/>
  <c r="C1662" i="33"/>
  <c r="C1663" i="33"/>
  <c r="C1664" i="33"/>
  <c r="C1665" i="33"/>
  <c r="C1666" i="33"/>
  <c r="C1667" i="33"/>
  <c r="C1668" i="33"/>
  <c r="C1669" i="33"/>
  <c r="C1670" i="33"/>
  <c r="C1671" i="33"/>
  <c r="C1672" i="33"/>
  <c r="C1673" i="33"/>
  <c r="C1674" i="33"/>
  <c r="C1675" i="33"/>
  <c r="C1676" i="33"/>
  <c r="C1677" i="33"/>
  <c r="C1678" i="33"/>
  <c r="C1679" i="33"/>
  <c r="C1680" i="33"/>
  <c r="C1681" i="33"/>
  <c r="C1682" i="33"/>
  <c r="C1683" i="33"/>
  <c r="C1684" i="33"/>
  <c r="C1685" i="33"/>
  <c r="C1686" i="33"/>
  <c r="C1687" i="33"/>
  <c r="C1688" i="33"/>
  <c r="C1689" i="33"/>
  <c r="C1690" i="33"/>
  <c r="C1691" i="33"/>
  <c r="C1692" i="33"/>
  <c r="C1693" i="33"/>
  <c r="C1694" i="33"/>
  <c r="C1695" i="33"/>
  <c r="C1696" i="33"/>
  <c r="C1697" i="33"/>
  <c r="C1698" i="33"/>
  <c r="C1699" i="33"/>
  <c r="C1700" i="33"/>
  <c r="C1701" i="33"/>
  <c r="C1702" i="33"/>
  <c r="C1703" i="33"/>
  <c r="C1704" i="33"/>
  <c r="C1705" i="33"/>
  <c r="C1706" i="33"/>
  <c r="C1707" i="33"/>
  <c r="C1708" i="33"/>
  <c r="C1709" i="33"/>
  <c r="C1710" i="33"/>
  <c r="C1711" i="33"/>
  <c r="C1712" i="33"/>
  <c r="C1713" i="33"/>
  <c r="C1714" i="33"/>
  <c r="C1715" i="33"/>
  <c r="C1716" i="33"/>
  <c r="C1717" i="33"/>
  <c r="C1718" i="33"/>
  <c r="C1719" i="33"/>
  <c r="C1720" i="33"/>
  <c r="C1721" i="33"/>
  <c r="C1722" i="33"/>
  <c r="C1723" i="33"/>
  <c r="C1724" i="33"/>
  <c r="C1725" i="33"/>
  <c r="C1726" i="33"/>
  <c r="C1727" i="33"/>
  <c r="C1728" i="33"/>
  <c r="C1729" i="33"/>
  <c r="C1730" i="33"/>
  <c r="C1731" i="33"/>
  <c r="C1732" i="33"/>
  <c r="C1733" i="33"/>
  <c r="C1734" i="33"/>
  <c r="C1735" i="33"/>
  <c r="C1736" i="33"/>
  <c r="C1737" i="33"/>
  <c r="C1738" i="33"/>
  <c r="C1739" i="33"/>
  <c r="C1740" i="33"/>
  <c r="C1741" i="33"/>
  <c r="C1742" i="33"/>
  <c r="C1743" i="33"/>
  <c r="C1744" i="33"/>
  <c r="C1745" i="33"/>
  <c r="C1746" i="33"/>
  <c r="C1747" i="33"/>
  <c r="C1748" i="33"/>
  <c r="C1749" i="33"/>
  <c r="C1750" i="33"/>
  <c r="C1751" i="33"/>
  <c r="C1752" i="33"/>
  <c r="C1753" i="33"/>
  <c r="C1754" i="33"/>
  <c r="C1755" i="33"/>
  <c r="C1756" i="33"/>
  <c r="C1757" i="33"/>
  <c r="C1758" i="33"/>
  <c r="C1759" i="33"/>
  <c r="C1760" i="33"/>
  <c r="C1761" i="33"/>
  <c r="C1762" i="33"/>
  <c r="C1763" i="33"/>
  <c r="C1764" i="33"/>
  <c r="C1765" i="33"/>
  <c r="C1766" i="33"/>
  <c r="C1767" i="33"/>
  <c r="C1768" i="33"/>
  <c r="C1769" i="33"/>
  <c r="C1770" i="33"/>
  <c r="C1771" i="33"/>
  <c r="C1772" i="33"/>
  <c r="C1773" i="33"/>
  <c r="C1774" i="33"/>
  <c r="C1775" i="33"/>
  <c r="C1776" i="33"/>
  <c r="C1777" i="33"/>
  <c r="C1778" i="33"/>
  <c r="C1779" i="33"/>
  <c r="C1780" i="33"/>
  <c r="C1781" i="33"/>
  <c r="C1782" i="33"/>
  <c r="C1783" i="33"/>
  <c r="C1784" i="33"/>
  <c r="C1785" i="33"/>
  <c r="C1786" i="33"/>
  <c r="C1787" i="33"/>
  <c r="C1788" i="33"/>
  <c r="C1789" i="33"/>
  <c r="C1790" i="33"/>
  <c r="C1791" i="33"/>
  <c r="C1792" i="33"/>
  <c r="C1793" i="33"/>
  <c r="C1794" i="33"/>
  <c r="C1795" i="33"/>
  <c r="C1796" i="33"/>
  <c r="C1797" i="33"/>
  <c r="C1798" i="33"/>
  <c r="C1799" i="33"/>
  <c r="C1800" i="33"/>
  <c r="C1801" i="33"/>
  <c r="C1802" i="33"/>
  <c r="C1803" i="33"/>
  <c r="C1804" i="33"/>
  <c r="C1805" i="33"/>
  <c r="C1806" i="33"/>
  <c r="C1807" i="33"/>
  <c r="C1808" i="33"/>
  <c r="C1809" i="33"/>
  <c r="C1810" i="33"/>
  <c r="C1811" i="33"/>
  <c r="C1812" i="33"/>
  <c r="C1813" i="33"/>
  <c r="C1814" i="33"/>
  <c r="C1815" i="33"/>
  <c r="C1816" i="33"/>
  <c r="C1817" i="33"/>
  <c r="C1818" i="33"/>
  <c r="C1819" i="33"/>
  <c r="C1820" i="33"/>
  <c r="C1821" i="33"/>
  <c r="C1822" i="33"/>
  <c r="C1823" i="33"/>
  <c r="C1824" i="33"/>
  <c r="C1825" i="33"/>
  <c r="C1826" i="33"/>
  <c r="C1827" i="33"/>
  <c r="C1828" i="33"/>
  <c r="C1829" i="33"/>
  <c r="C1830" i="33"/>
  <c r="C1831" i="33"/>
  <c r="C1832" i="33"/>
  <c r="C1833" i="33"/>
  <c r="C1834" i="33"/>
  <c r="C1835" i="33"/>
  <c r="C1836" i="33"/>
  <c r="C1837" i="33"/>
  <c r="C1838" i="33"/>
  <c r="C1839" i="33"/>
  <c r="C1840" i="33"/>
  <c r="C1841" i="33"/>
  <c r="C1842" i="33"/>
  <c r="C1843" i="33"/>
  <c r="C1844" i="33"/>
  <c r="C1845" i="33"/>
  <c r="C1846" i="33"/>
  <c r="C1847" i="33"/>
  <c r="C1848" i="33"/>
  <c r="C1849" i="33"/>
  <c r="C1850" i="33"/>
  <c r="C1851" i="33"/>
  <c r="C1852" i="33"/>
  <c r="C1853" i="33"/>
  <c r="C1854" i="33"/>
  <c r="C1855" i="33"/>
  <c r="C1856" i="33"/>
  <c r="C1857" i="33"/>
  <c r="C1858" i="33"/>
  <c r="C1859" i="33"/>
  <c r="C1860" i="33"/>
  <c r="C1861" i="33"/>
  <c r="C1862" i="33"/>
  <c r="C1863" i="33"/>
  <c r="C1864" i="33"/>
  <c r="C1865" i="33"/>
  <c r="B2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249" i="33"/>
  <c r="B250" i="33"/>
  <c r="B251" i="33"/>
  <c r="B252" i="33"/>
  <c r="B253" i="33"/>
  <c r="B254" i="33"/>
  <c r="B255" i="33"/>
  <c r="B256" i="33"/>
  <c r="B257" i="33"/>
  <c r="B258" i="33"/>
  <c r="B259" i="33"/>
  <c r="B260" i="33"/>
  <c r="B261" i="33"/>
  <c r="B262" i="33"/>
  <c r="B263" i="33"/>
  <c r="B264" i="33"/>
  <c r="B265" i="33"/>
  <c r="B266" i="33"/>
  <c r="B267" i="33"/>
  <c r="B268" i="33"/>
  <c r="B269" i="33"/>
  <c r="B270" i="33"/>
  <c r="B271" i="33"/>
  <c r="B272" i="33"/>
  <c r="B273" i="33"/>
  <c r="B274" i="33"/>
  <c r="B275" i="33"/>
  <c r="B276" i="33"/>
  <c r="B277" i="33"/>
  <c r="B278" i="33"/>
  <c r="B279" i="33"/>
  <c r="B280" i="33"/>
  <c r="B281" i="33"/>
  <c r="B282" i="33"/>
  <c r="B283" i="33"/>
  <c r="B284" i="33"/>
  <c r="B285" i="33"/>
  <c r="B286" i="33"/>
  <c r="B287" i="33"/>
  <c r="B288" i="33"/>
  <c r="B289" i="33"/>
  <c r="B290" i="33"/>
  <c r="B291" i="33"/>
  <c r="B292" i="33"/>
  <c r="B293" i="33"/>
  <c r="B294" i="33"/>
  <c r="B295" i="33"/>
  <c r="B296" i="33"/>
  <c r="B297" i="33"/>
  <c r="B298" i="33"/>
  <c r="B299" i="33"/>
  <c r="B300" i="33"/>
  <c r="B301" i="33"/>
  <c r="B302" i="33"/>
  <c r="B303" i="33"/>
  <c r="B304" i="33"/>
  <c r="B305" i="33"/>
  <c r="B306" i="33"/>
  <c r="B307" i="33"/>
  <c r="B308" i="33"/>
  <c r="B309" i="33"/>
  <c r="B310" i="33"/>
  <c r="B311" i="33"/>
  <c r="B312" i="33"/>
  <c r="B313" i="33"/>
  <c r="B314" i="33"/>
  <c r="B315" i="33"/>
  <c r="B316" i="33"/>
  <c r="B317" i="33"/>
  <c r="B318" i="33"/>
  <c r="B319" i="33"/>
  <c r="B320" i="33"/>
  <c r="B321" i="33"/>
  <c r="B322" i="33"/>
  <c r="B323" i="33"/>
  <c r="B324" i="33"/>
  <c r="B325" i="33"/>
  <c r="B326" i="33"/>
  <c r="B327" i="33"/>
  <c r="B328" i="33"/>
  <c r="B329" i="33"/>
  <c r="B330" i="33"/>
  <c r="B331" i="33"/>
  <c r="B332" i="33"/>
  <c r="B333" i="33"/>
  <c r="B334" i="33"/>
  <c r="B335" i="33"/>
  <c r="B336" i="33"/>
  <c r="B337" i="33"/>
  <c r="B338" i="33"/>
  <c r="B339" i="33"/>
  <c r="B340" i="33"/>
  <c r="B341" i="33"/>
  <c r="B342" i="33"/>
  <c r="B343" i="33"/>
  <c r="B344" i="33"/>
  <c r="B345" i="33"/>
  <c r="B346" i="33"/>
  <c r="B347" i="33"/>
  <c r="B348" i="33"/>
  <c r="B349" i="33"/>
  <c r="B350" i="33"/>
  <c r="B351" i="33"/>
  <c r="B352" i="33"/>
  <c r="B353" i="33"/>
  <c r="B354" i="33"/>
  <c r="B355" i="33"/>
  <c r="B356" i="33"/>
  <c r="B357" i="33"/>
  <c r="B358" i="33"/>
  <c r="B359" i="33"/>
  <c r="B360" i="33"/>
  <c r="B361" i="33"/>
  <c r="B362" i="33"/>
  <c r="B363" i="33"/>
  <c r="B364" i="33"/>
  <c r="B365" i="33"/>
  <c r="B366" i="33"/>
  <c r="B367" i="33"/>
  <c r="B368" i="33"/>
  <c r="B369" i="33"/>
  <c r="B370" i="33"/>
  <c r="B371" i="33"/>
  <c r="B372" i="33"/>
  <c r="B373" i="33"/>
  <c r="B374" i="33"/>
  <c r="B375" i="33"/>
  <c r="B376" i="33"/>
  <c r="B377" i="33"/>
  <c r="B378" i="33"/>
  <c r="B379" i="33"/>
  <c r="B380" i="33"/>
  <c r="B381" i="33"/>
  <c r="B382" i="33"/>
  <c r="B383" i="33"/>
  <c r="B384" i="33"/>
  <c r="B385" i="33"/>
  <c r="B386" i="33"/>
  <c r="B387" i="33"/>
  <c r="B388" i="33"/>
  <c r="B389" i="33"/>
  <c r="B390" i="33"/>
  <c r="B391" i="33"/>
  <c r="B392" i="33"/>
  <c r="B393" i="33"/>
  <c r="B394" i="33"/>
  <c r="B395" i="33"/>
  <c r="B396" i="33"/>
  <c r="B397" i="33"/>
  <c r="B398" i="33"/>
  <c r="B399" i="33"/>
  <c r="B400" i="33"/>
  <c r="B401" i="33"/>
  <c r="B402" i="33"/>
  <c r="B403" i="33"/>
  <c r="B404" i="33"/>
  <c r="B405" i="33"/>
  <c r="B406" i="33"/>
  <c r="B407" i="33"/>
  <c r="B408" i="33"/>
  <c r="B409" i="33"/>
  <c r="B410" i="33"/>
  <c r="B411" i="33"/>
  <c r="B412" i="33"/>
  <c r="B413" i="33"/>
  <c r="B414" i="33"/>
  <c r="B415" i="33"/>
  <c r="B416" i="33"/>
  <c r="B417" i="33"/>
  <c r="B418" i="33"/>
  <c r="B419" i="33"/>
  <c r="B420" i="33"/>
  <c r="B421" i="33"/>
  <c r="B422" i="33"/>
  <c r="B423" i="33"/>
  <c r="B424" i="33"/>
  <c r="B425" i="33"/>
  <c r="B426" i="33"/>
  <c r="B427" i="33"/>
  <c r="B428" i="33"/>
  <c r="B429" i="33"/>
  <c r="B430" i="33"/>
  <c r="B431" i="33"/>
  <c r="B432" i="33"/>
  <c r="B433" i="33"/>
  <c r="B434" i="33"/>
  <c r="B435" i="33"/>
  <c r="B436" i="33"/>
  <c r="B437" i="33"/>
  <c r="B438" i="33"/>
  <c r="B439" i="33"/>
  <c r="B440" i="33"/>
  <c r="B441" i="33"/>
  <c r="B442" i="33"/>
  <c r="B443" i="33"/>
  <c r="B444" i="33"/>
  <c r="B445" i="33"/>
  <c r="B446" i="33"/>
  <c r="B447" i="33"/>
  <c r="B448" i="33"/>
  <c r="B449" i="33"/>
  <c r="B450" i="33"/>
  <c r="B451" i="33"/>
  <c r="B452" i="33"/>
  <c r="B453" i="33"/>
  <c r="B454" i="33"/>
  <c r="B455" i="33"/>
  <c r="B456" i="33"/>
  <c r="B457" i="33"/>
  <c r="B458" i="33"/>
  <c r="B459" i="33"/>
  <c r="B460" i="33"/>
  <c r="B461" i="33"/>
  <c r="B462" i="33"/>
  <c r="B463" i="33"/>
  <c r="B464" i="33"/>
  <c r="B465" i="33"/>
  <c r="B466" i="33"/>
  <c r="B467" i="33"/>
  <c r="B468" i="33"/>
  <c r="B469" i="33"/>
  <c r="B470" i="33"/>
  <c r="B471" i="33"/>
  <c r="B472" i="33"/>
  <c r="B473" i="33"/>
  <c r="B474" i="33"/>
  <c r="B475" i="33"/>
  <c r="B476" i="33"/>
  <c r="B477" i="33"/>
  <c r="B478" i="33"/>
  <c r="B479" i="33"/>
  <c r="B480" i="33"/>
  <c r="B481" i="33"/>
  <c r="B482" i="33"/>
  <c r="B483" i="33"/>
  <c r="B484" i="33"/>
  <c r="B485" i="33"/>
  <c r="B486" i="33"/>
  <c r="B487" i="33"/>
  <c r="B488" i="33"/>
  <c r="B489" i="33"/>
  <c r="B490" i="33"/>
  <c r="B491" i="33"/>
  <c r="B492" i="33"/>
  <c r="B493" i="33"/>
  <c r="B494" i="33"/>
  <c r="B495" i="33"/>
  <c r="B496" i="33"/>
  <c r="B497" i="33"/>
  <c r="B498" i="33"/>
  <c r="B499" i="33"/>
  <c r="B500" i="33"/>
  <c r="B501" i="33"/>
  <c r="B502" i="33"/>
  <c r="B503" i="33"/>
  <c r="B504" i="33"/>
  <c r="B505" i="33"/>
  <c r="B506" i="33"/>
  <c r="B507" i="33"/>
  <c r="B508" i="33"/>
  <c r="B509" i="33"/>
  <c r="B510" i="33"/>
  <c r="B511" i="33"/>
  <c r="B512" i="33"/>
  <c r="B513" i="33"/>
  <c r="B514" i="33"/>
  <c r="B515" i="33"/>
  <c r="B516" i="33"/>
  <c r="B517" i="33"/>
  <c r="B518" i="33"/>
  <c r="B519" i="33"/>
  <c r="B520" i="33"/>
  <c r="B521" i="33"/>
  <c r="B522" i="33"/>
  <c r="B523" i="33"/>
  <c r="B524" i="33"/>
  <c r="B525" i="33"/>
  <c r="B526" i="33"/>
  <c r="B527" i="33"/>
  <c r="B528" i="33"/>
  <c r="B529" i="33"/>
  <c r="B530" i="33"/>
  <c r="B531" i="33"/>
  <c r="B532" i="33"/>
  <c r="B533" i="33"/>
  <c r="B534" i="33"/>
  <c r="B535" i="33"/>
  <c r="B536" i="33"/>
  <c r="B537" i="33"/>
  <c r="B538" i="33"/>
  <c r="B539" i="33"/>
  <c r="B540" i="33"/>
  <c r="B541" i="33"/>
  <c r="B542" i="33"/>
  <c r="B543" i="33"/>
  <c r="B544" i="33"/>
  <c r="B545" i="33"/>
  <c r="B546" i="33"/>
  <c r="B547" i="33"/>
  <c r="B548" i="33"/>
  <c r="B549" i="33"/>
  <c r="B550" i="33"/>
  <c r="B551" i="33"/>
  <c r="B552" i="33"/>
  <c r="B553" i="33"/>
  <c r="B554" i="33"/>
  <c r="B555" i="33"/>
  <c r="B556" i="33"/>
  <c r="B557" i="33"/>
  <c r="B558" i="33"/>
  <c r="B559" i="33"/>
  <c r="B560" i="33"/>
  <c r="B561" i="33"/>
  <c r="B562" i="33"/>
  <c r="B563" i="33"/>
  <c r="B564" i="33"/>
  <c r="B565" i="33"/>
  <c r="B566" i="33"/>
  <c r="B567" i="33"/>
  <c r="B568" i="33"/>
  <c r="B569" i="33"/>
  <c r="B570" i="33"/>
  <c r="B571" i="33"/>
  <c r="B572" i="33"/>
  <c r="B573" i="33"/>
  <c r="B574" i="33"/>
  <c r="B575" i="33"/>
  <c r="B576" i="33"/>
  <c r="B577" i="33"/>
  <c r="B578" i="33"/>
  <c r="B579" i="33"/>
  <c r="B580" i="33"/>
  <c r="B581" i="33"/>
  <c r="B582" i="33"/>
  <c r="B583" i="33"/>
  <c r="B584" i="33"/>
  <c r="B585" i="33"/>
  <c r="B586" i="33"/>
  <c r="B587" i="33"/>
  <c r="B588" i="33"/>
  <c r="B589" i="33"/>
  <c r="B590" i="33"/>
  <c r="B591" i="33"/>
  <c r="B592" i="33"/>
  <c r="B593" i="33"/>
  <c r="B594" i="33"/>
  <c r="B595" i="33"/>
  <c r="B596" i="33"/>
  <c r="B597" i="33"/>
  <c r="B598" i="33"/>
  <c r="B599" i="33"/>
  <c r="B600" i="33"/>
  <c r="B601" i="33"/>
  <c r="B602" i="33"/>
  <c r="B603" i="33"/>
  <c r="B604" i="33"/>
  <c r="B605" i="33"/>
  <c r="B606" i="33"/>
  <c r="B607" i="33"/>
  <c r="B608" i="33"/>
  <c r="B609" i="33"/>
  <c r="B610" i="33"/>
  <c r="B611" i="33"/>
  <c r="B612" i="33"/>
  <c r="B613" i="33"/>
  <c r="B614" i="33"/>
  <c r="B615" i="33"/>
  <c r="B616" i="33"/>
  <c r="B617" i="33"/>
  <c r="B618" i="33"/>
  <c r="B619" i="33"/>
  <c r="B620" i="33"/>
  <c r="B621" i="33"/>
  <c r="B622" i="33"/>
  <c r="B623" i="33"/>
  <c r="B624" i="33"/>
  <c r="B625" i="33"/>
  <c r="B626" i="33"/>
  <c r="B627" i="33"/>
  <c r="B628" i="33"/>
  <c r="B629" i="33"/>
  <c r="B630" i="33"/>
  <c r="B631" i="33"/>
  <c r="B632" i="33"/>
  <c r="B633" i="33"/>
  <c r="B634" i="33"/>
  <c r="B635" i="33"/>
  <c r="B636" i="33"/>
  <c r="B637" i="33"/>
  <c r="B638" i="33"/>
  <c r="B639" i="33"/>
  <c r="B640" i="33"/>
  <c r="B641" i="33"/>
  <c r="B642" i="33"/>
  <c r="B643" i="33"/>
  <c r="B644" i="33"/>
  <c r="B645" i="33"/>
  <c r="B646" i="33"/>
  <c r="B647" i="33"/>
  <c r="B648" i="33"/>
  <c r="B649" i="33"/>
  <c r="B650" i="33"/>
  <c r="B651" i="33"/>
  <c r="B652" i="33"/>
  <c r="B653" i="33"/>
  <c r="B654" i="33"/>
  <c r="B655" i="33"/>
  <c r="B656" i="33"/>
  <c r="B657" i="33"/>
  <c r="B658" i="33"/>
  <c r="B659" i="33"/>
  <c r="B660" i="33"/>
  <c r="B661" i="33"/>
  <c r="B662" i="33"/>
  <c r="B663" i="33"/>
  <c r="B664" i="33"/>
  <c r="B665" i="33"/>
  <c r="B666" i="33"/>
  <c r="B667" i="33"/>
  <c r="B668" i="33"/>
  <c r="B669" i="33"/>
  <c r="B670" i="33"/>
  <c r="B671" i="33"/>
  <c r="B672" i="33"/>
  <c r="B673" i="33"/>
  <c r="B674" i="33"/>
  <c r="B675" i="33"/>
  <c r="B676" i="33"/>
  <c r="B677" i="33"/>
  <c r="B678" i="33"/>
  <c r="B679" i="33"/>
  <c r="B680" i="33"/>
  <c r="B681" i="33"/>
  <c r="B682" i="33"/>
  <c r="B683" i="33"/>
  <c r="B684" i="33"/>
  <c r="B685" i="33"/>
  <c r="B686" i="33"/>
  <c r="B687" i="33"/>
  <c r="B688" i="33"/>
  <c r="B689" i="33"/>
  <c r="B690" i="33"/>
  <c r="B691" i="33"/>
  <c r="B692" i="33"/>
  <c r="B693" i="33"/>
  <c r="B694" i="33"/>
  <c r="B695" i="33"/>
  <c r="B696" i="33"/>
  <c r="B697" i="33"/>
  <c r="B698" i="33"/>
  <c r="B699" i="33"/>
  <c r="B700" i="33"/>
  <c r="B701" i="33"/>
  <c r="B702" i="33"/>
  <c r="B703" i="33"/>
  <c r="B704" i="33"/>
  <c r="B705" i="33"/>
  <c r="B706" i="33"/>
  <c r="B707" i="33"/>
  <c r="B708" i="33"/>
  <c r="B709" i="33"/>
  <c r="B710" i="33"/>
  <c r="B711" i="33"/>
  <c r="B712" i="33"/>
  <c r="B713" i="33"/>
  <c r="B714" i="33"/>
  <c r="B715" i="33"/>
  <c r="B716" i="33"/>
  <c r="B717" i="33"/>
  <c r="B718" i="33"/>
  <c r="B719" i="33"/>
  <c r="B720" i="33"/>
  <c r="B721" i="33"/>
  <c r="B722" i="33"/>
  <c r="B723" i="33"/>
  <c r="B724" i="33"/>
  <c r="B725" i="33"/>
  <c r="B726" i="33"/>
  <c r="B727" i="33"/>
  <c r="B728" i="33"/>
  <c r="B729" i="33"/>
  <c r="B730" i="33"/>
  <c r="B731" i="33"/>
  <c r="B732" i="33"/>
  <c r="B733" i="33"/>
  <c r="B734" i="33"/>
  <c r="B735" i="33"/>
  <c r="B736" i="33"/>
  <c r="B737" i="33"/>
  <c r="B738" i="33"/>
  <c r="B739" i="33"/>
  <c r="B740" i="33"/>
  <c r="B741" i="33"/>
  <c r="B742" i="33"/>
  <c r="B743" i="33"/>
  <c r="B744" i="33"/>
  <c r="B745" i="33"/>
  <c r="B746" i="33"/>
  <c r="B747" i="33"/>
  <c r="B748" i="33"/>
  <c r="B749" i="33"/>
  <c r="B750" i="33"/>
  <c r="B751" i="33"/>
  <c r="B752" i="33"/>
  <c r="B753" i="33"/>
  <c r="B754" i="33"/>
  <c r="B755" i="33"/>
  <c r="B756" i="33"/>
  <c r="B757" i="33"/>
  <c r="B758" i="33"/>
  <c r="B759" i="33"/>
  <c r="B760" i="33"/>
  <c r="B761" i="33"/>
  <c r="B762" i="33"/>
  <c r="B763" i="33"/>
  <c r="B764" i="33"/>
  <c r="B765" i="33"/>
  <c r="B766" i="33"/>
  <c r="B767" i="33"/>
  <c r="B768" i="33"/>
  <c r="B769" i="33"/>
  <c r="B770" i="33"/>
  <c r="B771" i="33"/>
  <c r="B772" i="33"/>
  <c r="B773" i="33"/>
  <c r="B774" i="33"/>
  <c r="B775" i="33"/>
  <c r="B776" i="33"/>
  <c r="B777" i="33"/>
  <c r="B778" i="33"/>
  <c r="B779" i="33"/>
  <c r="B780" i="33"/>
  <c r="B781" i="33"/>
  <c r="B782" i="33"/>
  <c r="B783" i="33"/>
  <c r="B784" i="33"/>
  <c r="B785" i="33"/>
  <c r="B786" i="33"/>
  <c r="B787" i="33"/>
  <c r="B788" i="33"/>
  <c r="B789" i="33"/>
  <c r="B790" i="33"/>
  <c r="B791" i="33"/>
  <c r="B792" i="33"/>
  <c r="B793" i="33"/>
  <c r="B794" i="33"/>
  <c r="B795" i="33"/>
  <c r="B796" i="33"/>
  <c r="B797" i="33"/>
  <c r="B798" i="33"/>
  <c r="B799" i="33"/>
  <c r="B800" i="33"/>
  <c r="B801" i="33"/>
  <c r="B802" i="33"/>
  <c r="B803" i="33"/>
  <c r="B804" i="33"/>
  <c r="B805" i="33"/>
  <c r="B806" i="33"/>
  <c r="B807" i="33"/>
  <c r="B808" i="33"/>
  <c r="B809" i="33"/>
  <c r="B810" i="33"/>
  <c r="B811" i="33"/>
  <c r="B812" i="33"/>
  <c r="B813" i="33"/>
  <c r="B814" i="33"/>
  <c r="B815" i="33"/>
  <c r="B816" i="33"/>
  <c r="B817" i="33"/>
  <c r="B818" i="33"/>
  <c r="B819" i="33"/>
  <c r="B820" i="33"/>
  <c r="B821" i="33"/>
  <c r="B822" i="33"/>
  <c r="B823" i="33"/>
  <c r="B824" i="33"/>
  <c r="B825" i="33"/>
  <c r="B826" i="33"/>
  <c r="B827" i="33"/>
  <c r="B828" i="33"/>
  <c r="B829" i="33"/>
  <c r="B830" i="33"/>
  <c r="B831" i="33"/>
  <c r="B832" i="33"/>
  <c r="B833" i="33"/>
  <c r="B834" i="33"/>
  <c r="B835" i="33"/>
  <c r="B836" i="33"/>
  <c r="B837" i="33"/>
  <c r="B838" i="33"/>
  <c r="B839" i="33"/>
  <c r="B840" i="33"/>
  <c r="B841" i="33"/>
  <c r="B842" i="33"/>
  <c r="B843" i="33"/>
  <c r="B844" i="33"/>
  <c r="B845" i="33"/>
  <c r="B846" i="33"/>
  <c r="B847" i="33"/>
  <c r="B848" i="33"/>
  <c r="B849" i="33"/>
  <c r="B850" i="33"/>
  <c r="B851" i="33"/>
  <c r="B852" i="33"/>
  <c r="B853" i="33"/>
  <c r="B854" i="33"/>
  <c r="B855" i="33"/>
  <c r="B856" i="33"/>
  <c r="B857" i="33"/>
  <c r="B858" i="33"/>
  <c r="B859" i="33"/>
  <c r="B860" i="33"/>
  <c r="B861" i="33"/>
  <c r="B862" i="33"/>
  <c r="B863" i="33"/>
  <c r="B864" i="33"/>
  <c r="B865" i="33"/>
  <c r="B866" i="33"/>
  <c r="B867" i="33"/>
  <c r="B868" i="33"/>
  <c r="B869" i="33"/>
  <c r="B870" i="33"/>
  <c r="B871" i="33"/>
  <c r="B872" i="33"/>
  <c r="B873" i="33"/>
  <c r="B874" i="33"/>
  <c r="B875" i="33"/>
  <c r="B876" i="33"/>
  <c r="B877" i="33"/>
  <c r="B878" i="33"/>
  <c r="B879" i="33"/>
  <c r="B880" i="33"/>
  <c r="B881" i="33"/>
  <c r="B882" i="33"/>
  <c r="B883" i="33"/>
  <c r="B884" i="33"/>
  <c r="B885" i="33"/>
  <c r="B886" i="33"/>
  <c r="B887" i="33"/>
  <c r="B888" i="33"/>
  <c r="B889" i="33"/>
  <c r="B890" i="33"/>
  <c r="B891" i="33"/>
  <c r="B892" i="33"/>
  <c r="B893" i="33"/>
  <c r="B894" i="33"/>
  <c r="B895" i="33"/>
  <c r="B896" i="33"/>
  <c r="B897" i="33"/>
  <c r="B898" i="33"/>
  <c r="B899" i="33"/>
  <c r="B900" i="33"/>
  <c r="B901" i="33"/>
  <c r="B902" i="33"/>
  <c r="B903" i="33"/>
  <c r="B904" i="33"/>
  <c r="B905" i="33"/>
  <c r="B906" i="33"/>
  <c r="B907" i="33"/>
  <c r="B908" i="33"/>
  <c r="B909" i="33"/>
  <c r="B910" i="33"/>
  <c r="B911" i="33"/>
  <c r="B912" i="33"/>
  <c r="B913" i="33"/>
  <c r="B914" i="33"/>
  <c r="B915" i="33"/>
  <c r="B916" i="33"/>
  <c r="B917" i="33"/>
  <c r="B918" i="33"/>
  <c r="B919" i="33"/>
  <c r="B920" i="33"/>
  <c r="B921" i="33"/>
  <c r="B922" i="33"/>
  <c r="B923" i="33"/>
  <c r="B924" i="33"/>
  <c r="B925" i="33"/>
  <c r="B926" i="33"/>
  <c r="B927" i="33"/>
  <c r="B928" i="33"/>
  <c r="B929" i="33"/>
  <c r="B930" i="33"/>
  <c r="B931" i="33"/>
  <c r="B932" i="33"/>
  <c r="B933" i="33"/>
  <c r="B934" i="33"/>
  <c r="B935" i="33"/>
  <c r="B936" i="33"/>
  <c r="B937" i="33"/>
  <c r="B938" i="33"/>
  <c r="B939" i="33"/>
  <c r="B940" i="33"/>
  <c r="B941" i="33"/>
  <c r="B942" i="33"/>
  <c r="B943" i="33"/>
  <c r="B944" i="33"/>
  <c r="B945" i="33"/>
  <c r="B946" i="33"/>
  <c r="B947" i="33"/>
  <c r="B948" i="33"/>
  <c r="B949" i="33"/>
  <c r="B950" i="33"/>
  <c r="B951" i="33"/>
  <c r="B952" i="33"/>
  <c r="B953" i="33"/>
  <c r="B954" i="33"/>
  <c r="B955" i="33"/>
  <c r="B956" i="33"/>
  <c r="B957" i="33"/>
  <c r="B958" i="33"/>
  <c r="B959" i="33"/>
  <c r="B960" i="33"/>
  <c r="B961" i="33"/>
  <c r="B962" i="33"/>
  <c r="B963" i="33"/>
  <c r="B964" i="33"/>
  <c r="B965" i="33"/>
  <c r="B966" i="33"/>
  <c r="B967" i="33"/>
  <c r="B968" i="33"/>
  <c r="B969" i="33"/>
  <c r="B970" i="33"/>
  <c r="B971" i="33"/>
  <c r="B972" i="33"/>
  <c r="B973" i="33"/>
  <c r="B974" i="33"/>
  <c r="B975" i="33"/>
  <c r="B976" i="33"/>
  <c r="B977" i="33"/>
  <c r="B978" i="33"/>
  <c r="B979" i="33"/>
  <c r="B980" i="33"/>
  <c r="B981" i="33"/>
  <c r="B982" i="33"/>
  <c r="B983" i="33"/>
  <c r="B984" i="33"/>
  <c r="B985" i="33"/>
  <c r="B986" i="33"/>
  <c r="B987" i="33"/>
  <c r="B988" i="33"/>
  <c r="B989" i="33"/>
  <c r="B990" i="33"/>
  <c r="B991" i="33"/>
  <c r="B992" i="33"/>
  <c r="B993" i="33"/>
  <c r="B994" i="33"/>
  <c r="B995" i="33"/>
  <c r="B996" i="33"/>
  <c r="B997" i="33"/>
  <c r="B998" i="33"/>
  <c r="B999" i="33"/>
  <c r="B1000" i="33"/>
  <c r="B1001" i="33"/>
  <c r="B1002" i="33"/>
  <c r="B1003" i="33"/>
  <c r="B1004" i="33"/>
  <c r="B1005" i="33"/>
  <c r="B1006" i="33"/>
  <c r="B1007" i="33"/>
  <c r="B1008" i="33"/>
  <c r="B1009" i="33"/>
  <c r="B1010" i="33"/>
  <c r="B1011" i="33"/>
  <c r="B1012" i="33"/>
  <c r="B1013" i="33"/>
  <c r="B1014" i="33"/>
  <c r="B1015" i="33"/>
  <c r="B1016" i="33"/>
  <c r="B1017" i="33"/>
  <c r="B1018" i="33"/>
  <c r="B1019" i="33"/>
  <c r="B1020" i="33"/>
  <c r="B1021" i="33"/>
  <c r="B1022" i="33"/>
  <c r="B1023" i="33"/>
  <c r="B1024" i="33"/>
  <c r="B1025" i="33"/>
  <c r="B1026" i="33"/>
  <c r="B1027" i="33"/>
  <c r="B1028" i="33"/>
  <c r="B1029" i="33"/>
  <c r="B1030" i="33"/>
  <c r="B1031" i="33"/>
  <c r="B1032" i="33"/>
  <c r="B1033" i="33"/>
  <c r="B1034" i="33"/>
  <c r="B1035" i="33"/>
  <c r="B1036" i="33"/>
  <c r="B1037" i="33"/>
  <c r="B1038" i="33"/>
  <c r="B1039" i="33"/>
  <c r="B1040" i="33"/>
  <c r="B1041" i="33"/>
  <c r="B1042" i="33"/>
  <c r="B1043" i="33"/>
  <c r="B1044" i="33"/>
  <c r="B1045" i="33"/>
  <c r="B1046" i="33"/>
  <c r="B1047" i="33"/>
  <c r="B1048" i="33"/>
  <c r="B1049" i="33"/>
  <c r="B1050" i="33"/>
  <c r="B1051" i="33"/>
  <c r="B1052" i="33"/>
  <c r="B1053" i="33"/>
  <c r="B1054" i="33"/>
  <c r="B1055" i="33"/>
  <c r="B1056" i="33"/>
  <c r="B1057" i="33"/>
  <c r="B1058" i="33"/>
  <c r="B1059" i="33"/>
  <c r="B1060" i="33"/>
  <c r="B1061" i="33"/>
  <c r="B1062" i="33"/>
  <c r="B1063" i="33"/>
  <c r="B1064" i="33"/>
  <c r="B1065" i="33"/>
  <c r="B1066" i="33"/>
  <c r="B1067" i="33"/>
  <c r="B1068" i="33"/>
  <c r="B1069" i="33"/>
  <c r="B1070" i="33"/>
  <c r="B1071" i="33"/>
  <c r="B1072" i="33"/>
  <c r="B1073" i="33"/>
  <c r="B1074" i="33"/>
  <c r="B1075" i="33"/>
  <c r="B1076" i="33"/>
  <c r="B1077" i="33"/>
  <c r="B1078" i="33"/>
  <c r="B1079" i="33"/>
  <c r="B1080" i="33"/>
  <c r="B1081" i="33"/>
  <c r="B1082" i="33"/>
  <c r="B1083" i="33"/>
  <c r="B1084" i="33"/>
  <c r="B1085" i="33"/>
  <c r="B1086" i="33"/>
  <c r="B1087" i="33"/>
  <c r="B1088" i="33"/>
  <c r="B1089" i="33"/>
  <c r="B1090" i="33"/>
  <c r="B1091" i="33"/>
  <c r="B1092" i="33"/>
  <c r="B1093" i="33"/>
  <c r="B1094" i="33"/>
  <c r="B1095" i="33"/>
  <c r="B1096" i="33"/>
  <c r="B1097" i="33"/>
  <c r="B1098" i="33"/>
  <c r="B1099" i="33"/>
  <c r="B1100" i="33"/>
  <c r="B1101" i="33"/>
  <c r="B1102" i="33"/>
  <c r="B1103" i="33"/>
  <c r="B1104" i="33"/>
  <c r="B1105" i="33"/>
  <c r="B1106" i="33"/>
  <c r="B1107" i="33"/>
  <c r="B1108" i="33"/>
  <c r="B1109" i="33"/>
  <c r="B1110" i="33"/>
  <c r="B1111" i="33"/>
  <c r="B1112" i="33"/>
  <c r="B1113" i="33"/>
  <c r="B1114" i="33"/>
  <c r="B1115" i="33"/>
  <c r="B1116" i="33"/>
  <c r="B1117" i="33"/>
  <c r="B1118" i="33"/>
  <c r="B1119" i="33"/>
  <c r="B1120" i="33"/>
  <c r="B1121" i="33"/>
  <c r="B1122" i="33"/>
  <c r="B1123" i="33"/>
  <c r="B1124" i="33"/>
  <c r="B1125" i="33"/>
  <c r="B1126" i="33"/>
  <c r="B1127" i="33"/>
  <c r="B1128" i="33"/>
  <c r="B1129" i="33"/>
  <c r="B1130" i="33"/>
  <c r="B1131" i="33"/>
  <c r="B1132" i="33"/>
  <c r="B1133" i="33"/>
  <c r="B1134" i="33"/>
  <c r="B1135" i="33"/>
  <c r="B1136" i="33"/>
  <c r="B1137" i="33"/>
  <c r="B1138" i="33"/>
  <c r="B1139" i="33"/>
  <c r="B1140" i="33"/>
  <c r="B1141" i="33"/>
  <c r="B1142" i="33"/>
  <c r="B1143" i="33"/>
  <c r="B1144" i="33"/>
  <c r="B1145" i="33"/>
  <c r="B1146" i="33"/>
  <c r="B1147" i="33"/>
  <c r="B1148" i="33"/>
  <c r="B1149" i="33"/>
  <c r="B1150" i="33"/>
  <c r="B1151" i="33"/>
  <c r="B1152" i="33"/>
  <c r="B1153" i="33"/>
  <c r="B1154" i="33"/>
  <c r="B1155" i="33"/>
  <c r="B1156" i="33"/>
  <c r="B1157" i="33"/>
  <c r="B1158" i="33"/>
  <c r="B1159" i="33"/>
  <c r="B1160" i="33"/>
  <c r="B1161" i="33"/>
  <c r="B1162" i="33"/>
  <c r="B1163" i="33"/>
  <c r="B1164" i="33"/>
  <c r="B1165" i="33"/>
  <c r="B1166" i="33"/>
  <c r="B1167" i="33"/>
  <c r="B1168" i="33"/>
  <c r="B1169" i="33"/>
  <c r="B1170" i="33"/>
  <c r="B1171" i="33"/>
  <c r="B1172" i="33"/>
  <c r="B1173" i="33"/>
  <c r="B1174" i="33"/>
  <c r="B1175" i="33"/>
  <c r="B1176" i="33"/>
  <c r="B1177" i="33"/>
  <c r="B1178" i="33"/>
  <c r="B1179" i="33"/>
  <c r="B1180" i="33"/>
  <c r="B1181" i="33"/>
  <c r="B1182" i="33"/>
  <c r="B1183" i="33"/>
  <c r="B1184" i="33"/>
  <c r="B1185" i="33"/>
  <c r="B1186" i="33"/>
  <c r="B1187" i="33"/>
  <c r="B1188" i="33"/>
  <c r="B1189" i="33"/>
  <c r="B1190" i="33"/>
  <c r="B1191" i="33"/>
  <c r="B1192" i="33"/>
  <c r="B1193" i="33"/>
  <c r="B1194" i="33"/>
  <c r="B1195" i="33"/>
  <c r="B1196" i="33"/>
  <c r="B1197" i="33"/>
  <c r="B1198" i="33"/>
  <c r="B1199" i="33"/>
  <c r="B1200" i="33"/>
  <c r="B1201" i="33"/>
  <c r="B1202" i="33"/>
  <c r="B1203" i="33"/>
  <c r="B1204" i="33"/>
  <c r="B1205" i="33"/>
  <c r="B1206" i="33"/>
  <c r="B1207" i="33"/>
  <c r="B1208" i="33"/>
  <c r="B1209" i="33"/>
  <c r="B1210" i="33"/>
  <c r="B1211" i="33"/>
  <c r="B1212" i="33"/>
  <c r="B1213" i="33"/>
  <c r="B1214" i="33"/>
  <c r="B1215" i="33"/>
  <c r="B1216" i="33"/>
  <c r="B1217" i="33"/>
  <c r="B1218" i="33"/>
  <c r="B1219" i="33"/>
  <c r="B1220" i="33"/>
  <c r="B1221" i="33"/>
  <c r="B1222" i="33"/>
  <c r="B1223" i="33"/>
  <c r="B1224" i="33"/>
  <c r="B1225" i="33"/>
  <c r="B1226" i="33"/>
  <c r="B1227" i="33"/>
  <c r="B1228" i="33"/>
  <c r="B1229" i="33"/>
  <c r="B1230" i="33"/>
  <c r="B1231" i="33"/>
  <c r="B1232" i="33"/>
  <c r="B1233" i="33"/>
  <c r="B1234" i="33"/>
  <c r="B1235" i="33"/>
  <c r="B1236" i="33"/>
  <c r="B1237" i="33"/>
  <c r="B1238" i="33"/>
  <c r="B1239" i="33"/>
  <c r="B1240" i="33"/>
  <c r="B1241" i="33"/>
  <c r="B1242" i="33"/>
  <c r="B1243" i="33"/>
  <c r="B1244" i="33"/>
  <c r="B1245" i="33"/>
  <c r="B1246" i="33"/>
  <c r="B1247" i="33"/>
  <c r="B1248" i="33"/>
  <c r="B1249" i="33"/>
  <c r="B1250" i="33"/>
  <c r="B1251" i="33"/>
  <c r="B1252" i="33"/>
  <c r="B1253" i="33"/>
  <c r="B1254" i="33"/>
  <c r="B1255" i="33"/>
  <c r="B1256" i="33"/>
  <c r="B1257" i="33"/>
  <c r="B1258" i="33"/>
  <c r="B1259" i="33"/>
  <c r="B1260" i="33"/>
  <c r="B1261" i="33"/>
  <c r="B1262" i="33"/>
  <c r="B1263" i="33"/>
  <c r="B1264" i="33"/>
  <c r="B1265" i="33"/>
  <c r="B1266" i="33"/>
  <c r="B1267" i="33"/>
  <c r="B1268" i="33"/>
  <c r="B1269" i="33"/>
  <c r="B1270" i="33"/>
  <c r="B1271" i="33"/>
  <c r="B1272" i="33"/>
  <c r="B1273" i="33"/>
  <c r="B1274" i="33"/>
  <c r="B1275" i="33"/>
  <c r="B1276" i="33"/>
  <c r="B1277" i="33"/>
  <c r="B1278" i="33"/>
  <c r="B1279" i="33"/>
  <c r="B1280" i="33"/>
  <c r="B1281" i="33"/>
  <c r="B1282" i="33"/>
  <c r="B1283" i="33"/>
  <c r="B1284" i="33"/>
  <c r="B1285" i="33"/>
  <c r="B1286" i="33"/>
  <c r="B1287" i="33"/>
  <c r="B1288" i="33"/>
  <c r="B1289" i="33"/>
  <c r="B1290" i="33"/>
  <c r="B1291" i="33"/>
  <c r="B1292" i="33"/>
  <c r="B1293" i="33"/>
  <c r="B1294" i="33"/>
  <c r="B1295" i="33"/>
  <c r="B1296" i="33"/>
  <c r="B1297" i="33"/>
  <c r="B1298" i="33"/>
  <c r="B1299" i="33"/>
  <c r="B1300" i="33"/>
  <c r="B1301" i="33"/>
  <c r="B1302" i="33"/>
  <c r="B1303" i="33"/>
  <c r="B1304" i="33"/>
  <c r="B1305" i="33"/>
  <c r="B1306" i="33"/>
  <c r="B1307" i="33"/>
  <c r="B1308" i="33"/>
  <c r="B1309" i="33"/>
  <c r="B1310" i="33"/>
  <c r="B1311" i="33"/>
  <c r="B1312" i="33"/>
  <c r="B1313" i="33"/>
  <c r="B1314" i="33"/>
  <c r="B1315" i="33"/>
  <c r="B1316" i="33"/>
  <c r="B1317" i="33"/>
  <c r="B1318" i="33"/>
  <c r="B1319" i="33"/>
  <c r="B1320" i="33"/>
  <c r="B1321" i="33"/>
  <c r="B1322" i="33"/>
  <c r="B1323" i="33"/>
  <c r="B1324" i="33"/>
  <c r="B1325" i="33"/>
  <c r="B1326" i="33"/>
  <c r="B1327" i="33"/>
  <c r="B1328" i="33"/>
  <c r="B1329" i="33"/>
  <c r="B1330" i="33"/>
  <c r="B1331" i="33"/>
  <c r="B1332" i="33"/>
  <c r="B1333" i="33"/>
  <c r="B1334" i="33"/>
  <c r="B1335" i="33"/>
  <c r="B1336" i="33"/>
  <c r="B1337" i="33"/>
  <c r="B1338" i="33"/>
  <c r="B1339" i="33"/>
  <c r="B1340" i="33"/>
  <c r="B1341" i="33"/>
  <c r="B1342" i="33"/>
  <c r="B1343" i="33"/>
  <c r="B1344" i="33"/>
  <c r="B1345" i="33"/>
  <c r="B1346" i="33"/>
  <c r="B1347" i="33"/>
  <c r="B1348" i="33"/>
  <c r="B1349" i="33"/>
  <c r="B1350" i="33"/>
  <c r="B1351" i="33"/>
  <c r="B1352" i="33"/>
  <c r="B1353" i="33"/>
  <c r="B1354" i="33"/>
  <c r="B1355" i="33"/>
  <c r="B1356" i="33"/>
  <c r="B1357" i="33"/>
  <c r="B1358" i="33"/>
  <c r="B1359" i="33"/>
  <c r="B1360" i="33"/>
  <c r="B1361" i="33"/>
  <c r="B1362" i="33"/>
  <c r="B1363" i="33"/>
  <c r="B1364" i="33"/>
  <c r="B1365" i="33"/>
  <c r="B1366" i="33"/>
  <c r="B1367" i="33"/>
  <c r="B1368" i="33"/>
  <c r="B1369" i="33"/>
  <c r="B1370" i="33"/>
  <c r="B1371" i="33"/>
  <c r="B1372" i="33"/>
  <c r="B1373" i="33"/>
  <c r="B1374" i="33"/>
  <c r="B1375" i="33"/>
  <c r="B1376" i="33"/>
  <c r="B1377" i="33"/>
  <c r="B1378" i="33"/>
  <c r="B1379" i="33"/>
  <c r="B1380" i="33"/>
  <c r="B1381" i="33"/>
  <c r="B1382" i="33"/>
  <c r="B1383" i="33"/>
  <c r="B1384" i="33"/>
  <c r="B1385" i="33"/>
  <c r="B1386" i="33"/>
  <c r="B1387" i="33"/>
  <c r="B1388" i="33"/>
  <c r="B1389" i="33"/>
  <c r="B1390" i="33"/>
  <c r="B1391" i="33"/>
  <c r="B1392" i="33"/>
  <c r="B1393" i="33"/>
  <c r="B1394" i="33"/>
  <c r="B1395" i="33"/>
  <c r="B1396" i="33"/>
  <c r="B1397" i="33"/>
  <c r="B1398" i="33"/>
  <c r="B1399" i="33"/>
  <c r="B1400" i="33"/>
  <c r="B1401" i="33"/>
  <c r="B1402" i="33"/>
  <c r="B1403" i="33"/>
  <c r="B1404" i="33"/>
  <c r="B1405" i="33"/>
  <c r="B1406" i="33"/>
  <c r="B1407" i="33"/>
  <c r="B1408" i="33"/>
  <c r="B1409" i="33"/>
  <c r="B1410" i="33"/>
  <c r="B1411" i="33"/>
  <c r="B1412" i="33"/>
  <c r="B1413" i="33"/>
  <c r="B1414" i="33"/>
  <c r="B1415" i="33"/>
  <c r="B1416" i="33"/>
  <c r="B1417" i="33"/>
  <c r="B1418" i="33"/>
  <c r="B1419" i="33"/>
  <c r="B1420" i="33"/>
  <c r="B1421" i="33"/>
  <c r="B1422" i="33"/>
  <c r="B1423" i="33"/>
  <c r="B1424" i="33"/>
  <c r="B1425" i="33"/>
  <c r="B1426" i="33"/>
  <c r="B1427" i="33"/>
  <c r="B1428" i="33"/>
  <c r="B1429" i="33"/>
  <c r="B1430" i="33"/>
  <c r="B1431" i="33"/>
  <c r="B1432" i="33"/>
  <c r="B1433" i="33"/>
  <c r="B1434" i="33"/>
  <c r="B1435" i="33"/>
  <c r="B1436" i="33"/>
  <c r="B1437" i="33"/>
  <c r="B1438" i="33"/>
  <c r="B1439" i="33"/>
  <c r="B1440" i="33"/>
  <c r="B1441" i="33"/>
  <c r="B1442" i="33"/>
  <c r="B1443" i="33"/>
  <c r="B1444" i="33"/>
  <c r="B1445" i="33"/>
  <c r="B1446" i="33"/>
  <c r="B1447" i="33"/>
  <c r="B1448" i="33"/>
  <c r="B1449" i="33"/>
  <c r="B1450" i="33"/>
  <c r="B1451" i="33"/>
  <c r="B1452" i="33"/>
  <c r="B1453" i="33"/>
  <c r="B1454" i="33"/>
  <c r="B1455" i="33"/>
  <c r="B1456" i="33"/>
  <c r="B1457" i="33"/>
  <c r="B1458" i="33"/>
  <c r="B1459" i="33"/>
  <c r="B1460" i="33"/>
  <c r="B1461" i="33"/>
  <c r="B1462" i="33"/>
  <c r="B1463" i="33"/>
  <c r="B1464" i="33"/>
  <c r="B1465" i="33"/>
  <c r="B1466" i="33"/>
  <c r="B1467" i="33"/>
  <c r="B1468" i="33"/>
  <c r="B1469" i="33"/>
  <c r="B1470" i="33"/>
  <c r="B1471" i="33"/>
  <c r="B1472" i="33"/>
  <c r="B1473" i="33"/>
  <c r="B1474" i="33"/>
  <c r="B1475" i="33"/>
  <c r="B1476" i="33"/>
  <c r="B1477" i="33"/>
  <c r="B1478" i="33"/>
  <c r="B1479" i="33"/>
  <c r="B1480" i="33"/>
  <c r="B1481" i="33"/>
  <c r="B1482" i="33"/>
  <c r="B1483" i="33"/>
  <c r="B1484" i="33"/>
  <c r="B1485" i="33"/>
  <c r="B1486" i="33"/>
  <c r="B1487" i="33"/>
  <c r="B1488" i="33"/>
  <c r="B1489" i="33"/>
  <c r="B1490" i="33"/>
  <c r="B1491" i="33"/>
  <c r="B1492" i="33"/>
  <c r="B1493" i="33"/>
  <c r="B1494" i="33"/>
  <c r="B1495" i="33"/>
  <c r="B1496" i="33"/>
  <c r="B1497" i="33"/>
  <c r="B1498" i="33"/>
  <c r="B1499" i="33"/>
  <c r="B1500" i="33"/>
  <c r="B1501" i="33"/>
  <c r="B1502" i="33"/>
  <c r="B1503" i="33"/>
  <c r="B1504" i="33"/>
  <c r="B1505" i="33"/>
  <c r="B1506" i="33"/>
  <c r="B1507" i="33"/>
  <c r="B1508" i="33"/>
  <c r="B1509" i="33"/>
  <c r="B1510" i="33"/>
  <c r="B1511" i="33"/>
  <c r="B1512" i="33"/>
  <c r="B1513" i="33"/>
  <c r="B1514" i="33"/>
  <c r="B1515" i="33"/>
  <c r="B1516" i="33"/>
  <c r="B1517" i="33"/>
  <c r="B1518" i="33"/>
  <c r="B1519" i="33"/>
  <c r="B1520" i="33"/>
  <c r="B1521" i="33"/>
  <c r="B1522" i="33"/>
  <c r="B1523" i="33"/>
  <c r="B1524" i="33"/>
  <c r="B1525" i="33"/>
  <c r="B1526" i="33"/>
  <c r="B1527" i="33"/>
  <c r="B1528" i="33"/>
  <c r="B1529" i="33"/>
  <c r="B1530" i="33"/>
  <c r="B1531" i="33"/>
  <c r="B1532" i="33"/>
  <c r="B1533" i="33"/>
  <c r="B1534" i="33"/>
  <c r="B1535" i="33"/>
  <c r="B1536" i="33"/>
  <c r="B1537" i="33"/>
  <c r="B1538" i="33"/>
  <c r="B1539" i="33"/>
  <c r="B1540" i="33"/>
  <c r="B1541" i="33"/>
  <c r="B1542" i="33"/>
  <c r="B1543" i="33"/>
  <c r="B1544" i="33"/>
  <c r="B1545" i="33"/>
  <c r="B1546" i="33"/>
  <c r="B1547" i="33"/>
  <c r="B1548" i="33"/>
  <c r="B1549" i="33"/>
  <c r="B1550" i="33"/>
  <c r="B1551" i="33"/>
  <c r="B1552" i="33"/>
  <c r="B1553" i="33"/>
  <c r="B1554" i="33"/>
  <c r="B1555" i="33"/>
  <c r="B1556" i="33"/>
  <c r="B1557" i="33"/>
  <c r="B1558" i="33"/>
  <c r="B1559" i="33"/>
  <c r="B1560" i="33"/>
  <c r="B1561" i="33"/>
  <c r="B1562" i="33"/>
  <c r="B1563" i="33"/>
  <c r="B1564" i="33"/>
  <c r="B1565" i="33"/>
  <c r="B1566" i="33"/>
  <c r="B1567" i="33"/>
  <c r="B1568" i="33"/>
  <c r="B1569" i="33"/>
  <c r="B1570" i="33"/>
  <c r="B1571" i="33"/>
  <c r="B1572" i="33"/>
  <c r="B1573" i="33"/>
  <c r="B1574" i="33"/>
  <c r="B1575" i="33"/>
  <c r="B1576" i="33"/>
  <c r="B1577" i="33"/>
  <c r="B1578" i="33"/>
  <c r="B1579" i="33"/>
  <c r="B1580" i="33"/>
  <c r="B1581" i="33"/>
  <c r="B1582" i="33"/>
  <c r="B1583" i="33"/>
  <c r="B1584" i="33"/>
  <c r="B1585" i="33"/>
  <c r="B1586" i="33"/>
  <c r="B1587" i="33"/>
  <c r="B1588" i="33"/>
  <c r="B1589" i="33"/>
  <c r="B1590" i="33"/>
  <c r="B1591" i="33"/>
  <c r="B1592" i="33"/>
  <c r="B1593" i="33"/>
  <c r="B1594" i="33"/>
  <c r="B1595" i="33"/>
  <c r="B1596" i="33"/>
  <c r="B1597" i="33"/>
  <c r="B1598" i="33"/>
  <c r="B1599" i="33"/>
  <c r="B1600" i="33"/>
  <c r="B1601" i="33"/>
  <c r="B1602" i="33"/>
  <c r="B1603" i="33"/>
  <c r="B1604" i="33"/>
  <c r="B1605" i="33"/>
  <c r="B1606" i="33"/>
  <c r="B1607" i="33"/>
  <c r="B1608" i="33"/>
  <c r="B1609" i="33"/>
  <c r="B1610" i="33"/>
  <c r="B1611" i="33"/>
  <c r="B1612" i="33"/>
  <c r="B1613" i="33"/>
  <c r="B1614" i="33"/>
  <c r="B1615" i="33"/>
  <c r="B1616" i="33"/>
  <c r="B1617" i="33"/>
  <c r="B1618" i="33"/>
  <c r="B1619" i="33"/>
  <c r="B1620" i="33"/>
  <c r="B1621" i="33"/>
  <c r="B1622" i="33"/>
  <c r="B1623" i="33"/>
  <c r="B1624" i="33"/>
  <c r="B1625" i="33"/>
  <c r="B1626" i="33"/>
  <c r="B1627" i="33"/>
  <c r="B1628" i="33"/>
  <c r="B1629" i="33"/>
  <c r="B1630" i="33"/>
  <c r="B1631" i="33"/>
  <c r="B1632" i="33"/>
  <c r="B1633" i="33"/>
  <c r="B1634" i="33"/>
  <c r="B1635" i="33"/>
  <c r="B1636" i="33"/>
  <c r="B1637" i="33"/>
  <c r="B1638" i="33"/>
  <c r="B1639" i="33"/>
  <c r="B1640" i="33"/>
  <c r="B1641" i="33"/>
  <c r="B1642" i="33"/>
  <c r="B1643" i="33"/>
  <c r="B1644" i="33"/>
  <c r="B1645" i="33"/>
  <c r="B1646" i="33"/>
  <c r="B1647" i="33"/>
  <c r="B1648" i="33"/>
  <c r="B1649" i="33"/>
  <c r="B1650" i="33"/>
  <c r="B1651" i="33"/>
  <c r="B1652" i="33"/>
  <c r="B1653" i="33"/>
  <c r="B1654" i="33"/>
  <c r="B1655" i="33"/>
  <c r="B1656" i="33"/>
  <c r="B1657" i="33"/>
  <c r="B1658" i="33"/>
  <c r="B1659" i="33"/>
  <c r="B1660" i="33"/>
  <c r="B1661" i="33"/>
  <c r="B1662" i="33"/>
  <c r="B1663" i="33"/>
  <c r="B1664" i="33"/>
  <c r="B1665" i="33"/>
  <c r="B1666" i="33"/>
  <c r="B1667" i="33"/>
  <c r="B1668" i="33"/>
  <c r="B1669" i="33"/>
  <c r="B1670" i="33"/>
  <c r="B1671" i="33"/>
  <c r="B1672" i="33"/>
  <c r="B1673" i="33"/>
  <c r="B1674" i="33"/>
  <c r="B1675" i="33"/>
  <c r="B1676" i="33"/>
  <c r="B1677" i="33"/>
  <c r="B1678" i="33"/>
  <c r="B1679" i="33"/>
  <c r="B1680" i="33"/>
  <c r="B1681" i="33"/>
  <c r="B1682" i="33"/>
  <c r="B1683" i="33"/>
  <c r="B1684" i="33"/>
  <c r="B1685" i="33"/>
  <c r="B1686" i="33"/>
  <c r="B1687" i="33"/>
  <c r="B1688" i="33"/>
  <c r="B1689" i="33"/>
  <c r="B1690" i="33"/>
  <c r="B1691" i="33"/>
  <c r="B1692" i="33"/>
  <c r="B1693" i="33"/>
  <c r="B1694" i="33"/>
  <c r="B1695" i="33"/>
  <c r="B1696" i="33"/>
  <c r="B1697" i="33"/>
  <c r="B1698" i="33"/>
  <c r="B1699" i="33"/>
  <c r="B1700" i="33"/>
  <c r="B1701" i="33"/>
  <c r="B1702" i="33"/>
  <c r="B1703" i="33"/>
  <c r="B1704" i="33"/>
  <c r="B1705" i="33"/>
  <c r="B1706" i="33"/>
  <c r="B1707" i="33"/>
  <c r="B1708" i="33"/>
  <c r="B1709" i="33"/>
  <c r="B1710" i="33"/>
  <c r="B1711" i="33"/>
  <c r="B1712" i="33"/>
  <c r="B1713" i="33"/>
  <c r="B1714" i="33"/>
  <c r="B1715" i="33"/>
  <c r="B1716" i="33"/>
  <c r="B1717" i="33"/>
  <c r="B1718" i="33"/>
  <c r="B1719" i="33"/>
  <c r="B1720" i="33"/>
  <c r="B1721" i="33"/>
  <c r="B1722" i="33"/>
  <c r="B1723" i="33"/>
  <c r="B1724" i="33"/>
  <c r="B1725" i="33"/>
  <c r="B1726" i="33"/>
  <c r="B1727" i="33"/>
  <c r="B1728" i="33"/>
  <c r="B1729" i="33"/>
  <c r="B1730" i="33"/>
  <c r="B1731" i="33"/>
  <c r="B1732" i="33"/>
  <c r="B1733" i="33"/>
  <c r="B1734" i="33"/>
  <c r="B1735" i="33"/>
  <c r="B1736" i="33"/>
  <c r="B1737" i="33"/>
  <c r="B1738" i="33"/>
  <c r="B1739" i="33"/>
  <c r="B1740" i="33"/>
  <c r="B1741" i="33"/>
  <c r="B1742" i="33"/>
  <c r="B1743" i="33"/>
  <c r="B1744" i="33"/>
  <c r="B1745" i="33"/>
  <c r="B1746" i="33"/>
  <c r="B1747" i="33"/>
  <c r="B1748" i="33"/>
  <c r="B1749" i="33"/>
  <c r="B1750" i="33"/>
  <c r="B1751" i="33"/>
  <c r="B1752" i="33"/>
  <c r="B1753" i="33"/>
  <c r="B1754" i="33"/>
  <c r="B1755" i="33"/>
  <c r="B1756" i="33"/>
  <c r="B1757" i="33"/>
  <c r="B1758" i="33"/>
  <c r="B1759" i="33"/>
  <c r="B1760" i="33"/>
  <c r="B1761" i="33"/>
  <c r="B1762" i="33"/>
  <c r="B1763" i="33"/>
  <c r="B1764" i="33"/>
  <c r="B1765" i="33"/>
  <c r="B1766" i="33"/>
  <c r="B1767" i="33"/>
  <c r="B1768" i="33"/>
  <c r="B1769" i="33"/>
  <c r="B1770" i="33"/>
  <c r="B1771" i="33"/>
  <c r="B1772" i="33"/>
  <c r="B1773" i="33"/>
  <c r="B1774" i="33"/>
  <c r="B1775" i="33"/>
  <c r="B1776" i="33"/>
  <c r="B1777" i="33"/>
  <c r="B1778" i="33"/>
  <c r="B1779" i="33"/>
  <c r="B1780" i="33"/>
  <c r="B1781" i="33"/>
  <c r="B1782" i="33"/>
  <c r="B1783" i="33"/>
  <c r="B1784" i="33"/>
  <c r="B1785" i="33"/>
  <c r="B1786" i="33"/>
  <c r="B1787" i="33"/>
  <c r="B1788" i="33"/>
  <c r="B1789" i="33"/>
  <c r="B1790" i="33"/>
  <c r="B1791" i="33"/>
  <c r="B1792" i="33"/>
  <c r="B1793" i="33"/>
  <c r="B1794" i="33"/>
  <c r="B1795" i="33"/>
  <c r="B1796" i="33"/>
  <c r="B1797" i="33"/>
  <c r="B1798" i="33"/>
  <c r="B1799" i="33"/>
  <c r="B1800" i="33"/>
  <c r="B1801" i="33"/>
  <c r="B1802" i="33"/>
  <c r="B1803" i="33"/>
  <c r="B1804" i="33"/>
  <c r="B1805" i="33"/>
  <c r="B1806" i="33"/>
  <c r="B1807" i="33"/>
  <c r="B1808" i="33"/>
  <c r="B1809" i="33"/>
  <c r="B1810" i="33"/>
  <c r="B1811" i="33"/>
  <c r="B1812" i="33"/>
  <c r="B1813" i="33"/>
  <c r="B1814" i="33"/>
  <c r="B1815" i="33"/>
  <c r="B1816" i="33"/>
  <c r="B1817" i="33"/>
  <c r="B1818" i="33"/>
  <c r="B1819" i="33"/>
  <c r="B1820" i="33"/>
  <c r="B1821" i="33"/>
  <c r="B1822" i="33"/>
  <c r="B1823" i="33"/>
  <c r="B1824" i="33"/>
  <c r="B1825" i="33"/>
  <c r="B1826" i="33"/>
  <c r="B1827" i="33"/>
  <c r="B1828" i="33"/>
  <c r="B1829" i="33"/>
  <c r="B1830" i="33"/>
  <c r="B1831" i="33"/>
  <c r="B1832" i="33"/>
  <c r="B1833" i="33"/>
  <c r="B1834" i="33"/>
  <c r="B1835" i="33"/>
  <c r="B1836" i="33"/>
  <c r="B1837" i="33"/>
  <c r="B1838" i="33"/>
  <c r="B1839" i="33"/>
  <c r="B1840" i="33"/>
  <c r="B1841" i="33"/>
  <c r="B1842" i="33"/>
  <c r="B1843" i="33"/>
  <c r="B1844" i="33"/>
  <c r="B1845" i="33"/>
  <c r="B1846" i="33"/>
  <c r="B1847" i="33"/>
  <c r="B1848" i="33"/>
  <c r="B1849" i="33"/>
  <c r="B1850" i="33"/>
  <c r="B1851" i="33"/>
  <c r="B1852" i="33"/>
  <c r="B1853" i="33"/>
  <c r="B1854" i="33"/>
  <c r="B1855" i="33"/>
  <c r="B1856" i="33"/>
  <c r="B1857" i="33"/>
  <c r="B1858" i="33"/>
  <c r="B1859" i="33"/>
  <c r="B1860" i="33"/>
  <c r="B1861" i="33"/>
  <c r="B1862" i="33"/>
  <c r="B1863" i="33"/>
  <c r="B1864" i="33"/>
  <c r="B1865" i="33"/>
  <c r="R67" i="33"/>
  <c r="R63" i="33"/>
  <c r="R55" i="33"/>
  <c r="R53" i="33"/>
  <c r="R51" i="33"/>
  <c r="R49" i="33"/>
  <c r="R47" i="33"/>
  <c r="R45" i="33"/>
  <c r="R43" i="33"/>
  <c r="R41" i="33"/>
  <c r="R39" i="33"/>
  <c r="R37" i="33"/>
  <c r="R35" i="33"/>
  <c r="R33" i="33"/>
  <c r="R31" i="33"/>
  <c r="R29" i="33"/>
  <c r="R27" i="33"/>
  <c r="R25" i="33"/>
  <c r="R23" i="33"/>
  <c r="R21" i="33"/>
  <c r="R19" i="33"/>
  <c r="R17" i="33"/>
  <c r="R15" i="33"/>
  <c r="R13" i="33"/>
  <c r="R11" i="33"/>
  <c r="R9" i="33"/>
  <c r="R78" i="33"/>
  <c r="R77" i="33"/>
  <c r="R76" i="33"/>
  <c r="R75" i="33"/>
  <c r="R74" i="33"/>
  <c r="R73" i="33"/>
  <c r="R72" i="33"/>
  <c r="R71" i="33"/>
  <c r="R70" i="33"/>
  <c r="R69" i="33"/>
  <c r="R68" i="33"/>
  <c r="R7" i="33"/>
  <c r="R66" i="33"/>
  <c r="R65" i="33"/>
  <c r="R64" i="33"/>
  <c r="R62" i="33"/>
  <c r="R61" i="33"/>
  <c r="R60" i="33"/>
  <c r="R58" i="33"/>
  <c r="R57" i="33"/>
  <c r="R56" i="33"/>
  <c r="R54" i="33"/>
  <c r="R52" i="33"/>
  <c r="R50" i="33"/>
  <c r="R48" i="33"/>
  <c r="R46" i="33"/>
  <c r="R5" i="33"/>
  <c r="R44" i="33"/>
  <c r="R42" i="33"/>
  <c r="R40" i="33"/>
  <c r="R38" i="33"/>
  <c r="R36" i="33"/>
  <c r="R34" i="33"/>
  <c r="R32" i="33"/>
  <c r="R30" i="33"/>
  <c r="R28" i="33"/>
  <c r="R24" i="33"/>
  <c r="R3" i="33"/>
  <c r="R22" i="33"/>
  <c r="R20" i="33"/>
  <c r="R18" i="33"/>
  <c r="R16" i="33"/>
  <c r="R14" i="33"/>
  <c r="R12" i="33"/>
  <c r="R10" i="33"/>
  <c r="R8" i="33"/>
  <c r="R6" i="33"/>
  <c r="R4" i="33"/>
  <c r="R2" i="33"/>
  <c r="B4" i="32"/>
  <c r="B3" i="32"/>
  <c r="B5" i="31"/>
  <c r="B6" i="31"/>
  <c r="B4" i="31"/>
  <c r="B3" i="31"/>
  <c r="B14" i="30"/>
  <c r="D14" i="30"/>
  <c r="C14" i="30"/>
  <c r="B13" i="30"/>
  <c r="D13" i="30"/>
  <c r="C13" i="30"/>
  <c r="B12" i="30"/>
  <c r="D12" i="30"/>
  <c r="C12" i="30"/>
  <c r="B11" i="30"/>
  <c r="D11" i="30"/>
  <c r="C11" i="30"/>
  <c r="B9" i="30"/>
  <c r="D9" i="30"/>
  <c r="C9" i="30"/>
  <c r="B10" i="30"/>
  <c r="D10" i="30"/>
  <c r="C10" i="30"/>
  <c r="B7" i="30"/>
  <c r="D7" i="30"/>
  <c r="C7" i="30"/>
  <c r="B6" i="30"/>
  <c r="D6" i="30"/>
  <c r="C6" i="30"/>
  <c r="B5" i="30"/>
  <c r="D5" i="30"/>
  <c r="C5" i="30"/>
  <c r="B4" i="30"/>
  <c r="D4" i="30"/>
  <c r="C4" i="30"/>
  <c r="B3" i="30"/>
  <c r="D3" i="30"/>
  <c r="C3" i="30"/>
  <c r="B3" i="29"/>
  <c r="B5" i="29"/>
  <c r="B4" i="29"/>
  <c r="B16" i="28"/>
  <c r="B14" i="28"/>
  <c r="B15" i="28"/>
  <c r="B13" i="28"/>
  <c r="B10" i="28"/>
  <c r="B12" i="28"/>
  <c r="B11" i="28"/>
  <c r="B7" i="28"/>
  <c r="B8" i="28"/>
  <c r="B9" i="28"/>
  <c r="B6" i="28"/>
  <c r="B5" i="28"/>
  <c r="B3" i="28"/>
  <c r="B4" i="28"/>
  <c r="B6" i="27"/>
  <c r="B3" i="27"/>
  <c r="B4" i="27"/>
  <c r="B5" i="27"/>
  <c r="O14" i="26"/>
  <c r="N14" i="26"/>
  <c r="M14" i="26"/>
  <c r="L14" i="26"/>
  <c r="K14" i="26"/>
  <c r="J14" i="26"/>
  <c r="I14" i="26"/>
  <c r="H14" i="26"/>
  <c r="G14" i="26"/>
  <c r="F14" i="26"/>
  <c r="E14" i="26"/>
  <c r="D14" i="26"/>
  <c r="B14" i="26"/>
  <c r="C14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B13" i="26"/>
  <c r="C13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O11" i="26"/>
  <c r="N11" i="26"/>
  <c r="L11" i="26"/>
  <c r="M11" i="26"/>
  <c r="K11" i="26"/>
  <c r="J11" i="26"/>
  <c r="I11" i="26"/>
  <c r="H11" i="26"/>
  <c r="G11" i="26"/>
  <c r="F11" i="26"/>
  <c r="E11" i="26"/>
  <c r="D11" i="26"/>
  <c r="C11" i="26"/>
  <c r="B11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O7" i="26"/>
  <c r="N7" i="26"/>
  <c r="M7" i="26"/>
  <c r="L7" i="26"/>
  <c r="K7" i="26"/>
  <c r="J7" i="26"/>
  <c r="I7" i="26"/>
  <c r="H7" i="26"/>
  <c r="G7" i="26"/>
  <c r="F7" i="26"/>
  <c r="E7" i="26"/>
  <c r="D7" i="26"/>
  <c r="B7" i="26"/>
  <c r="C7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B12" i="24"/>
  <c r="C12" i="24" s="1"/>
  <c r="B5" i="24"/>
  <c r="C5" i="24" s="1"/>
  <c r="B10" i="24"/>
  <c r="C10" i="24" s="1"/>
  <c r="B7" i="24"/>
  <c r="C7" i="24" s="1"/>
  <c r="B6" i="24"/>
  <c r="C6" i="24" s="1"/>
  <c r="B14" i="24"/>
  <c r="C14" i="24" s="1"/>
  <c r="B13" i="24"/>
  <c r="C13" i="24" s="1"/>
  <c r="B9" i="24"/>
  <c r="C9" i="24" s="1"/>
  <c r="B4" i="24"/>
  <c r="C4" i="24" s="1"/>
  <c r="B11" i="24"/>
  <c r="C11" i="24" s="1"/>
  <c r="B3" i="24"/>
  <c r="C3" i="24" s="1"/>
  <c r="B58" i="35" l="1"/>
  <c r="B13" i="34"/>
  <c r="F5" i="24"/>
  <c r="G5" i="24" s="1"/>
  <c r="F11" i="24"/>
  <c r="G11" i="24" s="1"/>
</calcChain>
</file>

<file path=xl/sharedStrings.xml><?xml version="1.0" encoding="utf-8"?>
<sst xmlns="http://schemas.openxmlformats.org/spreadsheetml/2006/main" count="18673" uniqueCount="4407">
  <si>
    <t>10.1002/spe.1129</t>
  </si>
  <si>
    <t>Software: Practice and Experience</t>
  </si>
  <si>
    <t>Future Generation Computer Systems</t>
  </si>
  <si>
    <t>Creating optimal cloud storage systems</t>
  </si>
  <si>
    <t>10.1016/j.future.2012.06.004</t>
  </si>
  <si>
    <t>Risk driven Smart Home resource management using cloud services</t>
  </si>
  <si>
    <t>10.1016/j.future.2013.08.006</t>
  </si>
  <si>
    <t>Optimizing virtual machine allocation for parallel scientific workflows in federated clouds</t>
  </si>
  <si>
    <t>10.1016/j.future.2014.10.009</t>
  </si>
  <si>
    <t>A trust centric optimal service ranking approach for cloud service selection</t>
  </si>
  <si>
    <t>10.1016/j.future.2018.04.033</t>
  </si>
  <si>
    <t>Risk-aware intermediate dataset backup strategy in cloud-based data intensive workflows</t>
  </si>
  <si>
    <t>10.1016/j.future.2014.08.009</t>
  </si>
  <si>
    <t>SLA enactment for large-scale healthcare workflows on multi-Cloud</t>
  </si>
  <si>
    <t>10.1016/j.future.2014.07.005</t>
  </si>
  <si>
    <t>Energy-efficient and traffic-aware service function chaining orchestration in multi-domain networks</t>
  </si>
  <si>
    <t>10.1016/j.future.2018.09.037</t>
  </si>
  <si>
    <t>Portable Cloud applications—From theory to practice</t>
  </si>
  <si>
    <t>10.1016/j.future.2012.01.009</t>
  </si>
  <si>
    <t>CoMe4ACloud: An end-to-end framework for autonomic Cloud systems</t>
  </si>
  <si>
    <t>10.1016/j.future.2018.03.039</t>
  </si>
  <si>
    <t>Strategies and systems towards grids and clouds integration:A DBMS-based solution</t>
  </si>
  <si>
    <t>10.1016/j.future.2017.02.047</t>
  </si>
  <si>
    <t>A cloud based health insurance plan recommendation system: A user centered approach</t>
  </si>
  <si>
    <t>10.1016/j.future.2014.08.010</t>
  </si>
  <si>
    <t>Towards a trust evaluation middleware for cloud service selection</t>
  </si>
  <si>
    <t>10.1016/j.future.2016.01.009</t>
  </si>
  <si>
    <t>Design and implementation of adaptive power-aware virtual machine provisioner (APA-VMP) using swarm intelligence</t>
  </si>
  <si>
    <t>10.1016/j.future.2011.06.002</t>
  </si>
  <si>
    <t>An autonomic resource provisioning approach for service-based cloud applications: A hybrid approach</t>
  </si>
  <si>
    <t>10.1016/j.future.2017.02.022</t>
  </si>
  <si>
    <t>Cloud provider capacity augmentation through automated resource bartering</t>
  </si>
  <si>
    <t>10.1016/j.future.2017.09.080</t>
  </si>
  <si>
    <t>An ontology for heterogeneous resources management interoperability and HPC in the cloud</t>
  </si>
  <si>
    <t>10.1016/j.future.2018.05.086</t>
  </si>
  <si>
    <t>Using the cloud to develop applications supporting geo-collaborative Situated Learning</t>
  </si>
  <si>
    <t>10.1016/j.future.2013.10.007</t>
  </si>
  <si>
    <t>Context-Aware Multifaceted Trust Framework For Evaluating Trustworthiness of Cloud Providers</t>
  </si>
  <si>
    <t>10.1016/j.future.2017.09.071</t>
  </si>
  <si>
    <t>S-ABC: A paradigm of service domain-oriented artificial bee colony algorithms for service selection and composition</t>
  </si>
  <si>
    <t>10.1016/j.future.2016.09.008</t>
  </si>
  <si>
    <t>Predatory Search-based Chaos Turbo Particle Swarm Optimisation (PS-CTPSO): A new particle swarm optimisation algorithm for Web service combination problems</t>
  </si>
  <si>
    <t>10.1016/j.future.2018.07.002</t>
  </si>
  <si>
    <t>A coordinator for scaling elastic applications across multiple clouds</t>
  </si>
  <si>
    <t>10.1016/j.future.2012.03.010</t>
  </si>
  <si>
    <t>Optimal allocation of virtual machines in multi-cloud environments with reserved and on-demand pricing</t>
  </si>
  <si>
    <t>10.1016/j.future.2017.02.004</t>
  </si>
  <si>
    <t>The Aneka platform and QoS-driven resource provisioning for elastic applications on hybrid Clouds</t>
  </si>
  <si>
    <t>10.1016/j.future.2011.07.005</t>
  </si>
  <si>
    <t>Evaluating investments in portability and interoperability between software service platforms</t>
  </si>
  <si>
    <t>10.1016/j.future.2017.04.040</t>
  </si>
  <si>
    <t>A structured marketplace for arbitrary services</t>
  </si>
  <si>
    <t>10.1016/j.future.2011.05.024</t>
  </si>
  <si>
    <t>4CaaSt marketplace: An advanced business environment for trading cloud services</t>
  </si>
  <si>
    <t>10.1016/j.future.2014.02.020</t>
  </si>
  <si>
    <t>CoCaMAAL: A cloud-oriented context-aware middleware in ambient assisted living</t>
  </si>
  <si>
    <t>10.1016/j.future.2013.07.009</t>
  </si>
  <si>
    <t>OPTIMIS: A holistic approach to cloud service provisioning</t>
  </si>
  <si>
    <t>10.1016/j.future.2011.05.022</t>
  </si>
  <si>
    <t>Integration of end-user Cloud storage for CMS analysis</t>
  </si>
  <si>
    <t>10.1016/j.future.2017.04.021</t>
  </si>
  <si>
    <t>A methodological framework for cloud resource provisioning and scheduling of data parallel applications under uncertainty</t>
  </si>
  <si>
    <t>10.1016/j.future.2018.10.037</t>
  </si>
  <si>
    <t>A lightweight plug-and-play elasticity service for self-organizing resource provisioning on parallel applications</t>
  </si>
  <si>
    <t>10.1016/j.future.2017.02.023</t>
  </si>
  <si>
    <t>Scheduling strategies for optimal service deployment across multiple clouds</t>
  </si>
  <si>
    <t>10.1016/j.future.2012.01.007</t>
  </si>
  <si>
    <t>Towards an autonomic performance management approach for a cloud broker environment using a decomposition–coordination based methodology</t>
  </si>
  <si>
    <t>10.1016/j.future.2015.03.020</t>
  </si>
  <si>
    <t>CLOUDRB: A framework for scheduling and managing High-Performance Computing (HPC) applications in science cloud</t>
  </si>
  <si>
    <t>10.1016/j.future.2013.12.024</t>
  </si>
  <si>
    <t>Cloud brokering mechanisms for optimized placement of virtual machines across multiple providers</t>
  </si>
  <si>
    <t>10.1016/j.future.2011.07.003</t>
  </si>
  <si>
    <t>Research challenges in legal-rule and QoS-aware cloud service brokerage</t>
  </si>
  <si>
    <t>10.1016/j.future.2016.11.025</t>
  </si>
  <si>
    <t>Schlouder: A broker for IaaS clouds</t>
  </si>
  <si>
    <t>10.1016/j.future.2016.09.010</t>
  </si>
  <si>
    <t>A resource provisioning framework for bioinformatics applications in multi-cloud environments</t>
  </si>
  <si>
    <t>10.1016/j.future.2016.06.008</t>
  </si>
  <si>
    <t>An interoperable and self-adaptive approach for SLA-based service virtualization in heterogeneous Cloud environments</t>
  </si>
  <si>
    <t>10.1016/j.future.2012.05.016</t>
  </si>
  <si>
    <t>QoS-aware genetic Cloud Brokering</t>
  </si>
  <si>
    <t>10.1016/j.future.2017.04.026</t>
  </si>
  <si>
    <t>ServBGP: BGP-inspired autonomic service routing for multi-provider collaborative architectures in the cloud</t>
  </si>
  <si>
    <t>10.1016/j.future.2012.05.013</t>
  </si>
  <si>
    <t>A performance brokerage for heterogeneous clouds</t>
  </si>
  <si>
    <t>10.1016/j.future.2017.05.005</t>
  </si>
  <si>
    <t>Delivering cloud services with QoS requirements: Business opportunities, architectural solutions and energy-saving aspects</t>
  </si>
  <si>
    <t>10.1016/j.future.2015.02.009</t>
  </si>
  <si>
    <t>Secure service composition with information flow control in service clouds</t>
  </si>
  <si>
    <t>10.1016/j.future.2014.12.009</t>
  </si>
  <si>
    <t>Toward dynamic and attribute based publication, discovery and selection for cloud computing</t>
  </si>
  <si>
    <t>10.1016/j.future.2010.03.009</t>
  </si>
  <si>
    <t>Dynamic service selection with QoS constraints and inter-service correlations using cooperative coevolution</t>
  </si>
  <si>
    <t>10.1016/j.future.2017.05.019</t>
  </si>
  <si>
    <t>Privacy-aware cloud service selection approach based on P-Spec policy models and privacy sensitivities</t>
  </si>
  <si>
    <t>10.1016/j.future.2018.03.013</t>
  </si>
  <si>
    <t>Establishing User-centric Cloud Service Registries</t>
  </si>
  <si>
    <t>10.1016/j.future.2018.03.010</t>
  </si>
  <si>
    <t>A computational model for ranking cloud service providers using hypergraph based techniques</t>
  </si>
  <si>
    <t>10.1016/j.future.2016.08.014</t>
  </si>
  <si>
    <t>Performance prediction model for cloud service selection from smart data</t>
  </si>
  <si>
    <t>10.1016/j.future.2018.03.015</t>
  </si>
  <si>
    <t>Multi-Capacity Bin Packing with Dependent Items and its Application to the Packing of Brokered Workloads in Virtualized Environments</t>
  </si>
  <si>
    <t>10.1016/j.future.2016.08.017</t>
  </si>
  <si>
    <t>An intelligent cloud-based data processing broker for mobile e-health multimedia applications</t>
  </si>
  <si>
    <t>10.1016/j.future.2016.03.019</t>
  </si>
  <si>
    <t>Compliance-based Multi-dimensional Trust Evaluation System for determining trustworthiness of Cloud Service Providers</t>
  </si>
  <si>
    <t>10.1016/j.future.2016.07.013</t>
  </si>
  <si>
    <t>Scheduling multiple virtual environments in cloud federations for distributed calculations</t>
  </si>
  <si>
    <t>10.1016/j.future.2016.03.021</t>
  </si>
  <si>
    <t>JTangCSB: A Cloud Service Bus for Cloud and Enterprise Application Integration</t>
  </si>
  <si>
    <t>IEEE Internet Computing</t>
  </si>
  <si>
    <t>Integrating multi-cloud environment with FUJITSU cloud services management</t>
  </si>
  <si>
    <t>N/A</t>
  </si>
  <si>
    <t xml:space="preserve">Fujitsu Scientific &amp; Technical Journal </t>
  </si>
  <si>
    <t>Profit Maximization for Cloud Brokers in Cloud Computing</t>
  </si>
  <si>
    <t>10.1109/TPDS.2018.2851246</t>
  </si>
  <si>
    <t>IEEE Transactions on Parallel and Distributed Systems</t>
  </si>
  <si>
    <t>Cloud Customer's Historical Record Based Resource Pricing</t>
  </si>
  <si>
    <t>Service Operator-Aware Trust Scheme for Resource Matchmaking across Multiple Clouds</t>
  </si>
  <si>
    <t>Live VM Migration Under Time-Constraints in Share-Nothing IaaS-Clouds</t>
  </si>
  <si>
    <t>Online Resource Scheduling Under Concave Pricing for Cloud Computing</t>
  </si>
  <si>
    <t>10.1109/TPDS.2015.2432799</t>
  </si>
  <si>
    <t>Dynamic Cloud Instance Acquisition via IaaS Cloud Brokerage</t>
  </si>
  <si>
    <t>10.1109/TPDS.2014.2326409</t>
  </si>
  <si>
    <t>An Economical and SLO-Guaranteed Cloud Storage Service Across Multiple Cloud Service Providers</t>
  </si>
  <si>
    <t>10.1109/TPDS.2017.2675422</t>
  </si>
  <si>
    <t>Privacy-Aware Scheduling SaaS in High Performance Computing Environments</t>
  </si>
  <si>
    <t>10.1109/TPDS.2016.2603153</t>
  </si>
  <si>
    <t>HireSome-II: Towards Privacy-Aware Cross-Cloud Service Composition for Big Data Applications</t>
  </si>
  <si>
    <t>Adaptive Resource Allocation and Provisioning in Multi-Service Cloud Environments</t>
  </si>
  <si>
    <t>10.1109/TPDS.2017.2748578</t>
  </si>
  <si>
    <t>Collaborative Optimization of Cloud Service Composition for Data-intensive Applications in a Hybrid Cloud</t>
  </si>
  <si>
    <t>10.1109/TPDS.2018.2879603</t>
  </si>
  <si>
    <t>QoS Ranking Prediction for Cloud Services</t>
  </si>
  <si>
    <t>10.1109/TPDS.2012.285</t>
  </si>
  <si>
    <t>Functional and Contextual Attention-based LSTM for Service Recommendation in Mashup Creation</t>
  </si>
  <si>
    <t>Cost Performance Driven Service Mashup: A Developer Perspective</t>
  </si>
  <si>
    <t>Cloud broker service-oriented resource management model</t>
  </si>
  <si>
    <t>10.1002/ett.2937</t>
  </si>
  <si>
    <t>Transactions on Emerging Telecommunications Technologies</t>
  </si>
  <si>
    <t>Federation of the BonFIRE multi-cloud infrastructure with networking facilities</t>
  </si>
  <si>
    <t>10.1016/j.bjp.2013.11.012</t>
  </si>
  <si>
    <t>Computer Networks: The International Journal of Computer and Telecommunications Networking</t>
  </si>
  <si>
    <t>The GEYSERS optical testbed: A platform for the integration, validation and demonstration of cloud-based infrastructure services</t>
  </si>
  <si>
    <t>10.1016/j.bjp.2013.12.031</t>
  </si>
  <si>
    <t>Agent-Based Cloud Computing</t>
  </si>
  <si>
    <t>10.1109/TSC.2011.52</t>
  </si>
  <si>
    <t>IEEE Transactions on Services Computing</t>
  </si>
  <si>
    <t>Quality and Profit Assured Trusted Cloud Federation Formation: Game Theory Based Approach</t>
  </si>
  <si>
    <t>A Scalable Architecture for Automatic Service Composition</t>
  </si>
  <si>
    <t>10.1109/TSC.2012.33</t>
  </si>
  <si>
    <t>Skyline Discovery and Composition of Multi-Cloud Mashup Services</t>
  </si>
  <si>
    <t>CCCloud: Context-Aware and Credible Cloud Service Selection Based on Subjective Assessment and Objective Assessment</t>
  </si>
  <si>
    <t>Knowledge-Based Resource Allocation for Collaborative Simulation Development in a Multi-Tenant Cloud Computing Environment</t>
  </si>
  <si>
    <t>SanGA: A Self-Adaptive Network-Aware Approach to Service Composition</t>
  </si>
  <si>
    <t>Towards Green Service Composition Approach in the Cloud</t>
  </si>
  <si>
    <t>10.1109/TSC.2018.2868356</t>
  </si>
  <si>
    <t>Efficient QoS-Aware Service Recommendation for Multi-Tenant Service-Based Systems in Cloud</t>
  </si>
  <si>
    <t>Long-Term QoS-Aware Cloud Service Composition Using Multivariate Time Series Analysis</t>
  </si>
  <si>
    <t>Effective BigData-Space Service Selection over Trust and Heterogeneous QoS Preferences</t>
  </si>
  <si>
    <t>10.1109/TSC.2015.2480393</t>
  </si>
  <si>
    <t>Metaheuristic Optimization for Long-term IaaS Service Composition</t>
  </si>
  <si>
    <t>10.1109/TSC.2016.2542068</t>
  </si>
  <si>
    <t>Location-aware brokering for consumers in multi-cloud computing environments</t>
  </si>
  <si>
    <t>10.1016/j.jnca.2017.07.010</t>
  </si>
  <si>
    <t>Journal of Network and Computer Applications</t>
  </si>
  <si>
    <t>Dynamics of service selection and provider pricing game in heterogeneous cloud market</t>
  </si>
  <si>
    <t>Cost-aware service brokering and performance sentient load balancing algorithms in the cloud</t>
  </si>
  <si>
    <t>10.1016/j.jnca.2016.08.018</t>
  </si>
  <si>
    <t>Knowledge-Aware and Service-Oriented Middleware for deploying pervasive services</t>
  </si>
  <si>
    <t>10.1016/j.jnca.2011.05.009</t>
  </si>
  <si>
    <t>A semantic framework for configurable business process as a service in the cloud</t>
  </si>
  <si>
    <t>10.1016/j.jnca.2015.07.007</t>
  </si>
  <si>
    <t>Multi-granularity resource virtualization and sharing strategies in cloud manufacturing</t>
  </si>
  <si>
    <t>10.1016/j.jnca.2014.08.007</t>
  </si>
  <si>
    <t>Energy efficiency aware load distribution and electricity cost volatility control for cloud service providers</t>
  </si>
  <si>
    <t>10.1016/j.jnca.2015.08.012</t>
  </si>
  <si>
    <t>MetaCDN: Harnessing ‘Storage Clouds’ for high performance content delivery</t>
  </si>
  <si>
    <t>10.1016/j.jnca.2009.03.004</t>
  </si>
  <si>
    <t>Energy efficient cloud service pricing: A two-timescale optimization approach</t>
  </si>
  <si>
    <t>10.1016/j.jnca.2015.10.016</t>
  </si>
  <si>
    <t>An energy-aware service composition algorithm for multiple cloud-based IoT applications</t>
  </si>
  <si>
    <t>10.1016/j.jnca.2017.03.008</t>
  </si>
  <si>
    <t>Flexible service selection with user-specific QoS support in service-oriented architecture</t>
  </si>
  <si>
    <t>10.1016/j.jnca.2011.03.013</t>
  </si>
  <si>
    <t>A self-organizing P2P framework for collective service discovery</t>
  </si>
  <si>
    <t>10.1016/j.jnca.2013.07.002</t>
  </si>
  <si>
    <t>Resource virtualization and service selection in cloud logistics</t>
  </si>
  <si>
    <t>10.1016/j.jnca.2013.02.019</t>
  </si>
  <si>
    <t>The Value of Cooperation: Minimizing User Costs in Multi-Broker Mobile Cloud Computing Networks</t>
  </si>
  <si>
    <t>IEEE Transactions on Cloud Computing</t>
  </si>
  <si>
    <t>A Combinatorial Auction Mechanism for Multiple Resource Procurement in Cloud Computing</t>
  </si>
  <si>
    <t>TruXy: Trusted Storage Cloud for Scientific Workflows</t>
  </si>
  <si>
    <t>Towards Network-Aware Service Composition in the Cloud</t>
  </si>
  <si>
    <t>Semantic Representation of Cloud Patterns and Services with Automated Reasoning to Support Cloud Application Portability</t>
  </si>
  <si>
    <t>Strategy-Proof Pricing for Cloud Service Composition</t>
  </si>
  <si>
    <t>Network and Application-Aware Cloud Service Selection in Peer-Assisted Environments</t>
  </si>
  <si>
    <t>Implementing Design Diversity Using Portfolio Thinking to Dynamically and Adaptively Manage the Allocation of Web Services in the Cloud</t>
  </si>
  <si>
    <t>Multi-Objective Service Composition with QoS Dependencies</t>
  </si>
  <si>
    <t>Converged Network-Cloud Service Composition with End-to-End Performance Guarantee</t>
  </si>
  <si>
    <t>Compatibility-Aware Cloud Service Composition under Fuzzy Preferences of Users</t>
  </si>
  <si>
    <t>Journal of Parallel and Distributed Computing</t>
  </si>
  <si>
    <t>Dynamic scheduling strategy with efficient node availability prediction for handling divisible loads in multi-cloud systems</t>
  </si>
  <si>
    <t>10.1016/j.jpdc.2017.10.006</t>
  </si>
  <si>
    <t>Reservation schemes for IaaS cloud broker: a time-multiplexing way for different rental time</t>
  </si>
  <si>
    <t>10.1002/cpe.3972</t>
  </si>
  <si>
    <t>Concurrency and Computation: Practice and Experience</t>
  </si>
  <si>
    <t>A correlation context-aware approach for composite service selection</t>
  </si>
  <si>
    <t>10.1002/cpe.2988</t>
  </si>
  <si>
    <t>Cloud service QoS prediction via exploiting collaborative filtering and location-based data smoothing</t>
  </si>
  <si>
    <t>10.1002/cpe.3639</t>
  </si>
  <si>
    <t>A cloud service selection model using improved ranked voting method</t>
  </si>
  <si>
    <t>10.1002/cpe.3740</t>
  </si>
  <si>
    <t>Integration of analytic network process with service measurement index framework for cloud service provider selection</t>
  </si>
  <si>
    <t>10.1002/cpe.4144</t>
  </si>
  <si>
    <t>An adaptive service selection method for cross-cloud service composition</t>
  </si>
  <si>
    <t>10.1002/cpe.3080</t>
  </si>
  <si>
    <t>SERNOTATE: An automated approach for business service description annotation for efficient service retrieval and composition</t>
  </si>
  <si>
    <t>10.1002/cpe.4189</t>
  </si>
  <si>
    <t>Using a novel message-exchanging optimization (MEO) model to reduce energy consumption in distributed systems</t>
  </si>
  <si>
    <t>10.1016/j.simpat.2013.02.003</t>
  </si>
  <si>
    <t>Simulation Modelling Practice and Theory</t>
  </si>
  <si>
    <t>Simulation as a cloud service for short-run high throughput industrial print production using a service broker architecture</t>
  </si>
  <si>
    <t>10.1016/j.simpat.2015.05.003</t>
  </si>
  <si>
    <t>Hybrid Clouds brokering: Business opportunities, QoS and energy-saving issues</t>
  </si>
  <si>
    <t>10.1016/j.simpat.2013.01.004</t>
  </si>
  <si>
    <t>A rough set-based hypergraph trust measure parameter selection technique for cloud service selection</t>
  </si>
  <si>
    <t>10.1007/s11227-017-2032-8</t>
  </si>
  <si>
    <t>The Journal of Supercomputing</t>
  </si>
  <si>
    <t>Trust model at service layer of cloud computing for educational institutes</t>
  </si>
  <si>
    <t>10.1007/s11227-015-1488-7</t>
  </si>
  <si>
    <t>Virtual sensor as a service: a new multicriteria QoS-aware cloud service composition for IoT applications</t>
  </si>
  <si>
    <t>10.1007/s11227-018-2454-y</t>
  </si>
  <si>
    <t>Cloud service ranking as a multi objective optimization problem</t>
  </si>
  <si>
    <t>Prioritizing the solution of cloud service selection using integrated MCDM methods under Fuzzy environment</t>
  </si>
  <si>
    <t>10.1007/s11227-017-2039-1</t>
  </si>
  <si>
    <t>Genetic algorithm-based cost minimization pricing model for on-demand IaaS cloud service</t>
  </si>
  <si>
    <t>10.1007/s11227-018-2279-8</t>
  </si>
  <si>
    <t>SLA-based task scheduling algorithms for heterogeneous multi-cloud environment</t>
  </si>
  <si>
    <t>Semantic-enabled CARE Resource Broker (SeCRB) for managing grid and cloud environment</t>
  </si>
  <si>
    <t>10.1007/s11227-013-1047-z</t>
  </si>
  <si>
    <t>QoS-aware service composition in cloud computing using data mining techniques and genetic algorithm</t>
  </si>
  <si>
    <t>10.1007/s11227-016-1814-8</t>
  </si>
  <si>
    <t>LP-WSC: a linear programming approach for web service composition in geographically distributed cloud environments</t>
  </si>
  <si>
    <t>10.1007/s11227-018-2656-3</t>
  </si>
  <si>
    <t>CompatibleOne: The Open Source Cloud Broker</t>
  </si>
  <si>
    <t>Journal of Grid Computing</t>
  </si>
  <si>
    <t>10.1007/s10723-017-9422-2</t>
  </si>
  <si>
    <t>Improved TOPSIS Method Based Trust Evaluation Framework for Determining Trustworthiness of Cloud Service Providers</t>
  </si>
  <si>
    <t>10.1007/s10723-016-9363-1</t>
  </si>
  <si>
    <t>Design and Comparative Analysis of MCDM-based Multi-dimensional Trust Evaluation Schemes for Determining Trustworthiness of Cloud Service Providers</t>
  </si>
  <si>
    <t>10.1007/s10723-017-9396-0</t>
  </si>
  <si>
    <t>Enabling Workflow-Oriented Science Gateways to Access Multi-Cloud Systems</t>
  </si>
  <si>
    <t>10.1007/s10723-016-9388-5</t>
  </si>
  <si>
    <t>Hybrid Approach for Energy Aware Management of Multi-cloud Architecture Integrating user Machines</t>
  </si>
  <si>
    <t>10.1007/s10723-015-9342-y</t>
  </si>
  <si>
    <t>Orchestrating the Deployment of High Availability Services on Multi-zone and Multi-cloud Scenarios</t>
  </si>
  <si>
    <t>10.1007/s10723-017-9417-z</t>
  </si>
  <si>
    <t>Occopus: a Multi-Cloud Orchestrator to Deploy and Manage Complex Scientific Infrastructures</t>
  </si>
  <si>
    <t>10.1007/s10723-017-9421-3</t>
  </si>
  <si>
    <t>Enhancing Federated Cloud Management with an Integrated Service Monitoring Approach</t>
  </si>
  <si>
    <t>10.1007/s10723-013-9269-0</t>
  </si>
  <si>
    <t>PERSIST: Policy-Based Data Management Middleware for Multi-Tenant SaaS Leveraging Federated Cloud Storage</t>
  </si>
  <si>
    <t>10.1007/s10723-018-9434-6</t>
  </si>
  <si>
    <t>A unified description language for human to automated services</t>
  </si>
  <si>
    <t>10.1016/j.is.2012.06.004</t>
  </si>
  <si>
    <t>Social learning optimization (SLO) algorithm paradigm and its application in QoS-aware cloud service composition</t>
  </si>
  <si>
    <t>10.1016/j.ins.2015.08.004</t>
  </si>
  <si>
    <t>A human-centric framework for context-aware flowable services in cloud computing environments</t>
  </si>
  <si>
    <t>10.1016/j.ins.2012.01.030</t>
  </si>
  <si>
    <t>Combinatorial double auction-based resource allocation mechanism in cloud computing market</t>
  </si>
  <si>
    <t>10.1016/j.jss.2017.11.044</t>
  </si>
  <si>
    <t>Journal of Systems and Software</t>
  </si>
  <si>
    <t>Dynamic cloud service selection using an adaptive learning mechanism in multi-cloud computing</t>
  </si>
  <si>
    <t>10.1016/j.jss.2014.10.047</t>
  </si>
  <si>
    <t>A novel TOPSIS evaluation scheme for cloud service trustworthiness combining objective and subjective aspects</t>
  </si>
  <si>
    <t>10.1016/j.jss.2018.05.004</t>
  </si>
  <si>
    <t>A service-oriented framework for developing cross cloud migratable software</t>
  </si>
  <si>
    <t>10.1016/j.jss.2012.12.033</t>
  </si>
  <si>
    <t>Network-aware embedding of virtual machine clusters onto federated cloud infrastructure</t>
  </si>
  <si>
    <t>10.1016/j.jss.2016.07.007</t>
  </si>
  <si>
    <t>A mixed integer linear programming optimization approach for multi-cloud capacity allocation</t>
  </si>
  <si>
    <t>10.1016/j.jss.2016.10.001</t>
  </si>
  <si>
    <t>Multi-cloud service composition using Formal Concept Analysis</t>
  </si>
  <si>
    <t>10.1016/j.jss.2017.08.016</t>
  </si>
  <si>
    <t>MMB cloud Tree: Authenticated Index for Verifiable Cloud Service Selection</t>
  </si>
  <si>
    <t>10.1109/TDSC.2015.2445752</t>
  </si>
  <si>
    <t>IEEE Transactions on Dependable and Secure Computing</t>
  </si>
  <si>
    <t>FC-PACO-RM: A Parallel Method for Service Composition Optimal-Selection in Cloud Manufacturing System</t>
  </si>
  <si>
    <t>IEEE Transactions on Industrial Informatics</t>
  </si>
  <si>
    <t>Multiobjective Optimization for Brokering of Multicloud Service Composition</t>
  </si>
  <si>
    <t>10.1145/2870634</t>
  </si>
  <si>
    <t xml:space="preserve">ACM Transactions on Internet Technology </t>
  </si>
  <si>
    <t>Economic Model-Driven Cloud Service Composition</t>
  </si>
  <si>
    <t>10.1145/2651420</t>
  </si>
  <si>
    <t>10.1145/3140545</t>
  </si>
  <si>
    <t>rSYBL: A Framework for Specifying and Controlling Cloud Services Elasticity</t>
  </si>
  <si>
    <t>10.1145/2925990</t>
  </si>
  <si>
    <t>CloudMF: Model-Driven Management of Multi-Cloud Applications</t>
  </si>
  <si>
    <t>10.1145/3125621</t>
  </si>
  <si>
    <t>Efficient Idle Virtual Machine Management for Heterogeneous Cloud using Common Deployment Model</t>
  </si>
  <si>
    <t>10.3837/tiis.2016.04.002</t>
  </si>
  <si>
    <t>KSII Transactions on Internet and Information Systems</t>
  </si>
  <si>
    <t>A Negotiation Framework for the Cloud Management System using Similarity and Gale Shapely Stable Matching approach</t>
  </si>
  <si>
    <t>10.3837/tiis.2015.06.005</t>
  </si>
  <si>
    <t>A New Multi-objective Evolutionary Algorithm for Inter-Cloud Service Composition</t>
  </si>
  <si>
    <t>10.3837/tiis.2018.01.001</t>
  </si>
  <si>
    <t>Multi-objective Optimization Model with AHP Decision-making for Cloud Service Composition</t>
  </si>
  <si>
    <t>10.3837/tiis.2015.09.002</t>
  </si>
  <si>
    <t>QoS-Based and Network-Aware Web Service Composition across Cloud Datacenters</t>
  </si>
  <si>
    <t>10.3837/tiis.2015.03.008</t>
  </si>
  <si>
    <t>Trustworthy Service Discovery for Dynamic Web Service Composition</t>
  </si>
  <si>
    <t>10.3837/tiis.2015.03.024</t>
  </si>
  <si>
    <t>QoS and SLA Aware Web Service Composition in Cloud Environment</t>
  </si>
  <si>
    <t>10.3837/tiis.2016.12.006</t>
  </si>
  <si>
    <t>Hierarchical load balancing as a service for federated cloud networks</t>
  </si>
  <si>
    <t>10.1016/j.comcom.2018.07.031</t>
  </si>
  <si>
    <t>Computer Communications</t>
  </si>
  <si>
    <t>Privacy-preserving data outsourcing in the cloud via semantic data splitting</t>
  </si>
  <si>
    <t>10.1016/j.comcom.2017.06.012</t>
  </si>
  <si>
    <t>Telecommunication Systems</t>
  </si>
  <si>
    <t>A service composition model based on user experience in Ubi-cloud comp</t>
  </si>
  <si>
    <t>10.1007/s11235-015-0045-2</t>
  </si>
  <si>
    <t>An Instance Reservation Framework for Cost Effective Services in Geo-Distributed Data Centers</t>
  </si>
  <si>
    <t>A Cloud Brokerage Architecture for Efficient Cloud Service Selection</t>
  </si>
  <si>
    <t>OSPN: Optimal Service Provisioning with Negotiation for Bag-of-Tasks Applications</t>
  </si>
  <si>
    <t>Selecting skyline services for QoS-aware composition by upgrading MapReduce paradigm</t>
  </si>
  <si>
    <t>10.1007/s10586-012-0240-9</t>
  </si>
  <si>
    <t>Cluster Computing</t>
  </si>
  <si>
    <t>10.1007/s10586-012-0232-9</t>
  </si>
  <si>
    <t>Incorporating service and user information and latent features to predict QoS for selecting and recommending cloud service compositions</t>
  </si>
  <si>
    <t>10.1007/s10586-016-0565-x</t>
  </si>
  <si>
    <t>A Cognizant agent system for optimizing cloud service searching strategy</t>
  </si>
  <si>
    <t>10.1007/s10586-018-1915-7</t>
  </si>
  <si>
    <t>An influence diagram based cloud service selection approach in dynamic cloud marketplaces</t>
  </si>
  <si>
    <t>10.1007/s10586-017-1438-7</t>
  </si>
  <si>
    <t>Priority based prediction mechanism for ranking providers in federated cloud architecture</t>
  </si>
  <si>
    <t>10.1007/s10586-017-1593-x</t>
  </si>
  <si>
    <t>Nature-inspired multimedia service composition in a media cloud-based healthcare environment</t>
  </si>
  <si>
    <t>10.1007/s10586-016-0647-9</t>
  </si>
  <si>
    <t>A unified algorithm to automatic semantic composition using multilevel workflow orchestration</t>
  </si>
  <si>
    <t>10.1007/s10586-018-2604-2</t>
  </si>
  <si>
    <t>ICIF: an inter-cloud interoperability framework for computing resource cloud providers in factories of the future</t>
  </si>
  <si>
    <t>International Journal of Computer Integrated Manufacturing</t>
  </si>
  <si>
    <t>A clustering network-based approach to service composition in cloud manufacturing</t>
  </si>
  <si>
    <t>Urgent task-aware cloud manufacturing service composition using two-stage biogeography-based optimisation</t>
  </si>
  <si>
    <t>A cloud-based production system for information and service integration: an internet of things case study on waste electronics</t>
  </si>
  <si>
    <t>10.1080/17517575.2016.1215539</t>
  </si>
  <si>
    <t>Enterprise Information Systems</t>
  </si>
  <si>
    <t>A chaos control optimal algorithm for QoS-based service composition selection in cloud manufacturing system</t>
  </si>
  <si>
    <t>10.1080/17517575.2013.792396</t>
  </si>
  <si>
    <t>Cloud-SEnergy: A bin-packing based multi-cloud service broker for energy efficient composition and execution of data-intensive applications</t>
  </si>
  <si>
    <t>10.1016/j.suscom.2018.05.011</t>
  </si>
  <si>
    <t>Sustainable Computing: Informatics and Systems</t>
  </si>
  <si>
    <t>Cyber-physical manufacturing cloud: Architecture, virtualization, communication, and testbed</t>
  </si>
  <si>
    <t>10.1016/j.jmsy.2017.04.004</t>
  </si>
  <si>
    <t>Journal of Manufacturing Systems</t>
  </si>
  <si>
    <t>A semantic web-based framework for service composition in a cloud manufacturing environment</t>
  </si>
  <si>
    <t>10.1016/j.jmsy.2016.11.004</t>
  </si>
  <si>
    <t>Supercloud: A Library Cloud for Exploiting Cloud Diversity</t>
  </si>
  <si>
    <t>10.1145/3132038</t>
  </si>
  <si>
    <t>ACM Transactions on Computer Systems (TOCS)</t>
  </si>
  <si>
    <t>Cloud federation in a layered service model</t>
  </si>
  <si>
    <t>10.1016/j.jcss.2011.12.017</t>
  </si>
  <si>
    <t>Incentive-based resource assignment and regulation for collaborative cloud services in community networks</t>
  </si>
  <si>
    <t>10.1016/j.jcss.2014.12.023</t>
  </si>
  <si>
    <t>A QoS-aware composition method supporting cross-platform service invocation in cloud environment</t>
  </si>
  <si>
    <t>10.1016/j.jcss.2011.12.016</t>
  </si>
  <si>
    <t>Facilitating an ant colony algorithm for multi-objective data-intensive service provision</t>
  </si>
  <si>
    <t>10.1016/j.jcss.2014.11.017</t>
  </si>
  <si>
    <t>A new agent-based method for QoS-aware cloud service composition using particle swarm optimization algorithm</t>
  </si>
  <si>
    <t>10.1007/s12652-018-0773-8</t>
  </si>
  <si>
    <t>Journal of Ambient Intelligence and Humanized Computing</t>
  </si>
  <si>
    <t>Knowledge based differential evolution for cloud computing service composition</t>
  </si>
  <si>
    <t>10.1007/s12652-016-0445-5</t>
  </si>
  <si>
    <t>Dynamic Service Provisioning and Selection for Satisfying Cloud Applications and Cloud Providers in Hybrid Cloud</t>
  </si>
  <si>
    <t>International Journal of Cooperative Information Systems</t>
  </si>
  <si>
    <t>ACM Transactions on Autonomous and Adaptive Systems (TAAS)</t>
  </si>
  <si>
    <t>An Auction Mechanism for Cloud Spot Markets</t>
  </si>
  <si>
    <t>10.1145/2843945</t>
  </si>
  <si>
    <t>Performance and Cost Considerations for Providing Geo-Elasticity in Database Clouds</t>
  </si>
  <si>
    <t>10.1145/3095891</t>
  </si>
  <si>
    <t>New Approach for Optimal Semantic-Based Context-Aware Cloud Service Composition for ERP</t>
  </si>
  <si>
    <t>10.1007/s00354-018-0036-4</t>
  </si>
  <si>
    <t>New Generation Computing</t>
  </si>
  <si>
    <t>Pervasive and Mobile Computing</t>
  </si>
  <si>
    <t>A blockchain-based service composition architecture in cloud manufacturing</t>
  </si>
  <si>
    <t>An ensemble optimisation approach to service composition in cloud manufacturing</t>
  </si>
  <si>
    <t>An outsourcing service selection method using ANN and SFLA algorithms for cement equipment manufacturing enterprises in cloud manufacturing</t>
  </si>
  <si>
    <t>10.1007/s12652-017-0612-3</t>
  </si>
  <si>
    <t>Augmented context-based recommendation service framework using knowledge over the Linked Open Data cloud</t>
  </si>
  <si>
    <t>10.1016/j.pmcj.2015.07.009</t>
  </si>
  <si>
    <t>PaaSport semantic model: An ontology for a platform-as-a-service semantically interoperable marketplace</t>
  </si>
  <si>
    <t>10.1016/j.datak.2017.11.001</t>
  </si>
  <si>
    <t>Data &amp; Knowledge Engineering</t>
  </si>
  <si>
    <t>10.1016/j.datak.2011.01.006</t>
  </si>
  <si>
    <t>A cloud services recommendation system based on Fuzzy Formal Concept Analysis</t>
  </si>
  <si>
    <t>10.1016/j.datak.2018.05.008</t>
  </si>
  <si>
    <t>Graph Similarity based Cloud Migration Service Composition Pattern Discovery</t>
  </si>
  <si>
    <t>International Journal of Web Services Research</t>
  </si>
  <si>
    <t>A hybrid meta-heuristic approach for QoS-aware cloud service composition</t>
  </si>
  <si>
    <t>Service orchestration on a heterogeneous cloud federation</t>
  </si>
  <si>
    <t>Computing and Informatics</t>
  </si>
  <si>
    <t>Application Performance Optimization in Multicloud Environment</t>
  </si>
  <si>
    <t>Architecture-Based Reliability-Sensitive Criticality Measure for Fault-Tolerance Cloud Applications</t>
  </si>
  <si>
    <t>Trust level estimation for cloud service composition with inter-service constraints</t>
  </si>
  <si>
    <t>10.1007/s12652-019-01182-9</t>
  </si>
  <si>
    <t>TMM: Trust Management Middleware for Cloud Service Selection by Prioritization</t>
  </si>
  <si>
    <t>10.1007/s10922-018-9457-0</t>
  </si>
  <si>
    <t>Journal of Network and Systems Management</t>
  </si>
  <si>
    <t>Resource allocation in the cloud for video-on-demand applications using multiple cloud service providers</t>
  </si>
  <si>
    <t>10.1007/s10586-018-2847-y</t>
  </si>
  <si>
    <t>SD-CSR: Semantic-Based Distributed Cloud Service Registry in Unstructured P2P Networks for Augmenting Cloud Service Discovery</t>
  </si>
  <si>
    <t>10.1007/s10922-018-9479-7</t>
  </si>
  <si>
    <t>Novel probabilistic resource migration algorithm for cross-cloud live migration of virtual machines in public cloud</t>
  </si>
  <si>
    <t>10.1007/s11227-019-02874-x</t>
  </si>
  <si>
    <t>A memetic grouping genetic algorithm for cost efficient VM placement in multi-cloud environment</t>
  </si>
  <si>
    <t>10.1007/s10586-019-02956-8</t>
  </si>
  <si>
    <t>A hybrid formal verification approach for QoS-aware multi-cloud service composition</t>
  </si>
  <si>
    <t>10.1007/s10586-019-03018-9</t>
  </si>
  <si>
    <t>Integer linear programming-based multi-objective scheduling for scientific workflows in multi-cloud environments</t>
  </si>
  <si>
    <t>10.1007/s11227-019-02877-8</t>
  </si>
  <si>
    <t>A strategic performance of virtual task scheduling in multi cloud environment</t>
  </si>
  <si>
    <t>10.1007/s10586-017-1268-7</t>
  </si>
  <si>
    <t>Replica-aware task scheduling and load balanced cache placement for delay reduction in multi-cloud environment</t>
  </si>
  <si>
    <t>10.1007/s11227-018-2695-9</t>
  </si>
  <si>
    <t>The P-ART framework for placement of virtual network services in a multi-cloud environment</t>
  </si>
  <si>
    <t>10.1016/j.comcom.2019.03.003</t>
  </si>
  <si>
    <t>Latency-aware failover strategies for containerized web applications in distributed clouds</t>
  </si>
  <si>
    <t>10.1016/j.future.2019.07.032</t>
  </si>
  <si>
    <t>Context-aware composite SaaS using feature model</t>
  </si>
  <si>
    <t>10.1016/j.future.2019.04.032</t>
  </si>
  <si>
    <t>MULTS: A multi-cloud fault-tolerant architecture to manage transient servers in cloud computing</t>
  </si>
  <si>
    <t>10.1016/j.sysarc.2019.101651</t>
  </si>
  <si>
    <t>Journal of Systems Architecture</t>
  </si>
  <si>
    <t>A new strategy based on approximate dynamic programming to maximize the net revenue of IaaS cloud providers with limited resources</t>
  </si>
  <si>
    <t>10.1016/j.future.2019.07.066</t>
  </si>
  <si>
    <t>Cloud service recommendation based on unstructured textual information</t>
  </si>
  <si>
    <t>10.1016/j.future.2019.02.063</t>
  </si>
  <si>
    <t>Science for everyone (ScifE): A proposed framework for science as a service using interactive web technologies</t>
  </si>
  <si>
    <t>10.1016/j.cageo.2019.06.001</t>
  </si>
  <si>
    <t>Computers &amp; Geosciences</t>
  </si>
  <si>
    <t>Recommending heterogeneous resources for science gateway applications based on custom templates composition</t>
  </si>
  <si>
    <t>10.1016/j.future.2019.04.049</t>
  </si>
  <si>
    <t>Model-driven cloud resource management with OCCIware</t>
  </si>
  <si>
    <t>10.1016/j.future.2019.04.015</t>
  </si>
  <si>
    <t>Differed service broker scheduling for data centres in cloud environment</t>
  </si>
  <si>
    <t>10.1016/j.comcom.2019.08.007</t>
  </si>
  <si>
    <t>Defining and guaranteeing dynamic service levels in clouds</t>
  </si>
  <si>
    <t>10.1016/j.future.2019.04.001</t>
  </si>
  <si>
    <t>TSLAM: A Trust-enabled Self-Learning Agent Model for Service Matching in the Cloud Market</t>
  </si>
  <si>
    <t>10.1145/3317604</t>
  </si>
  <si>
    <t>Cloud service composition using minimal unsatisfiability and genetic algorithm</t>
  </si>
  <si>
    <t>10.1002/cpe.5282</t>
  </si>
  <si>
    <t>A cloud service composition method using a trust-based clustering algorithm and honeybee mating optimization algorithm</t>
  </si>
  <si>
    <t>10.1002/dac.4259</t>
  </si>
  <si>
    <t>International Journal of Communication Systems</t>
  </si>
  <si>
    <t>10.1109/TSC.2019.2952772</t>
  </si>
  <si>
    <t>Cloud broker proposal based on multicriteria decision-making and virtual infrastructure migration</t>
  </si>
  <si>
    <t>10.1002/spe.2723</t>
  </si>
  <si>
    <t>A framework of cloud service selection with criteria interactions</t>
  </si>
  <si>
    <t>10.1016/j.future.2018.12.005</t>
  </si>
  <si>
    <t>A hierarchical structure for optimal resource allocation in geographically distributed clouds</t>
  </si>
  <si>
    <t>10.1016/j.future.2018.08.027</t>
  </si>
  <si>
    <t>QoS-aware cloud service composition using eagle strategy</t>
  </si>
  <si>
    <t>10.1016/j.future.2018.07.062</t>
  </si>
  <si>
    <t>Optimal Fitness Aware Cloud Service Composition using an Adaptive Genotypes Evolution based Genetic Algorithm</t>
  </si>
  <si>
    <t>10.1016/j.future.2018.11.022</t>
  </si>
  <si>
    <t>A hybrid multi criteria decision method for cloud service selection from Smart data</t>
  </si>
  <si>
    <t>10.1016/j.future.2018.10.023</t>
  </si>
  <si>
    <t>Fitness-Aware Containerization Service Leveraging Machine Learning</t>
  </si>
  <si>
    <t>Efficiency measurement of cloud service providers using network data envelopment analysis</t>
  </si>
  <si>
    <t>A Multi-objective Optimization Scheme for Job Scheduling in Sustainable Cloud Data Centers</t>
  </si>
  <si>
    <t>Efficient Provision of Service Function Chains in Overlay Networks using Reinforcement Learning</t>
  </si>
  <si>
    <t>Variation-aware Cloud Service Selection via Collaborative QoS Prediction</t>
  </si>
  <si>
    <t>10.1109/TSC.2019.2895784</t>
  </si>
  <si>
    <t>Towards Service Composition Aware Virtual Machine Migration Approach in the Cloud</t>
  </si>
  <si>
    <t>Fast Multi-Criteria Service Selection for Multi-User Composite Applications</t>
  </si>
  <si>
    <t>Online Multi-Workflow Scheduling under Uncertain Task Execution Time in IaaS Clouds</t>
  </si>
  <si>
    <t>Robust Performance-Based Resource Provisioning Using a Steady-State Model for Multi-Objective Stochastic Programming</t>
  </si>
  <si>
    <t>A Robust Reputation Management Mechanism in the Federated Cloud</t>
  </si>
  <si>
    <t>Co-Operative Resource Allocation: Building an Open Cloud Market Using Shared Infrastructure</t>
  </si>
  <si>
    <t>Estimation of the Available Bandwidth in Inter-Cloud Links for Task Scheduling in Hybrid Clouds</t>
  </si>
  <si>
    <t>10.1109/TCC.2015.2469650</t>
  </si>
  <si>
    <t>Cost-aware Multi Data-Center Bulk Transfers in the Cloud from a Customer-Side Perspective</t>
  </si>
  <si>
    <t>A Truthful and Fair Multi-Attribute Combinatorial Reverse Auction for Resource Procurement in Cloud Computing</t>
  </si>
  <si>
    <t>Multi-Objective Energy Efficient Virtual Machines Allocation at the Cloud Data Center</t>
  </si>
  <si>
    <t>Economically-robust Dynamic Control of the Additive Manufacturing Cloud</t>
  </si>
  <si>
    <t>Elastic Load Balancing for Dynamic Virtual Machine Reconfiguration Based on Vertical and Horizontal Scaling</t>
  </si>
  <si>
    <t>Data Management across Geographically-Distributed Autonomous Systems: Architecture, Implementation, and Performance Evaluation</t>
  </si>
  <si>
    <t>10.1109/TII.2019.2936298</t>
  </si>
  <si>
    <t>A deep learning based framework for optimizing cloud consumer QoS-based service composition</t>
  </si>
  <si>
    <t>10.1007/s00607-019-00784-7</t>
  </si>
  <si>
    <t>Computing Journal</t>
  </si>
  <si>
    <t>10.1007/s41870-021-00716-9</t>
  </si>
  <si>
    <t>International Journal of Information Technology</t>
  </si>
  <si>
    <t>A hybrid teaching-learning-based optimization algorithm for QoS-aware manufacturing cloud service composition</t>
  </si>
  <si>
    <t>10.1007/s00607-022-01083-4</t>
  </si>
  <si>
    <t>A multicriteria optimization model for cloud service provider selection in multicloud environments</t>
  </si>
  <si>
    <t>10.1002/spe.2803</t>
  </si>
  <si>
    <t>A novel customer-centric Methodology for Optimal Service Selection (MOSS) in a cloud environment</t>
  </si>
  <si>
    <t>10.1016/j.future.2019.12.024</t>
  </si>
  <si>
    <t>A novel framework towards viable cloud service selection as a service (cssaas) under a fuzzy environment</t>
  </si>
  <si>
    <t>10.1016/j.future.2019.09.043</t>
  </si>
  <si>
    <t>A personalized method of cloud manufacturing service customization</t>
  </si>
  <si>
    <t>10.1080/0951192X.2021.1885064</t>
  </si>
  <si>
    <t>A preference-based multi-objective algorithm for optimal service composition selection in cloud manufacturing</t>
  </si>
  <si>
    <t>A service composition method using improved hybrid teaching learning optimization algorithm in cloud manufacturing</t>
  </si>
  <si>
    <t>10.1186/s13677-022-00343-0</t>
  </si>
  <si>
    <t>Journal of Cloud Computing</t>
  </si>
  <si>
    <t>An efficient approach for multi-user multi-cloud service composition in human–land sustainable computational systems</t>
  </si>
  <si>
    <t>10.1007/s11227-019-03140-w</t>
  </si>
  <si>
    <t>BGSA: Broker Guided Service Allocation in Federated Cloud</t>
  </si>
  <si>
    <t>10.1016/j.suscom.2021.100609</t>
  </si>
  <si>
    <t>BSS: a brokering model for service selection using integrated weighting approach in cloud environment</t>
  </si>
  <si>
    <t>10.1186/s13677-021-00239-5</t>
  </si>
  <si>
    <t>CCS-OSSR: a framework based on hybrid MCDM for optimal service selection and ranking of cloud computing services</t>
  </si>
  <si>
    <t>10.1007/s10586-020-03166-3</t>
  </si>
  <si>
    <t>Cloud service scrutinization and selection framework (C3SF): A novel unified approach to cloud service selection with consensus</t>
  </si>
  <si>
    <t>10.1016/j.ins.2021.11.024</t>
  </si>
  <si>
    <t>10.1007/s10586-022-03793-y</t>
  </si>
  <si>
    <t>Digital thread-driven proactive and reactive service composition for Cloud Manufacturing</t>
  </si>
  <si>
    <t>Dynamic provisioning of resources based on load balancing and service broker policy in cloud computing</t>
  </si>
  <si>
    <t>10.1007/s10586-019-02928-y</t>
  </si>
  <si>
    <t>FIPA-based reference architecture for efficient discovery and selection of appropriate cloud service using cloud ontology</t>
  </si>
  <si>
    <t>10.1002/dac.4504</t>
  </si>
  <si>
    <t>G-TOPSIS: a cloud service selection framework using Gaussian TOPSIS for rank reversal problem</t>
  </si>
  <si>
    <t>10.1007/s11227-020-03284-0</t>
  </si>
  <si>
    <t>IIVIFS-WASPAS: an integrated multi-criteria decision-making perspective for cloud service provider selection</t>
  </si>
  <si>
    <t>10.1016/j.future.2019.09.053</t>
  </si>
  <si>
    <t>Membrane-based models for service selection in cloud</t>
  </si>
  <si>
    <t>10.1016/j.ins.2020.12.015</t>
  </si>
  <si>
    <t>Model maturity-based model service composition in cloud environments</t>
  </si>
  <si>
    <t>10.1016/j.simpat.2021.102389</t>
  </si>
  <si>
    <t>Modelling and simulation of qos-aware service selection in cloud computing</t>
  </si>
  <si>
    <t>10.1016/j.simpat.2020.102108</t>
  </si>
  <si>
    <t>Simulation and modeling of an improved multi-verse optimization algorithm for QoS-aware web service composition with service level agreements in the cloud environments</t>
  </si>
  <si>
    <t>10.1016/j.simpat.2020.102090</t>
  </si>
  <si>
    <t>10.1109/TSC.2020.3046360</t>
  </si>
  <si>
    <t>Time-aware cloud manufacturing service selection using unknown QoS prediction and uncertain user preferences</t>
  </si>
  <si>
    <t>Concurrent Engineering</t>
  </si>
  <si>
    <t>An optimized service broker routing policy based on differential evolution algorithm in fog/cloud environment</t>
  </si>
  <si>
    <t>10.1007/s10586-017-1559-z</t>
  </si>
  <si>
    <t>Optimization-based profitability management tool for cloud broker</t>
  </si>
  <si>
    <t>10.1002/ett.3514</t>
  </si>
  <si>
    <t>Replication and data management-based workflow scheduling algorithm for multi-cloud data centre platform</t>
  </si>
  <si>
    <t>10.1007/s11227-020-03541-2</t>
  </si>
  <si>
    <t>Conformance checking for autonomous multi-cloud SLA management and adaptation</t>
  </si>
  <si>
    <t>10.1007/s11227-022-04363-0</t>
  </si>
  <si>
    <t>An energy-aware resource management method in cloud-based Internet of Things using a multi-objective algorithm and crowding distance</t>
  </si>
  <si>
    <t>10.1002/ett.4673</t>
  </si>
  <si>
    <t>A cost-aware management framework for placement of data-intensive applications on federated cloud</t>
  </si>
  <si>
    <t>10.1007/s10922-021-09594-9</t>
  </si>
  <si>
    <t>Adaptive user-oriented fuzzy-based service broker for cloud services</t>
  </si>
  <si>
    <t>10.1016/j.jksuci.2019.11.004</t>
  </si>
  <si>
    <t>Journal of King Saud University-Computer and Information Sciences</t>
  </si>
  <si>
    <t>Energy-aware service composition in multi-Cloud</t>
  </si>
  <si>
    <t>10.1016/j.jksuci.2022.04.014</t>
  </si>
  <si>
    <t>Aggregated Capability Assessment (AgCA) For CAIQ Enabled Cross-cloud Federation</t>
  </si>
  <si>
    <t>Bi-TCCS: Trustworthy Cloud Collaboration Service Scheme Based on Bilateral Social Feedback</t>
  </si>
  <si>
    <t>A Power and Latency Aware Cloudlet Selection Strategy for Multi-Cloudlet Environment</t>
  </si>
  <si>
    <t>An SLA-Aware Cloud Coalition Formation Approach for Virtualized Networks</t>
  </si>
  <si>
    <t>Online Placement and Scaling of Geo-Distributed Machine Learning Jobs via Volume-Discounting Brokerage</t>
  </si>
  <si>
    <t>GA-Par: Dependable Microservice Orchestration Framework for Geo-Distributed Clouds</t>
  </si>
  <si>
    <t>Blockchain-Based Network Slice Broker to Facilitate Factory-As-a-Service</t>
  </si>
  <si>
    <t>Dependability Integration in Cloud-hosted Telecommunication Services</t>
  </si>
  <si>
    <t>Security-Aware Data Allocation in Multicloud Scenarios</t>
  </si>
  <si>
    <t>On the Detection of Passive Malicious Providers in Cloud Federations</t>
  </si>
  <si>
    <t>IEEE Transactions on Network and Service Management</t>
  </si>
  <si>
    <t>A pricing approach for optimal use of computing resources in cloud federation</t>
  </si>
  <si>
    <t>10.1007/s11227-022-04725-8</t>
  </si>
  <si>
    <t>CSO-ILB: chicken swarm optimized inter-cloud load balancer for elastic containerized multi-cloud environment</t>
  </si>
  <si>
    <t>10.1007/s11227-022-04688-w</t>
  </si>
  <si>
    <t>Bankruptcy approach to integrity aware resource management in a cloud federation</t>
  </si>
  <si>
    <t>10.1007/s10586-021-03336-x</t>
  </si>
  <si>
    <t>Resource management in the federated cloud environment using Cournot and Bertrand competitions</t>
  </si>
  <si>
    <t>10.1016/j.future.2020.07.010</t>
  </si>
  <si>
    <t>Composing Services for Third-party Service Delivery</t>
  </si>
  <si>
    <t>Evaluating Contract Compatibility for Service Composition in the SeCO2 Framework</t>
  </si>
  <si>
    <t>10.1007/978-3-642-10383-4_15</t>
  </si>
  <si>
    <t>International Conference on Service Oriented Computing (ICSOC)</t>
  </si>
  <si>
    <t>International Conference for High Performance Computing, Networking, Storage and Analysis</t>
  </si>
  <si>
    <t>Control Plane Integration for Cloud Services</t>
  </si>
  <si>
    <t>10.1145/1891719.1891724</t>
  </si>
  <si>
    <t>ACM/IFIP/USENIX International Middleware Conference (Middleware)</t>
  </si>
  <si>
    <t>On the Support of Dynamic Service Composition at Runtime</t>
  </si>
  <si>
    <t>10.1007/978-3-642-16132-2_50</t>
  </si>
  <si>
    <t>Repair vs. Recomposition for Broken Service Compositions</t>
  </si>
  <si>
    <t>10.1007/978-3-642-17358-5_11</t>
  </si>
  <si>
    <t>User-Centric, Heuristic Optimization of Service Composition in Clouds</t>
  </si>
  <si>
    <t>10.1007/978-3-642-15277-1_39</t>
  </si>
  <si>
    <t>European Conference on Parallel Processing (Euro-Par)</t>
  </si>
  <si>
    <t>A Self-organized, Fault-tolerant and Scalable Replication Scheme for Cloud Storage</t>
  </si>
  <si>
    <t>10.1145/1807128.1807162</t>
  </si>
  <si>
    <t>ACM Symposium on Cloud Computing</t>
  </si>
  <si>
    <t>An Autonomic Open Marketplace for Inter-Cloud Service Management</t>
  </si>
  <si>
    <t>CANPRO: A Conflict-Aware Protocol for Negotiation of Cloud Resources and Services</t>
  </si>
  <si>
    <t>10.1007/978-3-642-25535-9_39</t>
  </si>
  <si>
    <t>Service Level Achievements -- Distributed Knowledge for Optimal Service Selection</t>
  </si>
  <si>
    <t>Towards Context Caches in the Clouds</t>
  </si>
  <si>
    <t>On-demand provisioning of Cloud and Grid based infrastructure services for collaborative projects and groups</t>
  </si>
  <si>
    <t>International Conference on Collaboration Technologies and Systems (CTS)</t>
  </si>
  <si>
    <t>Integration of Grid and Cloud with Semantics Based Integrator</t>
  </si>
  <si>
    <t>International Conference on Communication Systems and Networks (COMSNETS)</t>
  </si>
  <si>
    <t>A Dynamic Web Service Composition Method Based on Viterbi Algorithm</t>
  </si>
  <si>
    <t>A Highly-Virtualising Cloud Resource Broker</t>
  </si>
  <si>
    <t>Building an Open-Source Platform-as-a-Service with Intelligent Management of Multiple Cloud Resources</t>
  </si>
  <si>
    <t>Cloud Service Selection Based on Variability Modeling</t>
  </si>
  <si>
    <t>10.1007/978-3-642-34321-6_9</t>
  </si>
  <si>
    <t>Economic Model Based Cloud Service Composition</t>
  </si>
  <si>
    <t>10.1007/978-3-642-31875-7_20</t>
  </si>
  <si>
    <t>Towards a distributed SaaS management system in a multi-cloud environment</t>
  </si>
  <si>
    <t>10.1007/s10586-022-03619-x</t>
  </si>
  <si>
    <t>Minimizing Cost of Virtual Machines for Deadline-Constrained MapReduce Applications in the Cloud</t>
  </si>
  <si>
    <t>International Conference on Grid Computing (GridCom)</t>
  </si>
  <si>
    <t>Network-aware Cloud Brokerage for telecommunication services</t>
  </si>
  <si>
    <t>OWL-S Based Semantic Cloud Service Broker</t>
  </si>
  <si>
    <t>QoS-Aware Cloud Service Composition Based on Economic Models</t>
  </si>
  <si>
    <t>10.1007/978-3-642-34321-6_8</t>
  </si>
  <si>
    <t>QoS-MONaaS: A Portable Architecture for QoS Monitoring in the Cloud</t>
  </si>
  <si>
    <t>International Conference on Signal Image Technology and Internet Based Systems</t>
  </si>
  <si>
    <t>A Novel Cloud Bursting Brokerage and Aggregation (CBBA) Algorithm for Multi Cloud Environment</t>
  </si>
  <si>
    <t>International Conference on Advanced Computing &amp; Communication Technologies (ICACCS)</t>
  </si>
  <si>
    <t>The Impact of User Rationality in Federated Clouds</t>
  </si>
  <si>
    <t>IEEE/ACM International Symposium on Cluster Computing and the Grid (CCGRID)</t>
  </si>
  <si>
    <t>MORPHOSYS: Efficient Colocation of QoS-Constrained Workloads in the Cloud</t>
  </si>
  <si>
    <t>Adaptive Process Execution in a Service Cloud: Service Selection and Scheduling Based on Machine Learning</t>
  </si>
  <si>
    <t>An Architecture to Provide Quality of Service in OGC SWE Context</t>
  </si>
  <si>
    <t>10.1007/978-3-642-45005-1_50</t>
  </si>
  <si>
    <t>Analysis of Data Interchange Formats for Interoperable and Efficient Data Communication in Clouds</t>
  </si>
  <si>
    <t>Automated Service Composition for on-the-Fly SOAs</t>
  </si>
  <si>
    <t>10.1007/978-3-642-45005-1_42</t>
  </si>
  <si>
    <t>10.1145/2503210.2503236</t>
  </si>
  <si>
    <t>Critical Path-Based Iterative Heuristic for Workflow Scheduling in Utility and Cloud Computing</t>
  </si>
  <si>
    <t>10.1007/978-3-642-45005-1_15</t>
  </si>
  <si>
    <t>Design and Optimization of Traffic Balance Broker for Cloud-Based Telehealth Platform</t>
  </si>
  <si>
    <t>Dynamic Cloud Resource Reservation via Cloud Brokerage</t>
  </si>
  <si>
    <t>QoS-Aware Cloud Service Composition Using Time Series</t>
  </si>
  <si>
    <t>10.1007/978-3-642-45005-1_2</t>
  </si>
  <si>
    <t>Smart Cloud Broker: Finding your home in the clouds</t>
  </si>
  <si>
    <t>International Conference on Automated Software Engineering (ASE)</t>
  </si>
  <si>
    <t>CSS: Facilitate the cloud service selection in IaaS platforms</t>
  </si>
  <si>
    <t>SLA data management criteria</t>
  </si>
  <si>
    <t>International Conference on Big Data (BigData)</t>
  </si>
  <si>
    <t>Integrated Cloud Application Provisioning: Interconnecting Service-Centric and Script-Centric Management Technologies</t>
  </si>
  <si>
    <t>10.1007/978-3-642-41030-7_9</t>
  </si>
  <si>
    <t>OTM Confederated International Conferences "On the Move to Meaningful Internet Systems"</t>
  </si>
  <si>
    <t>Automated SLA Negotiation Framework for Cloud Computing</t>
  </si>
  <si>
    <t>A broker based approach for cloud provider selection</t>
  </si>
  <si>
    <t>International Conference on Advances in Computing, Communications and Informatics</t>
  </si>
  <si>
    <t>A Cloud-Oriented Services Self-Management Approach Based on Multi-agent System Technique</t>
  </si>
  <si>
    <t>A Hybrid Fuzzy Framework for Cloud Service Selection</t>
  </si>
  <si>
    <t>10.1109/ICWS.2014.53</t>
  </si>
  <si>
    <t>An OVF toolkit supporting Inter-Cloud application splitting</t>
  </si>
  <si>
    <t>Cloud Broker: Working in federated structures</t>
  </si>
  <si>
    <t>Cloud-Based Semantic Data Management for the VPH-Share Medical Research Community</t>
  </si>
  <si>
    <t>International Conference on Intelligent Networking and Collaborative Systems (INCoS)</t>
  </si>
  <si>
    <t>Communication of Technical QoS among Cloud Brokers</t>
  </si>
  <si>
    <t>CompatibleOne: Bringing Cloud as a Commodity</t>
  </si>
  <si>
    <t>Composition of Cloud Collaborations under Consideration of Non-functional Attributes</t>
  </si>
  <si>
    <t>10.1007/978-3-662-45391-9_37</t>
  </si>
  <si>
    <t>Distributed Cloud Federation Brokerage: A Live Analysis</t>
  </si>
  <si>
    <t>Exploring Cloud Service Brokering from an Interface Perspective</t>
  </si>
  <si>
    <t>Federated Access Control in Heterogeneous Intercloud Environment: Basic Models and Architecture Patterns</t>
  </si>
  <si>
    <t>FIWARE Lab: Managing Resources and Services in a Cloud Federation Supporting Future Internet Applications</t>
  </si>
  <si>
    <t>Fuzzy cloud service selection framework</t>
  </si>
  <si>
    <t>10.1109/CloudNet.2014.6969035</t>
  </si>
  <si>
    <t>Robustness Indicators for Cloud-Based Systems Topologies</t>
  </si>
  <si>
    <t>SLA Assured Brokering (SAB) and CSP Certification in Cloud Computing</t>
  </si>
  <si>
    <t>Tiera: Towards Flexible Multi-tiered Cloud Storage Instances</t>
  </si>
  <si>
    <t>10.1145/2663165.2663333</t>
  </si>
  <si>
    <t>International Conference on Architectural Support for Programming Languages and Operating Systems (ASPLOS)</t>
  </si>
  <si>
    <t>A model for evaluating the economics of cloud federation</t>
  </si>
  <si>
    <t>A new model for VMMP dealing with execution time uncertainty in a multi-clouds system</t>
  </si>
  <si>
    <t>A Performance Tree-based Monitoring Platform for Clouds</t>
  </si>
  <si>
    <t>10.1145/2668930.2688063</t>
  </si>
  <si>
    <t>ACM/SPEC International Conference on Performance Engineering (ICPE)</t>
  </si>
  <si>
    <t>Apex Lake: A Framework for Enabling Smart Orchestration</t>
  </si>
  <si>
    <t>10.1145/2830013.2830016</t>
  </si>
  <si>
    <t>CAB: Cloudlets as Agents of Cloud Brokers</t>
  </si>
  <si>
    <t>Conceptual model of brokering and authentication in cloud federations</t>
  </si>
  <si>
    <t>Criticality-aware service composition for cloud and network brokerage</t>
  </si>
  <si>
    <t>CYCLONE Unified Deployment and Management of Federated, Multi-cloud Applications</t>
  </si>
  <si>
    <t>Experiences in Building Micro-cloud Provider Federation in the Guifi Community Network</t>
  </si>
  <si>
    <t>FIDDLE: Federated Infrastructure Discovery and Description Language</t>
  </si>
  <si>
    <t>Harnessing the Power of Multiple Cloud Service Providers: An Economical and SLA-Guaranteed Cloud Storage Service</t>
  </si>
  <si>
    <t>Mobile Telecom Cloud brokerage with orchestrated multi-tier resource pooling</t>
  </si>
  <si>
    <t>Open Cloud eXchange (OCX): A Pivot for Intercloud Services Federation in Multi-provider Cloud Market Environment</t>
  </si>
  <si>
    <t>Optimizing Long-term IaaS Service Composition</t>
  </si>
  <si>
    <t>10.1007/978-3-662-48616-0_22</t>
  </si>
  <si>
    <t>Predicting Dynamic Requests Behavior in Long-Term IaaS Service Composition</t>
  </si>
  <si>
    <t>Stabilising Performance in Cloud Services Composition Using Portfolio Theory</t>
  </si>
  <si>
    <t>International conference on smart grid communications</t>
  </si>
  <si>
    <t>A Service Selection Workflow for Composition Using Correlation and Route Optimization</t>
  </si>
  <si>
    <t>Automatic Transformation of Cloud Computing Service Composition to Verifiable Models</t>
  </si>
  <si>
    <t>Using Agent-Based VM Placement Policy</t>
  </si>
  <si>
    <t>Network-Constrained Packing of Brokered Workloads in Virtualized Environments</t>
  </si>
  <si>
    <t>An Auto-Scaling Framework for Controlling Enterprise Resources on Clouds</t>
  </si>
  <si>
    <t>A Genetic Algorithm for Dynamic Cloud Application Brokerage</t>
  </si>
  <si>
    <t>An Exact Cover-Based Approach for Service Composition</t>
  </si>
  <si>
    <t>An Uncertain Assessment Compatible Incentive Mechanism for Eliciting Continual and Truthful Assessments of Cloud Services</t>
  </si>
  <si>
    <t>10.1007/978-3-319-46295-0_21</t>
  </si>
  <si>
    <t>Cost-Efficient Algorithms for Critical Resource Allocation in Cloud Federations</t>
  </si>
  <si>
    <t>CYCLONE: A Multi-cloud Federation Platform for Complex Bioinformatics and Energy Applications (Short Paper)</t>
  </si>
  <si>
    <t>Green Cloud Broker: On-line Dynamic Virtual Machine Placement Across Multiple Cloud Providers</t>
  </si>
  <si>
    <t>Qualitative Economic Model for Long-Term IaaS Composition</t>
  </si>
  <si>
    <t>10.1007/978-3-319-46295-0_20</t>
  </si>
  <si>
    <t>The Prospects for Multi-Cloud Deployment of SaaS Applications with Container Orchestration Platforms</t>
  </si>
  <si>
    <t>10.1145/3009925.3009930</t>
  </si>
  <si>
    <t>Towards Automated Cost-Efficient Data Management for Federated Cloud Services</t>
  </si>
  <si>
    <t>ARTA: An economic middleware to exchange pervasive energy and computing resources</t>
  </si>
  <si>
    <t>Pricing Ontology for Task-Oriented Cloud Sourcing</t>
  </si>
  <si>
    <t>CCRP: Customized cooperative resource provisioning for high resource utilization in clouds</t>
  </si>
  <si>
    <t>A Brokerage Architecture: Cloud Service Selection</t>
  </si>
  <si>
    <t>10.1007/978-3-319-68136-8_4</t>
  </si>
  <si>
    <t>A Migration Approach for Cloud Service Composition</t>
  </si>
  <si>
    <t>10.1007/978-3-319-68136-8_13</t>
  </si>
  <si>
    <t>Automated Analysis of Cloud Offerings for Optimal Service Provisioning</t>
  </si>
  <si>
    <t>10.1007/978-3-319-69035-3_23</t>
  </si>
  <si>
    <t>JointCloud: A Cross-Cloud Cooperation Architecture for Integrated Internet Service Customization</t>
  </si>
  <si>
    <t>Nash Equilibrium and Decentralized Pricing for QoS Aware Service Composition in Cloud Computing Environments</t>
  </si>
  <si>
    <t>Towards a Visualization Framework for Service Selection in Cloud E-Marketplaces</t>
  </si>
  <si>
    <t>10.1109/ICWS.2017.100</t>
  </si>
  <si>
    <t>CEPaaS: Complex Event Processing as a Service</t>
  </si>
  <si>
    <t>10.1109/BigDataCongress.2017.31</t>
  </si>
  <si>
    <t>International Congress on Big Data</t>
  </si>
  <si>
    <t>Flexible Composition of System of Systems on Cloud Federation</t>
  </si>
  <si>
    <t>BOSS: A Multitenancy Ad-Hoc Service Orchestrator for Federated Openstack Clouds</t>
  </si>
  <si>
    <t>A novel approach for cloud service composition ensuring global QoS constraints optimization</t>
  </si>
  <si>
    <t>A Serverless Approach to Publish/Subscribe Systems</t>
  </si>
  <si>
    <t>10.1145/3284014.3284019</t>
  </si>
  <si>
    <t>Cloudchain: A Blockchain-Based Coopetition Differential Game Model for Cloud Computing</t>
  </si>
  <si>
    <t>10.1007/978-3-030-03596-9_10</t>
  </si>
  <si>
    <t>Risk-Based Service Selection in Federated Clouds</t>
  </si>
  <si>
    <t>Modelling Cloud Federation: A Fair Profit Distribution Strategy Using the Shapley Value</t>
  </si>
  <si>
    <t>A Quality-Driven Recommender System for IaaS Cloud Services</t>
  </si>
  <si>
    <t>Janus: A Generic QoS Framework for Software-as-a-Service Applications</t>
  </si>
  <si>
    <t>International Conference on Cluster Computing (CLUSTER)</t>
  </si>
  <si>
    <t>Modeling Operational Fairness of Hybrid Cloud Brokerage</t>
  </si>
  <si>
    <t>Optimal VM Coalition for Multi-Tier Applications Over Multi-Cloud Broker Environments</t>
  </si>
  <si>
    <t>Identifying and Estimating Technical Debt for Service Composition in SaaS Cloud</t>
  </si>
  <si>
    <t>Customizing Multi-Tenant SaaS by Microservices: A Reference Architecture</t>
  </si>
  <si>
    <t>Multi-cloud Services Configuration Based on Risk Optimization</t>
  </si>
  <si>
    <t>10.1007/978-3-030-33246-4_45</t>
  </si>
  <si>
    <t>Monitorless: Predicting Performance Degradation in Cloud Applications with Machine Learning</t>
  </si>
  <si>
    <t>10.1145/3361525.3361543</t>
  </si>
  <si>
    <t>PARTIES: QoS-Aware Resource Partitioning for Multiple Interactive Services</t>
  </si>
  <si>
    <t>10.1145/3297858.3304005</t>
  </si>
  <si>
    <t>Energy and Profit-Aware Proof-of-Stake Offloading in Blockchain-based VANETs</t>
  </si>
  <si>
    <t>10.1145/3344341.3368797</t>
  </si>
  <si>
    <t>Selecting Efficient Cloud Resources for HPC Workloads</t>
  </si>
  <si>
    <t>10.1145/3344341.3368798</t>
  </si>
  <si>
    <t>ReLAQS: Reducing Latency for Multi-Tenant Approximate Queries via Scheduling</t>
  </si>
  <si>
    <t>10.1145/3361525.3361553</t>
  </si>
  <si>
    <t>International Middleware Conference</t>
  </si>
  <si>
    <t>SLO-ML: A Language for Service Level Objective Modelling in Multi-cloud Applications</t>
  </si>
  <si>
    <t>10.1145/3344341.3368805</t>
  </si>
  <si>
    <t>FOCUS: Scalable Search Over Highly Dynamic Geo-distributed State</t>
  </si>
  <si>
    <t>Bazaar-Contract: A Smart Contract for Binding Multi-Round Bilateral Negotiations on Cloud Markets</t>
  </si>
  <si>
    <t>Performance Characterization and Modeling of Serverless and HPC Streaming Applications</t>
  </si>
  <si>
    <t>Tracking Application Fingerprint in a Trustless Cloud Environment for Sabotage Detection</t>
  </si>
  <si>
    <t>International Symposium on Modeling, Analysis, and Simulation of Computer and Telecommunication Systems (MASCOTS)</t>
  </si>
  <si>
    <t>Cost-efficient Deployment of Big Data Applications in Federated Cloud Systems</t>
  </si>
  <si>
    <t>Multi-Resource Continuous Allocation Model for Cloud Services</t>
  </si>
  <si>
    <t>International Conference on Computing, Networking and Communications (ICNC)</t>
  </si>
  <si>
    <t>kFHCO: Optimal VM Consolidation via k -Factor Horizontal Checkpoint Oversubscription</t>
  </si>
  <si>
    <t>vABS: Towards Verifiable Attribute-Based Search Over Shared Cloud Data</t>
  </si>
  <si>
    <t>International Conference on Data Engineering (ICDE)</t>
  </si>
  <si>
    <t>Reliability management for blockchain-based decentralized multi-cloud</t>
  </si>
  <si>
    <t>Adaptive brokerage framework for the cloud with functional testing</t>
  </si>
  <si>
    <t>10.1145/3492323.3495624</t>
  </si>
  <si>
    <t>IEEE/ACM International Conference on Utility and Cloud Computing</t>
  </si>
  <si>
    <t>Integrated AHP-IOWA, POWA Framework for Ideal Cloud Provider Selection and Optimum Resource Management</t>
  </si>
  <si>
    <t>An ICN-Based Data Marketplace Model Based on a Game Theoretic Approach Using Quality-Data Discovery and Profit Optimization</t>
  </si>
  <si>
    <t>CoMCLOUD: Virtual Machine Coalition for Multi-Tier Applications over Multi-Cloud Environments</t>
  </si>
  <si>
    <t>Resource Management and Pricing for Cloud Computing based Mobile Blockchain with Pooling</t>
  </si>
  <si>
    <t>Scheduling and Process Optimization for Blockchain-Enabled Cloud Manufacturing Using Dynamic Selection Evolutionary Algorithm</t>
  </si>
  <si>
    <t>Hierarchical Distributed Overarching Architecture of Decoupled Federation and Orchestration Frameworks for Multidomain NFV MANOs</t>
  </si>
  <si>
    <t>IEEE Communications Magazine</t>
  </si>
  <si>
    <t>Signature-based Selection of IaaS Cloud Services</t>
  </si>
  <si>
    <t>Pre-Joined Semantic Indexing Graph for QoS-Aware Service Composition</t>
  </si>
  <si>
    <t>Alliance-Aware Service Composition with Efficient Matching Search</t>
  </si>
  <si>
    <t>Elimination Mechanism-based PSO Algorithm for Cloud Workflow Scheduling with Budget Constraints</t>
  </si>
  <si>
    <t>An Efficient Service Selection Algorithm for Cloud Computing</t>
  </si>
  <si>
    <t>10.1007/978-981-19-1018-0_9</t>
  </si>
  <si>
    <t xml:space="preserve">Lecture Notes in Networks and Systems	</t>
  </si>
  <si>
    <t>An Uncertainty-Aware Cloud Service Selection Model Using CRITIC and MAUT</t>
  </si>
  <si>
    <t>10.1007/978-981-19-1018-0_21</t>
  </si>
  <si>
    <t>Knowledge-Engineered Multi-Cloud Resource Brokering for Application Workflow Optimization</t>
  </si>
  <si>
    <t>10.1109/TNSM.2022.3227767</t>
  </si>
  <si>
    <t>Blockchain-based WDP Solution for Real-time Heterogeneous Computing Resource Allocation</t>
  </si>
  <si>
    <t>10.1109/TNSM.2022.3215988</t>
  </si>
  <si>
    <t>Location-Aware and Budget-Constrained Service Brokering in Multi-Cloud via Deep Reinforcement Learning</t>
  </si>
  <si>
    <t>10.1007/978-3-030-91431-8_52</t>
  </si>
  <si>
    <t>Location-Aware Cloud Service Brokering in Multi-cloud Environment</t>
  </si>
  <si>
    <t>10.1007/978-3-031-26507-5_42</t>
  </si>
  <si>
    <t>Cloud Storage and Processing Service Selection considering Tiered Pricing and Data Regulations</t>
  </si>
  <si>
    <t>10.1109/UCC56403.2022.00020</t>
  </si>
  <si>
    <t>IEEE/ACM International Conference on Utility and Cloud Computing (UCC)</t>
  </si>
  <si>
    <t>10.1109/MIC.2014.62</t>
  </si>
  <si>
    <t>A Novel Economic Sharing Model in a Federation of Selfish Cloud Providers</t>
  </si>
  <si>
    <t>10.1109/TPDS.2013.23</t>
  </si>
  <si>
    <t>10.1109/TPDS.2015.2473850</t>
  </si>
  <si>
    <t>10.1109/TPDS.2014.2321750</t>
  </si>
  <si>
    <t>10.1109/TPDS.2017.2658572</t>
  </si>
  <si>
    <t>10.1109/TPDS.2013.246</t>
  </si>
  <si>
    <t>10.1109/TPDS.2018.2877363</t>
  </si>
  <si>
    <t>10.1109/TPDS.2015.2482980</t>
  </si>
  <si>
    <t>10.1109/TSC.2015.2449302</t>
  </si>
  <si>
    <t>10.1109/TSC.2015.2413111</t>
  </si>
  <si>
    <t>10.1109/TSC.2016.2518161</t>
  </si>
  <si>
    <t>10.1109/TSC.2013.2</t>
  </si>
  <si>
    <t>10.1109/TSC.2017.2761346</t>
  </si>
  <si>
    <t>10.1109/TSC.2014.2373366</t>
  </si>
  <si>
    <t>10.1016/j.jnca.2016.04.012</t>
  </si>
  <si>
    <t>10.1109/TCC.2015.2440257</t>
  </si>
  <si>
    <t>10.1109/TCC.2016.2541150</t>
  </si>
  <si>
    <t>10.1109/TCC.2015.2489638</t>
  </si>
  <si>
    <t>10.1109/TCC.2016.2603504</t>
  </si>
  <si>
    <t>10.1109/TCC.2015.2433259</t>
  </si>
  <si>
    <t>10.1109/TCC.2014.2338310</t>
  </si>
  <si>
    <t>10.1109/TCC.2015.2415783</t>
  </si>
  <si>
    <t>10.1109/TCC.2016.2607750</t>
  </si>
  <si>
    <t>10.1109/TCC.2015.2491939</t>
  </si>
  <si>
    <t>10.1109/TCC.2014.2300855</t>
  </si>
  <si>
    <t>An inter-cloud bridge system for heterogeneous cloud platforms</t>
  </si>
  <si>
    <t>10.1016/j.future.2015.02.005</t>
  </si>
  <si>
    <t>10.1007/s11227-016-1690-2</t>
  </si>
  <si>
    <t>10.1007/s11227-016-1952-z</t>
  </si>
  <si>
    <t>Brokerage-based dependability integration in cloud computing services</t>
  </si>
  <si>
    <t>10.1007/s11227-018-2388-4</t>
  </si>
  <si>
    <t>10.1007/s10723-013-9285-0</t>
  </si>
  <si>
    <t>10.1109/TII.2012.2232936</t>
  </si>
  <si>
    <t>10.1109/TSC.2017.2787707</t>
  </si>
  <si>
    <t>Multi-Objective Service Composition in Uncertain Environments</t>
  </si>
  <si>
    <t>10.1109/TSC.2015.2443785</t>
  </si>
  <si>
    <t>10.1080/0951192X.2015.1067921</t>
  </si>
  <si>
    <t>10.1080/0951192X.2017.1314015</t>
  </si>
  <si>
    <t>10.1080/0951192X.2018.1493230</t>
  </si>
  <si>
    <t>10.1142/S0218843017500058</t>
  </si>
  <si>
    <t>10.4018/IJWSR.2015040102</t>
  </si>
  <si>
    <t>10.4018/IJWSR.2018040101</t>
  </si>
  <si>
    <t>10.1109/TPDS.2019.2917900</t>
  </si>
  <si>
    <t>Formal modeling and verification of cloud-based web service composition</t>
  </si>
  <si>
    <t>10.1002/cpe.5249</t>
  </si>
  <si>
    <t>10.1109/TCC.2019.2927340</t>
  </si>
  <si>
    <t>10.1109/TCC.2019.2950002</t>
  </si>
  <si>
    <t>10.1109/TCC.2019.2961093</t>
  </si>
  <si>
    <t>10.1109/TSC.2019.2962128</t>
  </si>
  <si>
    <t>10.1109/TDSC.2019.2953068</t>
  </si>
  <si>
    <t>10.1109/TCC.2019.2906300</t>
  </si>
  <si>
    <t>10.1109/TCC.2016.2608345</t>
  </si>
  <si>
    <t>10.1109/TCC.2017.2689020</t>
  </si>
  <si>
    <t>10.1109/TCC.2016.2594174</t>
  </si>
  <si>
    <t>10.1109/TCC.2015.2469666</t>
  </si>
  <si>
    <t>10.1109/TSC.2016.2632719</t>
  </si>
  <si>
    <t>10.1109/TSC.2016.2596289</t>
  </si>
  <si>
    <t>10.1109/TSC.2019.2954137</t>
  </si>
  <si>
    <t>10.1109/TSC.2016.2634024</t>
  </si>
  <si>
    <t>ACM Transactions on Internet Technology (TOIT)</t>
  </si>
  <si>
    <t>CAN-TM: Chain augmented Naïve Bayes-based trust model for reliable cloud service selection</t>
  </si>
  <si>
    <t>10.1080/0951192X.2019.1571234</t>
  </si>
  <si>
    <t>10.3390/math10213968</t>
  </si>
  <si>
    <t>10.3724/sp.j.1087.2013.00023</t>
  </si>
  <si>
    <t>Tackling temporal-dynamic service composition in cloud manufacturing systems: A tensor factorization-based two-stage approach</t>
  </si>
  <si>
    <t>Trust Evaluation for Service Composition in Cloud Manufacturing Using GRU and Association Analysis</t>
  </si>
  <si>
    <t>Trusted cloud broker for estimating the reputation of cloud providers in federated cloud environment</t>
  </si>
  <si>
    <t>A novel cloud management framework for trust establishment and evaluation in a federated cloud environment</t>
  </si>
  <si>
    <t>Pricing strategies of an oligopolist in federated cloud markets</t>
  </si>
  <si>
    <t>10.1007/s11227-021-03775-8</t>
  </si>
  <si>
    <t>10.1186/s13677-021-00270-6</t>
  </si>
  <si>
    <t>10.1109/TSC.2018.2833854</t>
  </si>
  <si>
    <t>10.1109/TSC.2019.2898666</t>
  </si>
  <si>
    <t>10.1109/TSC.2016.2592903</t>
  </si>
  <si>
    <t>10.1109/TSC.2021.3073783</t>
  </si>
  <si>
    <t>10.1109/TSC.2018.2818121</t>
  </si>
  <si>
    <t>Temporal-Perturbation Aware Reliability Sensitivity Measurement for Adaptive Cloud Service Selection</t>
  </si>
  <si>
    <t>Purpose-Based Privacy Preserving Access Control for Secure Service Provision and Composition</t>
  </si>
  <si>
    <t>10.1109/TSC.2016.2616875</t>
  </si>
  <si>
    <t>10.1109/TSC.2019.2925614</t>
  </si>
  <si>
    <t>Bandwidth On-Demand for Multimedia Big Data Transfer Across Geo-Distributed Cloud Data Centers</t>
  </si>
  <si>
    <t>10.1109/TCC.2016.2617369</t>
  </si>
  <si>
    <t>Multi-Cloud Performance and Security Driven Federated Workflow Management</t>
  </si>
  <si>
    <t>10.1109/TCC.2018.2849699</t>
  </si>
  <si>
    <t>10.1109/TCC.2020.2978810</t>
  </si>
  <si>
    <t>10.1109/TCC.2018.2865560</t>
  </si>
  <si>
    <t>On the Efficiency of Cloud Providers: A DEA Approach Incorporating Categorical Variables</t>
  </si>
  <si>
    <t>10.1109/TCC.2018.2850889</t>
  </si>
  <si>
    <t>10.1109/TCC.2016.2586061</t>
  </si>
  <si>
    <t>10.1109/TCC.2018.2865737</t>
  </si>
  <si>
    <t>10.1109/TPDS.2019.2955935</t>
  </si>
  <si>
    <t>10.1109/TPDS.2019.2929389</t>
  </si>
  <si>
    <t>10.1109/TII.2022.3173928</t>
  </si>
  <si>
    <t>10.1109/TDSC.2018.2875088</t>
  </si>
  <si>
    <t>10.1109/LCOMM.2018.2878714</t>
  </si>
  <si>
    <t>Cooperative game approach to form overlapping cloud federation based on inter-cloud architecture</t>
  </si>
  <si>
    <t>10.1007/s10586-021-03253-z</t>
  </si>
  <si>
    <t>FedRec: Trusted rank-based recommender scheme for service provisioning in federated cloud environment</t>
  </si>
  <si>
    <t>10.1016/j.dcan.2022.06.003</t>
  </si>
  <si>
    <t>Digital Communications and Networks</t>
  </si>
  <si>
    <t>10.1109/TSC.2021.3124885</t>
  </si>
  <si>
    <t>10.1109/TCC.2022.3188447</t>
  </si>
  <si>
    <t>10.1109/TCC.2021.3122445</t>
  </si>
  <si>
    <t>Cost-Effective and Latency-minimized Data Placement Strategy for Spatial Crowdsourcing in Multi-Cloud Environment</t>
  </si>
  <si>
    <t>10.1109/TCC.2021.3119862</t>
  </si>
  <si>
    <t>10.1109/TCC.2021.3081580</t>
  </si>
  <si>
    <t>10.1109/TII.2022.3171338</t>
  </si>
  <si>
    <t>10.1109/TII.2022.3199268</t>
  </si>
  <si>
    <t>10.1109/TII.2022.3188835</t>
  </si>
  <si>
    <t>10.1109/MCOM.005.20949</t>
  </si>
  <si>
    <t>10.1109/ICWS.2009.85</t>
  </si>
  <si>
    <t>10.1109/UCC.2011.34</t>
  </si>
  <si>
    <t>10.1109/ECOWS.2011.24</t>
  </si>
  <si>
    <t>10.1109/UCC.2011.67</t>
  </si>
  <si>
    <t>10.1109/CTS.2011.5928675</t>
  </si>
  <si>
    <t>10.1109/CICSyN.2011.71</t>
  </si>
  <si>
    <t>10.1109/ICWS.2012.118</t>
  </si>
  <si>
    <t>A Framework for Self-Healing Service Compositions in Cloud Computing Environments</t>
  </si>
  <si>
    <t>10.1109/ICWS.2012.109</t>
  </si>
  <si>
    <t>10.1109/UCC.2012.14</t>
  </si>
  <si>
    <t>10.1109/UCC.2012.54</t>
  </si>
  <si>
    <t>10.1109/Grid.2012.19</t>
  </si>
  <si>
    <t>10.1109/CloudNet.2012.6483667</t>
  </si>
  <si>
    <t>10.1109/ICWS.2012.103</t>
  </si>
  <si>
    <t>10.1109/SITIS.2012.82</t>
  </si>
  <si>
    <t>10.1109/ACCT.2012.7</t>
  </si>
  <si>
    <t>10.1109/CCGrid.2012.127</t>
  </si>
  <si>
    <t>10.1109/CCGrid.2012.44</t>
  </si>
  <si>
    <t>10.1109/IC2E.2013.48</t>
  </si>
  <si>
    <t>10.1109/ICWS.2013.51</t>
  </si>
  <si>
    <t>10.1109/UCC.2013.79</t>
  </si>
  <si>
    <t>10.1109/UCC.2013.37</t>
  </si>
  <si>
    <t>10.1109/ICDCS.2013.20</t>
  </si>
  <si>
    <t>10.1109/ASE.2013.6693136</t>
  </si>
  <si>
    <t>10.1109/CTS.2013.6567253</t>
  </si>
  <si>
    <t>10.1109/BigData.2013.6691769</t>
  </si>
  <si>
    <t>10.1109/CCGrid.2013.64</t>
  </si>
  <si>
    <t>10.1109/ICACCI.2014.6968439</t>
  </si>
  <si>
    <t>10.1109/UCC.2014.35</t>
  </si>
  <si>
    <t>A Trust Evaluation Method for Cloud Service with Fluctuant QoS and Flexible SLA</t>
  </si>
  <si>
    <t>10.1109/ICWS.2014.57</t>
  </si>
  <si>
    <t>10.1109/CloudNet.2014.6968975</t>
  </si>
  <si>
    <t>10.1109/ICACCI.2014.6968660</t>
  </si>
  <si>
    <t>10.1109/INCoS.2014.94</t>
  </si>
  <si>
    <t>10.1109/IC2E.2014.92</t>
  </si>
  <si>
    <t>10.1109/IC2E.2014.62</t>
  </si>
  <si>
    <t>Context-Aware Cloud Service Selection Based on Comparison and Aggregation of User Subjective Assessment and Objective Performance Assessment</t>
  </si>
  <si>
    <t>10.1109/ICWS.2014.24</t>
  </si>
  <si>
    <t>10.1109/UCC.2014.120</t>
  </si>
  <si>
    <t>10.1109/ICWS.2014.55</t>
  </si>
  <si>
    <t>10.1109/IC2E.2014.84</t>
  </si>
  <si>
    <t>10.1109/UCC.2014.129</t>
  </si>
  <si>
    <t>In-the-Know: Recommendation Framework for City-Supported Hybrid Cloud Services</t>
  </si>
  <si>
    <t>10.1109/UCC.2014.22</t>
  </si>
  <si>
    <t>10.1109/UCC.2014.40</t>
  </si>
  <si>
    <t>10.1109/UCC.2014.167</t>
  </si>
  <si>
    <t>10.1109/CTS.2014.6867617</t>
  </si>
  <si>
    <t>10.1109/CloudNet.2015.7335324</t>
  </si>
  <si>
    <t>10.1109/CloudNet.2015.7335300</t>
  </si>
  <si>
    <t>10.1109/UCC.2015.59</t>
  </si>
  <si>
    <t>10.1109/ICACCI.2015.7275639</t>
  </si>
  <si>
    <t>10.1109/CloudNet.2015.7335326</t>
  </si>
  <si>
    <t>10.1109/CloudNet.2015.7335290</t>
  </si>
  <si>
    <t>10.1109/UCC.2015.81</t>
  </si>
  <si>
    <t>10.1109/UCC.2015.92</t>
  </si>
  <si>
    <t>10.1109/IC2E.2015.77</t>
  </si>
  <si>
    <t>10.1109/ICDCS.2015.85</t>
  </si>
  <si>
    <t>10.1109/CloudNet.2015.7335297</t>
  </si>
  <si>
    <t>10.1109/IC2E.2015.84</t>
  </si>
  <si>
    <t>10.1109/ICWS.2015.17</t>
  </si>
  <si>
    <t>10.1109/ICWS.2015.11</t>
  </si>
  <si>
    <t>10.1109/CTS.2015.7210423</t>
  </si>
  <si>
    <t>10.1109/CICSyN.2015.43</t>
  </si>
  <si>
    <t>10.1109/FiCloud.2015.117</t>
  </si>
  <si>
    <t>10.1109/FiCloud.2015.110</t>
  </si>
  <si>
    <t>10.1109/CCGrid.2015.110</t>
  </si>
  <si>
    <t>10.1109/CCGrid.2015.120</t>
  </si>
  <si>
    <t>10.1109/IC2E.2016.25</t>
  </si>
  <si>
    <t>10.1109/ICWS.2016.87</t>
  </si>
  <si>
    <t>10.1109/CloudNet.2016.11</t>
  </si>
  <si>
    <t>10.1109/CloudNet.2016.44</t>
  </si>
  <si>
    <t>10.1109/CloudNet.2016.41</t>
  </si>
  <si>
    <t>Model Checking of Composite Cloud Services</t>
  </si>
  <si>
    <t>10.1109/ICWS.2016.53</t>
  </si>
  <si>
    <t>QuARAM Service Recommender: A Platform for IaaS Service Selection</t>
  </si>
  <si>
    <t>TCloud: A Transparent Framework for Public Cloud Service Comparison</t>
  </si>
  <si>
    <t>10.1109/CloudNet.2016.37</t>
  </si>
  <si>
    <t>10.1109/SmartGridComm.2016.7778807</t>
  </si>
  <si>
    <t>10.1109/FiCloud.2016.17</t>
  </si>
  <si>
    <t>10.1109/BigData.2016.7840610</t>
  </si>
  <si>
    <t>10.1109/ICDCS.2017.237</t>
  </si>
  <si>
    <t>10.1109/ICWS.2017.28</t>
  </si>
  <si>
    <t>Penalty Based Mathematical Models for Web Service Composition in a Geo-Distributed Cloud Environment</t>
  </si>
  <si>
    <t>10.1109/ICWS.2017.113</t>
  </si>
  <si>
    <t>10.1109/FiCloud.2017.18</t>
  </si>
  <si>
    <t>10.1109/FiCloud.2017.10</t>
  </si>
  <si>
    <t>10.1109/ICACCI.2018.8554787</t>
  </si>
  <si>
    <t>10.1109/UCC-Companion.2018.00038</t>
  </si>
  <si>
    <t>10.1109/FiCloud.2018.00063</t>
  </si>
  <si>
    <t>10.1109/BigData.2018.8622017</t>
  </si>
  <si>
    <t>10.1109/CLUSTER.2018.00018</t>
  </si>
  <si>
    <t>10.1109/CCGRID.2018.00083</t>
  </si>
  <si>
    <t>10.1109/COMSNETS.2019.8711038</t>
  </si>
  <si>
    <t>10.1109/ICWS.2019.00030</t>
  </si>
  <si>
    <t>10.1109/ICWS.2019.00081</t>
  </si>
  <si>
    <t>10.1109/ICDCS.2019.00210</t>
  </si>
  <si>
    <t>10.1109/FiCloud.2019.00028</t>
  </si>
  <si>
    <t>10.1109/BigData47090.2019.9006530</t>
  </si>
  <si>
    <t>10.1109/MASCOTS.2019.00018</t>
  </si>
  <si>
    <t>10.1109/COMSNETS.2019.8711284</t>
  </si>
  <si>
    <t>10.1109/ICCNC.2019.8685494</t>
  </si>
  <si>
    <t>10.1109/ICCNC.2019.8685604</t>
  </si>
  <si>
    <t>10.1109/ICDE.2019.00231</t>
  </si>
  <si>
    <t>10.1109/ICWS49710.2020.00014</t>
  </si>
  <si>
    <t>10.1109/ICWS.2019.00029</t>
  </si>
  <si>
    <t>10.1109/ICWS53863.2021.00060</t>
  </si>
  <si>
    <t>10.23919/CCC52363.2021.9550012</t>
  </si>
  <si>
    <t>Paper Title</t>
  </si>
  <si>
    <t>DoI</t>
  </si>
  <si>
    <t xml:space="preserve">Topic </t>
  </si>
  <si>
    <t xml:space="preserve">Techniques </t>
  </si>
  <si>
    <t xml:space="preserve">Environment </t>
  </si>
  <si>
    <t xml:space="preserve">Service Layer </t>
  </si>
  <si>
    <t xml:space="preserve">NIST category ‎ </t>
  </si>
  <si>
    <t xml:space="preserve">Frameworks, platforms </t>
  </si>
  <si>
    <t xml:space="preserve">Empirical evaluation </t>
  </si>
  <si>
    <t>Selection</t>
  </si>
  <si>
    <t>Cloud</t>
  </si>
  <si>
    <t>IaaS</t>
  </si>
  <si>
    <t>Centralized</t>
  </si>
  <si>
    <t>Intermediation</t>
  </si>
  <si>
    <t>Amazon Cloud</t>
  </si>
  <si>
    <t>Real World</t>
  </si>
  <si>
    <t>Simulation</t>
  </si>
  <si>
    <t>SaaS</t>
  </si>
  <si>
    <t>Distributed</t>
  </si>
  <si>
    <t>MediaWiki</t>
  </si>
  <si>
    <t>InterCloud</t>
  </si>
  <si>
    <t>XaaS</t>
  </si>
  <si>
    <t>No Evaluation</t>
  </si>
  <si>
    <t>Aggregation</t>
  </si>
  <si>
    <t>Eclipse Modeling Framework (EMF)</t>
  </si>
  <si>
    <t>three real cloud services,i.e. Amazon EC2 , IBM , and GoGrid</t>
  </si>
  <si>
    <t>mpiBLAST</t>
  </si>
  <si>
    <t>cloudsim toolkit</t>
  </si>
  <si>
    <t>Eucalyptus</t>
  </si>
  <si>
    <t>PaaS</t>
  </si>
  <si>
    <t>CloudSim</t>
  </si>
  <si>
    <t>Matlab</t>
  </si>
  <si>
    <t>super decisions tool</t>
  </si>
  <si>
    <t>Iaas</t>
  </si>
  <si>
    <t>Polarssl cryptographic library</t>
  </si>
  <si>
    <t>Composition</t>
  </si>
  <si>
    <t>Java</t>
  </si>
  <si>
    <t>Openstack</t>
  </si>
  <si>
    <t>Heuristic</t>
  </si>
  <si>
    <t>java, Hadoop</t>
  </si>
  <si>
    <t>C#</t>
  </si>
  <si>
    <t xml:space="preserve">Heuristic </t>
  </si>
  <si>
    <t>Protégé and Java</t>
  </si>
  <si>
    <t>Recommendation</t>
  </si>
  <si>
    <t>LODcloud</t>
  </si>
  <si>
    <t>TobBraid Composer Free Edition</t>
  </si>
  <si>
    <t>RabbitMQ</t>
  </si>
  <si>
    <t>Pricing</t>
  </si>
  <si>
    <t>Python</t>
  </si>
  <si>
    <t>pricing</t>
  </si>
  <si>
    <t>Xaas</t>
  </si>
  <si>
    <t>CloudSim toolkits</t>
  </si>
  <si>
    <t>ElasticHosts and Amazon EC2</t>
  </si>
  <si>
    <t>Testbed</t>
  </si>
  <si>
    <t>mOSAIC</t>
  </si>
  <si>
    <t>Google App Engine (GAE)</t>
  </si>
  <si>
    <t>C++</t>
  </si>
  <si>
    <t>CloudSME</t>
  </si>
  <si>
    <t>java script</t>
  </si>
  <si>
    <t>OpenStack and Flexiant</t>
  </si>
  <si>
    <t>Journal of Computer and System Sciences (JCSS)</t>
  </si>
  <si>
    <t>Discovery</t>
  </si>
  <si>
    <t xml:space="preserve"> PHP library SimpleCloud</t>
  </si>
  <si>
    <t>Google Container Engine (GKE)</t>
  </si>
  <si>
    <t>NetKit network emulation-virtualization platform using the standard BGPv4 protocol</t>
  </si>
  <si>
    <t>hadoop cluster</t>
  </si>
  <si>
    <t>Impetus  Kundera</t>
  </si>
  <si>
    <t>OpenStack</t>
  </si>
  <si>
    <t>(Openstack, OpenNaaS, SlipStream and TCTP</t>
  </si>
  <si>
    <t>SimIC</t>
  </si>
  <si>
    <t>cloudsim</t>
  </si>
  <si>
    <t>Swagger framework</t>
  </si>
  <si>
    <t>matlab</t>
  </si>
  <si>
    <t>framework</t>
  </si>
  <si>
    <t>Cloudsim</t>
  </si>
  <si>
    <t>Monitoring</t>
  </si>
  <si>
    <t>oryx</t>
  </si>
  <si>
    <t>Elvira,java</t>
  </si>
  <si>
    <t>Java, Protégé API</t>
  </si>
  <si>
    <t>Jade</t>
  </si>
  <si>
    <t>cloudSim</t>
  </si>
  <si>
    <t>SRT-15 cloud platform</t>
  </si>
  <si>
    <t>Voldemort,open</t>
  </si>
  <si>
    <t>OpenNebula</t>
  </si>
  <si>
    <t>Planet-lab</t>
  </si>
  <si>
    <t>python</t>
  </si>
  <si>
    <t>cloudle(proposed testbed)</t>
  </si>
  <si>
    <t>WebCloudSim</t>
  </si>
  <si>
    <t>Java-ceplex</t>
  </si>
  <si>
    <t>ProM</t>
  </si>
  <si>
    <t>jMetal</t>
  </si>
  <si>
    <t xml:space="preserve">Discovery </t>
  </si>
  <si>
    <t>Automated cloud brokerage based upon continuous real-time benchmarking</t>
  </si>
  <si>
    <t>Broker Architecture for Collaborative UAVs Cloud Computing</t>
  </si>
  <si>
    <t>FedCloud</t>
  </si>
  <si>
    <t>Saas</t>
  </si>
  <si>
    <t>Choco (java based)</t>
  </si>
  <si>
    <t>MATLAB</t>
  </si>
  <si>
    <t xml:space="preserve">IaaS </t>
  </si>
  <si>
    <t>LPDS lab-OpenNebula-SZTAKI-CESNET-M3S-SALMon</t>
  </si>
  <si>
    <t>jMetal(java framework)</t>
  </si>
  <si>
    <t>Flexiscale</t>
  </si>
  <si>
    <t>Cloud Analyst</t>
  </si>
  <si>
    <t>OWL-API, a Java API</t>
  </si>
  <si>
    <t>Ethereum,</t>
  </si>
  <si>
    <t>Java,CloudML</t>
  </si>
  <si>
    <t>e Home-based Patient use case of the AU2EU project</t>
  </si>
  <si>
    <t>python,Tailored platform</t>
  </si>
  <si>
    <t>Paas</t>
  </si>
  <si>
    <t>OpenStack and OpenNebula</t>
  </si>
  <si>
    <t>JADE</t>
  </si>
  <si>
    <t>MATLABplatform.</t>
  </si>
  <si>
    <t>cloudlab</t>
  </si>
  <si>
    <t>YALM in matlab</t>
  </si>
  <si>
    <t>WorkflowSim</t>
  </si>
  <si>
    <t>CloudLab infrastructure</t>
  </si>
  <si>
    <t>Matlab and R</t>
  </si>
  <si>
    <t>NeuroGrid</t>
  </si>
  <si>
    <t>CPLEX Solver Studio</t>
  </si>
  <si>
    <t>Spark,ReLAQS</t>
  </si>
  <si>
    <t>e Yahoo! Cloud System Benchmark (YCSB)</t>
  </si>
  <si>
    <t>C++ and x-code</t>
  </si>
  <si>
    <t>C++ with OpenMp</t>
  </si>
  <si>
    <t xml:space="preserve"> Ethereum and_x000D_
the Inter-Planetary File System</t>
  </si>
  <si>
    <t>cloudsim- openstack</t>
  </si>
  <si>
    <t>AWS lambda</t>
  </si>
  <si>
    <t>NuSMV tool</t>
  </si>
  <si>
    <t>10.1080/0951192X.2020.1775298</t>
  </si>
  <si>
    <t>C++, Matlab</t>
  </si>
  <si>
    <t>10.1177/1063293X211019505</t>
  </si>
  <si>
    <t xml:space="preserve"> CloudAnalyst</t>
  </si>
  <si>
    <t>C and Python</t>
  </si>
  <si>
    <t>Java - JPBC library</t>
  </si>
  <si>
    <t>real network topology</t>
  </si>
  <si>
    <t>netlogo</t>
  </si>
  <si>
    <t>Devstack</t>
  </si>
  <si>
    <t>Open Source MANO (OSM) Release 8, OpenStack and Docker</t>
  </si>
  <si>
    <t>IEEE International Conference on Web Services (ICWS)</t>
  </si>
  <si>
    <r>
      <t>Chinese Control Conference</t>
    </r>
    <r>
      <rPr>
        <i/>
        <sz val="10"/>
        <rFont val="Times New Roman"/>
        <family val="1"/>
      </rPr>
      <t xml:space="preserve"> </t>
    </r>
    <r>
      <rPr>
        <sz val="10"/>
        <rFont val="Times New Roman"/>
        <family val="1"/>
      </rPr>
      <t>(CCC)</t>
    </r>
  </si>
  <si>
    <t>Communications Letters</t>
  </si>
  <si>
    <t>Real world</t>
  </si>
  <si>
    <t>Eclipse JAVA and Matlab</t>
  </si>
  <si>
    <t>Game Theory</t>
  </si>
  <si>
    <t>FederatedCloudSim</t>
  </si>
  <si>
    <t>IEEE TRANSACTIONS ON NETWORK AND SERVICE MANAGEMENT</t>
  </si>
  <si>
    <t>Energy Management</t>
  </si>
  <si>
    <t>Composition / Selection</t>
  </si>
  <si>
    <t>Graph Theory</t>
  </si>
  <si>
    <t>Pricing / Discovery</t>
  </si>
  <si>
    <t>Machine Learning</t>
  </si>
  <si>
    <t>Other (Portfolio Theory)</t>
  </si>
  <si>
    <t>Other (Model Checking)</t>
  </si>
  <si>
    <t>Other (Event Calculus)</t>
  </si>
  <si>
    <t>Machine Learning (RL)</t>
  </si>
  <si>
    <t xml:space="preserve">Selection </t>
  </si>
  <si>
    <t>Big Data</t>
  </si>
  <si>
    <t>Discovery / Monitoring / Pricing</t>
  </si>
  <si>
    <t>Selection / Discovery</t>
  </si>
  <si>
    <t>Selection / Composition</t>
  </si>
  <si>
    <t>Machine Learning (Time series)</t>
  </si>
  <si>
    <t>Machine Learning (Decision Trees)</t>
  </si>
  <si>
    <t>Metaheuristic</t>
  </si>
  <si>
    <t>Composition / Selection / Discovery</t>
  </si>
  <si>
    <t>Composition / Discovery</t>
  </si>
  <si>
    <t>Discovery / Selection</t>
  </si>
  <si>
    <t>Discovery / Composition</t>
  </si>
  <si>
    <t>jUDDIv3 and MySql</t>
  </si>
  <si>
    <t>cloudSim toolkit</t>
  </si>
  <si>
    <t>elastic block stores (EBS) for hosting virtual machine images and database data.</t>
  </si>
  <si>
    <t>OpenNebula, NEST</t>
  </si>
  <si>
    <t>use a real cloud infrastructure setup in our lab using Xen 3.2-1 and OpenNebula</t>
  </si>
  <si>
    <t>USE/WS-PGRADE</t>
  </si>
  <si>
    <t>JavaILP and IBM ILOGCPLEX framework</t>
  </si>
  <si>
    <t xml:space="preserve"> multi site cloud infrastructure of the EU FP7 project BonFIRE</t>
  </si>
  <si>
    <t>C++ ,kepler tool</t>
  </si>
  <si>
    <t>SimGrid toolkit</t>
  </si>
  <si>
    <t>Apache Jena</t>
  </si>
  <si>
    <t>SUMO simulator</t>
  </si>
  <si>
    <t>Java EE8</t>
  </si>
  <si>
    <t>10.1109/CCGrid49817.2020.00-91</t>
  </si>
  <si>
    <t>IGEN tool</t>
  </si>
  <si>
    <t>Cloud Analyst Simulator</t>
  </si>
  <si>
    <t>Composition / Recommendation</t>
  </si>
  <si>
    <t xml:space="preserve"> small-business advanced manu-facturing company viz., TotalSim</t>
  </si>
  <si>
    <t>Composition / Energy Management</t>
  </si>
  <si>
    <t>a chrome plug-in</t>
  </si>
  <si>
    <t>Approximation Algorithms / Dynamic Programming</t>
  </si>
  <si>
    <t>Eucalyptus, openstack</t>
  </si>
  <si>
    <t>Cost-effective cloud HPC resource provisioning by building semi-elastic virtual clusters</t>
  </si>
  <si>
    <t>Other (Dempster–Shafer theory)</t>
  </si>
  <si>
    <t>three-application mix with Memcached, Xapian, and Moses</t>
  </si>
  <si>
    <t>NM</t>
  </si>
  <si>
    <t>Fedora</t>
  </si>
  <si>
    <t>OVF Toolkit</t>
  </si>
  <si>
    <t>OMNET++, a Discrete Event Simulator toolkit</t>
  </si>
  <si>
    <t>PGA (Planning Graph with Adaptation)</t>
  </si>
  <si>
    <t>SLA Management</t>
  </si>
  <si>
    <t>C</t>
  </si>
  <si>
    <t>Heuristic (Greedy)</t>
  </si>
  <si>
    <t>Python 3.7</t>
  </si>
  <si>
    <t>JADE 4.3.0</t>
  </si>
  <si>
    <t>CUDA</t>
  </si>
  <si>
    <t>Apache Web Server</t>
  </si>
  <si>
    <t>C-RCE: an approach for constructing and managing a cloud service broker</t>
  </si>
  <si>
    <t>Recommendation / SLA Management</t>
  </si>
  <si>
    <t>amazoneEC2,real cluster</t>
  </si>
  <si>
    <t>IoT Cloud</t>
  </si>
  <si>
    <t>Mechanism Design (Matching)</t>
  </si>
  <si>
    <t>Greencloud simulator</t>
  </si>
  <si>
    <t xml:space="preserve">Mechanism Design (Auction) </t>
  </si>
  <si>
    <t>Mechanism Design</t>
  </si>
  <si>
    <t>Mechanism Design (Auction)</t>
  </si>
  <si>
    <t>OpenStack cloud platform</t>
  </si>
  <si>
    <t>JADE 4.3.0 platform</t>
  </si>
  <si>
    <t>Auction-Based Resource Allocation Mechanism in Federated Cloud Environment: TARA</t>
  </si>
  <si>
    <t>Sun Java SE 7</t>
  </si>
  <si>
    <t>NetLogo.</t>
  </si>
  <si>
    <t>TOGAF</t>
  </si>
  <si>
    <t>java- NASCDK(proposed kit)</t>
  </si>
  <si>
    <t>VC#.net</t>
  </si>
  <si>
    <t>Java JGAP framwork</t>
  </si>
  <si>
    <t>CloudAnalyst</t>
  </si>
  <si>
    <t>Australia-wide National eResearch Collaboration Tools and Resources cloud</t>
  </si>
  <si>
    <t>Visual Studio</t>
  </si>
  <si>
    <t>10.1080/0951192X.2018.1550679</t>
  </si>
  <si>
    <t>CloudSim 3.0</t>
  </si>
  <si>
    <t>Cross-Cloud MapReduce for Big Data</t>
  </si>
  <si>
    <t>10.1109/TCC.2015.2474385</t>
  </si>
  <si>
    <t>Arbitration</t>
  </si>
  <si>
    <t>CoCloud: Enabling Efficient Cross-Cloud File Collaboration Based on Inefficient Web APIs</t>
  </si>
  <si>
    <t>10.1109/TPDS.2017.2750161</t>
  </si>
  <si>
    <t>Amazon AWS</t>
  </si>
  <si>
    <t>Inter-cloud operations via NGSON</t>
  </si>
  <si>
    <t>10.1109/MCOM.2012.6122536</t>
  </si>
  <si>
    <t>Composition / Disovery</t>
  </si>
  <si>
    <t>Amazon EC2/S3</t>
  </si>
  <si>
    <t>An Inter-Cloud Meta-Scheduling (ICMS) Simulation Framework: Architecture and Evaluation</t>
  </si>
  <si>
    <t>10.1109/TSC.2015.2399312</t>
  </si>
  <si>
    <t>An Efficient Framework for a Third Party Auditor in Cloud Computing Environments</t>
  </si>
  <si>
    <t>10.1093/comjnl/bxz045</t>
  </si>
  <si>
    <t>The Computer Journal</t>
  </si>
  <si>
    <t>SLA Management / Monitoring</t>
  </si>
  <si>
    <t>An Autonomous Time-Dependent SLA Negotiation Strategy for Cloud Computing</t>
  </si>
  <si>
    <t>10.1093/comjnl/bxv053</t>
  </si>
  <si>
    <t>SLA Mangement</t>
  </si>
  <si>
    <t>Cloud Service Negotiation in Internet of Things Environment: A Mixed Approach</t>
  </si>
  <si>
    <t>10.1109/TII.2014.2305641</t>
  </si>
  <si>
    <t>IEEE/ACM Transactions on Networking</t>
  </si>
  <si>
    <t>10.1109/TPDS.2017.2781236</t>
  </si>
  <si>
    <t>Data-Driven Auction Mechanism Design in IaaS Cloud Computing</t>
  </si>
  <si>
    <t>10.1109/TSC.2015.2464810</t>
  </si>
  <si>
    <t>Machine Learning / Mechanism Design (Auction)</t>
  </si>
  <si>
    <t>A Real-Time Group Auction System for Efficient Allocation of Cloud Internet Applications</t>
  </si>
  <si>
    <t>10.1109/TSC.2013.24</t>
  </si>
  <si>
    <t>A Procurement Auction Market to Trade Residual Cloud Computing Capacity</t>
  </si>
  <si>
    <t>10.1109/TCC.2014.2369435</t>
  </si>
  <si>
    <t>An Online Auction Mechanism for Dynamic Virtual Cluster Provisioning in Geo-Distributed Clouds</t>
  </si>
  <si>
    <t>10.1109/TPDS.2016.2601905</t>
  </si>
  <si>
    <t>Performance-Aware Cloud Resource Allocation via Fitness-Enabled Auction</t>
  </si>
  <si>
    <t>10.1109/TPDS.2015.2426188</t>
  </si>
  <si>
    <t>A Two-Stage Auction Mechanism for Cloud Resource Allocation</t>
  </si>
  <si>
    <t>10.1109/TCC.2019.2901785</t>
  </si>
  <si>
    <t>Truthful Online Auction Toward Maximized Instance Utilization in the Cloud</t>
  </si>
  <si>
    <t>10.1109/TNET.2018.2864726</t>
  </si>
  <si>
    <t>Proactive Fault-Tolerance Technique to Enhance Reliability of Cloud Service in Cloud Federation Environment</t>
  </si>
  <si>
    <t>10.1109/TCC.2020.2968522</t>
  </si>
  <si>
    <t>Interoperable Federated Cloud Networking</t>
  </si>
  <si>
    <t>10.1109/MIC.2017.3481337</t>
  </si>
  <si>
    <t>Cloud Federations in the Sky: Formation Game and Mechanism</t>
  </si>
  <si>
    <t>10.1109/TCC.2014.2338323</t>
  </si>
  <si>
    <t>Mechanism Design / Game Theory</t>
  </si>
  <si>
    <t>Mathematical Programming Approach for Revenue Maximization in Cloud Federations</t>
  </si>
  <si>
    <t>10.1109/TCC.2015.2402674</t>
  </si>
  <si>
    <t>A Trust-Aware Mechanism for Cloud Federation Formation</t>
  </si>
  <si>
    <t>10.1109/TCC.2019.2911831</t>
  </si>
  <si>
    <t>Virtual Machine Trading in a Federation of Clouds: Individual Profit and Social Welfare Maximization</t>
  </si>
  <si>
    <t>10.1109/TNET.2015.2435015</t>
  </si>
  <si>
    <t>Cloud Federations: Economics, Games and Benefits</t>
  </si>
  <si>
    <t>10.1109/TNET.2019.2943810</t>
  </si>
  <si>
    <t>Optimal Deployment of Configurable Business Processes in Cloud Federations</t>
  </si>
  <si>
    <t>10.1109/TNSM.2018.2880195</t>
  </si>
  <si>
    <t>Cost Effective, Reliable and Secure Workflow Deployment over Federated Clouds</t>
  </si>
  <si>
    <t>10.1109/TSC.2016.2543719</t>
  </si>
  <si>
    <t>WorkflowSim / Dynamic-CloudSim</t>
  </si>
  <si>
    <t>Elastic Admission Control for Federated Cloud Services</t>
  </si>
  <si>
    <t>10.1109/TCC.2014.2325034</t>
  </si>
  <si>
    <t>Supporting Data-Intensive Workflows in Software-Defined Federated Multi-Clouds</t>
  </si>
  <si>
    <t>10.1109/TCC.2015.2481410</t>
  </si>
  <si>
    <t>CometCloud</t>
  </si>
  <si>
    <t>Dynamically Partitioning Workflow over Federated Clouds for Optimising the Monetary Cost and Handling Run-Time Failures</t>
  </si>
  <si>
    <t>10.1109/TCC.2016.2603477</t>
  </si>
  <si>
    <t>Metaheuristic / Heuristic</t>
  </si>
  <si>
    <t>Market Models for Federated Clouds</t>
  </si>
  <si>
    <t>10.1109/TCC.2015.2415792</t>
  </si>
  <si>
    <t>Federated Control of Distributed Multi-Partner Cloud Resources for Adaptive C2 in Disadvantaged Networks</t>
  </si>
  <si>
    <t>10.1109/MCOM.001.2000246</t>
  </si>
  <si>
    <t>Kubernetes Cluster</t>
  </si>
  <si>
    <t>Optimized Contract-Based Model for Resource Allocation in Federated Geo-Distributed Clouds</t>
  </si>
  <si>
    <t>10.1109/TSC.2018.2797910</t>
  </si>
  <si>
    <t>Mechanism Design (Auction) / Heuristic</t>
  </si>
  <si>
    <t>A hierarchical context dissemination framework for managing federated clouds</t>
  </si>
  <si>
    <t>10.1109/JCN.2011.6157473</t>
  </si>
  <si>
    <t>Journal of Communications and Networks</t>
  </si>
  <si>
    <t>FaaScinating Resilience for Serverless Function Choreographies in Federated Clouds</t>
  </si>
  <si>
    <t>10.1109/TNSM.2022.3162036</t>
  </si>
  <si>
    <t>Optimized Big Data Management across Multi-Cloud Data Centers: Software-Defined-Network-Based Analysis</t>
  </si>
  <si>
    <t>10.1109/MCOM.2018.1700211</t>
  </si>
  <si>
    <t>Towards Trustworthy Multi-Cloud Services Communities: A Trust-Based Hedonic Coalitional Game</t>
  </si>
  <si>
    <t>10.1109/TSC.2016.2549019</t>
  </si>
  <si>
    <t>Generalized Nash Equilibria for the Service Provisioning Problem in Multi-Cloud Systems</t>
  </si>
  <si>
    <t>10.1109/TSC.2015.2477836</t>
  </si>
  <si>
    <t>CHARM: A Cost-Efficient Multi-Cloud Data Hosting Scheme with High Availability</t>
  </si>
  <si>
    <t>10.1109/TCC.2015.2417534</t>
  </si>
  <si>
    <t>Location-Aware and Budget-Constrained Service Deployment for Composite Applications in Multi-Cloud Environment</t>
  </si>
  <si>
    <t>10.1109/TPDS.2020.2981306</t>
  </si>
  <si>
    <t>Cross-Layer Multi-Cloud Real-Time Application QoS Monitoring and Benchmarking As-a-Service Framework</t>
  </si>
  <si>
    <t>10.1109/TCC.2015.2441715</t>
  </si>
  <si>
    <t>Amazon AWS / Microsoft Azure</t>
  </si>
  <si>
    <t>Monitoring Elastically Adaptive Multi-Cloud Services</t>
  </si>
  <si>
    <t>10.1109/TCC.2015.2511760</t>
  </si>
  <si>
    <t>Amazon AWS / Local OpenStack / …</t>
  </si>
  <si>
    <t>Reliability-Aware Cost-Efficient Scientific Workflows Scheduling Strategy on Multi-Cloud Systems</t>
  </si>
  <si>
    <t>10.1109/TCC.2021.3057422</t>
  </si>
  <si>
    <t>Cost-Effective Web Application Replication and Deployment in Multi-Cloud Environment</t>
  </si>
  <si>
    <t>10.1109/TPDS.2021.3133884</t>
  </si>
  <si>
    <t>Uptime-Optimized Cloud Architecture as a Brokered Service</t>
  </si>
  <si>
    <t>10.1109/DSN-W.2017.20</t>
  </si>
  <si>
    <t>IBM SoftLayer Cloud</t>
  </si>
  <si>
    <t>A Multi-Cloud Marketplace Model with Multiple Brokers for IaaS Layer and Generalized Stable Matching</t>
  </si>
  <si>
    <t>10.1109/UCC.2018.00034</t>
  </si>
  <si>
    <t>Mechanism Design (Matching) / Heuristic</t>
  </si>
  <si>
    <t>Modeling an IaaS Broker Based on Two Cloud Computing Reference Models</t>
  </si>
  <si>
    <t>10.1109/IC2EW.2016.49</t>
  </si>
  <si>
    <t>Inter-cloud scheduling technique using power of two choices</t>
  </si>
  <si>
    <t>10.1109/ICCIC.2013.6724199</t>
  </si>
  <si>
    <t>Constructing a Robust Services-Oriented Inter-cloud Portal Based on an Autonomic Model and FOSS</t>
  </si>
  <si>
    <t>10.1109/UCC.2013.90</t>
  </si>
  <si>
    <t>A Model Driven Engineering Approach for Flexible and Distributed Monitoring of Cross-Cloud Applications</t>
  </si>
  <si>
    <t>10.1109/UCC.2018.00012</t>
  </si>
  <si>
    <t>Efficient Inter-cloud Replication for High-Availability Services</t>
  </si>
  <si>
    <t>10.1109/IC2E.2013.27</t>
  </si>
  <si>
    <t>An Inter-cloud Outsourcing Model to Scale Performance, Availability and Security</t>
  </si>
  <si>
    <t>10.1109/UCC.2012.16</t>
  </si>
  <si>
    <t>Customized Cloud Service Quality: Approaching Pareto-Efficient Outcomes in Concurrent Multiple-Issue Negotiations</t>
  </si>
  <si>
    <t>10.1109/UCC.2015.43</t>
  </si>
  <si>
    <t>Repast Simphony</t>
  </si>
  <si>
    <t>An Economics-Driven Approach for Automated SLA Negotiation for Cloud Services Adoption: Aspoc2</t>
  </si>
  <si>
    <t>10.1109/UCC.2013.102</t>
  </si>
  <si>
    <t>Capacity-Aware Utility Function for SLA Negotiation of Cloud Services</t>
  </si>
  <si>
    <t>10.1109/UCC.2013.58</t>
  </si>
  <si>
    <t>Truthful Online Auction for Cloud Instance Subletting</t>
  </si>
  <si>
    <t>10.1109/ICDCS.2017.157</t>
  </si>
  <si>
    <t>A Coalitional Game-Based Mechanism for Forming Cloud Federations</t>
  </si>
  <si>
    <t>10.1109/UCC.2012.19</t>
  </si>
  <si>
    <t>A Stochastic Approach for Virtual Machine Placement in Volunteer Cloud Federations</t>
  </si>
  <si>
    <t>10.1109/IC2E.2014.85</t>
  </si>
  <si>
    <t>VCFSim</t>
  </si>
  <si>
    <t>Federation of Private IaaS Cloud Providers through the Barter of Resources</t>
  </si>
  <si>
    <t>10.1109/ICDCS.2016.57</t>
  </si>
  <si>
    <t>Carbon efficient VM placement and migration technique for green federated cloud datacenters</t>
  </si>
  <si>
    <t>10.1109/ICACCI.2014.6968597</t>
  </si>
  <si>
    <t>Priority-based virtual machine load balancing in a scientific federated cloud</t>
  </si>
  <si>
    <t>10.1109/CloudNet.2014.6969000</t>
  </si>
  <si>
    <t>Amazon EC2 / Open Nebula</t>
  </si>
  <si>
    <t>SLAM: SLA Monitoring Framework for Federated Cloud Services</t>
  </si>
  <si>
    <t>10.1109/UCC.2015.90</t>
  </si>
  <si>
    <t>Amazon EC2 / OpenStack</t>
  </si>
  <si>
    <t>Optimal negotiation of SLA in federated cloud using multiobjective genetic algorithms</t>
  </si>
  <si>
    <t>10.1109/CloudNet.2014.6969005</t>
  </si>
  <si>
    <t>A federated cloud of things for emergency management</t>
  </si>
  <si>
    <t>10.1109/CTS.2014.6867643</t>
  </si>
  <si>
    <t>Cloud Federation: Characterisation and Conceptual Model</t>
  </si>
  <si>
    <t>10.1109/UCC.2014.90</t>
  </si>
  <si>
    <t>Decentralised Resource Finding and Allocation in Cloud Federations</t>
  </si>
  <si>
    <t>10.1109/INCoS.2014.70</t>
  </si>
  <si>
    <t>ComplexSim</t>
  </si>
  <si>
    <t>How to Enhance Cloud Architectures to Enable Cross-Federation: Towards Interoperable Storage Providers</t>
  </si>
  <si>
    <t>10.1109/IC2E.2015.80</t>
  </si>
  <si>
    <t>HDFS</t>
  </si>
  <si>
    <t>A Model for Accomplishing and Managing Dynamic Cloud Federations</t>
  </si>
  <si>
    <t>10.1109/UCC.2014.121</t>
  </si>
  <si>
    <t>Design and Implementation of a Cloud-Federation Agent for Software Defined Networking</t>
  </si>
  <si>
    <t>10.1109/IC2E.2015.58</t>
  </si>
  <si>
    <t>Scala / Akka</t>
  </si>
  <si>
    <t>Financial Option Market Model for Federated Cloud Environments</t>
  </si>
  <si>
    <t>10.1109/UCC.2012.42</t>
  </si>
  <si>
    <t>Exploring Models and Mechanisms for Exchanging Resources in a Federated Cloud</t>
  </si>
  <si>
    <t>10.1109/IC2E.2014.9</t>
  </si>
  <si>
    <t>A monitoring system for federated clouds</t>
  </si>
  <si>
    <t>10.1109/CloudNet.2012.6483657</t>
  </si>
  <si>
    <t>BonFIRE</t>
  </si>
  <si>
    <t>Federated Cloud computing as System of Systems</t>
  </si>
  <si>
    <t>10.1109/ICCNC.2017.7876217</t>
  </si>
  <si>
    <t>Simulink</t>
  </si>
  <si>
    <t>Optimal Time-Cost Tradeoff of Parallel Service Workflow in Federated Heterogeneous Clouds</t>
  </si>
  <si>
    <t>10.1109/ICWS.2013.73</t>
  </si>
  <si>
    <t>Game theoretic approaches for revenue sharing in federated cloud</t>
  </si>
  <si>
    <t>10.1109/CloudNet.2014.6969012</t>
  </si>
  <si>
    <t>COMET: A Distributed Metadata Service for Federated Cloud Infrastructures</t>
  </si>
  <si>
    <t>10.1109/HPEC.2019.8916536</t>
  </si>
  <si>
    <t>Taking Advantage of Federated Cloud Storage and Multi-core Technology in Content Delivery</t>
  </si>
  <si>
    <t>10.1109/UCC.2013.86</t>
  </si>
  <si>
    <t>Datacenters in Span and Mexico</t>
  </si>
  <si>
    <t>Optimal Stochastic Media Storage in Federated Cloud Environments</t>
  </si>
  <si>
    <t>10.1109/ICNC47757.2020.9049482</t>
  </si>
  <si>
    <t>Clouds4Coordination: Managing Project Collaboration in Federated Clouds</t>
  </si>
  <si>
    <t>10.1109/UCC.2015.88</t>
  </si>
  <si>
    <t>Fast Algorithms for Optimal Coalition Formation in Federated Clouds</t>
  </si>
  <si>
    <t>An efficient task scheduling algorithm for heterogeneous multi-cloud environment</t>
  </si>
  <si>
    <t>10.1109/ICACCI.2014.6968253</t>
  </si>
  <si>
    <t>DoLen: User-Side Multi-cloud Application Monitoring</t>
  </si>
  <si>
    <t>10.1109/FiCloud.2014.22</t>
  </si>
  <si>
    <t>On Verifying and Assuring the Cloud SLA by Evaluating the Performance of SaaS Web Services Across Multi-cloud Providers</t>
  </si>
  <si>
    <t>10.1109/DSN-W.2018.00034</t>
  </si>
  <si>
    <t>Efficient Content Sharing by Multiple Users with RAID Based Multi-Cloud Storages</t>
  </si>
  <si>
    <t>10.1109/CloudNet.2018.8549497</t>
  </si>
  <si>
    <t>Multi-objective Meta-heuristics for Scheduling Applications with High Availability Requirements and Cost Constraints in Multi-Cloud Environments</t>
  </si>
  <si>
    <t>10.1109/UCC.2011.43</t>
  </si>
  <si>
    <t>CYCLONE: A Platform for Data Intensive Scientific Applications in Heterogeneous Multi-cloud/Multi-provider Environment</t>
  </si>
  <si>
    <t>10.1109/IC2EW.2016.46</t>
  </si>
  <si>
    <t>Location-Aware and Budget-Constrained Application Replication and Deployment in Multi-Cloud Environment</t>
  </si>
  <si>
    <t>10.1109/ICWS49710.2020.00022</t>
  </si>
  <si>
    <t>Scheduling Multiple Divisible Loads in a Multi-cloud System</t>
  </si>
  <si>
    <t>10.1109/UCC.2014.47</t>
  </si>
  <si>
    <t>Resource management in multi-cloud scenarios via reinforcement learning</t>
  </si>
  <si>
    <t>10.1109/ChiCC.2015.7261077</t>
  </si>
  <si>
    <t>Machine Leraning (RL)</t>
  </si>
  <si>
    <t>A Coordination-Based Brokerage Architecture for Multi-cloud Resource Markets</t>
  </si>
  <si>
    <t>10.1109/W-FiCloud.2016.19</t>
  </si>
  <si>
    <t>Software as a Service by Interoperating in a Multi-Cloud Environment</t>
  </si>
  <si>
    <t>10.1109/ICACCI.2018.8554608</t>
  </si>
  <si>
    <t>OpenStack / Eucalyptus</t>
  </si>
  <si>
    <t>System Restore in a Multi-cloud Data Pipeline Platform</t>
  </si>
  <si>
    <t>10.1109/DSN-Industry.2019.00012</t>
  </si>
  <si>
    <t>SULTAN: A Composite Data Consistency Approach for SaaS Multi-cloud Deployment</t>
  </si>
  <si>
    <t>10.1109/UCC.2015.28</t>
  </si>
  <si>
    <t>10.1109/UCC56403.2022.00051</t>
  </si>
  <si>
    <t>An SLA-based Broker for Cloud Infrastructures</t>
  </si>
  <si>
    <t>10.1007/s10723-012-9241-4</t>
  </si>
  <si>
    <t>Resource optimization of container orchestration: a case study in multi-cloud microservices-based applications</t>
  </si>
  <si>
    <t>10.1007/s11227-018-2345-2</t>
  </si>
  <si>
    <t>Reliable budget aware workflow scheduling strategy on multi-cloud environment</t>
  </si>
  <si>
    <t>10.1007/s10586-021-03464-4</t>
  </si>
  <si>
    <t>TORCH: a TOSCA-Based Orchestrator of Multi-Cloud Containerised Applications</t>
  </si>
  <si>
    <t>10.1007/s10723-021-09549-z</t>
  </si>
  <si>
    <t>Multi-cloud resource management: cloud service interfacing</t>
  </si>
  <si>
    <t>10.1186/2192-113X-3-3</t>
  </si>
  <si>
    <t>Journal of Cloud Computing: Advances, Systems and Applications</t>
  </si>
  <si>
    <t>Optimized hybrid service brokering for multi-cloud architectures</t>
  </si>
  <si>
    <t>10.1007/s11227-019-03048-5</t>
  </si>
  <si>
    <t>A constraints-based resource discovery model for multi-provider cloud environments</t>
  </si>
  <si>
    <t>10.1186/2192-113X-1-6</t>
  </si>
  <si>
    <t>Amazon AWS / Flexiscal</t>
  </si>
  <si>
    <t>Deadline scheduling for aperiodic tasks in inter-Cloud environments: a new approach to resource management</t>
  </si>
  <si>
    <t>10.1007/s11227-014-1285-8</t>
  </si>
  <si>
    <t>MONARC</t>
  </si>
  <si>
    <t>A cloud dynamic online double auction mechanism (DODAM) for sustainable pricing</t>
  </si>
  <si>
    <t>10.1007/s11235-020-00688-4</t>
  </si>
  <si>
    <t>Double Auction-based Scheduling of Scientific Applications in Distributed Grid and Cloud Environments</t>
  </si>
  <si>
    <t>10.1007/s10723-011-9196-x</t>
  </si>
  <si>
    <t>GridSim</t>
  </si>
  <si>
    <t>Adaptive market-oriented combinatorial double auction resource allocation model in cloud computing</t>
  </si>
  <si>
    <t>10.1007/s11227-021-03918-x</t>
  </si>
  <si>
    <t>Agent-based fuzzy constraint-directed negotiation for service level agreements in cloud computing</t>
  </si>
  <si>
    <t>10.1007/s10586-017-1248-y</t>
  </si>
  <si>
    <t>Power efficient virtual machine migration in a scientific federated cloud</t>
  </si>
  <si>
    <t>10.1007/s10586-015-0425-0</t>
  </si>
  <si>
    <t>Toward maximization of profit and quality of cloud federation: solution to cloud federation formation problem</t>
  </si>
  <si>
    <t>10.1007/s11227-018-2620-2</t>
  </si>
  <si>
    <t>Migration cost and profit oriented cloud federation formation: hedonic coalition game based approach</t>
  </si>
  <si>
    <t>10.1007/s10586-018-2837-0</t>
  </si>
  <si>
    <t>Multi-Cloud Provisioning and Load Distribution for Three-Tier Applications</t>
  </si>
  <si>
    <t>10.1145/2662112</t>
  </si>
  <si>
    <t>ACM Transactions on Autonomous and Adaptive Systems</t>
  </si>
  <si>
    <t>Intercloud</t>
  </si>
  <si>
    <t>From SLA to vendor-neutral metrics: An intelligent knowledge-based approach for multi-cloud SLA-based broker</t>
  </si>
  <si>
    <t>10.1002/int.22638</t>
  </si>
  <si>
    <t>International Journal of Intelligent Systems</t>
  </si>
  <si>
    <t>AWS, Google Cloud, and Microsoft Azure</t>
  </si>
  <si>
    <t>Nu@ge: A container-based cloud computing service federation</t>
  </si>
  <si>
    <t>10.1002/cpe.4049</t>
  </si>
  <si>
    <t>OpenStack, Diet cloud</t>
  </si>
  <si>
    <t>QoS and trust-aware coalition formation game in data-intensive cloud federations</t>
  </si>
  <si>
    <t>10.1002/cpe.3543</t>
  </si>
  <si>
    <t>Amazon VMs</t>
  </si>
  <si>
    <t>QoS-aware trust establishment for cloud federation</t>
  </si>
  <si>
    <t>10.1002/cpe.6598</t>
  </si>
  <si>
    <t>Cloud4Coordination</t>
  </si>
  <si>
    <t>A cost-aware approach for cloud federation formation</t>
  </si>
  <si>
    <t>10.1002/ett.4631</t>
  </si>
  <si>
    <t xml:space="preserve">Heuristic (Greedy) </t>
  </si>
  <si>
    <t>Amazon EC2</t>
  </si>
  <si>
    <t>A semantic-based federated cloud system for emergency response</t>
  </si>
  <si>
    <t>10.1002/cpe.3293</t>
  </si>
  <si>
    <t>Web Ontology Language (OWL), Java</t>
  </si>
  <si>
    <t>Pure exchange markets for resource sharing in federated clouds</t>
  </si>
  <si>
    <t>10.1002/cpe.1659</t>
  </si>
  <si>
    <t>Power-aware server consolidation for federated clouds</t>
  </si>
  <si>
    <t>10.1002/cpe.3807</t>
  </si>
  <si>
    <t>Cost optimization of virtual infrastructures in dynamic multi-cloud scenarios</t>
  </si>
  <si>
    <t>10.1002/cpe.2972</t>
  </si>
  <si>
    <t>H2RUN: An efficient vendor lock-in solution for multi-cloud environment using horse herd Runge Kutta based data placement optimization</t>
  </si>
  <si>
    <t>10.1002/ett.4541</t>
  </si>
  <si>
    <t>A service evaluation method for cross-cloud service choreography</t>
  </si>
  <si>
    <t>10.1002/cpe.3091</t>
  </si>
  <si>
    <t>Cross-clouds services autonomic management approach based on self-organizing multi-agent technology</t>
  </si>
  <si>
    <t>10.1002/cpe.3760</t>
  </si>
  <si>
    <t>CCloudMan</t>
  </si>
  <si>
    <t>A bartering double auction resource allocation model in cloud environments</t>
  </si>
  <si>
    <t>10.1002/cpe.7024</t>
  </si>
  <si>
    <t>Towards a generic multilayer negotiation framework for efficient application provisioning in the cloud</t>
  </si>
  <si>
    <t>10.1002/cpe.4182</t>
  </si>
  <si>
    <t>A negotiation framework for the cloud using rough set theory-based preference prediction</t>
  </si>
  <si>
    <t>10.1002/cpe.7149</t>
  </si>
  <si>
    <t>A novel cooperative resource provisioning strategy for multi-cloud load balancing</t>
  </si>
  <si>
    <t>10.1016/j.jpdc.2021.02.003</t>
  </si>
  <si>
    <t>A fair multi-attribute combinatorial double auction model for resource allocation in cloud computing</t>
  </si>
  <si>
    <t>10.1016/j.jss.2015.06.025</t>
  </si>
  <si>
    <t>Journal of systems and software</t>
  </si>
  <si>
    <t>Resource Management-CS / Pricing</t>
  </si>
  <si>
    <t>CloudAuction (an extension of CloudSim)</t>
  </si>
  <si>
    <t>A feedback-based combinatorial fair economical double auction resource allocation model for cloud computing</t>
  </si>
  <si>
    <t>10.1016/j.future.2020.09.022</t>
  </si>
  <si>
    <t>Blockchain-enabled feedback-based combinatorial double auction for cloud markets</t>
  </si>
  <si>
    <t>10.1016_j.future.2021.09.009</t>
  </si>
  <si>
    <t>Resource Management-PS / Pricing</t>
  </si>
  <si>
    <t>A truthful combinatorial double auction-based marketplace mechanism for cloud computing</t>
  </si>
  <si>
    <t>10.1016/j.jss.2018.03.003</t>
  </si>
  <si>
    <t>The Journal of Systems and Software</t>
  </si>
  <si>
    <t>Cloud federation formation using genetic and evolutionary game theoretical models</t>
  </si>
  <si>
    <t>10.1016/j.future.2019.10.008</t>
  </si>
  <si>
    <t>Metaheuristic / Game Theory</t>
  </si>
  <si>
    <t>Efficient distribution of requests in federated cloud computing environments utilizing statistical multiplexing</t>
  </si>
  <si>
    <t>10.1016/j.future.2018.08.032</t>
  </si>
  <si>
    <t>MultiCloud Tournament: A cloud federation approach to prevent Free-Riders by encouraging resource sharing</t>
  </si>
  <si>
    <t>10.1016/j.jnca.2020.102694</t>
  </si>
  <si>
    <t>A distributed scheduling framework based on selfish autonomous agents for federated cloud environments</t>
  </si>
  <si>
    <t>10.1016/j.future.2013.01.012</t>
  </si>
  <si>
    <t>ProtoPeer</t>
  </si>
  <si>
    <t>Multi-cloud serverless function composition</t>
  </si>
  <si>
    <t>10.1145/3468737.3494090</t>
  </si>
  <si>
    <t>Composition / Discovery / Selection</t>
  </si>
  <si>
    <t>Heuristic (Planning)</t>
  </si>
  <si>
    <t>FaaS</t>
  </si>
  <si>
    <t>Serverless Tool, NodeJS, Apache Open Whisk</t>
  </si>
  <si>
    <t>Towards an Integration Methodology for Multi-Cloud Application Management Platforms</t>
  </si>
  <si>
    <t>10.1145/3368235.3368833</t>
  </si>
  <si>
    <t>Cost optimization in multi-site multi-cloud environments</t>
  </si>
  <si>
    <t>10.5555/2588611.2588681</t>
  </si>
  <si>
    <t>Multi-agent negotiation for user-centric elasticity management in the cloud</t>
  </si>
  <si>
    <t>10.1109/ucc.2013.104</t>
  </si>
  <si>
    <t>Repast</t>
  </si>
  <si>
    <t>Hierarchical chord-based resource discovery in intercloud environment</t>
  </si>
  <si>
    <t>10.1109/ucc.2013.91</t>
  </si>
  <si>
    <t>Custom Simulator</t>
  </si>
  <si>
    <t>fed4fire plus platform</t>
  </si>
  <si>
    <t>CPN Tools version 4.0.1</t>
  </si>
  <si>
    <t>Monitoring / Composition</t>
  </si>
  <si>
    <t>10.1145/2996890.3007887</t>
  </si>
  <si>
    <t>Recommendation / Selection</t>
  </si>
  <si>
    <t>QuRAMRecommender</t>
  </si>
  <si>
    <t>ECaaS App</t>
  </si>
  <si>
    <t>Mitigating impact of short-term overload on multi-cloud web applications through geographical load balancing</t>
  </si>
  <si>
    <t>10.1002/cpe.4126</t>
  </si>
  <si>
    <t>Cloud SLA negotiation and re-negotiation: An ontology-based context-aware approach</t>
  </si>
  <si>
    <t>10.1002/cpe.5315</t>
  </si>
  <si>
    <t>A business-oriented cloud federation model for real-time applications</t>
  </si>
  <si>
    <t>10.1016/j.future.2012.02.005</t>
  </si>
  <si>
    <t>Towards provisioning hybrid virtual networks in federated cloud data centers</t>
  </si>
  <si>
    <t>10.1016/j.future.2017.09.065</t>
  </si>
  <si>
    <t>Supporting multi-cloud in serverless computing</t>
  </si>
  <si>
    <t xml:space="preserve">AWS Lambda / Google Functions </t>
  </si>
  <si>
    <t>Journal of Supercomputing</t>
  </si>
  <si>
    <t>10.1145/2996890.3007864</t>
  </si>
  <si>
    <t xml:space="preserve">Monitoring </t>
  </si>
  <si>
    <t>Other (DEA)</t>
  </si>
  <si>
    <t>Goggle Cloud / Microsft Azure / …</t>
  </si>
  <si>
    <t>10.1002/cpe.6537</t>
  </si>
  <si>
    <t>Sky Computing: When Multiple Clouds Become One.</t>
  </si>
  <si>
    <t>Sky Computing: exploring the aggregated Cloud resources</t>
  </si>
  <si>
    <t>10.1007/s10586-017-0727-5</t>
  </si>
  <si>
    <t>Sky computing</t>
  </si>
  <si>
    <t>SkyBridge: a cross-cloud storage system for sky computing</t>
  </si>
  <si>
    <t>10.1145/3569950.3569965</t>
  </si>
  <si>
    <t>From cloud computing to sky computing</t>
  </si>
  <si>
    <t>10.1145/3458336.3465301</t>
  </si>
  <si>
    <t>Workshop on Hot Topics in Operating Systems (HotOS)</t>
  </si>
  <si>
    <t>10.1109/CCGRID.2010.136</t>
  </si>
  <si>
    <t>10.1109/MIC.2009.94</t>
  </si>
  <si>
    <t>Selection / Big Data</t>
  </si>
  <si>
    <t>Selection / Monitoring</t>
  </si>
  <si>
    <t>Monitoring / Discovery</t>
  </si>
  <si>
    <t>Composition / Pricing</t>
  </si>
  <si>
    <t>Recommendation / Composition</t>
  </si>
  <si>
    <t>Composition / Big data</t>
  </si>
  <si>
    <t>Data-Driven and Feedback-Enhanced Trust Computing Pattern for Large-Scale Multi-Cloud Collaborative Services</t>
  </si>
  <si>
    <t>10.1109/TSC.2015.2475743</t>
  </si>
  <si>
    <t>Trust-driven and QoS demand clustering analysis based cloud workflow scheduling strategies</t>
  </si>
  <si>
    <t>10.1007/s10586-013-0340-1</t>
  </si>
  <si>
    <t>Collaborative SLA and reputation-based trust management in cloud federations</t>
  </si>
  <si>
    <t>0.1016/j.future.2019.05.030</t>
  </si>
  <si>
    <t>A new multi-level trust management framework (MLTM) for solving the invalidity and sparse problems of user feedback ratings in cloud environments</t>
  </si>
  <si>
    <t>10.1007/s11227-020-03348-1</t>
  </si>
  <si>
    <t>De-Centralized Reputation-Based Trust Model to Discriminate between Cloud Providers Capable of Processing Big Data</t>
  </si>
  <si>
    <t>10.1109/BigDataCongress.2017.41</t>
  </si>
  <si>
    <t>Modeling Correlation Between QoS Attributes for Trust Computation in Cloud Computing Environments</t>
  </si>
  <si>
    <t>10.1109/CCGRID.2017.38</t>
  </si>
  <si>
    <t>Identification of trustworthy cloud services: solution approaches and research directions to build an automated cloud broker</t>
  </si>
  <si>
    <t>Netlogo</t>
  </si>
  <si>
    <t>FED4FIRE+</t>
  </si>
  <si>
    <t>Item Type</t>
  </si>
  <si>
    <t>Journal Article</t>
  </si>
  <si>
    <t>Conference Paper</t>
  </si>
  <si>
    <t>Docker</t>
  </si>
  <si>
    <t>Information Systems</t>
  </si>
  <si>
    <t>Selection / Recommendation</t>
  </si>
  <si>
    <t>Energy management / Discovery</t>
  </si>
  <si>
    <t>Discovery / Pricing</t>
  </si>
  <si>
    <t>Composition / SLA Management</t>
  </si>
  <si>
    <t>Recommendation / Monitoring / Discovery / SLA Management</t>
  </si>
  <si>
    <t>Selection / SLA Management</t>
  </si>
  <si>
    <t>Pricing / SLA Management</t>
  </si>
  <si>
    <t>Energy Management / SLA Management</t>
  </si>
  <si>
    <t>Composition / Recommendation / Selection</t>
  </si>
  <si>
    <t>Centralized, Distributed</t>
  </si>
  <si>
    <t>Simulation / Real World</t>
  </si>
  <si>
    <t>Simulation / Testbed</t>
  </si>
  <si>
    <t>Heuristic / Metaheuristic</t>
  </si>
  <si>
    <t>Heuristic / Machine Learning</t>
  </si>
  <si>
    <t>Metaheuristic / Genetic Algorithm</t>
  </si>
  <si>
    <t>Anwar Alyatama, Kuwait</t>
  </si>
  <si>
    <t>Yangyang Tao, United States; Shucheng Yu, United States</t>
  </si>
  <si>
    <t>Kuljeet Kaur, Canada; Sahil Garg, Canada; Gagangeet Singh Aujla, United Kingdom; Gagangeet Singh Aujla, India; Neeraj Kumar, India; Albert Y. Zomaya, Australia</t>
  </si>
  <si>
    <t>Azzam Alsudais, United States; Mohammad Hashemi, United States; Zhe Huang, United States; Bharath Balasubramanian, United States; Shankaranarayanan Puzhavakath Narayanan, United States; Eric Keller, United States; Kaustubh Joshi, United States</t>
  </si>
  <si>
    <t>Xiaoxue Bi, China; Dong Yu, China; Jinsong Liu, China; Yi Hu, China</t>
  </si>
  <si>
    <t>Jorge Ejarque, Spain; Javier Álvarez, Spain; Raül Sirvent, Spain; Rosa M. Badia, Spain; Henar Muñoz, Spain</t>
  </si>
  <si>
    <t>Martin Bobák, Slovakia; Ladislav Hluchý, Slovakia; Viet Tran, Slovakia</t>
  </si>
  <si>
    <t>Mirko Mariotti, Italy; Osvaldo Gervasi, Italy; Flavio Vella, Italy; Alfredo Cuzzocrea, Italy; Alessandro Costantini, Italy</t>
  </si>
  <si>
    <t>Jin Kure, Japan; Kazuhiko Ito, Japan; Misako Tateiwa, Japan; Shingo Suzuki, Japan</t>
  </si>
  <si>
    <t>Jiagang Liu, China; Ju Ren, China; Wei Dai, China; Deyu Zhang, China; Pude Zhou, China; Yaoxue Zhang, China; Geyong Min, China; Noushin Najjari, China</t>
  </si>
  <si>
    <t>José Luis García-Dorado, Spain; Sanjay G. Rao, India</t>
  </si>
  <si>
    <t>Stelios Sotiriadis, Canada; Nik Bessis, United Kingdom; Cristiana Amza, Canada; Rajkumar Buyya, Australia</t>
  </si>
  <si>
    <t>Dawei Sun, China; Guangyan Zhang, China; Shang Gao,China</t>
  </si>
  <si>
    <t>Yang Ji, Hong Kong; Cheng Xu, Hong Kong; Jianliang Xu, Hong Kong; Haibo Hu, Hong Kong</t>
  </si>
  <si>
    <t>Benedikt Pittl, Austria; Stefan Starflinger, Austria; Werner Mach, Austria; Erich Schikuta, Austria</t>
  </si>
  <si>
    <t>Andre Luckow, Germany; Shantenu Jha, United States</t>
  </si>
  <si>
    <t>Majid Azadi, Australia; Ali Emrouznejad, United Kingdom; Fahimeh Ramezani, Australia; Farookh Khadeer Hussain, Australia</t>
  </si>
  <si>
    <t>Ying Yu, China; Shan Li, China; Jing Ma, China</t>
  </si>
  <si>
    <t>Thiago Augusto Lopes Genez, Brazil; Luiz Fernando Bittencourt, Brazil; Nelson Luis Saldanha da Fonseca, Brazil; Edmundo Roberto Mauro Madeira, Brazil</t>
  </si>
  <si>
    <t>Moustafa Najm, India; Venkatesh Tamarapalli, India</t>
  </si>
  <si>
    <t>Kyle M. Tarplee, United States; Anthony A. Maciejewski, United States; Howard Jay Siegel, United States</t>
  </si>
  <si>
    <t>Subhasis Thakur, Italy; John G. Breslin, Ireland</t>
  </si>
  <si>
    <t>Neeraj Kumar Sharma, India; G. Ram Mohana Reddy, India</t>
  </si>
  <si>
    <t>Jean-Emile Dartois, France; Jalil Boukhobza, France; Vincent Francoise, France; Olivier Barais, France</t>
  </si>
  <si>
    <t>Kyle Chard, United States; Kris Bubendorfer, New Zealand</t>
  </si>
  <si>
    <t>Gaurav Baranwal, India; Deo Prakash Vidyarthi, India</t>
  </si>
  <si>
    <t>Farshad Mashhadi, United States; Sergio A. Salinas Monroy, United States</t>
  </si>
  <si>
    <t>Wei-Chen Wu, Taiwan; Chit-Jie Chew, Taiwan; Ying-Chin Chen, Taiwan; Cheng-Han Wu, Taiwan; Tzu Hao Chen, Taiwan; Jung-San Lee, Taiwan</t>
  </si>
  <si>
    <t>Yash Khandelwal, India; Suresh Purini, India; Puduru V. Reddy, Canada</t>
  </si>
  <si>
    <t>Xuyang Ma, China; Du Xu, China; Katinka Wolter, Germany</t>
  </si>
  <si>
    <t>Wenjuan Li, China; Jiyi Wu, China; Qifei Zhang, China; Keyong Hu, China; Jing Li, China</t>
  </si>
  <si>
    <t xml:space="preserve">Xiaoyong Li, China; Huadong Ma, China; Wenbin Yao, China; Xiaolin Gui, China </t>
  </si>
  <si>
    <t>Xiaoyong Li, China; Huadong Ma, China; Wenbin Yao, China; Xiaolin Gui, China</t>
  </si>
  <si>
    <t>Golnaz Aghaee Ghazvini, Iran; Mehran Mohsenzadeh, Iran; Ramin Nasir, Iran; Amir Masoud Rahmani, Iran; Amir Masoud Rahmani, Iraq</t>
  </si>
  <si>
    <t>Hadeel T. El Kassabi, Canada; Mohamed Adel Serhani, United Arab Emirates</t>
  </si>
  <si>
    <t>Manel Mrabet, Tunisia; Yosra Ben Saied, Tunisia; Leila Azouz Saidane, Tunisia</t>
  </si>
  <si>
    <t>M. Marimuthu, India; J. Akilandeswari, India; P. R. Chelliah, India</t>
  </si>
  <si>
    <t>Authors</t>
  </si>
  <si>
    <t>Cloud / InterCloud</t>
  </si>
  <si>
    <t>IaaS / PaaS</t>
  </si>
  <si>
    <t>IaaS / SaaS</t>
  </si>
  <si>
    <t>SaaS / DaaS</t>
  </si>
  <si>
    <t>IaaS / PaaS / SaaS</t>
  </si>
  <si>
    <t>SaaS / PaaS / Other</t>
  </si>
  <si>
    <t>PaaS / SaaS</t>
  </si>
  <si>
    <t>Saha Munmun, India; Panda Sanjaya Kumar, India; Panigrahi Suvasini, India</t>
  </si>
  <si>
    <t>Wenying Yue, China; Peng Du, China; Xiongwen Quan, China; Ying Chen, China</t>
  </si>
  <si>
    <t>Jun Huang, China; Qiang Duan, United States; Song Guo, Japan; Yuhong Yan, Canada; Shui Yu, Australia</t>
  </si>
  <si>
    <t>Wei Wang, Canada; Di Niu, Canada; Ben Liang, Canada; Baochun Li, Canada</t>
  </si>
  <si>
    <t>Logan Stafman, United States; Andrew Or, United States; Michael J. Freedman, United States</t>
  </si>
  <si>
    <t>Feng Li, China; Lin Zhang, China; Yongkui Liu, China; Yuanjun Laili, China; Fei Tao, China</t>
  </si>
  <si>
    <t>Ning Liu, China; Xiaoping Li, China; Weiming Shen, Canada</t>
  </si>
  <si>
    <t>Abdullah Mohammed Al-Faifi, Saudi Arabia; Biao Song, Saudi Arabia; Mohammad Mehedi Hassan, Saudi Arabia; Abdu Gumaei, Saudi Arabia; Atif Alamri, Saudi Arabia</t>
  </si>
  <si>
    <t>S. Dhanasekaran, India; V. Vasudevan, India</t>
  </si>
  <si>
    <t>Kouros Zanbouri, Iran; Nima Jafari Navimipour, Iran</t>
  </si>
  <si>
    <t>Abdullah Al-Faifi, Saudi Arabia; Biao Song, Saudi Arabia; Mohammad Mehedi Hassan, Saudi Arabia; Atif Alamri, Saudi Arabia; Abdu Gumaei, Saudi Arabia</t>
  </si>
  <si>
    <t>Linda Ouchaou, Algeria; Hassina Nacer, Algeria; Chahrazed Labba, France</t>
  </si>
  <si>
    <t>Antonino Galletta, italy; Lorenzo Carnevale, italy; Antonio Celesti, italy; Maria Fazio, italy; Massimo Villari, italy</t>
  </si>
  <si>
    <t>Wilson A. Higashino, Canada; Miriam A.M. Capretz, Canada; Luiz Fernando Bittencourt, Brazil</t>
  </si>
  <si>
    <t>Ansar Rafique, Belgium; Dimitri Van Landuyt, Belgium; Wouter Joosen, Belgium</t>
  </si>
  <si>
    <t>Jing Li, Canada</t>
  </si>
  <si>
    <t>Rashda Khanam, India; Rakesh Ranjan Kumar, India; Binita Kumari, India</t>
  </si>
  <si>
    <t>Chunxia Yu, China; Luping Zhang, China; Wenfan Zhao, China; Sicheng Zhang, China</t>
  </si>
  <si>
    <t>SANTIAGO GÓMEZ SÁEZ, Germany; VASILIOS ANDRIKOPOULOS, Netherlands; MARINA BITSAKI, Greece; FRANK LEYMANN, Germany; ANDRÉ VAN HOORN, Germany</t>
  </si>
  <si>
    <t>Erik Wittern, Germany; J¨orn Kuhlenkamp, Germany; Michael Menzel, Germany</t>
  </si>
  <si>
    <t>Rodrigo Neves Calheiros, Australia; Adel Nadjaran Toosi, Australia; Christian Vecchiola, Australia; Rajkumar Buyya, Australia</t>
  </si>
  <si>
    <t>Atul Tripathi, India; Isha Pathak, India; Deo Prakash Vidyarthi, India</t>
  </si>
  <si>
    <t>Le Sun, Austria; Hai Dong, Austria; Farookh Khadeer Hussain, Austria; Omar Khadeer Hussain, Austria; Jiangang Ma, Austria; Yanchun Zhang, Austria</t>
  </si>
  <si>
    <t>Jagpreet Sidhu, India; Sarbjeet Singh, India</t>
  </si>
  <si>
    <t>Mohannad Alhanahnah, United States; Peter Bertok, Australia; Zahir Tari, Australia; Sahel Alouneh, Jordan</t>
  </si>
  <si>
    <t>Leonardo R. Rodrigues, Brazil; Euclides Cardoso, Brazil; Omir C. Alves, Brazil; Fernando F. Redígolo, Brazil; Maurício A. Pillon, Brazil; Charles C. Miers, Brazil; Guilherme P. Koslovski, Brazil</t>
  </si>
  <si>
    <t>Munmun Saha, India; Panda Sanjaya Kumar, India; Suvasini Panigrahi , India</t>
  </si>
  <si>
    <t>Abid Hussain, China; Jin Chun, China; Maria Khan, Pakistan</t>
  </si>
  <si>
    <t>Rakesh Ranjan Kumar, India; Binita Kumari, India; Chiranjeev Kumar, India</t>
  </si>
  <si>
    <t>Abid Hussain, china;  Jin Chun, Pakistan</t>
  </si>
  <si>
    <t>Abhinav Tomar, India; Rakesh Ranjan Kumar, India;  Indrajeet Gupta , India</t>
  </si>
  <si>
    <t>Bo Yang, china; Shilong Wang, china; Shi Li, china; Fengyang Bi, china</t>
  </si>
  <si>
    <t>Rohit Kumar Tiwari, India; Rakesh Kumar, India</t>
  </si>
  <si>
    <t>Obulaporam Gireesha, India; Nivethitha Somu, India; Kannan Krithivasan, India; Shankar Sriram V.S., India</t>
  </si>
  <si>
    <t>S. Raghavan, India; K. Chandrasekaran, India</t>
  </si>
  <si>
    <t>Mona Eisa, United Kingdom; Muhammad Younas, United Kingdom; Kashinath Basu, United Kingdom; Irfan Awan, United Kingdom</t>
  </si>
  <si>
    <t>Abid Hussain, china; Jin Chun, china; Maria Khan, Pakistan</t>
  </si>
  <si>
    <t>Zhicheng Cai, China; Xiaoping Li, China; Jatinder N. D. Gupta, United States</t>
  </si>
  <si>
    <t>Shangguang Wang, China; Ao Zhou, China; Ruo Bao, China; Wu Chou, China; Stephen S. Yau, United States</t>
  </si>
  <si>
    <t>Jing Mei, China; Kenli Li, China; Zhao Tong, China; Qiang Li, China; Keqin Li, United States</t>
  </si>
  <si>
    <t>Xiaotong Li, China; Ruiting Zhou, China; Lei Jiao, United States; Chuan Wu, Hong Kong; Yuhang Deng, China; Zongpeng Li, China</t>
  </si>
  <si>
    <t>Lizhen Cui, China; Jian Li, China; Yongqing Zheng, China</t>
  </si>
  <si>
    <t>Masahiro Tanaka, Japan; Yohei Murakami, Japan</t>
  </si>
  <si>
    <t>Zhen Ye, Australia; Athman Bouguettaya, Australia; Xiaofang Zhou, Australia</t>
  </si>
  <si>
    <t>Ying Liu , china; Lin Zhang , china; Yongkui Liu , china; Yuanjun Laili, china; Weicun Zhang, china</t>
  </si>
  <si>
    <t>Mohamadali Yaghoubi, Iran; Ali Maroosi, Iran</t>
  </si>
  <si>
    <t>Ahmad M. Manasrah, Jordan; Ala’a Aldomi, Jordan; B. B. Gupta, India</t>
  </si>
  <si>
    <t>Yanfei Xu, China; Adil Hussein Mohammed, Iraq</t>
  </si>
  <si>
    <t>Ajaykrishna Raghavan, United States; Abhishek Chandra, United States; Jon B Weissman, United States</t>
  </si>
  <si>
    <t>Hela Malouche, Tunisia; Youssef Ben Halima, Tunisia; Henda Ben Ghezala, Tunisia</t>
  </si>
  <si>
    <t>Azubuike Ezenwoke, Nigeria; Olawande Daramola, Nigeria; Matthew Adigun, South Africa</t>
  </si>
  <si>
    <t>Andrzej Goscinski, Australia; Michael Brock, Australia</t>
  </si>
  <si>
    <t>Rodrigo Neves Calheiros, Australia; Christian Vecchiola, Australia; Dileban Karunamoorthy, Australia; Rajkumar Buyya, Australia</t>
  </si>
  <si>
    <t>Ana Juan Ferrer, Spain; Francisco Hernández-Rodriguez, Sweden; Johan Tordsson, Sweden; Erik Elmroth, Sweden; Ahmed Ali-Eldin, Sweden; Csilla Zsigri, United Kingdom; Raül Sirvent, Spain; Jordi Guitart, Spain; Rosa M. Badia, Spain; Karim Djemame, United Kingdom; Wolfgang Ziegler, Germany; Theo Dimitrakos, United Kingdom; Srijith K. Nair, United Kingdom; George Kousiouris, Greece; Kleopatra Konstanteli, Greece; Theodora Varvarigou, Greece; Benoit Hudzia, United Kingdom; Alexander Kipp, Germany; Stefan Wesner, Germany; Marcelo Corrales, Germany; Nikolaus Forgó, Germany; Tabassum Sharif, United Kingdom; Craig Sheridan, United Kingdom</t>
  </si>
  <si>
    <t>Lie Qu, Australia; Yan Wang, Australia; Mehmet A. Orgun, Australia; Ling Liu, Georgia; Huan Liu, United States; Athman Bouguettaya, Australia</t>
  </si>
  <si>
    <t>Wenfeng Li, China; Ye Zhong, China; Xun Wang, China; Yulian Cao, China</t>
  </si>
  <si>
    <t>Lilei Lu, China; Yuyu Yuan, China</t>
  </si>
  <si>
    <t>Hwa-Young Jeong, South Korea; Gangman Yi, South Korea; Jong Hyuk Park, South Korea</t>
  </si>
  <si>
    <t>Yuqian Lu, New Zealand; Xun Xu, New Zealand</t>
  </si>
  <si>
    <t>Vincent C. Emeakaroha, Ireland; Philip Healy, Ireland; Kaniz Fatema, Ireland; John P. Morrison, Ireland</t>
  </si>
  <si>
    <t>Vincent C. Emeakaroha, Ireland; Martin Bullman, Ireland; John P. Morrison, Ireland</t>
  </si>
  <si>
    <t>Mathias Slawik, Germany; Beg¨um ˙Ilke Zilci, Germany; Yuri Demchenko, Netherlands; Jose Ignacio Aznar Baranda, Spain; Robert Branchat, Switzerland; Charles Loomis, Switzerland; Oleg Lodygensky, France; Christophe Blanchet, France</t>
  </si>
  <si>
    <t>Anshuman Biswas, Canada; Shikharesh Majumdar, Canada; Biswajit Nandy, Canada; Ali El-Haraki, Canada</t>
  </si>
  <si>
    <t>Ralph Vigne, Austria; Juergen Mangler, Austria; Erich Schikuta, Austria; Stefanie Rinderle-Ma, Austria</t>
  </si>
  <si>
    <t>Dana Petcu, Romania; Georgiana Macariu, Romania; Silviu Panica, Romania; Ciprian Craciun, Romania</t>
  </si>
  <si>
    <t>Josef Spillner, Germany; Johannes Müller, Germany; Alexander Schill, Germany</t>
  </si>
  <si>
    <t>Jose Luis Lucas-Simarro, Spain; Rafael Moreno-Vozmediano, Spain; Ruben S. Montero, Spain; Ignacio M. Llorente, Spain</t>
  </si>
  <si>
    <t>Abdur Forkan, Australia; Ibrahim Khalil, Australia; Zahir Tari, Australia</t>
  </si>
  <si>
    <t>Sunil Kothari, United States; Thomas Peck, United States; Jun Zeng, United States; Francisco Oblea, United States; Anabelle Eseo Votaw, United States; Gary Dispoto, United States</t>
  </si>
  <si>
    <t>Zoltán Farkas, Hungary; Péter Kacsuk, Hungary; Ákos Hajnal, Hungary</t>
  </si>
  <si>
    <t>Nicolas Ferry, Norway; Franck Chauvel, Norway; Hui Song, Norway; Alessandro Rossini, Norway; Maksym Lushpenko, Norway; Arnor Solberg, Norway</t>
  </si>
  <si>
    <t>Georgiana Copil, Austria; Daniel Moldovan, Austria; Hong-Linh Truong, Austria; Schahram Dustdar, Austria</t>
  </si>
  <si>
    <t>G. Breiter, Germany; V. K. Naik, United States</t>
  </si>
  <si>
    <t>Prashant Khanna, India; Sonal Jain, India; BV Babu, India</t>
  </si>
  <si>
    <t>Huaimin Wang, China; Peichang Shi, China; Yiming Zhang, China</t>
  </si>
  <si>
    <t>Vincent Reniers, Belgium</t>
  </si>
  <si>
    <t>Wassim Itani, Lebanon; Cesar Ghali, Lebanon</t>
  </si>
  <si>
    <t>József Kovács, Hungary; Péter Kacsuk, United Kingdom</t>
  </si>
  <si>
    <t>Anna Levin, Israel; Dean Lorenz, Israel; Giovanni Merlino, Italy; Alfonso Panarello, Italy; Antonio Puliafito, Italy; Giuseppe Tricomi, Italy</t>
  </si>
  <si>
    <t>Zhiming Shen, United States; Qin Jia, United States; Gur-Eyal Sela, United States; Weijia Song, United States; Hakim Weatherspoon, United States; Robbert Van Renesse, United States</t>
  </si>
  <si>
    <t>D. Gallico, Italy; Matteo Biancanie, Italy; Christophe Blanchet, Italy; Mohamed Bedri, France; Jean-Francois Gibrat, France; Jose Ignacio Aznar Baranda, Spain; D. Hacker, Germany; M. Kourkouli, Germany</t>
  </si>
  <si>
    <t>Nik Bessis, United Kingdom; Stelios Sotiriadis, United Kingdom; Florin Pop, Romania; Valentin Cristea, Romania</t>
  </si>
  <si>
    <t>José María García, Spain; Octavio Martín-Díaz, Spain; Pablo Fernandez, Spain; Antonio Ruiz-Cortés, Spain; Miguel Toro, Spain</t>
  </si>
  <si>
    <t>Andreas Menychtas, Greece; Jürgen Vogel, Switzerland; Andrea Giessmann, Switzerland; Anna Gatzioura, Greece; Sergio Garcia Gomez, Spain; Vrettos Moulos, Greece; Frederic Junker, Switzerland; Mathias Müller, Switzerland; Dimosthenis Kyriazis, Greece; Katarina Stanoevska-Slabeva, Switzerland; Theodora Varvarigou, Greece</t>
  </si>
  <si>
    <t>Tom Kirkham, United Kingdom; Django Armstrong, United Kingdom; Karim Djemame, United Kingdom; Ming Jiang, United Kingdom</t>
  </si>
  <si>
    <t>Ali Chehab, Lebanon; A. Kertesz, Hungary; G. Kecskemeti, Hungary; Ivona Brandic, Austria</t>
  </si>
  <si>
    <t>Gustavo Zurita, Chile; Nelson Baloian, Chile; Jonathan Frez, Chile</t>
  </si>
  <si>
    <t>Sami Yangui, France; Iain-James Marshall, France; Jean-Pierre Laisne, France; Samir Tata, France</t>
  </si>
  <si>
    <t>Mohan Baruwal Chhetri, Australia; Sergei Chichin, Australia; Quoc Bao Vo, Australia; Ryszard Kowalczyk, Australia</t>
  </si>
  <si>
    <t>Ana Vazquez, Canada; Mohamed El Menshawy, Egypt; Mohamed El Menshawy, Canada; Jamal Bentahar, Canada</t>
  </si>
  <si>
    <t>Ning Xi, China; Cong Sun, China; Jianfeng Ma, China; Yulong Shen, China</t>
  </si>
  <si>
    <t>Min Shi, United States; Min Shi, China; Yufei Tang, United States; Jianxun Liu, China</t>
  </si>
  <si>
    <t>Faisal ALRebeish, United Kingdom; Rami Bahsoon, United Kingdom</t>
  </si>
  <si>
    <t>Wided Mathlouthi, Tunisia; Narj`es Bellamine Ben Saoud, Tunisia</t>
  </si>
  <si>
    <t>Ornella Adinolfi, Italy; Rosario Cristaldi, Italy; Luigi Coppolino, Italy; Luigi Romano, Italy</t>
  </si>
  <si>
    <t>Eyhab Al-Masri, United States; Lingwei Meng, United States</t>
  </si>
  <si>
    <t>Mingdong Tang, China; Xiaoling Dai, China; Jianxun Liu, China; Jinjun Chen, Australia</t>
  </si>
  <si>
    <t>Ayoub Alsarhan, Jordan; Awni Itradat, Jordan; Ahmed Y. Al-Dubai, United Kingdom; Albert Y. Zomaya, Australia; Geyong Min, United Kingdom</t>
  </si>
  <si>
    <t>null Kwang Mong Sim, United Kingdom</t>
  </si>
  <si>
    <t>Incheon Paik, Japan; Wuhui Chen, Japan; Michael N. Huhns, United States</t>
  </si>
  <si>
    <t>Hongbing Wang, China; Chao Yu, China; Lei Wang, China; Qi Yu, United States</t>
  </si>
  <si>
    <t>Siegfried Benkner, Austria; Chris Borckholder, Austria; Yuriy Kaniovskyi Alfredo Saglimbeni, Italy; Tomas Pariente Lobo, Spain; Piotr Nowakowski, Poland; Steven Wood, United Kingdom</t>
  </si>
  <si>
    <t>Leila Sharifi, Portugal; Felix Freitag, Spain; Luis Veiga, Portugal</t>
  </si>
  <si>
    <t>Thomas Richard Connor, United Kingdom; Joel Southgate, United Kingdom</t>
  </si>
  <si>
    <t>Mohammad Aazam, Canada; Eui-Nam Huh, South Korea; Marc St-Hilaire, Canada; Chung-Horng Lung, Canada; Ioannis Lambadaris, Canada</t>
  </si>
  <si>
    <t>Sara Mahmoud, United Arab Emirates; Nader Mohamed, United Arab Emirates</t>
  </si>
  <si>
    <t>A.J. Rubio-Montero, Spain; Eduardo Huedo, Spain; R. Mayo-García, Spain</t>
  </si>
  <si>
    <t>Yucong Duan, China; Nanjangud C. Narendra, India; Wencai Du, China; Yongzhi Wang, United States; Nianjun Zhou, United States</t>
  </si>
  <si>
    <t>José Luis Díaz, Spain; Joaquín Entrialgo, Spain; Manuel García, Spain; Javier García, Spain; Daniel Fernando García, Spain</t>
  </si>
  <si>
    <t>Yunfei Meng, China; Zhiqiu Huang, China; Yu Zhou, China; Changbo Ke, China</t>
  </si>
  <si>
    <t>Marco A. S. Netto, Brazil</t>
  </si>
  <si>
    <t>Zakarea Al-Shara, France; Frederico Alvares, France; Hugo Bruneliere, France; Jonathan Lejeune, France</t>
  </si>
  <si>
    <t>Sohail Jabbar, Pakistan; Kashif Naseer, Pakistan; Moneeb Gohar, South Korea; Seungmin Rho, South Korea; Hangbae Chang, South Korea</t>
  </si>
  <si>
    <t>A. Kertesz, Hungary; G. Kecskemeti, Austria; M. Oriol, Spain; P. Kotcauer, Hungary; S. Acs, Hungary; M. Rodríguez, Spain; O. Mercè, Spain; A. Cs. Marosi, Hungary; J. Marco, Spain; X. Franch, Spain</t>
  </si>
  <si>
    <t>Chhabi Rani Panigrahi, India; Mayank Tiwary, India; Bibudhendu Pati, India; Rachita Misra, India</t>
  </si>
  <si>
    <t>Felipe Diaz Sanchez, Colombia; Sawsan Al Zahr, France; Maurice Gagnaire, France; Jean Pierre Laisne, France; Iain James Marshall, France</t>
  </si>
  <si>
    <t>H. Mearns, South Africa; J. Leaney, Australia; A. Parakhine, Australia; J. Debenham, Australia; D. Verchere, United States</t>
  </si>
  <si>
    <t>Calin Sandru, Romania; Dana Petcu, Romania; Victor Ion Munteanu, Romania</t>
  </si>
  <si>
    <t>Netsanet Haile, South Korea; Jörn Altmann, South Korea</t>
  </si>
  <si>
    <t>Mostafa Ghobaei-Arani, Iran; Sam Jabbehdari, Iran; Mohammad Ali Pourmina, Iran</t>
  </si>
  <si>
    <t>Syeda ZarAfshan Goher, Pakistan; Peter Bloodsworth, United Kingdom; Raihan Ur Rasool, Australia; Richard McClatchey, United Kingdom</t>
  </si>
  <si>
    <t>Josef Spillner, Germany; Andrey Brito, Brazil; Francisco Brasileiro, Brazil; Alexander Schill, Germany</t>
  </si>
  <si>
    <t>Yuri Demchenko, Netherlands; Cosmin Dumitru, Netherlands; Ralph Koining, Netherlands; Cees de Laat, Netherlands; Taras Matselyukh, Netherlands; Sonja Filiposka, North Macedonia; Migiel de Vos, Netherlands; Daniel Arbel, United States; Damir Regvart, NA; Tasos Karaliotas, NA; Kurt Baumann, Switzerland</t>
  </si>
  <si>
    <t>Emiliano Casalicchio, Sweden; Valeria Cardellini, Italy; Gianluca Interino, Italy; Monica Palmirani, Italy</t>
  </si>
  <si>
    <t>Mathias Slawik, Germany; Begüm İlke Zilci, Germany; Axel Küpper, Germany</t>
  </si>
  <si>
    <t>Xiaoqing F. Liu, United States; Md Rakib Shahriar, United States; S.M. Nahian Al Sunny, United States; Ming C. Leu, United States; Liwen Hu, United States</t>
  </si>
  <si>
    <t>Irfan Ul Haq, Pakistan; Altaf Ahmad Huqqani, Austria; Erich Schikuta, Austria</t>
  </si>
  <si>
    <t>Thiago Caproni Tavares, Brazil; Regina Helenna Carlucci Santana, Brazil; Marcos José Santana, Brazil; Júlio Cezar Estrella, Brazil</t>
  </si>
  <si>
    <t>Sujoy Basu, United States; Sven Graupner, United States; Jim Pruyne, United States; Sharad Singhal, United States</t>
  </si>
  <si>
    <t>Yuri Demchenko, Netherlands; Canh Ngo, Netherlands; Cees de Laat, Netherlands; Craig Lee, United States</t>
  </si>
  <si>
    <t>Franck Chauvel, Norway; Hui Song, Norway; Nicolas Ferry, Norway; Franck Fleurey, Norway</t>
  </si>
  <si>
    <t>Qingye Jiang, Australia; Young Choon Lee, Australia; Albert Y. Zomaya, Australia</t>
  </si>
  <si>
    <t>Jianwei Yin, China; Xingjian Lu, China; Calton Pu, United States; Zhaohui Wu, China; Hanwei Chen, China</t>
  </si>
  <si>
    <t>Iván Corredor, Spain; José F. Martínez, Spain; Miguel S. Familiar, Spain; Lourdes López, Spain</t>
  </si>
  <si>
    <t>James Broberg, Australia; Rajkumar Buyya, Australia; Zahir Tari, Australia</t>
  </si>
  <si>
    <t>Surya Nepal, Australia; Richard O. Sinnott, Australia; Carsten Friedrich, Australia; Catherine Wise, Australia; Shiping Chen, Australia; Sehrish Kanwal, Australia; Jinhui Yao, United States; Andrew Lonie, Australia</t>
  </si>
  <si>
    <t>Daniel Oberle, Germany; Alistair Barros, Australia; Uwe Kylau, Australia; Steffen Heinzl, Germany</t>
  </si>
  <si>
    <t>Yishui Zhu, Japan; Roman Y. Shtykh, Japan; Qun Jin, Japan</t>
  </si>
  <si>
    <t>Xi Vincent Wang, Sweden; Lihui Wang, Sweden</t>
  </si>
  <si>
    <t>Thijs Metsch, Ireland; Olumuyiwa Ibidunmoye, Sweden; Victor Bayon-Molino, Ireland; Joe Butler, Ireland; Francisco Hernández-Rodriguez, Sweden; Erik Elmroth, Sweden</t>
  </si>
  <si>
    <t>Xi Chen, United Kingdom; William Knottenbelt, United Kingdom</t>
  </si>
  <si>
    <t>Amin M. Khan, Spain; Ümit C. Büyükşahin, Turkey; Felix Freitag, Spain</t>
  </si>
  <si>
    <t>Theodore Zahariadis, Greece; Andreas Papadakis, Greece; Federico Alvarez, Spain; Jose Gonzalez, Spain; Fernando Lopez, Spain; Federico Facca, Italy; Yahya Al-Hazmi, Germany</t>
  </si>
  <si>
    <t>Jordi Jofre, Spain; Celia Velayos, Spain; Giada Landi, Italy; Michał Giertych, Poland; Alastair C. Hume, United Kingdom; Gareth Francis, United Kingdom; Albert Vico Oton, Spain</t>
  </si>
  <si>
    <t>Joaquín Guillén, Spain; Javier Miranda, Spain; Juan Manuel Murillo, Spain; arlos Canal, Spain</t>
  </si>
  <si>
    <t>Bartosz Belter, Poland; Juan RodriguezMartinezb, Spain; José IgnacioAznarb, Spain; Jordi Ferrer Rierac, Spain; Luis M. Contreras, Spain; MonikaAntoniak-Lewandowskad, Poland; Matteo Biancanie, Italy; Jens Buyssef, Belgium; Chris Develderf, Belgium; Yuri Demchenko, Netherlands; Pasquale Donadioh, Italy; Dimitra Simeonidoui, United Kingdom; Reza Nejabatii, United Kingdom; Shuping Pengi, United Kingdom; Łukasz Drzewieckid, Poland; Eduard Escalonac, Spain; Joan Antoni GarciaEspinc, Spain; Steluta Gheorghiuc, Spain; Mattijs Ghijseng, Netherlands; Jakub Gutkowskia, Poland; Giada Landij, Italy; Gino Carrozzoj, Italy; Damian Parniewicza, Poland; Philip Robinsonk, United Kingdom; Sebastien Soudanl, France</t>
  </si>
  <si>
    <t>Karn Yongsiriwit, France; NourAssy, France; WalidGaaloul, France</t>
  </si>
  <si>
    <t>Debdeep Paul, Singapore; Wen-De Zhong, Singapore; Sanjay K. Bose, India</t>
  </si>
  <si>
    <t>Lav Gupta, United States; Raj Jain, United States; Aiman Erbad, Qatar; Deval Bhamare, Sweden</t>
  </si>
  <si>
    <t>R. Moreno, Spain; F.J. Pérez-Gil, Spain; J.J. Pardo, Spain; A. Navarro, Spain; F.J. Tapiador, Spain</t>
  </si>
  <si>
    <t>Faiez Zalila, France; Stéphanie Challita, France; Philippe Merle, France</t>
  </si>
  <si>
    <t>Rafael Brundo Uriarte, Italy; Rafael Brundo Uriarte, Austria; Rocco De Nicola, Italy; Vincenzo Scoca, Italy; Francesco Tiezzi, Italy</t>
  </si>
  <si>
    <t>Lei Wang, China</t>
  </si>
  <si>
    <t>Hui Song, Norway; Phu H. Nguyen, Norway; Franck Chauvel, Norway; Jens Glattetre, Norway; Thomas Schjerpen, Norway</t>
  </si>
  <si>
    <t>Mukalel Bhaskaran Smithamol, India; Sridhar Rajeswari, India</t>
  </si>
  <si>
    <t>Abdessalam Elhabbash, United Kingdom; Assylbek Jumagaliyev, United Kingdom; Gordon S. Blair, United Kingdom; Yehia Elkhatib, United Kingdom</t>
  </si>
  <si>
    <t>Alireza Souri, Iran; Amir Masoud Rahmani, Iran; Nima Jafari Navimipour, Iran; Reza Rezaei, Iran</t>
  </si>
  <si>
    <t>Ghulam Abbas, Pakistan; Amjad Mehmood, Pakistan; Jaime Lloret, United Kingdom; Muhammad Summair Raza, Pakistan; Muhammad Ibrahim, Pakistan</t>
  </si>
  <si>
    <t>Jeremy Mechouche, France; Roua Touihri, France; Mohamed Sellami, France; Walid Gaaloul, France</t>
  </si>
  <si>
    <t>Usama Ahmed, Pakistan; Imran Raza, Pakistan; Omer F. Rana, United Kingdom; Syed Asad Hussain, Pakistan</t>
  </si>
  <si>
    <t>Morteza Amini, Iran; Farnaz Osanloo, Iran</t>
  </si>
  <si>
    <t>Chuanyi Liu, China; Xiaoyong Li, China; Mingliang Sun, China; Yali Gao, China; Jie Yuan, China; Shaoming Duan, China</t>
  </si>
  <si>
    <t>Anwesha Mukherjee, India; Debashis De, India; Deepsubhra Guha Roy, India</t>
  </si>
  <si>
    <t>Yizhu Wang, China; Huifang Li, China; Zhiwei Lin, China; Yuanqing Xia, China</t>
  </si>
  <si>
    <t>Alireza Mahini, Iran; Reza Berangi, Iran; Amir Masoud Rahmani, Taiwan; Hamidreza Navidi, Iran</t>
  </si>
  <si>
    <t>Masoumeh Tajvidi, Iran; Rajiv Ranjan, Australia; Joanna Kolodziej, Poland; Lizhe Wang, China</t>
  </si>
  <si>
    <t>Rakesh Ranjan Kumar, India; Siba Mishra, India; Chiranjeev Kumar, India</t>
  </si>
  <si>
    <t>Adil Hammadi, Australia; Omar Khadeer Hussain, Australia; Tharam Dillon, Australia; Farookh Khadeer Hussain, Australia</t>
  </si>
  <si>
    <t>Le Sun, United States; Le Sun, China; Hai Dong, Australia; Omar Khadeer Hussain, Australia; Farookh Khadeer Hussain, Australia; Alex X. Liu, United States; Alex X. Liu, China</t>
  </si>
  <si>
    <t>Mutaz Al-Tarawneh, Jordan; Amjed Al-Mousa, Jordan</t>
  </si>
  <si>
    <t>Haithem Mezni, Tunisia; Taher Abdeljaoued, Tunisia</t>
  </si>
  <si>
    <t>Neda Khorasani, Iran; Saeid Abrishami, Iran; Mehdi Feizi, Iran; Mahdi Abolfazli Esfahani, Singapore; Faeze Ramezani, Iran</t>
  </si>
  <si>
    <t>Cuong T. Do, South Korea; Nguyen H. Tran, South Korea; Eui-Nam Huh, South Korea; Choong Seon Hong, South Korea; Dusit Niyato, Singapore; Z. Han, United States</t>
  </si>
  <si>
    <t>Li Pan, China; Bo An, Singapore; Shijun Liu, China; Lizhen Cui, China</t>
  </si>
  <si>
    <t>Kun Ma, South Africa; Antoine Bagula, South Africa; Hope Mauwa, South Africa; Antonio Celesti, Italy</t>
  </si>
  <si>
    <t>Nicolas Bonvin, Switzerland; Thanasis G. Papaioannou, Switzerland; Karl Aberer, Switzerland</t>
  </si>
  <si>
    <t>Peishun Wang, Australia; Yi Mu, Australia; Willy Susilo, Australia; Jun Yan, Australia</t>
  </si>
  <si>
    <t>Mona Taghavi, Canada; Jamal Bentahar, Canada; Hadi Otrok, Canada; Kaveh Bakhtiyari, Malaysia</t>
  </si>
  <si>
    <t>Marian Mihailescu, Singapore; Yong Meng Teo, Singapore</t>
  </si>
  <si>
    <t>Yunliang Huo, china; Ji Xiong, china; Qianbing You, china; Zhixing Guo, china; Hai Xiang, china</t>
  </si>
  <si>
    <t>Benay Kumar Ray, India; Avirup Saha, India; Sunirmal Khatua, India; Sarbani Roy, India</t>
  </si>
  <si>
    <t>Souad Hadjres, Canada; Nadjia Kara, Canada; May El Barachi, United Arab Emirates; Fatna Belqasmi, United Arab Emirates</t>
  </si>
  <si>
    <t>Tharaka Hewa, Finland; Pawani Porambage, Finland; Ivana Kovacevic, Finland; Nisita Weerasinghe, Finland; Erkki Harjula, Finland; Madhusanka Liyanage, Ireland; Madhusanka Liyanage, Finland; Madhusanka Liyanage, Sri Lanka</t>
  </si>
  <si>
    <t>Eunil Seo, Sweden; Hyoungshick Kim, South Korea; Bhaskar Krishnamachari, United States; Erik Elmroth, Sweden</t>
  </si>
  <si>
    <t>Wang Junfei, China; Jing Li, United States; Zhen Gao, China; Zhu Han, United States; Chao Qiu, China; Xiaofei Wang, China</t>
  </si>
  <si>
    <t>Ahmad Hammoud, Lebanon; Hadi Otrok, Canada; Azzam Mourad, Lebanon; Omar Abdel Wahab, Canada; Jamal Bentahar, Canada</t>
  </si>
  <si>
    <t>Jingwei Li, China; Anna Squicciarini, United States; Dan Lin, United States; Smitha Sundareswaran, United States</t>
  </si>
  <si>
    <t>A. Pandey, United States; Prasad Calyam, United States; Z. Lyu, United States; Trupti Joshi, United States; S. Wang, United States; D. Chemodanov, United States</t>
  </si>
  <si>
    <t>Mostafa Ghobaei-Arani, Iran; Alireza Souri, Iran</t>
  </si>
  <si>
    <t>Ao Zhou, china; Xiao Ma, china; Stephen S. Yau, china</t>
  </si>
  <si>
    <t>Johan Tordsson, Sweden; Ruben S. Montero, Spain; Rafael Moreno-Vozmediano, Spain; Ignacio M. Llorente, Spain</t>
  </si>
  <si>
    <t>Seyed Yahya Vaezpour, Canada; Kui Wu, Canada; Gholamali C Shoja, Canada</t>
  </si>
  <si>
    <t>Hasan Ziafat, Iran; Seyed Morteza Babamir, Iran</t>
  </si>
  <si>
    <t>Sajib Mistry, Australia; Athman Bouguettaya, Australia; Hai Dong, Australia; A. K. Qin, Australia</t>
  </si>
  <si>
    <t>Somayeh Mohammadi, Iran; Latif PourKarimi, Iran; Hossein Pedram, Iran</t>
  </si>
  <si>
    <t>Bijan Pourghorbani Dinachali, Iran; Sam Jabbehdari, Iran; Hamid Haj Seyyed Javadi, Iran</t>
  </si>
  <si>
    <t>Eunji Hwang, South Korea; Kyong Hoon Kim, South Korea</t>
  </si>
  <si>
    <t>Jian Wu, China; Liang Chen, China; Yilun Wang, China; Zhaohui Wu, China; Qi Yu, United States; Li Kuang, China</t>
  </si>
  <si>
    <t>Raed Karim, Canada; Chen Ding, Canada; Ali Miri, Canada; Xumin Liu, United States</t>
  </si>
  <si>
    <t>Fan Zhang, United States; Kai Hwang, United States; Samee U. Khan, United States; Qutaibah M. Malluhi, Qatar</t>
  </si>
  <si>
    <t>Jun Yang, China; Wenmin Lin, China; Wanchun Dou, China</t>
  </si>
  <si>
    <t>Le Sun, China</t>
  </si>
  <si>
    <t>Abdulsalam Yassine, Canada; Ali Asghar Nazari Shirehjini, Iran; Shervin Shirmohammadi, Canada</t>
  </si>
  <si>
    <t>Wiem Abderrahim, Tunisia; Zied Choukair, Tunisia</t>
  </si>
  <si>
    <t>Sabrina De Capitani di Vimercati, Italy; Sara Foresti, Italy; Giovanni Livraga, Italy; Vincenzo Piuri, Italy; Pierangela Samarati, Italy</t>
  </si>
  <si>
    <t>Jin Seek Choi, South Korea; Se Joon Chun, South Korea; Sunghwan Lee, South Korea</t>
  </si>
  <si>
    <t>heik Mohammad Mostakim Fattah, Australia; Athman Bouguettaya, Australia; Sajib Mistry, Australia</t>
  </si>
  <si>
    <t>George Darzanos, Greece; Iordanis Koutsopoulos, Greece; George D. Stamoulis, Greece</t>
  </si>
  <si>
    <t>Nick Bassiliades, Greece; Moisis Symeonidis, Greece; Panagiotis Gouvas, Greece; Efstratios Kontopoulos, Greece; Georgios Meditskos, Greece; Ioannis Vlahavas, Greece</t>
  </si>
  <si>
    <t>Zibin Zheng, China; Xinmaio Wu, China; Yilei Zhang, China; Michael R. Lyu, China; Jianmin Wang, China</t>
  </si>
  <si>
    <t>Assad Abbas, United States; Kashif Bilal, United States; Limin Zhang, United States; Samee U. Khan, United States</t>
  </si>
  <si>
    <t>Raghavendra Achar, India; P. Santhi Thilagam, India</t>
  </si>
  <si>
    <t>Nivethitha Somu, India; Gauthama Raman M.R., India; Kannan Krithivasan, India; Shankar Sriram V.S., India</t>
  </si>
  <si>
    <t>Yuanchun Jiang, China; Dandan Tao, China; Yezheng Liu, China; Jianshan Sun, China; Haifeng Ling, China</t>
  </si>
  <si>
    <t>Yan Wang, China; Ziwei Dai, China; Wenyu Zhang, China; Shuai Zhang, China; Yangbing Xu, China; Qian Chen, China</t>
  </si>
  <si>
    <t>Mye Sohn, South Korea; Sunghwan Jeong, South Korea; Jongmo Kim, South Korea; Hyun Jung Lee, South Korea</t>
  </si>
  <si>
    <t>Mingdong Tang, China; Tingting Zhang, China; Jianxun Liu, China; Jinjun Chen, Australia</t>
  </si>
  <si>
    <t>Hua Ma, china; Zhigang Hu, china; Keqin Li, United States; Haibin Zhu, canada</t>
  </si>
  <si>
    <t>Haithem Mezni, Tunisia; Mokhtar Sellami, Tunisia</t>
  </si>
  <si>
    <t>Hamza Refad, Algeria; Adel Alti, Algeria</t>
  </si>
  <si>
    <t>Yuri Demchenko, Netherlands; Cees de Laat, Netherlands; Jeroen Van der Ham, Netherlands; Mattijs Ghijsen, Netherlands; Volodymyr Yakovenko, United States; Mihai Cristea, Netherlands</t>
  </si>
  <si>
    <t>Ingo Weber, Australia; Alistair Barros, Australia; Norman May, Germany; J¨org Hoffmann, Germany; Tomasz Kaczmarek, Poland</t>
  </si>
  <si>
    <t>Eduardo Silva, Netherlands; Lu´ıs Ferreira Pires, Netherlands; Marten van Sinderen, Netherlands</t>
  </si>
  <si>
    <t>Beniamino Di Martino, ITALY; Antonio Esposito, ITALY; Giuseppina Cretella, ITALY</t>
  </si>
  <si>
    <t>Gabriel González Castañé, Ireland; Huanhuan Xiong, Ireland; Dapeng Dong, Ireland; John P. Morrison, Ireland</t>
  </si>
  <si>
    <t>Alexander Willner, Germany; Robyn Loughnane, Germany; Thomas Magedanz, Germany</t>
  </si>
  <si>
    <t>Le Duy Ngan, Singapore; Rajaraman Kanagasabai, Singapore</t>
  </si>
  <si>
    <t>Supannada Chotipant, Australia; Farookh Khadeer Hussain, Australia; Omar Khadeer Hussain, Australia</t>
  </si>
  <si>
    <t>Thamarai Selvi Somasundaram, India; Kannan Govindarajan, India; Usha Kiruthika, India; Rajkumar Buyya, Australia</t>
  </si>
  <si>
    <t>Fu Hou, China; Xinjun Mao, China; Wei Wu, China; Lu Liu, United Kingdom; John Panneerselvam, United Kingdom</t>
  </si>
  <si>
    <t>Kailash Selvaraj, India; Saswati Mukherjee, India</t>
  </si>
  <si>
    <t>V. Viji Rajendran, India; S. Swamynathan, India</t>
  </si>
  <si>
    <t>Walayat Hussain, Australia; Jose Maria Merigo, Australia; Honghao Gao, China; Asma Musabah Alkalbani, Oman; Fethi A Rabhi, Australia</t>
  </si>
  <si>
    <t>Zhen Ye, Australia; Sajib Mistry, Australia; Athman Bouguettaya, Australia; Hai Dong, Australia</t>
  </si>
  <si>
    <t>M. Saravanan, India; M. Aramudhan, India; S. Sundara Pandiyan, India; T. Avudaiappan, India</t>
  </si>
  <si>
    <t>David Villegas, United States; Norman Bobroff, United States; Ivan Rodero, United States; Javier Delgado, United States; Yanbin Liu, United States; Aditya Devarakonda, United States; Liana Fong, United States; S. Masoud Sadjadi, United States; Manish Parashar, United States</t>
  </si>
  <si>
    <t>John O’Loughlin, United Kingdom; Lee Gillam, United Kingdom</t>
  </si>
  <si>
    <t>Satish Kumar, United Kingdom; Rami Bahsoon, United Kingdom; Tao Chen, United Kingdom; Rajkumar Buyya, Australia</t>
  </si>
  <si>
    <t>Hangwei Qian, United States; Hualong Zu, United States; Chenghua Cao, United States; Qixin Wang, United States</t>
  </si>
  <si>
    <t>Leonard Heilig, Australia; Leonard Heilig, Germany; Rajkumar Buyya, Australia; Stefan Voß, Germany; Stefan Voß, Chile</t>
  </si>
  <si>
    <t>Mingwei Zhang, China; Chengfei Liu, Australia; Jian Yu, Australia; Zhiliang Zhu, China; Bin Zhang, China</t>
  </si>
  <si>
    <t>Yukyong Kim, South Korea; Jong-Seok Choi, South Korea; YongtaeShin, South Korea</t>
  </si>
  <si>
    <t>VATCHE ISHAKIAN, United States; AZER BESTAVROS, United States</t>
  </si>
  <si>
    <t>Linlin Wu, Australia; Saurabh Kumar Garg, Australia; Rajkumar Buyya, Australia; Chao Chen, Australia; Steve Versteeg, Australia</t>
  </si>
  <si>
    <t>Pritesh Jain, India; Dheeraj Rane, India; Shyam Patidar, India</t>
  </si>
  <si>
    <t>Rui Zhang, Hong Kong; Kui Wu, Canada; Minming Li, Hong Kong; Jianping Wang, Canada</t>
  </si>
  <si>
    <t>Luciano Barreto, Brazil; Joni Fraga, Brazil; Frank Siqueira, Brazil</t>
  </si>
  <si>
    <t>Prashant Khanna, India; Sonal Jain, India</t>
  </si>
  <si>
    <t>Sreekrishnan Venkateswaran, India; Santonu Sarkar, India</t>
  </si>
  <si>
    <t>Tian Guo, United States; Prashant Shenoy, United States</t>
  </si>
  <si>
    <t>D. Borgetto, France; R. Chakode, France; B. Depardon, France; C. Eichler, France; J. M. Garcia, France; H. Hbaieb, France; T. Monteil, France; E. Pelorce, France; A. Rachdi, France; A. Al Sheikh, France; P. Stolf, France</t>
  </si>
  <si>
    <t>Xu Lijun, China; Li Chunlin, China</t>
  </si>
  <si>
    <t>Konstantinos Tsakalozos, United Kingdom; Vasilis Verroios, United States; Mema Roussopoulos, Greece; Alex Delis, Greece</t>
  </si>
  <si>
    <t>Alfonso Quarati, Italy; Andrea Clematis, Italy; Daniele D’Agostino, Italy</t>
  </si>
  <si>
    <t>Zille Huma, Germany; Christian Gerth, Germany; Gregor Engels, Germany; Oliver Juwig, Germany</t>
  </si>
  <si>
    <t>Erbin Lim, Belgium; Philippe Thiran, Belgium</t>
  </si>
  <si>
    <t>Olga Wenge, Germany; Dieter Schuller, Germany; Ulrich Lampe, Germany; Melanie Siebenhaar, Germany; Ralf Steinmetz, Germany</t>
  </si>
  <si>
    <t>Mathieu Bouet, France; Mario Lopez-Ramos, France; Emmanuel Dotaro, France; H´elia Pouyllau, France</t>
  </si>
  <si>
    <t>Federico Larumbe, Canada; Brunilde Sans`, Canada</t>
  </si>
  <si>
    <t>Giuseppe Carella, Germany; Thomas Magedanz, Germany; Konrad Campowsky, Germany; Florian Schreiner, Germany</t>
  </si>
  <si>
    <t>Sajib Mistry, Australia; Athman Bouguettaya, Australia; Hai Dong, Australia; Abdelkarim Erradi, Qatar</t>
  </si>
  <si>
    <t>Jesper Andersson, Sweden; Andreas Heberle, Germany; Jens Kirchner, Sweden; Welf L¨owe, Germany</t>
  </si>
  <si>
    <t>Kevin Kofler, Australia; Irfan ul Haq, Australia; Erich Schikuta, Australia</t>
  </si>
  <si>
    <t>Étienne Michon, France; Julien Gossa, France; Stéphane Genaud, France; Léo Unbekandt, France; Vincent Kherbache, France</t>
  </si>
  <si>
    <t>Thar Baker, United Kingdom; Muhammad Asim, Pakistan; Hissam Tawfik, United Kingdom; Bandar Aldawsari, United Kingdom; Rajkumar Buyya, Australia</t>
  </si>
  <si>
    <t>Laiping Zhao, Japan; Yizhi Ren, China; Mingchu Li, China; Kouichi Sakurai, Japan</t>
  </si>
  <si>
    <t>Shangguang Wang, China; Ao Zhou, China; Fangchun Yang, China; Rong N. Chang, United States</t>
  </si>
  <si>
    <t>Ying Chen, China; Jiwei Huang, China; Chuang Lin, China; Xuemin Shen, Canada</t>
  </si>
  <si>
    <t>Alfonso Quarati, Italy; Andrea Clematis, Italy; Antonella Galizia, Italy; Daniele D’Agostino, Italy</t>
  </si>
  <si>
    <t>Izzet F. Senturk, United States; P. Balakrishnan, Qatar; Anas Abu-Doleh, United States; Kamer Kaya, United States; Qutaibah M. Malluhi, Qatar; Ümit V. Çatalyürek, Turkey</t>
  </si>
  <si>
    <t>C. Thirumalaiselvan, India; V. Venkatachalam, India</t>
  </si>
  <si>
    <t>Chunlin Li, China; Jing Zhang, China; Hengliang Tang, China</t>
  </si>
  <si>
    <t>Vincenzo De Maio, Austria; Rafael Brundo Uriarte, Austria; Ivona Brandic, Austria</t>
  </si>
  <si>
    <t>Adrian Satja Kurdija, Croatia; Marin Silic, Croatia; Goran Delac, Croatia; Klemo Vladimir, Croatia</t>
  </si>
  <si>
    <t>Matthew Dickinson, United States; Saptarshi Debroy, United States; Prasad Calyam, United States; Samaikya Valluripally, United States; Yuanxun Zhang, United States; Ronny Bazan Antequera, United States; Trupti Joshi, United States; Tommi White, United States; Dong Xu, United States</t>
  </si>
  <si>
    <t>Tao Shi, New Zealand; Sven Hartmann, Germany; Gang Chen, New Zealand; Hui Ma, New Zealand</t>
  </si>
  <si>
    <t>Pankaj Sahu, India; Shubhro Roy, India; Mangesh Gharote, India; Sutapa Mondal, India; Sachin Lodha, India</t>
  </si>
  <si>
    <t>Thar Baker, United Kingdom; Bandar Aldawsari, United Kingdom; Muhammad Asim, Pakistan; Hissam Tawfik, United Kingdom; Zakaria Maamar, United Arab Emirates; Rajkumar Buyya, Australia</t>
  </si>
  <si>
    <t>Kaiyang Liu, China; Kaiyang Liu, Canada; Jun Peng, China; Boyang Yu, Canada; Weirong Liu, China; Zhiwu Huang, China; Jianping Pan, Canada</t>
  </si>
  <si>
    <t>Atakan Aral, Austria; Rafael Brundo Uriarte, Austria; Anthony Simonet-Boulogne, France; Ivona Brandic, Austria</t>
  </si>
  <si>
    <t>Sheriffo Ceesay, United Kingdom; Yuhui Lin, United Kingdom; Adam Barker, United Kingdom</t>
  </si>
  <si>
    <t>S. Bharath Bhushan, India; Pradeep C. H. Reddy, India</t>
  </si>
  <si>
    <t>Faisal Alrebeish, United Kingdom; Rami Bahsoon, United Kingdom</t>
  </si>
  <si>
    <t>Rafael Moreno-Vozmediano, Spain; Ruben S. Montero, Spain; Eduardo Huedo, Spain; Ignacio M. Llorente, Spain</t>
  </si>
  <si>
    <t>U. Arul, India; S. Prakash, India</t>
  </si>
  <si>
    <t>Rodrigo da Rosa Righi, Brazil; Vinicius Facco Rodrigues, Brazil; Gustavo Rostirolla, Brazil; Cristiano André da Costa, Brazil; Eduardo Roloff, Brazil; Philippe Olivier Alexandre Navaux, Brazil</t>
  </si>
  <si>
    <t>Roger Baig, Spain; Felix Freitag, Spain; Agusti Moll, Spain; Leandro Navarro, Spain; Roger Pueyo, Spain; Vladimir Vlassov, Sweden</t>
  </si>
  <si>
    <t>Uwe Breitenbücher, Germany; Tobias Binz, Germany; Oliver Kopp, Germany; Frank Leymann, Germany; Johannes Wettinger, Germany</t>
  </si>
  <si>
    <t>Gang Sun, China; Yayu Li, China; Hongfang Yu, China; Athanasios V. Vasilakos, Sweden; Xiaojiang Du, United States; Mohsen Guizani, United States</t>
  </si>
  <si>
    <t>R. Valarmathi, India; T. Sheela, India</t>
  </si>
  <si>
    <t>Ronny Bazan Antequera, United States; Prasad Calyam, United States; Arjun Ankathatti Chandrashekara, United States; Reshmi Mitra, United States</t>
  </si>
  <si>
    <t>Denis M. Becker, Norway; Alexei A. Gaivoronski, Norway; Per Jonny Nesse, Norway</t>
  </si>
  <si>
    <t>Moustafa Najm, India; Rakesh Tripathi, India; Venkatesh Tamarapalli, India; Mohammad Shadi Alhakeem, Saudi Arabia</t>
  </si>
  <si>
    <t>Sameer Singh Chauhan, India; Emmanuel S. Pilli, India; R. C. Joshi, India</t>
  </si>
  <si>
    <t>Jun Zeng, china; Juan Yao, china; Min Gao, china;  Junhao Wen, china</t>
  </si>
  <si>
    <t>Jianmin Li, china; Ying Zhong, china; Shunzhi Zhu, china; Yongsheng Hao, china</t>
  </si>
  <si>
    <t>Jose Pergentino Araujo Neto, Brazil; Donald M. Pianto, Brazil; Célia Ghedini Ralha, Brazil</t>
  </si>
  <si>
    <t>Raed Karim, Canada; Chen Ding, Canada; Ali Miri, Canada; Md Shahinur Rahman, Canada</t>
  </si>
  <si>
    <t>Hassen Riahi, Switzerland; Alberto Aimar, Switzerland; Alejandro Álvarez Ayllón, Switzerland; Justas Balcas, United States; Diego Ciangottini, Italy; José M. Hernández, Spain; Oliver Keeble, Switzerland; Nicolò Magini, United States; Andrea Manzi, Switzerland; Luca Mascetti, Switzerland; Marco Mascheroni, United States; Andres Jorge Tanasijczuk, United States; Eric Wayne Vaandering, United States</t>
  </si>
  <si>
    <t>Rafaelli de C. Coutinho, Brazil; Lúcia M.A. Drummond, Brazil; Yuri Frota, Brazil; Daniel de Oliveira, Brazil</t>
  </si>
  <si>
    <t>Rajat Mehrotra, United States; Srishti Srivastava, United States; Ioana Banicescu, United States; Sherif Abdelwahed, United States</t>
  </si>
  <si>
    <t>David Sánchez, Spain; Montserrat Batet, Spain</t>
  </si>
  <si>
    <t>Christine Bassem, United States; Azer Bestavros, United States</t>
  </si>
  <si>
    <t>Chonglin Gu, China; Shi Chen, China; Jiangtao Zhang, China; Hejiao Huang, China; Xiaohua Jia, China</t>
  </si>
  <si>
    <t>Jihe Wang, China; Bing Guo, China; Meikang Qiu, United States; Zhong Ming, China</t>
  </si>
  <si>
    <t>Mohammad Aazam, South Korea; Eui-Nam Huh, South Korea</t>
  </si>
  <si>
    <t>Zhangyu Guan, United States; Tommaso Melodia, United States</t>
  </si>
  <si>
    <t>Wei Wang, Canada; Di Niu, Canada; Baochun Li, Canada; Ben Liang, Canada</t>
  </si>
  <si>
    <t>Sarbjeet Singh, India; Jagpreet Sidhu, India</t>
  </si>
  <si>
    <t>Ranesh Kumar Naha, Malaysia; Mohamed Othman, Malaysia</t>
  </si>
  <si>
    <t>Nivethitha Somu, India; Kannan Kirthivasan, India; Shankar Sriram V.S., India</t>
  </si>
  <si>
    <t>Seungmin Kang, Singapore; Bharadwaj Veeravalli, Singapore; Khin Mi Mi Aung, Singapore</t>
  </si>
  <si>
    <t>Panda Sanjaya Kumar, India; Prasanta K. Jana, India</t>
  </si>
  <si>
    <t>Shaghahyegh Sharif, Australia; Paul Watson, United Kingdom; Javid Taheri, Sweden; Surya Nepal, Australia; Albert Y. Zomaya, Australia</t>
  </si>
  <si>
    <t>C.Saravanakumar, India; C.Arun, India</t>
  </si>
  <si>
    <t>Shuangcheng Niu, China; Jidong Zhai, China; Xiaosong Ma, United States; Xiongchao Tang, China; Wenguang Chen, China</t>
  </si>
  <si>
    <t>Usama Ahmed, Pakistan; Ioan Petri, United Kingdom; Omer F. Rana, United Kingdom; Imran Raza, Pakistan; Syed Asad Hussain, Pakistan</t>
  </si>
  <si>
    <t>Ashraf Al-Ou'n, United Kingdom; Mariam Kiran, United Kingdom; Demetres D. Kouvatsos, United Kingdom</t>
  </si>
  <si>
    <t>Richard Greenwell, United Kingdom; Xiaodong Liu, United Kingdom; Kevin Chalmers, United Kingdom</t>
  </si>
  <si>
    <t>Lianyong Qi, China; Wanchun Dou, China; Xuyun Zhang, Australia; Jinjun Chen, Australia</t>
  </si>
  <si>
    <t>P. Muthi Reddy, India; Ansaf Ahmed, India; S. H. Manjula, India; K. R. Venugopal, India</t>
  </si>
  <si>
    <t>Souvik Pal, India; Raghvendra Kumar, India; Le Hoang Son, Vietnam; Krishnan Saravanan, India; Mohamed Abdel-Basset, Egypt; Gunasekaran Manogaran, United States; Pham Huy Thong, Vietnam</t>
  </si>
  <si>
    <t>Jeferson R. Brunetta, Brazil; Edson Borin, Brazil</t>
  </si>
  <si>
    <t>Shuang Chen, United States; Christina Delimitrou, United States; José F. Martínez, United States</t>
  </si>
  <si>
    <t>Wenjuan Li, Australia; Jian Cao, China; Shiyou Qian, China; Rajkumar Buyya, Australia</t>
  </si>
  <si>
    <t>Hua Ma, China; Haibin Zhu, Canada; Keqin Li, United States; Wensheng Tang, China</t>
  </si>
  <si>
    <t>Alba Amato, Italy; Salvatore Venticinque, Italy; Zhen Ye, Australia; Athman Bouguettaya, Australia; Xiaofang Zhou, Australia</t>
  </si>
  <si>
    <t>Dandan Wang, China; Yang Yang, China; Zhenqiang Mi, China</t>
  </si>
  <si>
    <t>Zhitao Wan, China; Ping Wang, China; Lihua Duan, China; Fan Jing Meng, China; Jing Min Xu, China</t>
  </si>
  <si>
    <t>Atakan Aral, Turkey; Tolga Ovatman, Turkey</t>
  </si>
  <si>
    <t>Gaetano F. Anastasi, Italy; Emanuele Carlini, Italy; Massimo Coppola, Italy; Patrizio Dazzi, Italy; Marco Distefano, Italy</t>
  </si>
  <si>
    <t>S. L. Kiani, United Kingdom; Ashiq Anjum, United Kingdom; K. Munir, United Kingdom; Richard McClatchey, United Kingdom; N. Antonopoulos, United Kingdom</t>
  </si>
  <si>
    <t>Makhlouf Hadji, France; Benjamin Aupetit, France; Djamal Zeghlache, France</t>
  </si>
  <si>
    <t>Yuhong Yan, Canada; Pascal Poizat, France; Ludeng Zhao, Canada</t>
  </si>
  <si>
    <t>Chin-Chih Chang, Taiwan; Young-Lin Lo, Taiwan</t>
  </si>
  <si>
    <t>Katerina Stamou, Switzerland; Verena Kantere, Switzerland; Jean-Henry Morin, Switzerland</t>
  </si>
  <si>
    <t>Zain Ulabedin, Pakistan; Babar Nazir, Pakistan</t>
  </si>
  <si>
    <t>Dan Lin, United States; Anna Cinzia Squicciarini, United States; Venkata Nagarjuna Dondapati, United States; Smitha Sundareswaran, United States</t>
  </si>
  <si>
    <t>Sina Askarnejad, Iran; Marzieh Malekimajd, Iran; Ali Movaghar, Iran</t>
  </si>
  <si>
    <t>Yanmei Zhang, China; Chong Zhu, China; Xiaoyi Tang, China; Hengyue Jia, China; Xiuli Wang, China</t>
  </si>
  <si>
    <t>Jing Li, China; Guodong Fan, China; Ming Zhu, China; Yuhong Yan, Canada</t>
  </si>
  <si>
    <t>Xiaogang Wang, China; Jian Cao, China; Yang Xiang, Australia</t>
  </si>
  <si>
    <t>Cheikh BA, Senegal</t>
  </si>
  <si>
    <t>Wanchun Dou, China; Xuyun Zhang, Australia; Jianxun Liu, China; Jinjun Chen, Australia</t>
  </si>
  <si>
    <t>Sri Vijay Bharat Peddi, Canada; Pallavi Kuhad, Canada; Abdulsalam Yassine, Canada; Parisa Pouladzadeh, Canada; Shervin Shirmohammadi, Canada; Ali Asghar Nazari Shirehjini, Iran</t>
  </si>
  <si>
    <t>Oscar González-Rojas, Colombia; Juan Tafurth, Colombia</t>
  </si>
  <si>
    <t>Johannes Grohmann, Germany; Patrick K. Nicholson, Ireland; Jesus Omana Iglesias, Spain; Samuel Kounev, Germany; Diego Lugones, Ireland</t>
  </si>
  <si>
    <t>Samar Haytamy, Egypt; Fatma Omara, Egypt</t>
  </si>
  <si>
    <t>Hong Jin, china; Cheng Jiang, china; Shengping Lv, china; Haiping He, china; Xinting Liao, china</t>
  </si>
  <si>
    <t>Amrita Jyoti, India; Manish Shrimali , India</t>
  </si>
  <si>
    <t>Zhenyu Wen, United Kingdom; Tao Lin, Switzerland; Renyu Yang, United Kingdom; Renyu Yang, China; Shouling Ji, China; Rajiv Ranjan, United Kingdom; Alexander Romanovsky, United Kingdom; Changting Lin, China; Jie Xu, China; Jie Xu, United Kingdom</t>
  </si>
  <si>
    <t>Yang Zhang, China; Yongquan Liang, China; Bin Jia, China; Pinxiang Wang, United States</t>
  </si>
  <si>
    <t>Joonseok Park, South Korea; Ungsoo Kim, South Korea; Donggyu Yun, South Korea; Keunhyuk Yeom, South Korea</t>
  </si>
  <si>
    <t>Yanchun Wang, Australia; Qiang He, Australia; Xuyun Zhang, New Zealand; Dayong Ye, Australia; Yun Yang, Australia</t>
  </si>
  <si>
    <t>Jinwei Liu, United States; Haiying Shen, United States; Husnu S. Narman, United States</t>
  </si>
  <si>
    <t>Mohammad Bagher Karimi, Iran; Ayaz Isazadeh, Iran; Amir Masoud Rahmani, Iran</t>
  </si>
  <si>
    <t>Guanglei Li, China; Huachun Zhou, China; Bohao Feng, China; Yuming Zhang, China; Shui Yu, Australia</t>
  </si>
  <si>
    <t>Marco Comerio, Italy; Hong-Linh Truong, Australia; Flavio De Paoli, Italy; Schahram Dustdar, Australia</t>
  </si>
  <si>
    <t>Rajkumar Rajavel, India; Mala Thangarathinam, India</t>
  </si>
  <si>
    <t>Shyam S. Wagle, Luxembourg</t>
  </si>
  <si>
    <t>Xiaoyong Li, China; Huadong Ma, China; Feng Zhou, China; Xiaolin Gui, China</t>
  </si>
  <si>
    <t>Faisal Hafeez, Germany; Pezhman Nasirifard, Germany; Hans-Arno Jacobsen, Germany</t>
  </si>
  <si>
    <t>Lie Qu, Australia; Yan Wang, China; Mehmet A. Orgun, Australia</t>
  </si>
  <si>
    <t>G. Vinu Prasad, India; Abhinandan S. Prasad, Germany; Shrisha Rao, India</t>
  </si>
  <si>
    <t>Seyedeh Aso Tafsiri, Iran; Saleh Yousefi, Iran</t>
  </si>
  <si>
    <t>Adel Nadjaran Toosi, Australia; Kurt Vanmechelen, Belgium; Farzad Khodadadi, Australia; Rajkumar Buyya, Australia</t>
  </si>
  <si>
    <t>Asif Iqbal Middya, India; Benay Kumar Ray, India; Sarbani Roy, India</t>
  </si>
  <si>
    <t>Siva Kumar Gavvala, India; Chandrashekar Jatoth, India; G.R. Gangadharan, India; Rajkumar Buyya, Australia</t>
  </si>
  <si>
    <t>Sourav Kanti Addya, India; Anurag Satpathy, India; Sandip Chakraborty, India; Soumya K Ghosh, India</t>
  </si>
  <si>
    <t>R. Jeyarani, India</t>
  </si>
  <si>
    <t>Michele Ciavotta, Italy; Danilo Ardagna, Italy; Giovanni Paolo Gibilisco, Italy</t>
  </si>
  <si>
    <t>Fei Tao, China; Yuanjun LaiLi, China; Lida Xu, United States; Lin Zhang, China</t>
  </si>
  <si>
    <t>Alba Amato, Italy; Salvatore Venticinque, Italy</t>
  </si>
  <si>
    <t>Li Liu, China; Shuxian Gu, China; Dongmei Fu, China; Miao Zhang, China; Rajkumar Buyya, Australia</t>
  </si>
  <si>
    <t>Li Liu, China; Miao Zhang, China</t>
  </si>
  <si>
    <t>Dandan Wang, China; Hao Ding, China; Yang Yang, China; Zhenqiang Mi, China; Li Liu, China; Zenggang Xiong, China</t>
  </si>
  <si>
    <t>Atif Alamri, Saudi Arabia</t>
  </si>
  <si>
    <t>Biqing Huang, China; Chenghai Li, China; Fei Tao, China</t>
  </si>
  <si>
    <t>Jin Qi, China; Bin Xu, China; Kun Wang, China; Yanfei Sun, China; Yu Xue, China</t>
  </si>
  <si>
    <t>Guoxin Liu, United States; Haiying Shen, United States</t>
  </si>
  <si>
    <t>Lijuan Wang, Australia; Jun Shen, Australia; Junzhou Luo, China</t>
  </si>
  <si>
    <t>Anh Quan Nguyen, Luxembourg; Pascal Bouvry, Luxembourg; El-Ghazali Talbi, France</t>
  </si>
  <si>
    <t>Thamarai Selvi Somasundaram, India; Kannan Govindarajan, India</t>
  </si>
  <si>
    <t>Sahil Kansal, India; Harish Kumar, India; Sakshi Kaushal, India; Arun Kumar Sangaiah, India</t>
  </si>
  <si>
    <t>Foued Jrad, Germany; Jie Tao, Germany; Ivona Brandic, Austria; Achim Streit, Germany</t>
  </si>
  <si>
    <t>Lino Chamorro, Paraguay; Fabio L´opez-Pires, Paraguay; Benjam´ın Bar´an, Paraguay</t>
  </si>
  <si>
    <t>Dhanwant S. Kang, United States; Hua Liu, United States; Munindar P. Singh, United States; Tong Sun, United States</t>
  </si>
  <si>
    <t>Mingzhong Wang, Australia; Liehuang Zhu, China; Zijian Zhang, China</t>
  </si>
  <si>
    <t>Gaetano F. Anastasi, Italy; Emanuele Carlini, Italy; Massimo Coppola, Italy; Patrizio Dazzi, Italy</t>
  </si>
  <si>
    <t>Shuiguang Deng, China; Hongyue Wu, China; Javid Taheri, Sweden; Albert Y. Zomaya, Australia; Zhaohui Wu, China</t>
  </si>
  <si>
    <t>Gongzhuang Peng, China; Hongwei Wang, China; Jietao Dong, China; Heming Zhang, United Kingdom</t>
  </si>
  <si>
    <t>Adrian Klein, Japan; Fuyuki Ishikawa, Japan; Shinichi Honiden, Japan</t>
  </si>
  <si>
    <t>Carlo Mastroianni, Italy; Giuseppe Papuzzo, Italy</t>
  </si>
  <si>
    <t>Amir Vahid Dastjerdi, Australia; Rajkumar Buyya, Australia</t>
  </si>
  <si>
    <t>Mina Emami Khansari, Iran; Saeed Sharifian, Iran; Seyed Ahmad Motamedi, Iran</t>
  </si>
  <si>
    <t>Arezoo Jahani, Iran; Leyli Mohammad Khanli, Iran</t>
  </si>
  <si>
    <t>Zhi-Zhong Liu, China; Dian-Hui Chu, China; Cheng Song, China; Xiao Xue, China; Bao-Yun Lu, China</t>
  </si>
  <si>
    <t>Guoxin Liu, United States; Haiying Shen, United States; Haoyu Wang, United States</t>
  </si>
  <si>
    <t>Helan Liang, China; Yanhua Du, China</t>
  </si>
  <si>
    <t>Xiaofei Xu, India; Zhizhong Liu, United States; Zhongjie Wang, India; Quan Z. Sheng, Australia; Jian Yu, United States; Xianzhi Wang, Australia</t>
  </si>
  <si>
    <t>Tahereh Nodehi, Portugal; Ricardo Jardim-Goncalves, Portugal; Aneesh Zutshi, Portugal; Antonio Grilo, Portugal</t>
  </si>
  <si>
    <t>Xiaolong Xu, China; Hanzhong Rong, China; Ella Pereira, United Kingdom; Marcello Trovati, United Kingdom</t>
  </si>
  <si>
    <t>Maria Carla Calzarossa, Italy; Marco L. Della Vedova, Italy; Daniele Tessera, Italy</t>
  </si>
  <si>
    <t>Yasser Aldwyan, Australia; Yasser Aldwyan, Saudi Arabia; Richard O. Sinnott, Australia</t>
  </si>
  <si>
    <t>Afaf Mousa, Canada; Jamal Bentahar, Canada; Omar Alam, Canada</t>
  </si>
  <si>
    <t>Seyedeh Yasaman Rashida, Iran; Masoud Sabaei, Iran; Mohammad Mehdi Ebadzadeh, Iran; Amir Masoud Rahmani, Iran</t>
  </si>
  <si>
    <t>Lei Wang, China; Chen Guo, China; Yibing Li, China; Baigang Du, China; Shunsheng Guo, China</t>
  </si>
  <si>
    <t>Chandrashekar Jatoth, India; G.R. Gangadharan, India; Rajkumar Buyya, Australia</t>
  </si>
  <si>
    <t>Amany M. Mohamed, Egypt; Hisham M. Abdelsalam, Egypt</t>
  </si>
  <si>
    <t>Beibei Pang, china; Fei Hao, china; Yixuan Yang, china; Doo-Soon Park, South Korea</t>
  </si>
  <si>
    <t>Abderrahim Ait Wakrime, France; Mouna Rekik, France; Said Jabbour, France</t>
  </si>
  <si>
    <t>Mohammad Moein Fazeli, Iran; Yaghoub Farjami, Iran; Mohsen Nickray, Iran</t>
  </si>
  <si>
    <t>Sourav Kanti Addya, India; Anurag Satpathy, India; Bishakh Chandra Ghosh, India; Sandip Chakraborty, India; Soumya K Ghosh, India; Sajal K. Das, United States</t>
  </si>
  <si>
    <t>Mufeed Ahmed Naji Saif, India; S. K. Niranjan, India; Belal Abdullah Hezam Murshed, India; Fahd A. Ghanem, India; Ammar Abdullah Qasem Ahmed, Yemen</t>
  </si>
  <si>
    <t>Afshin Naseri, Iran; Nima Jafari Navimipour, Iran</t>
  </si>
  <si>
    <t>Peng Li, Japan; Weihua Zhuang, Canada; Shui Yu, Australia; Song Guo, Japan</t>
  </si>
  <si>
    <t>Jinlong E, China; Yong Cui, China; Peng Wang, China; Zhenhua Li, China; Chaokun Zhang, China</t>
  </si>
  <si>
    <t>Chen Shan, China; Chang Heng, China; Zou Xianjun, China</t>
  </si>
  <si>
    <t>Stelios Sotiriadis, Greece; Nik Bessis, United Kingdom; Ashiq Anjum, United Kingdom; Rajkumar Buyya, Australia</t>
  </si>
  <si>
    <t>S. MAHDAVI-HEZAVEHI, Iran; Y. ALIMARDANI, Iran; R. RAHMANI, Iran</t>
  </si>
  <si>
    <t>Xianrong Zheng, Canada; Patrick Martin, Canada; Kathryn Brohman, Canada; Li Da Xu, China</t>
  </si>
  <si>
    <t>Li Lu, China; Jiadi Yu, China; Yanmin Zhu, China; Minglu Li, China</t>
  </si>
  <si>
    <t>Chunxiao Jiang, China; Yan Chen, United States; Qi Wang, United States; K. J. Ray Liu, United States</t>
  </si>
  <si>
    <t>Chonho Lee, Singapore; Ping Wang, Singapore; Dusit Niyato, Singapore</t>
  </si>
  <si>
    <t>Paolo Bonacquisto, Italy; Giuseppe Di Modica, Italy; Giuseppe Petralia, Italy; Orazio Tomarchio, Italy</t>
  </si>
  <si>
    <t>Weijie Shi, Hong Kong; Chuan Wu, Hong Kong; Zongpeng Li, Canada</t>
  </si>
  <si>
    <t>Zuling Kang, China; Hongbing Wang, China; Lei Wang, China</t>
  </si>
  <si>
    <t>Seyyedali Hosseinalipour, United States; Huaiyu Dai, United States</t>
  </si>
  <si>
    <t>Yifei Zhu, Canada; Silvery D. Fu, United States; Jiangchuan Liu, Canada; Yong Cui, China</t>
  </si>
  <si>
    <t>Eduardo Huedo, Spain; Ruben S. Montero, Spain; Rafael Moreno-Vozmediano, Spain; Ignacio M. Llorente, Spain</t>
  </si>
  <si>
    <t>Lena Mashayekhy, United States; Mark M. Nejad, United States; Daniel Grosu, United States</t>
  </si>
  <si>
    <t>Makhlouf Hadji, France; Djamal Zeghlache, France</t>
  </si>
  <si>
    <t>Hongxing Li, Hong Kong; Chuan Wu, Hong Kong; Zongpeng Li, Canada; Francis C. M. Lau, Hong Kong</t>
  </si>
  <si>
    <t>Molka Rekik, Saudi Arabia; Khouloud Boukadi, Tunisia; Nour Assy, Netherlands; Walid Gaaloul, France; Hanene Ben-Abdallah, United Arab Emirates</t>
  </si>
  <si>
    <t>Zhenyu Wen, United Kingdom; Jacek Cała, United Kingdom; Paul Watson, United Kingdom; Alexander Romanovsky, United Kingdom</t>
  </si>
  <si>
    <t>Kleopatra Konstanteli, Greece; Tommaso Cucinotta, Ireland; Konstantinos Psychas, Greece; Theodora Varvarigou, Greece</t>
  </si>
  <si>
    <t>Javier Diaz-Montes, United States; Manuel Diaz-Granados, United States; Mengsong Zou, United States; Shu Tao, United States; Manish Parashar, United States</t>
  </si>
  <si>
    <t>Zhenyu Wen, United Kingdom; Rawaa Qasha, United Kingdom; Rawaa Qasha, Iraq; Zequn Li, United Kingdom; Rajiv Ranjan, United Kingdom; Paul Watson, United Kingdom; Alexander Romanovsky, United Kingdom</t>
  </si>
  <si>
    <t>Ioan Petri, United Kingdom; Javier Diaz-Montes, United States; Mengsong Zou, United States; Tom Beach, United Kingdom; Omer F. Rana, United Kingdom; Manish Parashar, United States</t>
  </si>
  <si>
    <t>Harrie Bastiaansen, Netherlands; Johan van der Geest, Netherlands; Casper van den Broek, Netherlands; Thomas Kudla, Germany; Anthony Isenor, Canada; Sean Webb, Canada; Niranjan Suri, United States; Mattia Fogli, United States; Andrea Masini, Italy; Bruno Canessa, Italy; Robert Goniacz, Poland; Joanna Sliwa, Poland</t>
  </si>
  <si>
    <t>Jinlai Xu, United States; Balaji Palanisamy, United States</t>
  </si>
  <si>
    <t>Jeroen Famaey, Belgium; Steven Latr´e, Belgium; John Strassner, United States; Filip De Turck, Belgium</t>
  </si>
  <si>
    <t>Sasko Ristov, Australia; Dragi Kimovski, Australia; Thomas Fahringer, Australia</t>
  </si>
  <si>
    <t>Rajat Chaudhary, India; Gagangeet Singh Aujla, India; Neeraj Kumar, India; Joel J.P.C. Rodrigues, Russia; Joel J.P.C. Rodrigues, Portugal</t>
  </si>
  <si>
    <t>Omar Abdel Wahab, Canada; Jamal Bentahar, Canada; Hadi Otrok, United Arab Emirates; Azzam Mourad, Lebanon</t>
  </si>
  <si>
    <t>Danilo Ardagna, Italy; Michele Ciavotta, Italy; Mauro Passacantando, Italy</t>
  </si>
  <si>
    <t>Quanlu Zhang, China; Shenglong Li, China; Zhenhua Li, China; Yuanjian Xing, China; Zhi Yang, China; Yafei Dai, China</t>
  </si>
  <si>
    <t>Tao Shi, New Zealand; Hui Ma, New Zealand; Gang Chen, New Zealand; Sven Hartmann, Germany</t>
  </si>
  <si>
    <t>Khalid Alhamazani, Australia; Rajiv Ranjan, Australia; Prem Prakash Jayaraman, Australia; Karan Mitra, Sweden; Chang Liu, Australia; Fethi Rabhi, Australia; Dimitrios Georgakopoulos, Australia; Lizhe Wang, China</t>
  </si>
  <si>
    <t>Demetris Trihinas, Cyprus; George Pallis, Cyprus; Marios D. Dikaiakos, Cyprus</t>
  </si>
  <si>
    <t>Xiaoyong Tang, china</t>
  </si>
  <si>
    <t>Shrenik Jain, India; Suresh Purini, India; Puduru V. Reddy, India</t>
  </si>
  <si>
    <t>Juliana Teixeira, Portugal; Carlos E. Salgado, Portugal; Ricardo J. Machado, Portugal</t>
  </si>
  <si>
    <t>V A Leena, India; A S Ajeena Beegom, India; M S Rajasree, India</t>
  </si>
  <si>
    <t>Courtney Powell, Japan; Masaharu Munetomo, Japan; Attia Wahib, Japan; Takashi Aizawa, Japan</t>
  </si>
  <si>
    <t>Daniel Baur, Germany; Frank Griesinger, Germany; Yiannis Verginadis, Greece; Vasilis Stefanidis, Greece; Ioannis Patiniotakis, Greece</t>
  </si>
  <si>
    <t>Abdallah Abouzamazem, United Kingdom; Paul Ezhilchelvan, United Kingdom</t>
  </si>
  <si>
    <t>Emiliano Casalicchio, Italy; Luca Silvestri, Italy</t>
  </si>
  <si>
    <t>Melanie Holloway, Germany; Dieter Schuller, Germany; Ralf Steinmetz, Germany</t>
  </si>
  <si>
    <t>Samia Nisar, United Kingdom; Rami Bahsoon, United Kingdom</t>
  </si>
  <si>
    <t>Nadia Ranaldo, Italy; Eugenio Zimeo, Italy</t>
  </si>
  <si>
    <t>Yifei Zhu, Canada; Silvery Fu, Canada; Jiangchuan Liu, Canada; Yong Cui, China</t>
  </si>
  <si>
    <t>Lena Mashayekhy, United states; Daniel Grosu, United states</t>
  </si>
  <si>
    <t>Abdelmounaam Rezgui, United states; Sami Rezgui, Algeria</t>
  </si>
  <si>
    <t>Francisco Brasileiro, Brazil; Eduardo Falcão, Brazil</t>
  </si>
  <si>
    <t>Bharti Wadhwa, India; Amandeep Verma, india</t>
  </si>
  <si>
    <t>Amol Jaikar, South Korea; Huang Dada, South Korea; Geyong-Ryoon Kim, South Korea; Seo-Young Noh, South Korea</t>
  </si>
  <si>
    <t>Saadeldin Moustafa, Canada; Khalid Elgazzar, United States; Patrick Martin, Canada; Marwa Elsayed, Canada</t>
  </si>
  <si>
    <t>Soumya Maity, India; Arindam Chaudhuri, India</t>
  </si>
  <si>
    <t>Gilberto Taccari, Italy; Luca Spalazzi, Italy</t>
  </si>
  <si>
    <t>Marcio Roberto Miranda Assis, Brazil; Luiz Fernando Bittencourt, Brazil; Rafael Tolosana-Calasanz, Spain</t>
  </si>
  <si>
    <t>Fabrizio Messina, Italy; Giuseppe Pappalardo, Italy; Corrado Santoro, Italy</t>
  </si>
  <si>
    <t>Maria Fazio, Italy; Antonio Celesti, Italy; Massimo Villari, Italy; Antonio Puliafito, Italy</t>
  </si>
  <si>
    <t>Giuseppe Andronico, Italy; Marco Fargetta, Italy; Salvatore Monforte, Italy; Maurizio Paone, Italy; Massimo Villari, Italy</t>
  </si>
  <si>
    <t>Constantin Gaul, Germany; Marc Körner, Germany; Odej Kao, Germany</t>
  </si>
  <si>
    <t>Adel Nadjaran Toosi, Australia; Ruppa K. Thulasiram, Canada; Rajkumar Buyya, Australia</t>
  </si>
  <si>
    <t>Ioan Petri, United Kingdom; Tom Beach, United Kingdom; Mengsong Zou, United States; Javier Diaz Montes, United States; Omer F. Rana, United Kingdom; Manish Parashar, United States</t>
  </si>
  <si>
    <t>Yahya Al-Hazmi, Germany; Konrad Campowsky, Germany; Thomas Magedanz, Germany</t>
  </si>
  <si>
    <t>Yahav Biran, United States; George Collins, United States; Syed Azam, United States; Joel Dubow, United States</t>
  </si>
  <si>
    <t>Gueyoung Jung, United States; Hyunjoo Kim, United States</t>
  </si>
  <si>
    <t>Bassem El Zant, France; Isabel Amigo, France; Maurice Gagnaire, France</t>
  </si>
  <si>
    <t>Cong Wang, United States; Komal Thareja, United States; Michael Stealey, United States; Paul Ruth, United States; Ilya Baldin, United States</t>
  </si>
  <si>
    <t>Silvestre Perez-Ortiz, Mexico; Victor Sosa-Sosa, Mexico; J.L. Gonzalez, Mexico; Luis M. Sanchez, Spain; Jesus Carretero-Perez, Spain</t>
  </si>
  <si>
    <t>Xiao Su, Canada; Zhenzhen Ye, United States; Lingshuang Wu, United States; Yi Shang, United States</t>
  </si>
  <si>
    <t>Ioan Petri, United Kingdom; Omer F. Rana, United Kingdom; Tom Beach, United Kingdom; Yacine Rezgui, United Kingdom; Andy Sutton, United Kingdom</t>
  </si>
  <si>
    <t>Do Le Quoc, Germany; Lenar Yazdanov, Germany; Christof Fetzer, Germany</t>
  </si>
  <si>
    <t>Abdallah Ali Zainelabden Abdallah Ibrahim, Luxembourg; Sebastien Varrette, Luxembourg; Pascal Bouvry, Luxembourg</t>
  </si>
  <si>
    <t>Hiroyuki Sugino, Japan; Toshiki Nakano, Japan; Shinji Sugawara, Japan</t>
  </si>
  <si>
    <t>Marc E. Frincu, Romania; Ciprian Craciun, Romania</t>
  </si>
  <si>
    <t>Yuri Demchenko, Netherlands; Christophe Blanchet, Netherlands; Charles Loomis, Netherlands; Rob Branchat, Netherlands; Mathias Slawick, Germany; Ilke Zilci, France; Mohamed Bedri, France; Jean-Francois Gibrat, France; Oleg Lodygensky, Germany; Miroslav Zivkovic, Germany; Cees de Laat, Germany; Jose Ignacio Aznar Baranda, Spain</t>
  </si>
  <si>
    <t>Pietrabissa Antonio, Italy; Battilotti Stefano, Italy; Facchinei Francisco, Italy; Giuseppi Alessandro, Italy; Oddi Guido, Italy; Panfili Martina, Italy; Suraci Vincenzo, Italy</t>
  </si>
  <si>
    <t>Sarah Aldawood, Ireland; Frank Fowley, Ireland; Claus Pahl, Italy; Davide Taibi, Italy; Xiaodong Liu, United Kingdom</t>
  </si>
  <si>
    <t>I. Saravanan, India; Rajeswari Sridhar, India</t>
  </si>
  <si>
    <t>Long Wang, United States; Harigovind Ramasamy, United States; Valentina Salapura, United States; Robin Arnold, United States; Xu Wang, United States; Senthil Bakthavachalam, United States; Phil Coulthard, United States; Lee Suprenant, United States; John Timm, United States; Denis Ricard, United States; Richard Harper, United States; Ahut Gupta, United States</t>
  </si>
  <si>
    <t>Islam Elgedawy, Turkey</t>
  </si>
  <si>
    <t>Antonio Cuomo, Italy; Giuseppe Di Modica, Italy; Salvatore Distefano, Italy; Antonio Puliafito, Italy; Massimiliano Rak, Italy; Orazio Tomarchio, Italy; Salvatore Venticinque, Italy; Umberto Villano, Italy</t>
  </si>
  <si>
    <t>Carlos Guerrero, Spain; Isaac Lera, Spain; Carlos Juiz, Spain</t>
  </si>
  <si>
    <t>K Kalyana Chakravarthi, India; P Neelakantan, India; L Shyamala, India; V Vaidehi, India</t>
  </si>
  <si>
    <t>Orazio Tomarchio, Italy; Domenico Calcaterra, Italy; Giuseppe Di Modica, Italy; Pietro Mazzaglia, Italy</t>
  </si>
  <si>
    <t>Victor Ion Munteanu, Romania; Calin Sandru, Romania; Dana Petcu, Romania</t>
  </si>
  <si>
    <t>Minhaj Ahmad Khan, Pakistan</t>
  </si>
  <si>
    <t>Peter Wright, United Kingdom; Yih Leong Sun, United Kingdom; Terence Harmer, United Kingdom; Anthony Keenan, United Kingdom; Alan Stewart, United Kingdom; Ronald Perrott, United Kingdom</t>
  </si>
  <si>
    <t>Florin Pop, Romania; Ciprian Dobre, Romania; Valentin Cristea, Romania; Nik Bessis, United Kingdom; Fatos Xhafa, Romania; Leonard Barolli, Romania</t>
  </si>
  <si>
    <t>S. M. Reza Dibaj, Canada; Ali Mir, Canada; SeyedAkbar Mostafavi, Iran</t>
  </si>
  <si>
    <t>Radu Prodan, Australia; Marek Wieczorek, Poland; Hamid Mohammadi Fard, Australia</t>
  </si>
  <si>
    <t>Asif Umer, Pakistan; Babar Nazir, Pakistan; Zulfqar Ahmad, Pakistan</t>
  </si>
  <si>
    <t>Lin Li, Taiwan; Chee Shin Yeo, Taiwan; Chia-Yu Hsu, Taiwan; Liang-Chih Yu, Taiwan; K. Robert Lai, Taiwan</t>
  </si>
  <si>
    <t>Amol Jaikar, South Korea; Dada Huang, South Korea; Gyeong-Ryoon Kim, South Korea; Seo-Young Noh, South Korea</t>
  </si>
  <si>
    <t>Benay Kumar Ray, India; Avirup Saha, India; Sarbani Roy, India</t>
  </si>
  <si>
    <t>Nikolay Grozev, Australia; Rajkumar Buyya, Australia</t>
  </si>
  <si>
    <t>Víctor Rampérez, Spain; Javier Soriano, Spain; David Lizcano, Spain; Juan A. Lara, Spain; Shadi Aljawarneh, Jordan</t>
  </si>
  <si>
    <t>Daniel Balouek-Thomert, France; Eddy Caron, France; Pascal Gallard, France; Laurent Lefèvre, France</t>
  </si>
  <si>
    <t>Mohammad Mehedi Hassan, Saudi Arabia; Mohammad Abdullah-Al-Wadud, Saudi Arabia; Ahmad Almogren, Saudi Arabia; SK Md. Mizanur Rahman, Saudi Arabia; Abdulhameed Alelaiwi, Saudi Arabia; Atif Alamri, Saudi Arabia; Md. Abdul Hamid, Saudi Arabia</t>
  </si>
  <si>
    <t>Usama Ahmed, Oman; Asma Al-Saidi, Oman; Ioan Petri, United Kingdom; Omer F. Rana, United Kingdom</t>
  </si>
  <si>
    <t>Sam Jabbehdari, Iran; Hamid Haj Seyyed Javadi, Iran</t>
  </si>
  <si>
    <t>Giuliano Manno, Sweden; Waleed W. Smari, United States; Luca Spalazzi, Italy; Gilberto Taccari, Italy</t>
  </si>
  <si>
    <t>Eduardo R. Gomes, Australia; Quoc Bao Vo, Australia; Ryszard Kowalczyk, Australia</t>
  </si>
  <si>
    <t>Alessandro Ferreira Leite, Brazil; Azzedine Boukerche, Canada; Alba Cristina Magalhaes Alves de Melo, Brazil; Christine Eisenbeis, France; Claude Tadonki, France; Célia Ghedini Ralha, Brazil</t>
  </si>
  <si>
    <t>Hari Kumar, India; G. S. Anandha Mala, India</t>
  </si>
  <si>
    <t>Shaoqian Zhang, China; Wanchun Dou, China; Jinjun Chen, Australia</t>
  </si>
  <si>
    <t>Fu Hou, China; Xinjun Mao, China</t>
  </si>
  <si>
    <t>Mohammad Hossein Ghasemian Koochaksaraei, Iran; Abolfazl Toroghi Haghighat, Iran; Mohammad Hossein Rezvani, Iran</t>
  </si>
  <si>
    <t>Aya Omezzine, Tunisia; Narjes Bellamine Ben Saoud, Tunisia; Said Tazi, France; Gene Cooperman, France; Gene Cooperman, United States</t>
  </si>
  <si>
    <t>Jianxi Yang, China; Bo Zhang, China; Zeng Zeng, China; Bharadwaj Veeravalli, India; Keqin Li, United States; Xiupeng Shi, Singapore</t>
  </si>
  <si>
    <t>Gaurav Baranwa, India; Deo Prakash Vidyarthi, India</t>
  </si>
  <si>
    <t>Ritu Singhal, India; Archana Singhal, India</t>
  </si>
  <si>
    <t>Dinesh Kumar, India; Gaurav Baranwal, India; Zahid Raza, India; Deo Prakash Vidyarthi, India</t>
  </si>
  <si>
    <t>Ahmad Hammoud, Lebanon; Azzam Mourad, Lebanon; Hadi Otrok b, United Arab Emirates; Omar Abdel Wahab, Canada; Haidar Harmanani, Lebanon</t>
  </si>
  <si>
    <t>Moslem Habibi, Iran; MohammadAmin Fazli, Iran; Ali Movaghar, Iran</t>
  </si>
  <si>
    <t>Marcio Roberto Miranda Assis, Brazil; Luiz Fernando Bittencourt, Brazil</t>
  </si>
  <si>
    <t>Francesco Palmieri, Italy; Luigi Buonanno, Italy; Salvatore Venticinque, Italy; Rocco Aversa, Italy; Beniamino Di Martino, Italy</t>
  </si>
  <si>
    <t>José G. Quenum, Namibia; Jonas Josua, Namibia</t>
  </si>
  <si>
    <t>Kyriakos Kritikos, Greece; Paweł Skrzypek, Poland; Marta Różańska, Poland</t>
  </si>
  <si>
    <t>Umesh Bellur, India; Arpit Malani, India</t>
  </si>
  <si>
    <t>Amro Najjar, France; Xavier Serpaggi, France; Christophe Gravier, France; Olivier Boissier, France</t>
  </si>
  <si>
    <t>Lohit Kapoor, India; Seema Bawa, India; Ankur Gupta, India</t>
  </si>
  <si>
    <t>Stelios Sotiriadis, Greece; Nik Bessis, United Kingdom</t>
  </si>
  <si>
    <t>Messaouda Ayachi, Algeria; Hassina Nacer, Algeria; Hachem Slimani, Algeria</t>
  </si>
  <si>
    <t>Ashwin Verma, India; Pronaya Bhattacharya, India; Umesh Bodkhe, India; Deepti Saraswat, India; Sudeep Tanwar, India; Kapal Dev, South Africa</t>
  </si>
  <si>
    <t>C. Muralidharan, India; R. Anitha, India</t>
  </si>
  <si>
    <t>Nancy Samaan, Canada</t>
  </si>
  <si>
    <t>Ahmed Mostafa, Australia; Minjie Zhang, Australia</t>
  </si>
  <si>
    <t>Wenrui Li, China; Pengcheng Zhang, China; Zhongxue Yang, China</t>
  </si>
  <si>
    <t>Bharathan S, India; C Rajendran, India; Sundarraj RP, India</t>
  </si>
  <si>
    <t>Kais Klai, France; Hanen Ochi, France</t>
  </si>
  <si>
    <t>Sima Soltani, Canada; Khalid Elgazzar, United States; Patrick Martin, Canada</t>
  </si>
  <si>
    <t>Manav Singhal, United States; Jay Ramanathan, United States; Prasad Calyam, United States; Marjorie Skubic, United States</t>
  </si>
  <si>
    <t>Lie Qu, Australia; Yan Wang, Australia; Mehmet A. Orgun, Australia; Ling Liu, United States; Athman Bouguettaya, Australia</t>
  </si>
  <si>
    <t>Chenhao Qu, Australia; Rodrigo Neves Calheiros, Australia; Rajkumar Buyya, Australia</t>
  </si>
  <si>
    <t>Taher Labidi, Tunisia; Achraf Mtibaa, Tunisia; Walid Gaaloul, France; Faiez Gargouri, Tunisia</t>
  </si>
  <si>
    <t>Xiaoyu Yang, United Kingdom; Bassem Nasser, United Kingdom; Mike Surridge, United Kingdom; Stuart Middleton, United Kingdom</t>
  </si>
  <si>
    <t>Gang Sun, China; Dan Liao, China; Dongcheng Zhao, China; Zhili Sun, United Kingdom; Victor Chang, China</t>
  </si>
  <si>
    <t>Haidong Zhao, France; Haidong Zhao, Germany; Zakaria Benomar, France; Tobias Pfandzelter, Germany; Nikolaos Georgantas, France</t>
  </si>
  <si>
    <t>Rabia Latif, Saudi Arabia; Syeda Hadia Afzaal, Pakistan; Seemab Latif, Pakistan</t>
  </si>
  <si>
    <t>Fei Wang, China; Yuanjun Laili, China; Lin Zhang, China</t>
  </si>
  <si>
    <t>Bilkisu Larai Muhammad-Bello, Japan; Masayoshi Aritsugi, Japan</t>
  </si>
  <si>
    <t>Syed Asad Raza Kazmi, Pakistan; Awais Qasim, Pakistan; Adnan Khalid, Pakistan; Ruttaba Assad, Pakistan; Muhammad Shahbaz, Pakistan</t>
  </si>
  <si>
    <t>Ibra Him, Nigeria</t>
  </si>
  <si>
    <t>Di Liang, China; Jieyi Wang, China; Ran Bhamra, United Kingdom; Liezhao Lu, China; Yuting Li, China</t>
  </si>
  <si>
    <t>Lianyong Qi, China; Wanchun Dou, China; Xiaona Xia, China; Chunmei Ma, China; Jinfeng Liu, China</t>
  </si>
  <si>
    <t>Pengwei Wang, China; Zhen Chen, China; MengChu Zhou, China; MengChu Zhou, United States; Zhaohui Zhang, Saudi Arabia; Abdullah Abusorrah, China; Ahmed Chiheb Ammari, Saudi Arabia</t>
  </si>
  <si>
    <t>E. Filiopoulou, Greece; P. Mitropoulou, Greece; N. Lionis, Greece; C. Michalakelis, Greece</t>
  </si>
  <si>
    <t>Lei Wang, China; Qiang He, Australia; Demin Gao, China; Jing Wan, China; Yunqiu Zhang, China</t>
  </si>
  <si>
    <t>Yash Khandelwal, India; Arushi Dogra, India; Karthik Ganti, India; Suresh Purini, India; Puduru V. Reddy, India</t>
  </si>
  <si>
    <t>José A.B. Fortes, United States</t>
  </si>
  <si>
    <t>André Monteiro, Portugal; Cláudio Teixeira, Portugal; Joaquim Sousa Pinto, Portugal</t>
  </si>
  <si>
    <t>Katarzyna Keahey, United States; Maurício Tsugawa, United States; Andréa Matsunaga, United States; José A.B. Fortes, United States</t>
  </si>
  <si>
    <t>Yunhao Mao, Canada</t>
  </si>
  <si>
    <t>Ion Stoica, United States; Scott Shenker, United States</t>
  </si>
  <si>
    <t>Year</t>
  </si>
  <si>
    <t>Pub</t>
  </si>
  <si>
    <t>Other (Map-Reduce)</t>
  </si>
  <si>
    <t>Resource Management-CS</t>
  </si>
  <si>
    <t>Resource Management-CS / Big Data</t>
  </si>
  <si>
    <t>Resource Management-CS / Energy Management</t>
  </si>
  <si>
    <t>Resource Management-CS / Pricing / Energy Management</t>
  </si>
  <si>
    <t>Resource Management-CS / Selection</t>
  </si>
  <si>
    <t>Resource Management-CS / SLA Management</t>
  </si>
  <si>
    <t>Selection / Resource Management-CS</t>
  </si>
  <si>
    <t>Discovery / Selection / Resource Management-CS</t>
  </si>
  <si>
    <t>Energy Management / Resource Management-CS</t>
  </si>
  <si>
    <t>Resource Management-PS</t>
  </si>
  <si>
    <t>Resource Management-CS / Composition / Monitoring</t>
  </si>
  <si>
    <t>Resource Management-CS / Pricing / Big Data</t>
  </si>
  <si>
    <t>Resource Management-PS / Energy Management</t>
  </si>
  <si>
    <t>Resource Management-PS / Selection</t>
  </si>
  <si>
    <t>Resource Management-CS / Monitoring</t>
  </si>
  <si>
    <t>Energy Management / Resource Management-PS</t>
  </si>
  <si>
    <t>Monitoring / Resource Management-PS</t>
  </si>
  <si>
    <t xml:space="preserve">Resource Management-PS </t>
  </si>
  <si>
    <t>Resource Management-PS / Discovery</t>
  </si>
  <si>
    <t>Resource Management-PS / Monitoring</t>
  </si>
  <si>
    <t>SLA Management / Resource Management-PS</t>
  </si>
  <si>
    <t>Composition / Resource Management-CS</t>
  </si>
  <si>
    <t>Discovery / Resource Management-CS</t>
  </si>
  <si>
    <t>Resource management-CS</t>
  </si>
  <si>
    <t>Service Discovery / Resource Mangement-PS</t>
  </si>
  <si>
    <t>NA</t>
  </si>
  <si>
    <t>Resource management-PS / Monitoring</t>
  </si>
  <si>
    <t>Resource Management-PS / Composition</t>
  </si>
  <si>
    <t>Resource Management-PS / Energy management</t>
  </si>
  <si>
    <t>Resource management-CS / Monitoring</t>
  </si>
  <si>
    <t>Resource Management-CS /  SLA Management</t>
  </si>
  <si>
    <t>Resource Management-CS / Discovery / Selection</t>
  </si>
  <si>
    <t>Discovery / Resource Management-PS</t>
  </si>
  <si>
    <t xml:space="preserve">Discovery / Resource Management-PS / Monitoring </t>
  </si>
  <si>
    <t>Energy Management / Composition</t>
  </si>
  <si>
    <t>Pricing / Resource Management-PS</t>
  </si>
  <si>
    <t xml:space="preserve">Resource Management-CS </t>
  </si>
  <si>
    <t>Resource Management-CS / Composition</t>
  </si>
  <si>
    <t>IEEE International Conference on Cloud Engineering Workshop (IC2EW)</t>
  </si>
  <si>
    <t>IEEE International Conference on Cloud Engineering (IC2E)</t>
  </si>
  <si>
    <t>IEEE International Conference on Cloud Networking (CloudNet)</t>
  </si>
  <si>
    <t>International Conference on Advances in Computing, Communications and Informatics (ICACCI)</t>
  </si>
  <si>
    <t>Chinese Control Conference (CCC)</t>
  </si>
  <si>
    <t>IEEE International Conference on Cloud Engineering</t>
  </si>
  <si>
    <t xml:space="preserve">IEEE/IFIP International Conference on Dependable Systems and Networks </t>
  </si>
  <si>
    <t>IEEE International Conference on Distributed Computing Systems (ICDCS)</t>
  </si>
  <si>
    <t>International Conference on Intelligent Networking and Collaborative Systems</t>
  </si>
  <si>
    <t>IEEE International Conference on Cloud Networking (CLOUDNET)</t>
  </si>
  <si>
    <t>IEEE High Performance Extreme Computing Conference (HPEC)</t>
  </si>
  <si>
    <t>IEEE/IFIP International Conference on Dependable Systems and Networks Workshops (DSN-W)</t>
  </si>
  <si>
    <t>IEEE International Conference on Computational Intelligence and Computing Research</t>
  </si>
  <si>
    <t>IEEE International Conference on Web Services</t>
  </si>
  <si>
    <t>IEEE International Conference on Future Internet of Things and Cloud Workshops (FiCloudW)</t>
  </si>
  <si>
    <t>Approximation Algorithms</t>
  </si>
  <si>
    <t>Multi-criteria Decision Making</t>
  </si>
  <si>
    <t>Multi-criteria Decision Making (Pareto Optimization)</t>
  </si>
  <si>
    <t>Multi-criteria Decision Making (TOPSIS)</t>
  </si>
  <si>
    <t>Multi-criteria Decision Making / Dynamic programming</t>
  </si>
  <si>
    <t>Dynamic Programming</t>
  </si>
  <si>
    <t>Dynamic Programming  / Graph theory</t>
  </si>
  <si>
    <t>Framework or Architecture</t>
  </si>
  <si>
    <t xml:space="preserve">Framework or Architecture </t>
  </si>
  <si>
    <t>Framework or Architecture / Mechanism Design (Auction)</t>
  </si>
  <si>
    <t>Framework or Architecture / Semantic Technology</t>
  </si>
  <si>
    <t>Graph theory / Semantic Technology</t>
  </si>
  <si>
    <t>Semantic Technology</t>
  </si>
  <si>
    <t xml:space="preserve">Semantic Technology / Framework or Architecture </t>
  </si>
  <si>
    <t>Semantic Technology / Framework or Architecture / Graph Theory</t>
  </si>
  <si>
    <t>Fuzzy Theory</t>
  </si>
  <si>
    <t>Multi-criteria Decision Making / Fuzzy Theory / Semantic Technology</t>
  </si>
  <si>
    <t>Constrained Optimization</t>
  </si>
  <si>
    <t>Constrained Optimization (ILP)</t>
  </si>
  <si>
    <t xml:space="preserve">Constrained Optimization (ILP) </t>
  </si>
  <si>
    <t>Constrained Optimization (ILP)  / Machine Learning</t>
  </si>
  <si>
    <t xml:space="preserve">Metaheuristic </t>
  </si>
  <si>
    <t>Approximation Algorithm</t>
  </si>
  <si>
    <t>Approximation Algorithm/ Dynamic Programming</t>
  </si>
  <si>
    <t>Approximation Algorithm / Dynamic Programming</t>
  </si>
  <si>
    <t>Multi-criteria Decision Making (AHP)</t>
  </si>
  <si>
    <t>Multi-criteria Decision Making (Influence Diagrams)</t>
  </si>
  <si>
    <t>Multi-criteria Decision Making (MAUT) / Graph Theory</t>
  </si>
  <si>
    <t>Multi-criteria Decision Making (AHP) / Fuzzy Theory</t>
  </si>
  <si>
    <t>Multi-criteria Decision Making / Fuzzy Theory</t>
  </si>
  <si>
    <t>Other (Formal Models)</t>
  </si>
  <si>
    <t>Framework or Architecture / Heuristic</t>
  </si>
  <si>
    <t>Framework or Architecture / Machine Learning (RL)</t>
  </si>
  <si>
    <t>Framework or Architecture / Constrained Optimization</t>
  </si>
  <si>
    <t>Fuzzy Theory / Heuristic</t>
  </si>
  <si>
    <t>Fuzzy Theory / Multi-criteria Decision Making</t>
  </si>
  <si>
    <t>Fuzzy Theory / Semantic Technology</t>
  </si>
  <si>
    <t>Fuzzy Theory / Approximation Algorithms</t>
  </si>
  <si>
    <t>Game Theory / Machine Learning</t>
  </si>
  <si>
    <t>Other (Hash-based)</t>
  </si>
  <si>
    <t>Machine Learning / Metaheuristic</t>
  </si>
  <si>
    <t>Machine Learning / Constrained Optimization (MILP)</t>
  </si>
  <si>
    <t>Machine Learning / Metaheuristic / Semantic Technology</t>
  </si>
  <si>
    <t>Other (Collaborative Filtering)</t>
  </si>
  <si>
    <t>Constrained Optimization (ILP) / Machine Learning</t>
  </si>
  <si>
    <t>Constrained Optimization (LP)</t>
  </si>
  <si>
    <t xml:space="preserve">Constrained Optimization (LP) / Metaheuristic </t>
  </si>
  <si>
    <t>Constrained Optimization (MILP)</t>
  </si>
  <si>
    <t>Constrained Optimization (MILP) / Metaheuristic</t>
  </si>
  <si>
    <t>Constrained Optimization (MIP)</t>
  </si>
  <si>
    <t xml:space="preserve">Constrained Optimization (MIP) </t>
  </si>
  <si>
    <t>Constrained Optimization (SLP)</t>
  </si>
  <si>
    <t>Constrained Optimization / Heuristic</t>
  </si>
  <si>
    <t>Mechanism Design (Auction) / Constrained Optimization</t>
  </si>
  <si>
    <t>Mechanism Design (Auction) / Constrained Optimization (ILP)</t>
  </si>
  <si>
    <t xml:space="preserve">Constrained Optimization </t>
  </si>
  <si>
    <t>Other (Modern Portfolio Theory)</t>
  </si>
  <si>
    <t xml:space="preserve">Mechanism Design </t>
  </si>
  <si>
    <t>Mechanism Design / Dynamic Programming</t>
  </si>
  <si>
    <t>Metaheuristic  / Multi-criteria Decision Making (AHP)</t>
  </si>
  <si>
    <t>Metaheuristic  / Graph Theory</t>
  </si>
  <si>
    <t>Metaheuristic  / Mechanism Design (Auction)</t>
  </si>
  <si>
    <t>Metaheuristic  / Framework or Architecture</t>
  </si>
  <si>
    <t>Metaheuristic  / Fuzzy Theory / Semantic Technology</t>
  </si>
  <si>
    <t>Metaheuristic  / Heuristic / Framework or Architecture</t>
  </si>
  <si>
    <t>Other (Formal Verification/p-calculus)</t>
  </si>
  <si>
    <t>Heuristic / Semantic Technology</t>
  </si>
  <si>
    <t>Other (Markov Decision Process)</t>
  </si>
  <si>
    <t>Metaheuristic / Machine Learning</t>
  </si>
  <si>
    <t>International Conference on Service Oriented Computing</t>
  </si>
  <si>
    <t>Resource Management-PS / Pricing / Composition / SLA Management</t>
  </si>
  <si>
    <t>Topic</t>
  </si>
  <si>
    <t>Count</t>
  </si>
  <si>
    <t>Percentage</t>
  </si>
  <si>
    <t>Client-Centric</t>
  </si>
  <si>
    <t>Provider-Centric</t>
  </si>
  <si>
    <t>Conferences</t>
  </si>
  <si>
    <t>Journals</t>
  </si>
  <si>
    <t xml:space="preserve">No Evaluation </t>
  </si>
  <si>
    <t>Aggregation / Arbitration</t>
  </si>
  <si>
    <t>Aggregation / Intermediation</t>
  </si>
  <si>
    <t>Intermediation / Arbitration</t>
  </si>
  <si>
    <t>Privacy preserving protocol for service Aggregation in cloud computing</t>
  </si>
  <si>
    <t>Hierarchical Aggregation of Service Level Agreements</t>
  </si>
  <si>
    <t>End-to-end QoS mapping and Aggregation for selecting cloud services</t>
  </si>
  <si>
    <t>A Framework for Controlling and Managing Intercloud Service Integration</t>
  </si>
  <si>
    <t xml:space="preserve">IaaS / SaaS </t>
  </si>
  <si>
    <t>Centralized / Distributed</t>
  </si>
  <si>
    <t>Resource Management (Client-Side)</t>
  </si>
  <si>
    <t>Resource Management (Privider-Side)</t>
  </si>
  <si>
    <t>Evaluation Type</t>
  </si>
  <si>
    <t>Technique</t>
  </si>
  <si>
    <t>Metaheuristic / Constrained Optimization</t>
  </si>
  <si>
    <t>Other</t>
  </si>
  <si>
    <t>NIST role</t>
  </si>
  <si>
    <t>Resource Mng. (CS)</t>
  </si>
  <si>
    <t>Resource Mag. (PS)</t>
  </si>
  <si>
    <t>Service Layer</t>
  </si>
  <si>
    <t>Control Topology</t>
  </si>
  <si>
    <t>Machine Learning (K-means) / Multi-criteria Decision Making</t>
  </si>
  <si>
    <t>Machine Learning (K-means)</t>
  </si>
  <si>
    <t>Machine Learning (Clustering)</t>
  </si>
  <si>
    <t>Machine Learning (Naïve Bayes Classifier)</t>
  </si>
  <si>
    <t>Machine Learning (Clustering) / Graph Theory</t>
  </si>
  <si>
    <t xml:space="preserve">Machine Learning (Classification) / Heuristic </t>
  </si>
  <si>
    <t xml:space="preserve">Machine Learning (K-means) / Metaheuristic </t>
  </si>
  <si>
    <t>Machine Learning (Clustering) / Semantic Technology</t>
  </si>
  <si>
    <t>Multi-criteria Decision Making (AHP) / Machine Learning (KNN)</t>
  </si>
  <si>
    <t>Broker Control Topology</t>
  </si>
  <si>
    <t xml:space="preserve">Machine Learning </t>
  </si>
  <si>
    <t>A Double Auction Mechanism to Bridge Users' Task Requirements and Providersâ€™ Resources in Two-Sided Cloud Markets</t>
  </si>
  <si>
    <t>A framework for SLA management in cloud computing for informed decision making</t>
  </si>
  <si>
    <t>A hybrid multi-criteria decision making algorithm for cloud service selection</t>
  </si>
  <si>
    <t>Decision making for cloud service selection: a novel and hybrid MCDM approach</t>
  </si>
  <si>
    <t>Utility-Based Decision Making for Migrating Cloud-Based Applications</t>
  </si>
  <si>
    <t xml:space="preserve">Semantic Technology </t>
  </si>
  <si>
    <t>Rajkumar Buyya</t>
  </si>
  <si>
    <t>Athman Bouguettaya</t>
  </si>
  <si>
    <t>Hai Dong</t>
  </si>
  <si>
    <t>Omer F. Rana</t>
  </si>
  <si>
    <t>Sajib Mistry</t>
  </si>
  <si>
    <t>Yuri Demchenko</t>
  </si>
  <si>
    <t>Zhen Ye</t>
  </si>
  <si>
    <t>Ioan Petri</t>
  </si>
  <si>
    <t>Nik Bessis</t>
  </si>
  <si>
    <t>Lei Wang</t>
  </si>
  <si>
    <t>Deo Prakash Vidyarthi</t>
  </si>
  <si>
    <t>Tao Shi</t>
  </si>
  <si>
    <t>Hui Ma</t>
  </si>
  <si>
    <t>Gang Chen</t>
  </si>
  <si>
    <t>Sven Hartmann</t>
  </si>
  <si>
    <t>Ruben S. Montero</t>
  </si>
  <si>
    <t>Rafael Moreno-Vozmediano</t>
  </si>
  <si>
    <t>Ignacio M. Llorente</t>
  </si>
  <si>
    <t>Jamal Bentahar</t>
  </si>
  <si>
    <t>Albert Y. Zomaya</t>
  </si>
  <si>
    <t>Panda Sanjaya Kumar</t>
  </si>
  <si>
    <t>Benay Kumar Ray</t>
  </si>
  <si>
    <t>Sarbani Roy</t>
  </si>
  <si>
    <t>Amir Masoud Rahmani</t>
  </si>
  <si>
    <t>Farookh Khadeer Hussain</t>
  </si>
  <si>
    <t>Jinjun Chen</t>
  </si>
  <si>
    <t>Wanchun Dou</t>
  </si>
  <si>
    <t>Rajiv Ranjan</t>
  </si>
  <si>
    <t>Ivona Brandic</t>
  </si>
  <si>
    <t>Atif Alamri</t>
  </si>
  <si>
    <t>Keqin Li</t>
  </si>
  <si>
    <t>Manish Parashar</t>
  </si>
  <si>
    <t>Prasad Calyam</t>
  </si>
  <si>
    <t>Salvatore Venticinque</t>
  </si>
  <si>
    <t>Luiz Fernando Bittencourt</t>
  </si>
  <si>
    <t>Xiaoyong Li</t>
  </si>
  <si>
    <t>Peng Li</t>
  </si>
  <si>
    <t>Wei Wang</t>
  </si>
  <si>
    <t>Rakesh Ranjan Kumar</t>
  </si>
  <si>
    <t>Hadi Otrok</t>
  </si>
  <si>
    <t>Xiaofang Zhou</t>
  </si>
  <si>
    <t>Avirup Saha</t>
  </si>
  <si>
    <t>Stelios Sotiriadis</t>
  </si>
  <si>
    <t>Nivethitha Somu</t>
  </si>
  <si>
    <t>Shankar Sriram V.S.</t>
  </si>
  <si>
    <t>Yan Wang</t>
  </si>
  <si>
    <t>Yuanjun Laili</t>
  </si>
  <si>
    <t>Omar Khadeer Hussain</t>
  </si>
  <si>
    <t>Erich Schikuta</t>
  </si>
  <si>
    <t>Rami Bahsoon</t>
  </si>
  <si>
    <t>Jianxun Liu</t>
  </si>
  <si>
    <t>Lin Zhang</t>
  </si>
  <si>
    <t>Jing Li</t>
  </si>
  <si>
    <t>Gaurav Baranwa</t>
  </si>
  <si>
    <t>Feng Li</t>
  </si>
  <si>
    <t>Cees de Laat</t>
  </si>
  <si>
    <t>Zhenyu Wen</t>
  </si>
  <si>
    <t>Alexander Romanovsky</t>
  </si>
  <si>
    <t>Yuhong Yan</t>
  </si>
  <si>
    <t>Shui Yu</t>
  </si>
  <si>
    <t>Eduardo Huedo</t>
  </si>
  <si>
    <t>Neeraj Kumar</t>
  </si>
  <si>
    <t>Tom Beach</t>
  </si>
  <si>
    <t>Sam Jabbehdari</t>
  </si>
  <si>
    <t>Ping Wang</t>
  </si>
  <si>
    <t>Mohammad Mehedi Hassan</t>
  </si>
  <si>
    <t>A. K. Qin</t>
  </si>
  <si>
    <t>Walid Gaaloul</t>
  </si>
  <si>
    <t>Yong Cui</t>
  </si>
  <si>
    <t>Suresh Purini</t>
  </si>
  <si>
    <t>Puduru V. Reddy</t>
  </si>
  <si>
    <t>Rafael Brundo Uriarte</t>
  </si>
  <si>
    <t>Sreekrishnan Venkateswaran</t>
  </si>
  <si>
    <t>Santonu Sarkar</t>
  </si>
  <si>
    <t>Felix Freitag</t>
  </si>
  <si>
    <t>Adel Nadjaran Toosi</t>
  </si>
  <si>
    <t>Azer Bestavros</t>
  </si>
  <si>
    <t>John P. Morrison</t>
  </si>
  <si>
    <t>Mengsong Zou</t>
  </si>
  <si>
    <t>Giuseppe Di Modica</t>
  </si>
  <si>
    <t>Orazio Tomarchio</t>
  </si>
  <si>
    <t>Lena Mashayekhy</t>
  </si>
  <si>
    <t>Daniel Grosu</t>
  </si>
  <si>
    <t>Chuan Wu</t>
  </si>
  <si>
    <t>Zongpeng Li</t>
  </si>
  <si>
    <t>Paul Watson</t>
  </si>
  <si>
    <t>Ao Zhou</t>
  </si>
  <si>
    <t>Gaurav Baranwal</t>
  </si>
  <si>
    <t>Ali Mir</t>
  </si>
  <si>
    <t>Bharadwaj Veeravalli</t>
  </si>
  <si>
    <t>Antonio Puliafito</t>
  </si>
  <si>
    <t>Usama Ahmed</t>
  </si>
  <si>
    <t>Huadong Ma</t>
  </si>
  <si>
    <t>Xiaolin Gui</t>
  </si>
  <si>
    <t>Sunirmal Khatua</t>
  </si>
  <si>
    <t>Eui-Nam Huh</t>
  </si>
  <si>
    <t>Azzam Mourad</t>
  </si>
  <si>
    <t>Omar Abdel Wahab</t>
  </si>
  <si>
    <t>Dana Petcu</t>
  </si>
  <si>
    <t>Franck Chauvel</t>
  </si>
  <si>
    <t>Hui Song</t>
  </si>
  <si>
    <t>Fei Tao</t>
  </si>
  <si>
    <t>Erik Elmroth</t>
  </si>
  <si>
    <t>Rodrigo Neves Calheiros</t>
  </si>
  <si>
    <t>Zhaohui Wu</t>
  </si>
  <si>
    <t>Theodora Varvarigou</t>
  </si>
  <si>
    <t>Li Liu</t>
  </si>
  <si>
    <t>Jian Cao</t>
  </si>
  <si>
    <t>Nima Jafari Navimipour</t>
  </si>
  <si>
    <t>Le Sun</t>
  </si>
  <si>
    <t>Xuyun Zhang</t>
  </si>
  <si>
    <t>Lie Qu</t>
  </si>
  <si>
    <t>Mehmet A. Orgun</t>
  </si>
  <si>
    <t>Huan Liu</t>
  </si>
  <si>
    <t>Haiying Shen</t>
  </si>
  <si>
    <t>Zahir Tari</t>
  </si>
  <si>
    <t>Patrick Martin</t>
  </si>
  <si>
    <t>Hela Malouche</t>
  </si>
  <si>
    <t>Youssef Ben Halima</t>
  </si>
  <si>
    <t>Henda Ben Ghezala</t>
  </si>
  <si>
    <t>Jagpreet Sidhu</t>
  </si>
  <si>
    <t>Sarbjeet Singh</t>
  </si>
  <si>
    <t>Antonio Celesti</t>
  </si>
  <si>
    <t>Massimo Villari</t>
  </si>
  <si>
    <t>Christophe Blanchet</t>
  </si>
  <si>
    <t>Jose Ignacio Aznar Baranda</t>
  </si>
  <si>
    <t>Thomas Magedanz</t>
  </si>
  <si>
    <t>Raül Sirvent</t>
  </si>
  <si>
    <t>Rosa M. Badia</t>
  </si>
  <si>
    <t>Jian Yu</t>
  </si>
  <si>
    <t>Song Guo</t>
  </si>
  <si>
    <t>Gagangeet Singh Aujla</t>
  </si>
  <si>
    <t>Josef Spillner</t>
  </si>
  <si>
    <t>Alexander Schill</t>
  </si>
  <si>
    <t>Amol Jaikar</t>
  </si>
  <si>
    <t>Seo-Young Noh</t>
  </si>
  <si>
    <t>Hamid Haj Seyyed Javadi</t>
  </si>
  <si>
    <t>Amir Vahid Dastjerdi</t>
  </si>
  <si>
    <t>Florin Pop</t>
  </si>
  <si>
    <t>Valentin Cristea</t>
  </si>
  <si>
    <t>Dusit Niyato</t>
  </si>
  <si>
    <t>Hongbing Wang</t>
  </si>
  <si>
    <t>Makhlouf Hadji</t>
  </si>
  <si>
    <t>Djamal Zeghlache</t>
  </si>
  <si>
    <t>Shangguang Wang</t>
  </si>
  <si>
    <t>Thar Baker</t>
  </si>
  <si>
    <t>Bandar Aldawsari</t>
  </si>
  <si>
    <t>Muhammad Asim</t>
  </si>
  <si>
    <t>Hissam Tawfik</t>
  </si>
  <si>
    <t>Yifei Zhu</t>
  </si>
  <si>
    <t>Jiangchuan Liu</t>
  </si>
  <si>
    <t>Gang Sun</t>
  </si>
  <si>
    <t>Ali Movaghar</t>
  </si>
  <si>
    <t>George Darzanos</t>
  </si>
  <si>
    <t>Iordanis Koutsopoulos</t>
  </si>
  <si>
    <t>George D. Stamoulis</t>
  </si>
  <si>
    <t>Yash Khandelwal</t>
  </si>
  <si>
    <t>Trupti Joshi</t>
  </si>
  <si>
    <t>Stephen S. Yau</t>
  </si>
  <si>
    <t>Marcio Roberto Miranda Assis</t>
  </si>
  <si>
    <t>Richard O. Sinnott</t>
  </si>
  <si>
    <t>Péter Kacsuk</t>
  </si>
  <si>
    <t>Di Niu</t>
  </si>
  <si>
    <t>Ben Liang</t>
  </si>
  <si>
    <t>Baochun Li</t>
  </si>
  <si>
    <t>Kui Wu</t>
  </si>
  <si>
    <t>Gaetano F. Anastasi</t>
  </si>
  <si>
    <t>Emanuele Carlini</t>
  </si>
  <si>
    <t>Massimo Coppola</t>
  </si>
  <si>
    <t>Patrizio Dazzi</t>
  </si>
  <si>
    <t>Christine Bassem</t>
  </si>
  <si>
    <t>Seungmin Kang</t>
  </si>
  <si>
    <t>Khin Mi Mi Aung</t>
  </si>
  <si>
    <t>Richard McClatchey</t>
  </si>
  <si>
    <t>Sourav Kanti Addya</t>
  </si>
  <si>
    <t>Anurag Satpathy</t>
  </si>
  <si>
    <t>Sandip Chakraborty</t>
  </si>
  <si>
    <t>Soumya K Ghosh</t>
  </si>
  <si>
    <t>Hong-Linh Truong</t>
  </si>
  <si>
    <t>Schahram Dustdar</t>
  </si>
  <si>
    <t>Javier Diaz-Montes</t>
  </si>
  <si>
    <t>Jose Luis Lucas-Simarro</t>
  </si>
  <si>
    <t>Mark M. Nejad</t>
  </si>
  <si>
    <t>Giada Landi</t>
  </si>
  <si>
    <t>Surya Nepal</t>
  </si>
  <si>
    <t>Alfonso Quarati</t>
  </si>
  <si>
    <t>Andrea Clematis</t>
  </si>
  <si>
    <t>Daniele D’Agostino</t>
  </si>
  <si>
    <t>Thamarai Selvi Somasundaram</t>
  </si>
  <si>
    <t>Kannan Govindarajan</t>
  </si>
  <si>
    <t>Jun Zeng</t>
  </si>
  <si>
    <t>Zhenhua Li</t>
  </si>
  <si>
    <t>Michele Ciavotta</t>
  </si>
  <si>
    <t>Danilo Ardagna</t>
  </si>
  <si>
    <t>Chiranjeev Kumar</t>
  </si>
  <si>
    <t>Haithem Mezni</t>
  </si>
  <si>
    <t>Geyong Min</t>
  </si>
  <si>
    <t>Qutaibah M. Malluhi</t>
  </si>
  <si>
    <t>Ying Chen</t>
  </si>
  <si>
    <t>Ahmad Hammoud</t>
  </si>
  <si>
    <t>Sameer Singh Chauhan</t>
  </si>
  <si>
    <t>Emmanuel S. Pilli</t>
  </si>
  <si>
    <t>R. C. Joshi</t>
  </si>
  <si>
    <t>Babar Nazir</t>
  </si>
  <si>
    <t>Johan Tordsson</t>
  </si>
  <si>
    <t>Abdulsalam Yassine</t>
  </si>
  <si>
    <t>Shervin Shirmohammadi</t>
  </si>
  <si>
    <t>Ali Asghar Nazari Shirehjini</t>
  </si>
  <si>
    <t>Mohammad Aazam</t>
  </si>
  <si>
    <t>Kannan Kirthivasan</t>
  </si>
  <si>
    <t>Abid Hussain</t>
  </si>
  <si>
    <t>Jin Chun</t>
  </si>
  <si>
    <t>Maria Khan</t>
  </si>
  <si>
    <t>Ronny Bazan Antequera</t>
  </si>
  <si>
    <t>Matteo Biancanie</t>
  </si>
  <si>
    <t>A. Kertesz</t>
  </si>
  <si>
    <t>G. Kecskemeti</t>
  </si>
  <si>
    <t>Emiliano Casalicchio</t>
  </si>
  <si>
    <t>Victor Ion Munteanu</t>
  </si>
  <si>
    <t>Calin Sandru</t>
  </si>
  <si>
    <t>Nicolas Ferry</t>
  </si>
  <si>
    <t>Alba Amato</t>
  </si>
  <si>
    <t>Raed Karim</t>
  </si>
  <si>
    <t>Chen Ding</t>
  </si>
  <si>
    <t>Ali Miri</t>
  </si>
  <si>
    <t>Min Gao</t>
  </si>
  <si>
    <t>Wiem Abderrahim</t>
  </si>
  <si>
    <t>Zied Choukair</t>
  </si>
  <si>
    <t>Ying Yu</t>
  </si>
  <si>
    <t>Christian Vecchiola</t>
  </si>
  <si>
    <t>Wenbin Yao</t>
  </si>
  <si>
    <t>Prasanta K. Jana</t>
  </si>
  <si>
    <t>Mostafa Ghobaei-Arani</t>
  </si>
  <si>
    <t>Wei Dai</t>
  </si>
  <si>
    <t>Francisco Hernández-Rodriguez</t>
  </si>
  <si>
    <t>Karim Djemame</t>
  </si>
  <si>
    <t>Kleopatra Konstanteli</t>
  </si>
  <si>
    <t>Dandan Wang</t>
  </si>
  <si>
    <t>Yang Yang</t>
  </si>
  <si>
    <t>Zhenqiang Mi</t>
  </si>
  <si>
    <t>Xiaogang Wang</t>
  </si>
  <si>
    <t>Yang Xiang</t>
  </si>
  <si>
    <t>Chandrashekar Jatoth</t>
  </si>
  <si>
    <t>G.R. Gangadharan</t>
  </si>
  <si>
    <t>Biao Song</t>
  </si>
  <si>
    <t>Abdu Gumaei</t>
  </si>
  <si>
    <t>Samee U. Khan</t>
  </si>
  <si>
    <t>Imran Raza</t>
  </si>
  <si>
    <t>Syed Asad Hussain</t>
  </si>
  <si>
    <t>Faisal Alrebeish</t>
  </si>
  <si>
    <t>Mingdong Tang</t>
  </si>
  <si>
    <t>Javid Taheri</t>
  </si>
  <si>
    <t>Qiang He</t>
  </si>
  <si>
    <t>Qi Yu</t>
  </si>
  <si>
    <t>Beniamino Di Martino</t>
  </si>
  <si>
    <t>Irfan Ul Haq</t>
  </si>
  <si>
    <t>Jun Yan</t>
  </si>
  <si>
    <t>Lianyong Qi</t>
  </si>
  <si>
    <t>José F. Martínez</t>
  </si>
  <si>
    <t>Ling Liu</t>
  </si>
  <si>
    <t>Dan Lin</t>
  </si>
  <si>
    <t>Smitha Sundareswaran</t>
  </si>
  <si>
    <t>Alireza Souri</t>
  </si>
  <si>
    <t>Xiaoping Li</t>
  </si>
  <si>
    <t>Guoxin Liu</t>
  </si>
  <si>
    <t>Miao Zhang</t>
  </si>
  <si>
    <t>Hua Ma</t>
  </si>
  <si>
    <t>Haibin Zhu</t>
  </si>
  <si>
    <t>Fei Wang</t>
  </si>
  <si>
    <t>Luca Spalazzi</t>
  </si>
  <si>
    <t>Gilberto Taccari</t>
  </si>
  <si>
    <t>Mathias Slawik</t>
  </si>
  <si>
    <t>Lizhe Wang</t>
  </si>
  <si>
    <t>Alistair Barros</t>
  </si>
  <si>
    <t>Ciprian Craciun</t>
  </si>
  <si>
    <t>Debdeep Paul</t>
  </si>
  <si>
    <t>Wen-De Zhong</t>
  </si>
  <si>
    <t>Sanjay K. Bose</t>
  </si>
  <si>
    <t>Kannan Krithivasan</t>
  </si>
  <si>
    <t>Binita Kumari</t>
  </si>
  <si>
    <t>Hassina Nacer</t>
  </si>
  <si>
    <t>Wenjuan Li</t>
  </si>
  <si>
    <t>Célia Ghedini Ralha</t>
  </si>
  <si>
    <t>Ashiq Anjum</t>
  </si>
  <si>
    <t>José A.B. Fortes</t>
  </si>
  <si>
    <t>Atakan Aral</t>
  </si>
  <si>
    <t>Lin Li</t>
  </si>
  <si>
    <t>Moustafa Najm</t>
  </si>
  <si>
    <t>Venkatesh Tamarapalli</t>
  </si>
  <si>
    <t>Fu Hou</t>
  </si>
  <si>
    <t>Xinjun Mao</t>
  </si>
  <si>
    <t>Yongkui Liu</t>
  </si>
  <si>
    <t>FRANK LEYMANN</t>
  </si>
  <si>
    <t>Quoc Bao Vo</t>
  </si>
  <si>
    <t>Ryszard Kowalczyk</t>
  </si>
  <si>
    <t>Xin Wang</t>
  </si>
  <si>
    <t>Mattijs Ghijsen</t>
  </si>
  <si>
    <t>Xiaodong Liu</t>
  </si>
  <si>
    <t>Saha Munmun</t>
  </si>
  <si>
    <t>Panigrahi Suvasini</t>
  </si>
  <si>
    <t>Francisco Brasileiro</t>
  </si>
  <si>
    <t>Khalid Elgazzar</t>
  </si>
  <si>
    <t>Vincent C. Emeakaroha</t>
  </si>
  <si>
    <t>Maria Fazio</t>
  </si>
  <si>
    <t>Mohamed Bedri</t>
  </si>
  <si>
    <t>Jean-Francois Gibrat</t>
  </si>
  <si>
    <t>Long Wang</t>
  </si>
  <si>
    <t>Charles Loomis</t>
  </si>
  <si>
    <t>Ilke Zilci</t>
  </si>
  <si>
    <t>Oleg Lodygensky</t>
  </si>
  <si>
    <t>Maurice Gagnaire</t>
  </si>
  <si>
    <t>Yahya Al-Hazmi</t>
  </si>
  <si>
    <t>Konrad Campowsky</t>
  </si>
  <si>
    <t>Dieter Schuller</t>
  </si>
  <si>
    <t>Ralf Steinmetz</t>
  </si>
  <si>
    <t>Pascal Bouvry</t>
  </si>
  <si>
    <t>Lizhen Cui</t>
  </si>
  <si>
    <t>Prashant Khanna</t>
  </si>
  <si>
    <t>Sonal Jain</t>
  </si>
  <si>
    <t>Tao Lin</t>
  </si>
  <si>
    <t>Renyu Yang</t>
  </si>
  <si>
    <t>Shouling Ji</t>
  </si>
  <si>
    <t>Changting Lin</t>
  </si>
  <si>
    <t>Jie Xu</t>
  </si>
  <si>
    <t>Sabrina De Capitani di Vimercati</t>
  </si>
  <si>
    <t>Sara Foresti</t>
  </si>
  <si>
    <t>Giovanni Livraga</t>
  </si>
  <si>
    <t>Vincenzo Piuri</t>
  </si>
  <si>
    <t>Pierangela Samarati</t>
  </si>
  <si>
    <t>Daniel Balouek-Thomert</t>
  </si>
  <si>
    <t>Eddy Caron</t>
  </si>
  <si>
    <t>Pascal Gallard</t>
  </si>
  <si>
    <t>Laurent Lefèvre</t>
  </si>
  <si>
    <t>Jorge Ejarque</t>
  </si>
  <si>
    <t>Javier Álvarez</t>
  </si>
  <si>
    <t>Henar Muñoz</t>
  </si>
  <si>
    <t>Mingwei Zhang</t>
  </si>
  <si>
    <t>Chengfei Liu</t>
  </si>
  <si>
    <t>Zhiliang Zhu</t>
  </si>
  <si>
    <t>Bin Zhang</t>
  </si>
  <si>
    <t>Foued Jrad</t>
  </si>
  <si>
    <t>Jie Tao</t>
  </si>
  <si>
    <t>Achim Streit</t>
  </si>
  <si>
    <t>Karn Yongsiriwit</t>
  </si>
  <si>
    <t>NourAssy</t>
  </si>
  <si>
    <t>WalidGaaloul</t>
  </si>
  <si>
    <t>Jun Huang</t>
  </si>
  <si>
    <t>Qiang Duan</t>
  </si>
  <si>
    <t>Souad Hadjres</t>
  </si>
  <si>
    <t>Nadjia Kara</t>
  </si>
  <si>
    <t>May El Barachi</t>
  </si>
  <si>
    <t>Fatna Belqasmi</t>
  </si>
  <si>
    <t>Jianmin Li</t>
  </si>
  <si>
    <t>Ying Zhong</t>
  </si>
  <si>
    <t>Shunzhi Zhu</t>
  </si>
  <si>
    <t>Yongsheng Hao</t>
  </si>
  <si>
    <t>Rajat Chaudhary</t>
  </si>
  <si>
    <t>Joel J.P.C. Rodrigues</t>
  </si>
  <si>
    <t>Johannes Müller</t>
  </si>
  <si>
    <t>Dada Huang</t>
  </si>
  <si>
    <t>Gyeong-Ryoon Kim</t>
  </si>
  <si>
    <t>Manuel Diaz-Granados</t>
  </si>
  <si>
    <t>Shu Tao</t>
  </si>
  <si>
    <t>Pengwei Wang</t>
  </si>
  <si>
    <t>Zhen Chen</t>
  </si>
  <si>
    <t>MengChu Zhou</t>
  </si>
  <si>
    <t>Zhaohui Zhang</t>
  </si>
  <si>
    <t>Abdullah Abusorrah</t>
  </si>
  <si>
    <t>Ahmed Chiheb Ammari</t>
  </si>
  <si>
    <t>Radu Prodan</t>
  </si>
  <si>
    <t>Marek Wieczorek</t>
  </si>
  <si>
    <t>Hamid Mohammadi Fard</t>
  </si>
  <si>
    <t>Ciprian Dobre</t>
  </si>
  <si>
    <t>Fatos Xhafa</t>
  </si>
  <si>
    <t>Leonard Barolli</t>
  </si>
  <si>
    <t>Paolo Bonacquisto</t>
  </si>
  <si>
    <t>Giuseppe Petralia</t>
  </si>
  <si>
    <t>Chonho Lee</t>
  </si>
  <si>
    <t>Rajkumar Rajavel</t>
  </si>
  <si>
    <t>Mala Thangarathinam</t>
  </si>
  <si>
    <t>Ranesh Kumar Naha</t>
  </si>
  <si>
    <t>Mohamed Othman</t>
  </si>
  <si>
    <t>Zuling Kang</t>
  </si>
  <si>
    <t>Mohammad Abdullah-Al-Wadud</t>
  </si>
  <si>
    <t>Ahmad Almogren</t>
  </si>
  <si>
    <t>SK Md. Mizanur Rahman</t>
  </si>
  <si>
    <t>Abdulhameed Alelaiwi</t>
  </si>
  <si>
    <t>Md. Abdul Hamid</t>
  </si>
  <si>
    <t>Hongxing Li</t>
  </si>
  <si>
    <t>Francis C. M. Lau</t>
  </si>
  <si>
    <t>Xi Vincent Wang</t>
  </si>
  <si>
    <t>Lihui Wang</t>
  </si>
  <si>
    <t>Weijie Shi</t>
  </si>
  <si>
    <t>Fangchun Yang</t>
  </si>
  <si>
    <t>Rong N. Chang</t>
  </si>
  <si>
    <t>Zakaria Maamar</t>
  </si>
  <si>
    <t>Mina Emami Khansari</t>
  </si>
  <si>
    <t>Saeed Sharifian</t>
  </si>
  <si>
    <t>Seyed Ahmad Motamedi</t>
  </si>
  <si>
    <t>Carlos Guerrero</t>
  </si>
  <si>
    <t>Isaac Lera</t>
  </si>
  <si>
    <t>Carlos Juiz</t>
  </si>
  <si>
    <t>Molka Rekik</t>
  </si>
  <si>
    <t>Khouloud Boukadi</t>
  </si>
  <si>
    <t>Nour Assy</t>
  </si>
  <si>
    <t>Hanene Ben-Abdallah</t>
  </si>
  <si>
    <t>Li Lu</t>
  </si>
  <si>
    <t>Jiadi Yu</t>
  </si>
  <si>
    <t>Yanmin Zhu</t>
  </si>
  <si>
    <t>Minglu Li</t>
  </si>
  <si>
    <t>Silvery D. Fu</t>
  </si>
  <si>
    <t>Seyedeh Aso Tafsiri</t>
  </si>
  <si>
    <t>Saleh Yousefi</t>
  </si>
  <si>
    <t>Dinesh Kumar</t>
  </si>
  <si>
    <t>Zahid Raza</t>
  </si>
  <si>
    <t>Chunxiao Jiang</t>
  </si>
  <si>
    <t>Yan Chen</t>
  </si>
  <si>
    <t>Qi Wang</t>
  </si>
  <si>
    <t>K. J. Ray Liu</t>
  </si>
  <si>
    <t>Dan Liao</t>
  </si>
  <si>
    <t>Dongcheng Zhao</t>
  </si>
  <si>
    <t>Zhili Sun</t>
  </si>
  <si>
    <t>Victor Chang</t>
  </si>
  <si>
    <t>Lav Gupta</t>
  </si>
  <si>
    <t>Raj Jain</t>
  </si>
  <si>
    <t>Aiman Erbad</t>
  </si>
  <si>
    <t>Deval Bhamare</t>
  </si>
  <si>
    <t>Moslem Habibi</t>
  </si>
  <si>
    <t>MohammadAmin Fazli</t>
  </si>
  <si>
    <t>Guanglei Li</t>
  </si>
  <si>
    <t>Huachun Zhou</t>
  </si>
  <si>
    <t>Bohao Feng</t>
  </si>
  <si>
    <t>Yuming Zhang</t>
  </si>
  <si>
    <t>Neda Khorasani</t>
  </si>
  <si>
    <t>Saeid Abrishami</t>
  </si>
  <si>
    <t>Mehdi Feizi</t>
  </si>
  <si>
    <t>Mahdi Abolfazli Esfahani</t>
  </si>
  <si>
    <t>Faeze Ramezani</t>
  </si>
  <si>
    <t>Minhaj Ahmad Khan</t>
  </si>
  <si>
    <t>Weihua Zhuang</t>
  </si>
  <si>
    <t>S. M. Reza Dibaj</t>
  </si>
  <si>
    <t>SeyedAkbar Mostafavi</t>
  </si>
  <si>
    <t>Arushi Dogra</t>
  </si>
  <si>
    <t>Karthik Ganti</t>
  </si>
  <si>
    <t>Jianxi Yang</t>
  </si>
  <si>
    <t>Bo Zhang</t>
  </si>
  <si>
    <t>Zeng Zeng</t>
  </si>
  <si>
    <t>Xiupeng Shi</t>
  </si>
  <si>
    <t>Ritu Singhal</t>
  </si>
  <si>
    <t>Archana Singhal</t>
  </si>
  <si>
    <t>Seyyedali Hosseinalipour</t>
  </si>
  <si>
    <t>Huaiyu Dai</t>
  </si>
  <si>
    <t>Jinlai Xu</t>
  </si>
  <si>
    <t>Balaji Palanisamy</t>
  </si>
  <si>
    <t>K Kalyana Chakravarthi</t>
  </si>
  <si>
    <t>P Neelakantan</t>
  </si>
  <si>
    <t>L Shyamala</t>
  </si>
  <si>
    <t>V Vaidehi</t>
  </si>
  <si>
    <t>Xiaoyong Tang</t>
  </si>
  <si>
    <t>Mohammad Hossein Ghasemian Koochaksaraei</t>
  </si>
  <si>
    <t>Abolfazl Toroghi Haghighat</t>
  </si>
  <si>
    <t>Mohammad Hossein Rezvani</t>
  </si>
  <si>
    <t>A. Pandey</t>
  </si>
  <si>
    <t>Z. Lyu</t>
  </si>
  <si>
    <t>S. Wang</t>
  </si>
  <si>
    <t>D. Chemodanov</t>
  </si>
  <si>
    <t>Rawaa Qasha</t>
  </si>
  <si>
    <t>Zequn Li</t>
  </si>
  <si>
    <t>Xiao Ma</t>
  </si>
  <si>
    <t>Antonio Cuomo</t>
  </si>
  <si>
    <t>Salvatore Distefano</t>
  </si>
  <si>
    <t>Massimiliano Rak</t>
  </si>
  <si>
    <t>Umberto Villano</t>
  </si>
  <si>
    <t>André Monteiro</t>
  </si>
  <si>
    <t>Cláudio Teixeira</t>
  </si>
  <si>
    <t>Joaquim Sousa Pinto</t>
  </si>
  <si>
    <t>Leonardo R. Rodrigues</t>
  </si>
  <si>
    <t>Euclides Cardoso</t>
  </si>
  <si>
    <t>Omir C. Alves</t>
  </si>
  <si>
    <t>Fernando F. Redígolo</t>
  </si>
  <si>
    <t>Maurício A. Pillon</t>
  </si>
  <si>
    <t>Charles C. Miers</t>
  </si>
  <si>
    <t>Guilherme P. Koslovski</t>
  </si>
  <si>
    <t>Asma Al-Saidi</t>
  </si>
  <si>
    <t>Jordi Jofre</t>
  </si>
  <si>
    <t>Celia Velayos</t>
  </si>
  <si>
    <t>Alastair C. Hume</t>
  </si>
  <si>
    <t>Gareth Francis</t>
  </si>
  <si>
    <t>Albert Vico Oton</t>
  </si>
  <si>
    <t>Rocco De Nicola</t>
  </si>
  <si>
    <t>Vincenzo Scoca</t>
  </si>
  <si>
    <t>Francesco Tiezzi</t>
  </si>
  <si>
    <t>Peter Wright</t>
  </si>
  <si>
    <t>Yih Leong Sun</t>
  </si>
  <si>
    <t>Terence Harmer</t>
  </si>
  <si>
    <t>Anthony Keenan</t>
  </si>
  <si>
    <t>Alan Stewart</t>
  </si>
  <si>
    <t>Ronald Perrott</t>
  </si>
  <si>
    <t>Feng Zhou</t>
  </si>
  <si>
    <t>Carsten Friedrich</t>
  </si>
  <si>
    <t>Catherine Wise</t>
  </si>
  <si>
    <t>Shiping Chen</t>
  </si>
  <si>
    <t>Sehrish Kanwal</t>
  </si>
  <si>
    <t>Jinhui Yao</t>
  </si>
  <si>
    <t>Andrew Lonie</t>
  </si>
  <si>
    <t>Demetris Trihinas</t>
  </si>
  <si>
    <t>George Pallis</t>
  </si>
  <si>
    <t>Marios D. Dikaiakos</t>
  </si>
  <si>
    <t>József Kovács</t>
  </si>
  <si>
    <t>Somayeh Mohammadi</t>
  </si>
  <si>
    <t>Latif PourKarimi</t>
  </si>
  <si>
    <t>Hossein Pedram</t>
  </si>
  <si>
    <t>E. Filiopoulou</t>
  </si>
  <si>
    <t>P. Mitropoulou</t>
  </si>
  <si>
    <t>N. Lionis</t>
  </si>
  <si>
    <t>C. Michalakelis</t>
  </si>
  <si>
    <t>Bijan Pourghorbani Dinachali</t>
  </si>
  <si>
    <t>R. Jeyarani</t>
  </si>
  <si>
    <t>Antonella Galizia</t>
  </si>
  <si>
    <t>Usha Kiruthika</t>
  </si>
  <si>
    <t>Nancy Samaan</t>
  </si>
  <si>
    <t>Amin M. Khan</t>
  </si>
  <si>
    <t>Sunil Kothari</t>
  </si>
  <si>
    <t>Thomas Peck</t>
  </si>
  <si>
    <t>Francisco Oblea</t>
  </si>
  <si>
    <t>Anabelle Eseo Votaw</t>
  </si>
  <si>
    <t>Gary Dispoto</t>
  </si>
  <si>
    <t>Rafaelli de C. Coutinho</t>
  </si>
  <si>
    <t>Lúcia M.A. Drummond</t>
  </si>
  <si>
    <t>Yuri Frota</t>
  </si>
  <si>
    <t>Daniel de Oliveira</t>
  </si>
  <si>
    <t>Quanlu Zhang</t>
  </si>
  <si>
    <t>Shenglong Li</t>
  </si>
  <si>
    <t>Yuanjian Xing</t>
  </si>
  <si>
    <t>Zhi Yang</t>
  </si>
  <si>
    <t>Yafei Dai</t>
  </si>
  <si>
    <t>Kurt Vanmechelen</t>
  </si>
  <si>
    <t>Farzad Khodadadi</t>
  </si>
  <si>
    <t>Rui Zhang</t>
  </si>
  <si>
    <t>Minming Li</t>
  </si>
  <si>
    <t>Jianping Wang</t>
  </si>
  <si>
    <t>Rajat Mehrotra</t>
  </si>
  <si>
    <t>Srishti Srivastava</t>
  </si>
  <si>
    <t>Ioana Banicescu</t>
  </si>
  <si>
    <t>Sherif Abdelwahed</t>
  </si>
  <si>
    <t>Mingzhong Wang</t>
  </si>
  <si>
    <t>Liehuang Zhu</t>
  </si>
  <si>
    <t>Zijian Zhang</t>
  </si>
  <si>
    <t>Cuong T. Do</t>
  </si>
  <si>
    <t>Nguyen H. Tran</t>
  </si>
  <si>
    <t>Choong Seon Hong</t>
  </si>
  <si>
    <t>Z. Han</t>
  </si>
  <si>
    <t>Chonglin Gu</t>
  </si>
  <si>
    <t>Shi Chen</t>
  </si>
  <si>
    <t>Jiangtao Zhang</t>
  </si>
  <si>
    <t>Hejiao Huang</t>
  </si>
  <si>
    <t>Xiaohua Jia</t>
  </si>
  <si>
    <t>Martin Bobák</t>
  </si>
  <si>
    <t>Ladislav Hluchý</t>
  </si>
  <si>
    <t>Viet Tran</t>
  </si>
  <si>
    <t>José Luis Díaz</t>
  </si>
  <si>
    <t>Joaquín Entrialgo</t>
  </si>
  <si>
    <t>Manuel García</t>
  </si>
  <si>
    <t>Javier García</t>
  </si>
  <si>
    <t>Daniel Fernando García</t>
  </si>
  <si>
    <t>Étienne Michon</t>
  </si>
  <si>
    <t>Julien Gossa</t>
  </si>
  <si>
    <t>Stéphane Genaud</t>
  </si>
  <si>
    <t>Léo Unbekandt</t>
  </si>
  <si>
    <t>Vincent Kherbache</t>
  </si>
  <si>
    <t>Giovanni Paolo Gibilisco</t>
  </si>
  <si>
    <t>Xu Lijun</t>
  </si>
  <si>
    <t>Li Chunlin</t>
  </si>
  <si>
    <t>A.J. Rubio-Montero</t>
  </si>
  <si>
    <t>R. Mayo-García</t>
  </si>
  <si>
    <t>Leonard Heilig</t>
  </si>
  <si>
    <t>Stefan Voß</t>
  </si>
  <si>
    <t>Siba Mishra</t>
  </si>
  <si>
    <t>Tahereh Nodehi</t>
  </si>
  <si>
    <t>Ricardo Jardim-Goncalves</t>
  </si>
  <si>
    <t>Aneesh Zutshi</t>
  </si>
  <si>
    <t>Antonio Grilo</t>
  </si>
  <si>
    <t>Gabriel González Castañé</t>
  </si>
  <si>
    <t>Huanhuan Xiong</t>
  </si>
  <si>
    <t>Dapeng Dong</t>
  </si>
  <si>
    <t>Sahil Kansal</t>
  </si>
  <si>
    <t>Harish Kumar</t>
  </si>
  <si>
    <t>Sakshi Kaushal</t>
  </si>
  <si>
    <t>Arun Kumar Sangaiah</t>
  </si>
  <si>
    <t>Taher Abdeljaoued</t>
  </si>
  <si>
    <t>Ayoub Alsarhan</t>
  </si>
  <si>
    <t>Awni Itradat</t>
  </si>
  <si>
    <t>Ahmed Y. Al-Dubai</t>
  </si>
  <si>
    <t>Gongzhuang Peng</t>
  </si>
  <si>
    <t>Hongwei Wang</t>
  </si>
  <si>
    <t>Jietao Dong</t>
  </si>
  <si>
    <t>Heming Zhang</t>
  </si>
  <si>
    <t>G. Vinu Prasad</t>
  </si>
  <si>
    <t>Abhinandan S. Prasad</t>
  </si>
  <si>
    <t>Shrisha Rao</t>
  </si>
  <si>
    <t>Izzet F. Senturk</t>
  </si>
  <si>
    <t>P. Balakrishnan</t>
  </si>
  <si>
    <t>Anas Abu-Doleh</t>
  </si>
  <si>
    <t>Kamer Kaya</t>
  </si>
  <si>
    <t>Ümit V. Çatalyürek</t>
  </si>
  <si>
    <t>Syeda ZarAfshan Goher</t>
  </si>
  <si>
    <t>Peter Bloodsworth</t>
  </si>
  <si>
    <t>Raihan Ur Rasool</t>
  </si>
  <si>
    <t>C. Thirumalaiselvan</t>
  </si>
  <si>
    <t>V. Venkatachalam</t>
  </si>
  <si>
    <t>Ahmad M. Manasrah</t>
  </si>
  <si>
    <t>Ala’a Aldomi</t>
  </si>
  <si>
    <t>B. B. Gupta</t>
  </si>
  <si>
    <t>R. Valarmathi</t>
  </si>
  <si>
    <t>T. Sheela</t>
  </si>
  <si>
    <t>Wenying Yue</t>
  </si>
  <si>
    <t>Peng Du</t>
  </si>
  <si>
    <t>Xiongwen Quan</t>
  </si>
  <si>
    <t>Kyle M. Tarplee</t>
  </si>
  <si>
    <t>Anthony A. Maciejewski</t>
  </si>
  <si>
    <t>Howard Jay Siegel</t>
  </si>
  <si>
    <t>Thiago Augusto Lopes Genez</t>
  </si>
  <si>
    <t>Nelson Luis Saldanha da Fonseca</t>
  </si>
  <si>
    <t>Edmundo Roberto Mauro Madeira</t>
  </si>
  <si>
    <t>Cristiana Amza</t>
  </si>
  <si>
    <t>Maria Carla Calzarossa</t>
  </si>
  <si>
    <t>Marco L. Della Vedova</t>
  </si>
  <si>
    <t>Daniele Tessera</t>
  </si>
  <si>
    <t>Subhasis Thakur</t>
  </si>
  <si>
    <t>John G. Breslin</t>
  </si>
  <si>
    <t>Neeraj Kumar Sharma</t>
  </si>
  <si>
    <t>G. Ram Mohana Reddy</t>
  </si>
  <si>
    <t>Kuljeet Kaur</t>
  </si>
  <si>
    <t>Sahil Garg</t>
  </si>
  <si>
    <t>Mutaz Al-Tarawneh</t>
  </si>
  <si>
    <t>Amjed Al-Mousa</t>
  </si>
  <si>
    <t>Amrita Jyoti</t>
  </si>
  <si>
    <t xml:space="preserve">Manish Shrimali </t>
  </si>
  <si>
    <t>Amany M. Mohamed</t>
  </si>
  <si>
    <t>Hisham M. Abdelsalam</t>
  </si>
  <si>
    <t>Ghulam Abbas</t>
  </si>
  <si>
    <t>Amjad Mehmood</t>
  </si>
  <si>
    <t>Jaime Lloret</t>
  </si>
  <si>
    <t>Muhammad Summair Raza</t>
  </si>
  <si>
    <t>Muhammad Ibrahim</t>
  </si>
  <si>
    <t>Munmun Saha</t>
  </si>
  <si>
    <t>Suvasini Panigrahi </t>
  </si>
  <si>
    <t>Bishakh Chandra Ghosh</t>
  </si>
  <si>
    <t>Sajal K. Das</t>
  </si>
  <si>
    <t>Kaiyang Liu</t>
  </si>
  <si>
    <t>Jun Peng</t>
  </si>
  <si>
    <t>Boyang Yu</t>
  </si>
  <si>
    <t>Weirong Liu</t>
  </si>
  <si>
    <t>Zhiwu Huang</t>
  </si>
  <si>
    <t>Jianping Pan</t>
  </si>
  <si>
    <t>Alireza Mahini</t>
  </si>
  <si>
    <t>Reza Berangi</t>
  </si>
  <si>
    <t>Hamidreza Navidi</t>
  </si>
  <si>
    <t>Yanfei Xu</t>
  </si>
  <si>
    <t>Adil Hussein Mohammed</t>
  </si>
  <si>
    <t>Asif Umer</t>
  </si>
  <si>
    <t>Zulfqar Ahmad</t>
  </si>
  <si>
    <t>Asif Iqbal Middya</t>
  </si>
  <si>
    <t>Georgiana Copil</t>
  </si>
  <si>
    <t>Daniel Moldovan</t>
  </si>
  <si>
    <t>Sri Vijay Bharat Peddi</t>
  </si>
  <si>
    <t>Pallavi Kuhad</t>
  </si>
  <si>
    <t>Parisa Pouladzadeh</t>
  </si>
  <si>
    <t>Anna Levin</t>
  </si>
  <si>
    <t>Dean Lorenz</t>
  </si>
  <si>
    <t>Giovanni Merlino</t>
  </si>
  <si>
    <t>Alfonso Panarello</t>
  </si>
  <si>
    <t>Giuseppe Tricomi</t>
  </si>
  <si>
    <t>Arjun Ankathatti Chandrashekara</t>
  </si>
  <si>
    <t>Reshmi Mitra</t>
  </si>
  <si>
    <t>Bartosz Belter</t>
  </si>
  <si>
    <t>Juan RodriguezMartinezb</t>
  </si>
  <si>
    <t>José IgnacioAznarb</t>
  </si>
  <si>
    <t>Jordi Ferrer Rierac</t>
  </si>
  <si>
    <t>Luis M. Contreras</t>
  </si>
  <si>
    <t>MonikaAntoniak-Lewandowskad</t>
  </si>
  <si>
    <t>Jens Buyssef</t>
  </si>
  <si>
    <t>Chris Develderf</t>
  </si>
  <si>
    <t>Pasquale Donadioh</t>
  </si>
  <si>
    <t>Dimitra Simeonidoui</t>
  </si>
  <si>
    <t>Reza Nejabatii</t>
  </si>
  <si>
    <t>Shuping Pengi</t>
  </si>
  <si>
    <t>Eduard Escalonac</t>
  </si>
  <si>
    <t>Joan Antoni GarciaEspinc</t>
  </si>
  <si>
    <t>Steluta Gheorghiuc</t>
  </si>
  <si>
    <t>Mattijs Ghijseng</t>
  </si>
  <si>
    <t>Jakub Gutkowskia</t>
  </si>
  <si>
    <t>Giada Landij</t>
  </si>
  <si>
    <t>Gino Carrozzoj</t>
  </si>
  <si>
    <t>Damian Parniewicza</t>
  </si>
  <si>
    <t>Philip Robinsonk</t>
  </si>
  <si>
    <t>Sebastien Soudanl</t>
  </si>
  <si>
    <t>John O’Loughlin</t>
  </si>
  <si>
    <t>Lee Gillam</t>
  </si>
  <si>
    <t>M. Oriol</t>
  </si>
  <si>
    <t>P. Kotcauer</t>
  </si>
  <si>
    <t>S. Acs</t>
  </si>
  <si>
    <t>M. Rodríguez</t>
  </si>
  <si>
    <t>O. Mercè</t>
  </si>
  <si>
    <t>A. Cs. Marosi</t>
  </si>
  <si>
    <t>J. Marco</t>
  </si>
  <si>
    <t>X. Franch</t>
  </si>
  <si>
    <t>Valeria Cardellini</t>
  </si>
  <si>
    <t>Gianluca Interino</t>
  </si>
  <si>
    <t>Monica Palmirani</t>
  </si>
  <si>
    <t>Víctor Rampérez</t>
  </si>
  <si>
    <t>Javier Soriano</t>
  </si>
  <si>
    <t>David Lizcano</t>
  </si>
  <si>
    <t>Juan A. Lara</t>
  </si>
  <si>
    <t>Shadi Aljawarneh</t>
  </si>
  <si>
    <t>Joaquín Guillén</t>
  </si>
  <si>
    <t>Javier Miranda</t>
  </si>
  <si>
    <t>Juan Manuel Murillo</t>
  </si>
  <si>
    <t>arlos Canal</t>
  </si>
  <si>
    <t>Tian Guo</t>
  </si>
  <si>
    <t>Prashant Shenoy</t>
  </si>
  <si>
    <t>Alessandro Rossini</t>
  </si>
  <si>
    <t>Maksym Lushpenko</t>
  </si>
  <si>
    <t>Arnor Solberg</t>
  </si>
  <si>
    <t>Sami Yangui</t>
  </si>
  <si>
    <t>Iain-James Marshall</t>
  </si>
  <si>
    <t>Jean-Pierre Laisne</t>
  </si>
  <si>
    <t>Samir Tata</t>
  </si>
  <si>
    <t>Jin Kure</t>
  </si>
  <si>
    <t>Kazuhiko Ito</t>
  </si>
  <si>
    <t>Misako Tateiwa</t>
  </si>
  <si>
    <t>Shingo Suzuki</t>
  </si>
  <si>
    <t>Hari Kumar</t>
  </si>
  <si>
    <t>G. S. Anandha Mala</t>
  </si>
  <si>
    <t>Ziwei Dai</t>
  </si>
  <si>
    <t>Wenyu Zhang</t>
  </si>
  <si>
    <t>Shuai Zhang</t>
  </si>
  <si>
    <t>Yangbing Xu</t>
  </si>
  <si>
    <t>Qian Chen</t>
  </si>
  <si>
    <t>Biqing Huang</t>
  </si>
  <si>
    <t>Chenghai Li</t>
  </si>
  <si>
    <t>Md Shahinur Rahman</t>
  </si>
  <si>
    <t>Beibei Pang</t>
  </si>
  <si>
    <t>Fei Hao</t>
  </si>
  <si>
    <t>Yixuan Yang</t>
  </si>
  <si>
    <t>Doo-Soon Park</t>
  </si>
  <si>
    <t>Mohammad Moein Fazeli</t>
  </si>
  <si>
    <t>Yaghoub Farjami</t>
  </si>
  <si>
    <t>Mohsen Nickray</t>
  </si>
  <si>
    <t>Xiaoxue Bi</t>
  </si>
  <si>
    <t>Dong Yu</t>
  </si>
  <si>
    <t>Jinsong Liu</t>
  </si>
  <si>
    <t>Yi Hu</t>
  </si>
  <si>
    <t xml:space="preserve">Ying Liu </t>
  </si>
  <si>
    <t xml:space="preserve">Lin Zhang </t>
  </si>
  <si>
    <t xml:space="preserve">Yongkui Liu </t>
  </si>
  <si>
    <t>Weicun Zhang</t>
  </si>
  <si>
    <t>Hong Jin</t>
  </si>
  <si>
    <t>Cheng Jiang</t>
  </si>
  <si>
    <t>Shengping Lv</t>
  </si>
  <si>
    <t>Haiping He</t>
  </si>
  <si>
    <t>Xinting Liao</t>
  </si>
  <si>
    <t>Juan Yao</t>
  </si>
  <si>
    <t xml:space="preserve"> Junhao Wen</t>
  </si>
  <si>
    <t>Bo Yang</t>
  </si>
  <si>
    <t>Shilong Wang</t>
  </si>
  <si>
    <t>Shi Li</t>
  </si>
  <si>
    <t>Fengyang Bi</t>
  </si>
  <si>
    <t>Mokhtar Sellami</t>
  </si>
  <si>
    <t>Yunliang Huo</t>
  </si>
  <si>
    <t>Ji Xiong</t>
  </si>
  <si>
    <t>Qianbing You</t>
  </si>
  <si>
    <t>Zhixing Guo</t>
  </si>
  <si>
    <t>Hai Xiang</t>
  </si>
  <si>
    <t>Eunil Seo</t>
  </si>
  <si>
    <t>Hyoungshick Kim</t>
  </si>
  <si>
    <t>Bhaskar Krishnamachari</t>
  </si>
  <si>
    <t>Souvik Pal</t>
  </si>
  <si>
    <t>Raghvendra Kumar</t>
  </si>
  <si>
    <t>Le Hoang Son</t>
  </si>
  <si>
    <t>Krishnan Saravanan</t>
  </si>
  <si>
    <t>Mohamed Abdel-Basset</t>
  </si>
  <si>
    <t>Gunasekaran Manogaran</t>
  </si>
  <si>
    <t>Pham Huy Thong</t>
  </si>
  <si>
    <t>Anwesha Mukherjee</t>
  </si>
  <si>
    <t>Debashis De</t>
  </si>
  <si>
    <t>Deepsubhra Guha Roy</t>
  </si>
  <si>
    <t>Shan Li</t>
  </si>
  <si>
    <t>Jing Ma</t>
  </si>
  <si>
    <t>Mirko Mariotti</t>
  </si>
  <si>
    <t>Osvaldo Gervasi</t>
  </si>
  <si>
    <t>Flavio Vella</t>
  </si>
  <si>
    <t>Alfredo Cuzzocrea</t>
  </si>
  <si>
    <t>Alessandro Costantini</t>
  </si>
  <si>
    <t>Rodrigo da Rosa Righi</t>
  </si>
  <si>
    <t>Vinicius Facco Rodrigues</t>
  </si>
  <si>
    <t>Gustavo Rostirolla</t>
  </si>
  <si>
    <t>Cristiano André da Costa</t>
  </si>
  <si>
    <t>Eduardo Roloff</t>
  </si>
  <si>
    <t>Philippe Olivier Alexandre Navaux</t>
  </si>
  <si>
    <t>Chunlin Li</t>
  </si>
  <si>
    <t>Jing Zhang</t>
  </si>
  <si>
    <t>Hengliang Tang</t>
  </si>
  <si>
    <t>Dileban Karunamoorthy</t>
  </si>
  <si>
    <t>Nick Bassiliades</t>
  </si>
  <si>
    <t>Moisis Symeonidis</t>
  </si>
  <si>
    <t>Panagiotis Gouvas</t>
  </si>
  <si>
    <t>Efstratios Kontopoulos</t>
  </si>
  <si>
    <t>Georgios Meditskos</t>
  </si>
  <si>
    <t>Ioannis Vlahavas</t>
  </si>
  <si>
    <t>Seyedeh Yasaman Rashida</t>
  </si>
  <si>
    <t>Masoud Sabaei</t>
  </si>
  <si>
    <t>Mohammad Mehdi Ebadzadeh</t>
  </si>
  <si>
    <t>Jianwei Yin</t>
  </si>
  <si>
    <t>Xingjian Lu</t>
  </si>
  <si>
    <t>Calton Pu</t>
  </si>
  <si>
    <t>Hanwei Chen</t>
  </si>
  <si>
    <t>Mohammad Ali Pourmina</t>
  </si>
  <si>
    <t>Jiagang Liu</t>
  </si>
  <si>
    <t>Ju Ren</t>
  </si>
  <si>
    <t>Deyu Zhang</t>
  </si>
  <si>
    <t>Pude Zhou</t>
  </si>
  <si>
    <t>Yaoxue Zhang</t>
  </si>
  <si>
    <t>Noushin Najjari</t>
  </si>
  <si>
    <t>Gustavo Zurita</t>
  </si>
  <si>
    <t>Nelson Baloian</t>
  </si>
  <si>
    <t>Jonathan Frez</t>
  </si>
  <si>
    <t>Denis M. Becker</t>
  </si>
  <si>
    <t>Alexei A. Gaivoronski</t>
  </si>
  <si>
    <t>Per Jonny Nesse</t>
  </si>
  <si>
    <t>Abid Hussain</t>
  </si>
  <si>
    <t xml:space="preserve"> Jin Chun</t>
  </si>
  <si>
    <t>Incheon Paik</t>
  </si>
  <si>
    <t>Wuhui Chen</t>
  </si>
  <si>
    <t>Michael N. Huhns</t>
  </si>
  <si>
    <t>D. Borgetto</t>
  </si>
  <si>
    <t>R. Chakode</t>
  </si>
  <si>
    <t>B. Depardon</t>
  </si>
  <si>
    <t>C. Eichler</t>
  </si>
  <si>
    <t>J. M. Garcia</t>
  </si>
  <si>
    <t>H. Hbaieb</t>
  </si>
  <si>
    <t>T. Monteil</t>
  </si>
  <si>
    <t>E. Pelorce</t>
  </si>
  <si>
    <t>A. Rachdi</t>
  </si>
  <si>
    <t>A. Al Sheikh</t>
  </si>
  <si>
    <t>P. Stolf</t>
  </si>
  <si>
    <t>Xiaolong Xu</t>
  </si>
  <si>
    <t>Hanzhong Rong</t>
  </si>
  <si>
    <t>Ella Pereira</t>
  </si>
  <si>
    <t>Marcello Trovati</t>
  </si>
  <si>
    <t>Hamza Refad</t>
  </si>
  <si>
    <t>Adel Alti</t>
  </si>
  <si>
    <t>Abderrahim Ait Wakrime</t>
  </si>
  <si>
    <t>Mouna Rekik</t>
  </si>
  <si>
    <t>Said Jabbour</t>
  </si>
  <si>
    <t>Ana Juan Ferrer</t>
  </si>
  <si>
    <t>Ahmed Ali-Eldin</t>
  </si>
  <si>
    <t>Csilla Zsigri</t>
  </si>
  <si>
    <t>Jordi Guitart</t>
  </si>
  <si>
    <t>Wolfgang Ziegler</t>
  </si>
  <si>
    <t>Theo Dimitrakos</t>
  </si>
  <si>
    <t>Srijith K. Nair</t>
  </si>
  <si>
    <t>George Kousiouris</t>
  </si>
  <si>
    <t>Benoit Hudzia</t>
  </si>
  <si>
    <t>Alexander Kipp</t>
  </si>
  <si>
    <t>Stefan Wesner</t>
  </si>
  <si>
    <t>Marcelo Corrales</t>
  </si>
  <si>
    <t>Nikolaus Forgó</t>
  </si>
  <si>
    <t>Tabassum Sharif</t>
  </si>
  <si>
    <t>Craig Sheridan</t>
  </si>
  <si>
    <t>Hwa-Young Jeong</t>
  </si>
  <si>
    <t>Gangman Yi</t>
  </si>
  <si>
    <t>Jong Hyuk Park</t>
  </si>
  <si>
    <t>Jinlong E</t>
  </si>
  <si>
    <t>Peng Wang</t>
  </si>
  <si>
    <t>Chaokun Zhang</t>
  </si>
  <si>
    <t>Masahiro Tanaka</t>
  </si>
  <si>
    <t>Yohei Murakami</t>
  </si>
  <si>
    <t>Hao Ding</t>
  </si>
  <si>
    <t>Zenggang Xiong</t>
  </si>
  <si>
    <t>Mohammad Bagher Karimi</t>
  </si>
  <si>
    <t>Ayaz Isazadeh</t>
  </si>
  <si>
    <t>Jiwei Huang</t>
  </si>
  <si>
    <t>Chuang Lin</t>
  </si>
  <si>
    <t>Xuemin Shen</t>
  </si>
  <si>
    <t>Ahmed Mostafa</t>
  </si>
  <si>
    <t>Minjie Zhang</t>
  </si>
  <si>
    <t>Siva Kumar Gavvala</t>
  </si>
  <si>
    <t>Kouros Zanbouri</t>
  </si>
  <si>
    <t>Abdullah Al-Faifi</t>
  </si>
  <si>
    <t>Alex X. Liu</t>
  </si>
  <si>
    <t>Adrian Satja Kurdija</t>
  </si>
  <si>
    <t>Marin Silic</t>
  </si>
  <si>
    <t>Goran Delac</t>
  </si>
  <si>
    <t>Klemo Vladimir</t>
  </si>
  <si>
    <t>Ralph Vigne</t>
  </si>
  <si>
    <t>Juergen Mangler</t>
  </si>
  <si>
    <t>Stefanie Rinderle-Ma</t>
  </si>
  <si>
    <t>Assad Abbas</t>
  </si>
  <si>
    <t>Kashif Bilal</t>
  </si>
  <si>
    <t>Limin Zhang</t>
  </si>
  <si>
    <t>Morteza Amini</t>
  </si>
  <si>
    <t>Farnaz Osanloo</t>
  </si>
  <si>
    <t>Mufeed Ahmed Naji Saif</t>
  </si>
  <si>
    <t>S. K. Niranjan</t>
  </si>
  <si>
    <t>Belal Abdullah Hezam Murshed</t>
  </si>
  <si>
    <t>Fahd A. Ghanem</t>
  </si>
  <si>
    <t>Ammar Abdullah Qasem Ahmed</t>
  </si>
  <si>
    <t>David Villegas</t>
  </si>
  <si>
    <t>Norman Bobroff</t>
  </si>
  <si>
    <t>Ivan Rodero</t>
  </si>
  <si>
    <t>Javier Delgado</t>
  </si>
  <si>
    <t>Yanbin Liu</t>
  </si>
  <si>
    <t>Aditya Devarakonda</t>
  </si>
  <si>
    <t>Liana Fong</t>
  </si>
  <si>
    <t>S. Masoud Sadjadi</t>
  </si>
  <si>
    <t>Wenfeng Li</t>
  </si>
  <si>
    <t>Ye Zhong</t>
  </si>
  <si>
    <t>Xun Wang</t>
  </si>
  <si>
    <t>Yulian Cao</t>
  </si>
  <si>
    <t>Ali Chehab</t>
  </si>
  <si>
    <t>Tingting Zhang</t>
  </si>
  <si>
    <t>David Sánchez</t>
  </si>
  <si>
    <t>Montserrat Batet</t>
  </si>
  <si>
    <t>Shaghahyegh Sharif</t>
  </si>
  <si>
    <t>Xiaoling Dai</t>
  </si>
  <si>
    <t>Helan Liang</t>
  </si>
  <si>
    <t>Yanhua Du</t>
  </si>
  <si>
    <t>Yanchun Wang</t>
  </si>
  <si>
    <t>Dayong Ye</t>
  </si>
  <si>
    <t>Yun Yang</t>
  </si>
  <si>
    <t>Ansar Rafique</t>
  </si>
  <si>
    <t>Dimitri Van Landuyt</t>
  </si>
  <si>
    <t>Wouter Joosen</t>
  </si>
  <si>
    <t>Abdullah Mohammed Al-Faifi</t>
  </si>
  <si>
    <t>Chao Yu</t>
  </si>
  <si>
    <t>Chen Guo</t>
  </si>
  <si>
    <t>Yibing Li</t>
  </si>
  <si>
    <t>Baigang Du</t>
  </si>
  <si>
    <t>Shunsheng Guo</t>
  </si>
  <si>
    <t>R. Moreno</t>
  </si>
  <si>
    <t>F.J. Pérez-Gil</t>
  </si>
  <si>
    <t>J.J. Pardo</t>
  </si>
  <si>
    <t>A. Navarro</t>
  </si>
  <si>
    <t>F.J. Tapiador</t>
  </si>
  <si>
    <t>Majid Azadi</t>
  </si>
  <si>
    <t>Ali Emrouznejad</t>
  </si>
  <si>
    <t>Fahimeh Ramezani</t>
  </si>
  <si>
    <t>Aya Omezzine</t>
  </si>
  <si>
    <t>Narjes Bellamine Ben Saoud</t>
  </si>
  <si>
    <t>Said Tazi</t>
  </si>
  <si>
    <t>Gene Cooperman</t>
  </si>
  <si>
    <t>Zibin Zheng</t>
  </si>
  <si>
    <t>Xinmaio Wu</t>
  </si>
  <si>
    <t>Yilei Zhang</t>
  </si>
  <si>
    <t>Michael R. Lyu</t>
  </si>
  <si>
    <t>Jianmin Wang</t>
  </si>
  <si>
    <t>Antonio Esposito</t>
  </si>
  <si>
    <t>Giuseppina Cretella</t>
  </si>
  <si>
    <t>Altaf Ahmad Huqqani</t>
  </si>
  <si>
    <t>Peishun Wang</t>
  </si>
  <si>
    <t>Yi Mu</t>
  </si>
  <si>
    <t>Willy Susilo</t>
  </si>
  <si>
    <t>Syed Asad Raza Kazmi</t>
  </si>
  <si>
    <t>Awais Qasim</t>
  </si>
  <si>
    <t>Adnan Khalid</t>
  </si>
  <si>
    <t>Ruttaba Assad</t>
  </si>
  <si>
    <t>Muhammad Shahbaz</t>
  </si>
  <si>
    <t>Walayat Hussain</t>
  </si>
  <si>
    <t>Jose Maria Merigo</t>
  </si>
  <si>
    <t>Honghao Gao</t>
  </si>
  <si>
    <t>Asma Musabah Alkalbani</t>
  </si>
  <si>
    <t>Fethi A Rabhi</t>
  </si>
  <si>
    <t>Iván Corredor</t>
  </si>
  <si>
    <t>Miguel S. Familiar</t>
  </si>
  <si>
    <t>Lourdes López</t>
  </si>
  <si>
    <t>Lida Xu</t>
  </si>
  <si>
    <t>Jingwei Li</t>
  </si>
  <si>
    <t>Anna Squicciarini</t>
  </si>
  <si>
    <t>U. Arul</t>
  </si>
  <si>
    <t>S. Prakash</t>
  </si>
  <si>
    <t>S. Bharath Bhushan</t>
  </si>
  <si>
    <t>Pradeep C. H. Reddy</t>
  </si>
  <si>
    <t>Zakarea Al-Shara</t>
  </si>
  <si>
    <t>Frederico Alvares</t>
  </si>
  <si>
    <t>Hugo Bruneliere</t>
  </si>
  <si>
    <t>Jonathan Lejeune</t>
  </si>
  <si>
    <t>Reza Rezaei</t>
  </si>
  <si>
    <t>Samar Haytamy</t>
  </si>
  <si>
    <t>Fatma Omara</t>
  </si>
  <si>
    <t>Mohamadali Yaghoubi</t>
  </si>
  <si>
    <t>Ali Maroosi</t>
  </si>
  <si>
    <t>Di Liang</t>
  </si>
  <si>
    <t>Jieyi Wang</t>
  </si>
  <si>
    <t>Ran Bhamra</t>
  </si>
  <si>
    <t>Liezhao Lu</t>
  </si>
  <si>
    <t>Yuting Li</t>
  </si>
  <si>
    <t>Xiaotong Li</t>
  </si>
  <si>
    <t>Ruiting Zhou</t>
  </si>
  <si>
    <t>Lei Jiao</t>
  </si>
  <si>
    <t>Yuhang Deng</t>
  </si>
  <si>
    <t>Ning Liu</t>
  </si>
  <si>
    <t>Weiming Shen</t>
  </si>
  <si>
    <t>Chen Shan</t>
  </si>
  <si>
    <t>Chang Heng</t>
  </si>
  <si>
    <t>Zou Xianjun</t>
  </si>
  <si>
    <t>Haoyu Wang</t>
  </si>
  <si>
    <t>James Broberg</t>
  </si>
  <si>
    <t>Jun Yang</t>
  </si>
  <si>
    <t>Wenmin Lin</t>
  </si>
  <si>
    <t>Adrian Klein</t>
  </si>
  <si>
    <t>Fuyuki Ishikawa</t>
  </si>
  <si>
    <t>Shinichi Honiden</t>
  </si>
  <si>
    <t>Andreas Menychtas</t>
  </si>
  <si>
    <t>Jürgen Vogel</t>
  </si>
  <si>
    <t>Andrea Giessmann</t>
  </si>
  <si>
    <t>Anna Gatzioura</t>
  </si>
  <si>
    <t>Sergio Garcia Gomez</t>
  </si>
  <si>
    <t>Vrettos Moulos</t>
  </si>
  <si>
    <t>Frederic Junker</t>
  </si>
  <si>
    <t>Mathias Müller</t>
  </si>
  <si>
    <t>Dimosthenis Kyriazis</t>
  </si>
  <si>
    <t>Katarina Stanoevska-Slabeva</t>
  </si>
  <si>
    <t>Xianrong Zheng</t>
  </si>
  <si>
    <t>Kathryn Brohman</t>
  </si>
  <si>
    <t>Li Da Xu</t>
  </si>
  <si>
    <t>Zhitao Wan</t>
  </si>
  <si>
    <t>Lihua Duan</t>
  </si>
  <si>
    <t>Fan Jing Meng</t>
  </si>
  <si>
    <t>Jing Min Xu</t>
  </si>
  <si>
    <t>Lijuan Wang</t>
  </si>
  <si>
    <t>Jun Shen</t>
  </si>
  <si>
    <t>Junzhou Luo</t>
  </si>
  <si>
    <t>Shuiguang Deng</t>
  </si>
  <si>
    <t>Hongyue Wu</t>
  </si>
  <si>
    <t>Zhi-Zhong Liu</t>
  </si>
  <si>
    <t>Dian-Hui Chu</t>
  </si>
  <si>
    <t>Cheng Song</t>
  </si>
  <si>
    <t>Xiao Xue</t>
  </si>
  <si>
    <t>Bao-Yun Lu</t>
  </si>
  <si>
    <t>Fan Zhang</t>
  </si>
  <si>
    <t>Kai Hwang</t>
  </si>
  <si>
    <t>Xiaofei Xu</t>
  </si>
  <si>
    <t>Zhizhong Liu</t>
  </si>
  <si>
    <t>Zhongjie Wang</t>
  </si>
  <si>
    <t>Quan Z. Sheng</t>
  </si>
  <si>
    <t>Xianzhi Wang</t>
  </si>
  <si>
    <t>Wensheng Tang</t>
  </si>
  <si>
    <t>Jin Qi</t>
  </si>
  <si>
    <t>Bin Xu</t>
  </si>
  <si>
    <t>Kun Wang</t>
  </si>
  <si>
    <t>Yanfei Sun</t>
  </si>
  <si>
    <t>Yu Xue</t>
  </si>
  <si>
    <t>Shuxian Gu</t>
  </si>
  <si>
    <t>Dongmei Fu</t>
  </si>
  <si>
    <t>Taher Labidi</t>
  </si>
  <si>
    <t>Achraf Mtibaa</t>
  </si>
  <si>
    <t>Faiez Gargouri</t>
  </si>
  <si>
    <t>Demin Gao</t>
  </si>
  <si>
    <t>Jing Wan</t>
  </si>
  <si>
    <t>Yunqiu Zhang</t>
  </si>
  <si>
    <t>Jian Wu</t>
  </si>
  <si>
    <t>Liang Chen</t>
  </si>
  <si>
    <t>Yilun Wang</t>
  </si>
  <si>
    <t>Li Kuang</t>
  </si>
  <si>
    <t>Giuliano Manno</t>
  </si>
  <si>
    <t>Waleed W. Smari</t>
  </si>
  <si>
    <t>Marc St-Hilaire</t>
  </si>
  <si>
    <t>Chung-Horng Lung</t>
  </si>
  <si>
    <t>Ioannis Lambadaris</t>
  </si>
  <si>
    <t>Yuqian Lu</t>
  </si>
  <si>
    <t>Xun Xu</t>
  </si>
  <si>
    <t>Domenico Calcaterra</t>
  </si>
  <si>
    <t>Pietro Mazzaglia</t>
  </si>
  <si>
    <t>Sohail Jabbar</t>
  </si>
  <si>
    <t>Kashif Naseer</t>
  </si>
  <si>
    <t>Moneeb Gohar</t>
  </si>
  <si>
    <t>Seungmin Rho</t>
  </si>
  <si>
    <t>Hangbae Chang</t>
  </si>
  <si>
    <t>Faiez Zalila</t>
  </si>
  <si>
    <t>Stéphanie Challita</t>
  </si>
  <si>
    <t>Philippe Merle</t>
  </si>
  <si>
    <t>S. Dhanasekaran</t>
  </si>
  <si>
    <t>V. Vasudevan</t>
  </si>
  <si>
    <t>Axel Küpper</t>
  </si>
  <si>
    <t>Khalid Alhamazani</t>
  </si>
  <si>
    <t>Prem Prakash Jayaraman</t>
  </si>
  <si>
    <t>Karan Mitra</t>
  </si>
  <si>
    <t>Chang Liu</t>
  </si>
  <si>
    <t>Fethi Rabhi</t>
  </si>
  <si>
    <t>Dimitrios Georgakopoulos</t>
  </si>
  <si>
    <t>Joonseok Park</t>
  </si>
  <si>
    <t>Ungsoo Kim</t>
  </si>
  <si>
    <t>Donggyu Yun</t>
  </si>
  <si>
    <t>Keunhyuk Yeom</t>
  </si>
  <si>
    <t>Anna Cinzia Squicciarini</t>
  </si>
  <si>
    <t>Venkata Nagarjuna Dondapati</t>
  </si>
  <si>
    <t>Bahman Javadi</t>
  </si>
  <si>
    <t>Derrick Kondo</t>
  </si>
  <si>
    <t>Jean-Marc Vincent</t>
  </si>
  <si>
    <t>David P. Anderson</t>
  </si>
  <si>
    <t>Laiping Zhao</t>
  </si>
  <si>
    <t>Yizhi Ren</t>
  </si>
  <si>
    <t>Mingchu Li</t>
  </si>
  <si>
    <t>Kouichi Sakurai</t>
  </si>
  <si>
    <t>Daniel Oberle</t>
  </si>
  <si>
    <t>Uwe Kylau</t>
  </si>
  <si>
    <t>Steffen Heinzl</t>
  </si>
  <si>
    <t>Georgiana Macariu</t>
  </si>
  <si>
    <t>Silviu Panica</t>
  </si>
  <si>
    <t>Adil Hammadi</t>
  </si>
  <si>
    <t>Tharam Dillon</t>
  </si>
  <si>
    <t>Tom Kirkham</t>
  </si>
  <si>
    <t>Django Armstrong</t>
  </si>
  <si>
    <t>Ming Jiang</t>
  </si>
  <si>
    <t>Yukyong Kim</t>
  </si>
  <si>
    <t>Jong-Seok Choi</t>
  </si>
  <si>
    <t>YongtaeShin</t>
  </si>
  <si>
    <t>Arezoo Jahani</t>
  </si>
  <si>
    <t>Leyli Mohammad Khanli</t>
  </si>
  <si>
    <t>Atul Tripathi</t>
  </si>
  <si>
    <t>Isha Pathak</t>
  </si>
  <si>
    <t>Supannada Chotipant</t>
  </si>
  <si>
    <t>Yunfei Meng</t>
  </si>
  <si>
    <t>Zhiqiu Huang</t>
  </si>
  <si>
    <t>Yu Zhou</t>
  </si>
  <si>
    <t>Changbo Ke</t>
  </si>
  <si>
    <t>Gauthama Raman M.R.</t>
  </si>
  <si>
    <t>Lilei Lu</t>
  </si>
  <si>
    <t>Yuyu Yuan</t>
  </si>
  <si>
    <t>Afshin Naseri</t>
  </si>
  <si>
    <t>Yuanchun Jiang</t>
  </si>
  <si>
    <t>Dandan Tao</t>
  </si>
  <si>
    <t>Yezheng Liu</t>
  </si>
  <si>
    <t>Jianshan Sun</t>
  </si>
  <si>
    <t>Haifeng Ling</t>
  </si>
  <si>
    <t>P. Muthi Reddy</t>
  </si>
  <si>
    <t>Ansaf Ahmed</t>
  </si>
  <si>
    <t>S. H. Manjula</t>
  </si>
  <si>
    <t>K. R. Venugopal</t>
  </si>
  <si>
    <t>Farshad Mashhadi</t>
  </si>
  <si>
    <t>Sergio A. Salinas Monroy</t>
  </si>
  <si>
    <t>Ibra Him</t>
  </si>
  <si>
    <t>Zhigang Hu</t>
  </si>
  <si>
    <t>Mukalel Bhaskaran Smithamol</t>
  </si>
  <si>
    <t>Sridhar Rajeswari</t>
  </si>
  <si>
    <t>Obulaporam Gireesha</t>
  </si>
  <si>
    <t>Mona Eisa</t>
  </si>
  <si>
    <t>Muhammad Younas</t>
  </si>
  <si>
    <t>Kashinath Basu</t>
  </si>
  <si>
    <t>Irfan Awan</t>
  </si>
  <si>
    <t>S. MAHDAVI-HEZAVEHI</t>
  </si>
  <si>
    <t>Y. ALIMARDANI</t>
  </si>
  <si>
    <t>R. RAHMANI</t>
  </si>
  <si>
    <t>S. Raghavan</t>
  </si>
  <si>
    <t>K. Chandrasekaran</t>
  </si>
  <si>
    <t>Rohit Kumar Tiwari</t>
  </si>
  <si>
    <t>Rakesh Kumar</t>
  </si>
  <si>
    <t>Ashwin Verma</t>
  </si>
  <si>
    <t>Pronaya Bhattacharya</t>
  </si>
  <si>
    <t>Umesh Bodkhe</t>
  </si>
  <si>
    <t>Deepti Saraswat</t>
  </si>
  <si>
    <t>Sudeep Tanwar</t>
  </si>
  <si>
    <t>Kapal Dev</t>
  </si>
  <si>
    <t>Abhinav Tomar</t>
  </si>
  <si>
    <t xml:space="preserve"> Indrajeet Gupta </t>
  </si>
  <si>
    <t>M. Marimuthu</t>
  </si>
  <si>
    <t>J. Akilandeswari</t>
  </si>
  <si>
    <t>P. R. Chelliah</t>
  </si>
  <si>
    <t>Mye Sohn</t>
  </si>
  <si>
    <t>Sunghwan Jeong</t>
  </si>
  <si>
    <t>Jongmo Kim</t>
  </si>
  <si>
    <t>Hyun Jung Lee</t>
  </si>
  <si>
    <t>Mohannad Alhanahnah</t>
  </si>
  <si>
    <t>Peter Bertok</t>
  </si>
  <si>
    <t>Sahel Alouneh</t>
  </si>
  <si>
    <t>Rabia Latif</t>
  </si>
  <si>
    <t>Syeda Hadia Afzaal</t>
  </si>
  <si>
    <t>Seemab Latif</t>
  </si>
  <si>
    <t>C. Muralidharan</t>
  </si>
  <si>
    <t>R. Anitha</t>
  </si>
  <si>
    <t>Sasko Ristov</t>
  </si>
  <si>
    <t>Dragi Kimovski</t>
  </si>
  <si>
    <t>Thomas Fahringer</t>
  </si>
  <si>
    <t>Messaouda Ayachi</t>
  </si>
  <si>
    <t>Hachem Slimani</t>
  </si>
  <si>
    <t>Jiyi Wu</t>
  </si>
  <si>
    <t>Qifei Zhang</t>
  </si>
  <si>
    <t>Keyong Hu</t>
  </si>
  <si>
    <t>Ruo Bao</t>
  </si>
  <si>
    <t>Wu Chou</t>
  </si>
  <si>
    <t>Wei-Chen Wu</t>
  </si>
  <si>
    <t>Chit-Jie Chew</t>
  </si>
  <si>
    <t>Ying-Chin Chen</t>
  </si>
  <si>
    <t>Cheng-Han Wu</t>
  </si>
  <si>
    <t>Tzu Hao Chen</t>
  </si>
  <si>
    <t>Jung-San Lee</t>
  </si>
  <si>
    <t>Chuanyi Liu</t>
  </si>
  <si>
    <t>Mingliang Sun</t>
  </si>
  <si>
    <t>Yali Gao</t>
  </si>
  <si>
    <t>Jie Yuan</t>
  </si>
  <si>
    <t>Shaoming Duan</t>
  </si>
  <si>
    <t>Chenhao Qu</t>
  </si>
  <si>
    <t>Yasser Aldwyan</t>
  </si>
  <si>
    <t>Nikolay Grozev</t>
  </si>
  <si>
    <t>Alessandro Ferreira Leite</t>
  </si>
  <si>
    <t>Azzedine Boukerche</t>
  </si>
  <si>
    <t>Alba Cristina Magalhaes Alves de Melo</t>
  </si>
  <si>
    <t>Christine Eisenbeis</t>
  </si>
  <si>
    <t>Claude Tadonki</t>
  </si>
  <si>
    <t>C.Saravanakumar</t>
  </si>
  <si>
    <t>C.Arun</t>
  </si>
  <si>
    <t>Mauro Passacantando</t>
  </si>
  <si>
    <t>Hasan Ziafat</t>
  </si>
  <si>
    <t>Seyed Morteza Babamir</t>
  </si>
  <si>
    <t>Hadi Otrok b</t>
  </si>
  <si>
    <t>Haidar Harmanani</t>
  </si>
  <si>
    <t>Sina Askarnejad</t>
  </si>
  <si>
    <t>Marzieh Malekimajd</t>
  </si>
  <si>
    <t>Xuyang Ma</t>
  </si>
  <si>
    <t>Du Xu</t>
  </si>
  <si>
    <t>Katinka Wolter</t>
  </si>
  <si>
    <t>Katarzyna Keahey</t>
  </si>
  <si>
    <t>Maurício Tsugawa</t>
  </si>
  <si>
    <t>Andréa Matsunaga</t>
  </si>
  <si>
    <t>Jeroen Famaey</t>
  </si>
  <si>
    <t>Steven Latr´e</t>
  </si>
  <si>
    <t>John Strassner</t>
  </si>
  <si>
    <t>Filip De Turck</t>
  </si>
  <si>
    <t>Jing Mei</t>
  </si>
  <si>
    <t>Kenli Li</t>
  </si>
  <si>
    <t>Zhao Tong</t>
  </si>
  <si>
    <t>Qiang Li</t>
  </si>
  <si>
    <t>Matthew Dickinson</t>
  </si>
  <si>
    <t>Saptarshi Debroy</t>
  </si>
  <si>
    <t>Samaikya Valluripally</t>
  </si>
  <si>
    <t>Yuanxun Zhang</t>
  </si>
  <si>
    <t>Tommi White</t>
  </si>
  <si>
    <t>Dong Xu</t>
  </si>
  <si>
    <t>Tolga Ovatman</t>
  </si>
  <si>
    <t>Zhangyu Guan</t>
  </si>
  <si>
    <t>Tommaso Melodia</t>
  </si>
  <si>
    <t>Konstantinos Tsakalozos</t>
  </si>
  <si>
    <t>Vasilis Verroios</t>
  </si>
  <si>
    <t>Mema Roussopoulos</t>
  </si>
  <si>
    <t>Alex Delis</t>
  </si>
  <si>
    <t>Chee Shin Yeo</t>
  </si>
  <si>
    <t>Chia-Yu Hsu</t>
  </si>
  <si>
    <t>Liang-Chih Yu</t>
  </si>
  <si>
    <t>K. Robert Lai</t>
  </si>
  <si>
    <t>Jose Pergentino Araujo Neto</t>
  </si>
  <si>
    <t>Donald M. Pianto</t>
  </si>
  <si>
    <t>Kyle Chard</t>
  </si>
  <si>
    <t>Kris Bubendorfer</t>
  </si>
  <si>
    <t>Zain Ulabedin</t>
  </si>
  <si>
    <t>Rakesh Tripathi</t>
  </si>
  <si>
    <t>Mohammad Shadi Alhakeem</t>
  </si>
  <si>
    <t>Yang Zhang</t>
  </si>
  <si>
    <t>Yongquan Liang</t>
  </si>
  <si>
    <t>Bin Jia</t>
  </si>
  <si>
    <t>Pinxiang Wang</t>
  </si>
  <si>
    <t>Zhiming Shen</t>
  </si>
  <si>
    <t>Qin Jia</t>
  </si>
  <si>
    <t>Gur-Eyal Sela</t>
  </si>
  <si>
    <t>Weijia Song</t>
  </si>
  <si>
    <t>Hakim Weatherspoon</t>
  </si>
  <si>
    <t>Robbert Van Renesse</t>
  </si>
  <si>
    <t>Jeremy Mechouche</t>
  </si>
  <si>
    <t>Roua Touihri</t>
  </si>
  <si>
    <t>Mohamed Sellami</t>
  </si>
  <si>
    <t>Wassim Itani</t>
  </si>
  <si>
    <t>Cesar Ghali</t>
  </si>
  <si>
    <t>Golnaz Aghaee Ghazvini</t>
  </si>
  <si>
    <t>Mehran Mohsenzadeh</t>
  </si>
  <si>
    <t>Ramin Nasir</t>
  </si>
  <si>
    <t>Chunxia Yu</t>
  </si>
  <si>
    <t>Luping Zhang</t>
  </si>
  <si>
    <t>Wenfan Zhao</t>
  </si>
  <si>
    <t>Sicheng Zhang</t>
  </si>
  <si>
    <t>Jin Seek Choi</t>
  </si>
  <si>
    <t>Se Joon Chun</t>
  </si>
  <si>
    <t>Sunghwan Lee</t>
  </si>
  <si>
    <t>Dawei Sun</t>
  </si>
  <si>
    <t>Guangyan Zhang</t>
  </si>
  <si>
    <t>Shang Gao</t>
  </si>
  <si>
    <t>Wang Junfei</t>
  </si>
  <si>
    <t>Zhen Gao</t>
  </si>
  <si>
    <t>Zhu Han</t>
  </si>
  <si>
    <t>Chao Qiu</t>
  </si>
  <si>
    <t>Xiaofei Wang</t>
  </si>
  <si>
    <t>Tharaka Hewa</t>
  </si>
  <si>
    <t>Pawani Porambage</t>
  </si>
  <si>
    <t>Ivana Kovacevic</t>
  </si>
  <si>
    <t>Nisita Weerasinghe</t>
  </si>
  <si>
    <t>Erkki Harjula</t>
  </si>
  <si>
    <t>Madhusanka Liyanage</t>
  </si>
  <si>
    <t>Andrzej Goscinski</t>
  </si>
  <si>
    <t>Michael Brock</t>
  </si>
  <si>
    <t>Francesco Palmieri</t>
  </si>
  <si>
    <t>Luigi Buonanno</t>
  </si>
  <si>
    <t>Rocco Aversa</t>
  </si>
  <si>
    <t>Netsanet Haile</t>
  </si>
  <si>
    <t>Jörn Altmann</t>
  </si>
  <si>
    <t>Zoltán Farkas</t>
  </si>
  <si>
    <t>Ákos Hajnal</t>
  </si>
  <si>
    <t>null Kwang Mong Sim</t>
  </si>
  <si>
    <t>Ning Xi</t>
  </si>
  <si>
    <t>Cong Sun</t>
  </si>
  <si>
    <t>Jianfeng Ma</t>
  </si>
  <si>
    <t>Yulong Shen</t>
  </si>
  <si>
    <t>Afaf Mousa</t>
  </si>
  <si>
    <t>Omar Alam</t>
  </si>
  <si>
    <t>SANTIAGO GÓMEZ SÁEZ</t>
  </si>
  <si>
    <t>VASILIOS ANDRIKOPOULOS</t>
  </si>
  <si>
    <t>MARINA BITSAKI</t>
  </si>
  <si>
    <t>ANDRÉ VAN HOORN</t>
  </si>
  <si>
    <t>Linda Ouchaou</t>
  </si>
  <si>
    <t>Chahrazed Labba</t>
  </si>
  <si>
    <t>Xiaoqing F. Liu</t>
  </si>
  <si>
    <t>Md Rakib Shahriar</t>
  </si>
  <si>
    <t>S.M. Nahian Al Sunny</t>
  </si>
  <si>
    <t>Ming C. Leu</t>
  </si>
  <si>
    <t>Liwen Hu</t>
  </si>
  <si>
    <t>Yishui Zhu</t>
  </si>
  <si>
    <t>Roman Y. Shtykh</t>
  </si>
  <si>
    <t>Qun Jin</t>
  </si>
  <si>
    <t>Hassen Riahi</t>
  </si>
  <si>
    <t>Alberto Aimar</t>
  </si>
  <si>
    <t>Alejandro Álvarez Ayllón</t>
  </si>
  <si>
    <t>Justas Balcas</t>
  </si>
  <si>
    <t>Diego Ciangottini</t>
  </si>
  <si>
    <t>José M. Hernández</t>
  </si>
  <si>
    <t>Oliver Keeble</t>
  </si>
  <si>
    <t>Nicolò Magini</t>
  </si>
  <si>
    <t>Andrea Manzi</t>
  </si>
  <si>
    <t>Luca Mascetti</t>
  </si>
  <si>
    <t>Marco Mascheroni</t>
  </si>
  <si>
    <t>Andres Jorge Tanasijczuk</t>
  </si>
  <si>
    <t>Eric Wayne Vaandering</t>
  </si>
  <si>
    <t>Yayu Li</t>
  </si>
  <si>
    <t>Hongfang Yu</t>
  </si>
  <si>
    <t>Athanasios V. Vasilakos</t>
  </si>
  <si>
    <t>Xiaojiang Du</t>
  </si>
  <si>
    <t>Mohsen Guizani</t>
  </si>
  <si>
    <t>Abdur Forkan</t>
  </si>
  <si>
    <t>Ibrahim Khalil</t>
  </si>
  <si>
    <t>Shaoqian Zhang</t>
  </si>
  <si>
    <t>Eduardo R. Gomes</t>
  </si>
  <si>
    <t>Tommaso Cucinotta</t>
  </si>
  <si>
    <t>Konstantinos Psychas</t>
  </si>
  <si>
    <t>Xiaoyu Yang</t>
  </si>
  <si>
    <t>Bassem Nasser</t>
  </si>
  <si>
    <t>Mike Surridge</t>
  </si>
  <si>
    <t>Stuart Middleton</t>
  </si>
  <si>
    <t>Harrie Bastiaansen</t>
  </si>
  <si>
    <t>Johan van der Geest</t>
  </si>
  <si>
    <t>Casper van den Broek</t>
  </si>
  <si>
    <t>Thomas Kudla</t>
  </si>
  <si>
    <t>Anthony Isenor</t>
  </si>
  <si>
    <t>Sean Webb</t>
  </si>
  <si>
    <t>Niranjan Suri</t>
  </si>
  <si>
    <t>Mattia Fogli</t>
  </si>
  <si>
    <t>Andrea Masini</t>
  </si>
  <si>
    <t>Bruno Canessa</t>
  </si>
  <si>
    <t>Robert Goniacz</t>
  </si>
  <si>
    <t>Joanna Sliwa</t>
  </si>
  <si>
    <t>Carlo Mastroianni</t>
  </si>
  <si>
    <t>Giuseppe Papuzzo</t>
  </si>
  <si>
    <t>Min Shi</t>
  </si>
  <si>
    <t>Yufei Tang</t>
  </si>
  <si>
    <t>M. Saravanan</t>
  </si>
  <si>
    <t>M. Aramudhan</t>
  </si>
  <si>
    <t>S. Sundara Pandiyan</t>
  </si>
  <si>
    <t>T. Avudaiappan</t>
  </si>
  <si>
    <t>V. Viji Rajendran</t>
  </si>
  <si>
    <t>S. Swamynathan</t>
  </si>
  <si>
    <t>Kun Xie</t>
  </si>
  <si>
    <t>Gaogang Xie</t>
  </si>
  <si>
    <t>Dongliang Xie</t>
  </si>
  <si>
    <t>Jiannong Cao</t>
  </si>
  <si>
    <t>Yuqin Ji</t>
  </si>
  <si>
    <t xml:space="preserve"> Jigang Wen</t>
  </si>
  <si>
    <t>José Luis García-Dorado</t>
  </si>
  <si>
    <t>Sanjay G. Rao</t>
  </si>
  <si>
    <t>Shiyou Qian</t>
  </si>
  <si>
    <t>José G. Quenum</t>
  </si>
  <si>
    <t>Jonas Josua</t>
  </si>
  <si>
    <t>Jeroen Van der Ham</t>
  </si>
  <si>
    <t>Volodymyr Yakovenko</t>
  </si>
  <si>
    <t>Mihai Cristea</t>
  </si>
  <si>
    <t>Erik Wittern</t>
  </si>
  <si>
    <t>J¨orn Kuhlenkamp</t>
  </si>
  <si>
    <t>Michael Menzel</t>
  </si>
  <si>
    <t>Cheikh BA</t>
  </si>
  <si>
    <t>Seyed Yahya Vaezpour</t>
  </si>
  <si>
    <t>Gholamali C Shoja</t>
  </si>
  <si>
    <t>José María García</t>
  </si>
  <si>
    <t>Octavio Martín-Díaz</t>
  </si>
  <si>
    <t>Pablo Fernandez</t>
  </si>
  <si>
    <t>Antonio Ruiz-Cortés</t>
  </si>
  <si>
    <t>Miguel Toro</t>
  </si>
  <si>
    <t>Kailash Selvaraj</t>
  </si>
  <si>
    <t>Saswati Mukherjee</t>
  </si>
  <si>
    <t>Abdelkarim Erradi</t>
  </si>
  <si>
    <t>VATCHE ISHAKIAN</t>
  </si>
  <si>
    <t>Richard Greenwell</t>
  </si>
  <si>
    <t>Kevin Chalmers</t>
  </si>
  <si>
    <t>Katerina Stamou</t>
  </si>
  <si>
    <t>Verena Kantere</t>
  </si>
  <si>
    <t>Jean-Henry Morin</t>
  </si>
  <si>
    <t>Ajaykrishna Raghavan</t>
  </si>
  <si>
    <t>Abhishek Chandra</t>
  </si>
  <si>
    <t>Jon B Weissman</t>
  </si>
  <si>
    <t>Jinwei Liu</t>
  </si>
  <si>
    <t>Husnu S. Narman</t>
  </si>
  <si>
    <t>Andre Luckow</t>
  </si>
  <si>
    <t>Shantenu Jha</t>
  </si>
  <si>
    <t>Andrey Brito</t>
  </si>
  <si>
    <t>Mohan Baruwal Chhetri</t>
  </si>
  <si>
    <t>Sergei Chichin</t>
  </si>
  <si>
    <t>Vincenzo De Maio</t>
  </si>
  <si>
    <t>Yangyang Tao</t>
  </si>
  <si>
    <t>Shucheng Yu</t>
  </si>
  <si>
    <t>Jean-Emile Dartois</t>
  </si>
  <si>
    <t>Jalil Boukhobza</t>
  </si>
  <si>
    <t>Vincent Francoise</t>
  </si>
  <si>
    <t>Olivier Barais</t>
  </si>
  <si>
    <t>Sima Soltani</t>
  </si>
  <si>
    <t>Nicolas Bonvin</t>
  </si>
  <si>
    <t>Thanasis G. Papaioannou</t>
  </si>
  <si>
    <t>Karl Aberer</t>
  </si>
  <si>
    <t>Anshuman Biswas</t>
  </si>
  <si>
    <t>Shikharesh Majumdar</t>
  </si>
  <si>
    <t>Biswajit Nandy</t>
  </si>
  <si>
    <t>Ali El-Haraki</t>
  </si>
  <si>
    <t>Shuangcheng Niu</t>
  </si>
  <si>
    <t>Jidong Zhai</t>
  </si>
  <si>
    <t>Xiaosong Ma</t>
  </si>
  <si>
    <t>Xiongchao Tang</t>
  </si>
  <si>
    <t>Wenguang Chen</t>
  </si>
  <si>
    <t>Shuang Chen</t>
  </si>
  <si>
    <t>Christina Delimitrou</t>
  </si>
  <si>
    <t>Zhicheng Cai</t>
  </si>
  <si>
    <t>Jatinder N. D. Gupta</t>
  </si>
  <si>
    <t>Philip Healy</t>
  </si>
  <si>
    <t>Kaniz Fatema</t>
  </si>
  <si>
    <t>Anwar Alyatama</t>
  </si>
  <si>
    <t>Sheriffo Ceesay</t>
  </si>
  <si>
    <t>Yuhui Lin</t>
  </si>
  <si>
    <t>Adam Barker</t>
  </si>
  <si>
    <t>Jeferson R. Brunetta</t>
  </si>
  <si>
    <t>Edson Borin</t>
  </si>
  <si>
    <t>Raghavendra Achar</t>
  </si>
  <si>
    <t>P. Santhi Thilagam</t>
  </si>
  <si>
    <t>Hangwei Qian</t>
  </si>
  <si>
    <t>Hualong Zu</t>
  </si>
  <si>
    <t>Chenghua Cao</t>
  </si>
  <si>
    <t>Qixin Wang</t>
  </si>
  <si>
    <t>G. Breiter</t>
  </si>
  <si>
    <t>V. K. Naik</t>
  </si>
  <si>
    <t>Mathieu Bouet</t>
  </si>
  <si>
    <t>Mario Lopez-Ramos</t>
  </si>
  <si>
    <t>Emmanuel Dotaro</t>
  </si>
  <si>
    <t>H´elia Pouyllau</t>
  </si>
  <si>
    <t>Antonino Galletta</t>
  </si>
  <si>
    <t>Lorenzo Carnevale</t>
  </si>
  <si>
    <t>D. Gallico</t>
  </si>
  <si>
    <t>D. Hacker</t>
  </si>
  <si>
    <t>M. Kourkouli</t>
  </si>
  <si>
    <t>Cosmin Dumitru</t>
  </si>
  <si>
    <t>Ralph Koining</t>
  </si>
  <si>
    <t>Taras Matselyukh</t>
  </si>
  <si>
    <t>Sonja Filiposka</t>
  </si>
  <si>
    <t>Migiel de Vos</t>
  </si>
  <si>
    <t>Daniel Arbel</t>
  </si>
  <si>
    <t>Damir Regvart</t>
  </si>
  <si>
    <t>Tasos Karaliotas</t>
  </si>
  <si>
    <t>Kurt Baumann</t>
  </si>
  <si>
    <t>Rafael Tolosana-Calasanz</t>
  </si>
  <si>
    <t>Yunhao Mao</t>
  </si>
  <si>
    <t>Giuseppe Andronico</t>
  </si>
  <si>
    <t>Marco Fargetta</t>
  </si>
  <si>
    <t>Salvatore Monforte</t>
  </si>
  <si>
    <t>Maurizio Paone</t>
  </si>
  <si>
    <t>Juliana Teixeira</t>
  </si>
  <si>
    <t>Carlos E. Salgado</t>
  </si>
  <si>
    <t>Ricardo J. Machado</t>
  </si>
  <si>
    <t>Silvestre Perez-Ortiz</t>
  </si>
  <si>
    <t>Victor Sosa-Sosa</t>
  </si>
  <si>
    <t>J.L. Gonzalez</t>
  </si>
  <si>
    <t>Luis M. Sanchez</t>
  </si>
  <si>
    <t>Jesus Carretero-Perez</t>
  </si>
  <si>
    <t>Courtney Powell</t>
  </si>
  <si>
    <t>Masaharu Munetomo</t>
  </si>
  <si>
    <t>Attia Wahib</t>
  </si>
  <si>
    <t>Takashi Aizawa</t>
  </si>
  <si>
    <t>Marco Distefano</t>
  </si>
  <si>
    <t>V A Leena</t>
  </si>
  <si>
    <t>A S Ajeena Beegom</t>
  </si>
  <si>
    <t>M S Rajasree</t>
  </si>
  <si>
    <t>Bharti Wadhwa</t>
  </si>
  <si>
    <t>Amandeep Verma</t>
  </si>
  <si>
    <t>Pietrabissa Antonio</t>
  </si>
  <si>
    <t>Battilotti Stefano</t>
  </si>
  <si>
    <t>Facchinei Francisco</t>
  </si>
  <si>
    <t>Giuseppi Alessandro</t>
  </si>
  <si>
    <t>Oddi Guido</t>
  </si>
  <si>
    <t>Panfili Martina</t>
  </si>
  <si>
    <t>Suraci Vincenzo</t>
  </si>
  <si>
    <t>Hiroyuki Sugino</t>
  </si>
  <si>
    <t>Toshiki Nakano</t>
  </si>
  <si>
    <t>Shinji Sugawara</t>
  </si>
  <si>
    <t>Marc E. Frincu</t>
  </si>
  <si>
    <t>Xiao Su</t>
  </si>
  <si>
    <t>Zhenzhen Ye</t>
  </si>
  <si>
    <t>Lingshuang Wu</t>
  </si>
  <si>
    <t>Yi Shang</t>
  </si>
  <si>
    <t>Silvery Fu</t>
  </si>
  <si>
    <t>Sarah Aldawood</t>
  </si>
  <si>
    <t>Frank Fowley</t>
  </si>
  <si>
    <t>Claus Pahl</t>
  </si>
  <si>
    <t>Davide Taibi</t>
  </si>
  <si>
    <t>Abdelmounaam Rezgui</t>
  </si>
  <si>
    <t>Sami Rezgui</t>
  </si>
  <si>
    <t>Luca Silvestri</t>
  </si>
  <si>
    <t>Ruppa K. Thulasiram</t>
  </si>
  <si>
    <t>Harigovind Ramasamy</t>
  </si>
  <si>
    <t>Valentina Salapura</t>
  </si>
  <si>
    <t>Robin Arnold</t>
  </si>
  <si>
    <t>Xu Wang</t>
  </si>
  <si>
    <t>Senthil Bakthavachalam</t>
  </si>
  <si>
    <t>Phil Coulthard</t>
  </si>
  <si>
    <t>Lee Suprenant</t>
  </si>
  <si>
    <t>John Timm</t>
  </si>
  <si>
    <t>Denis Ricard</t>
  </si>
  <si>
    <t>Richard Harper</t>
  </si>
  <si>
    <t>Ahut Gupta</t>
  </si>
  <si>
    <t>Gueyoung Jung</t>
  </si>
  <si>
    <t>Hyunjoo Kim</t>
  </si>
  <si>
    <t>Rob Branchat</t>
  </si>
  <si>
    <t>Mathias Slawick</t>
  </si>
  <si>
    <t>Miroslav Zivkovic</t>
  </si>
  <si>
    <t>Huang Dada</t>
  </si>
  <si>
    <t>Geyong-Ryoon Kim</t>
  </si>
  <si>
    <t>Marian Mihailescu</t>
  </si>
  <si>
    <t>Yong Meng Teo</t>
  </si>
  <si>
    <t>Eyhab Al-Masri</t>
  </si>
  <si>
    <t>Lingwei Meng</t>
  </si>
  <si>
    <t>Felipe Diaz Sanchez</t>
  </si>
  <si>
    <t>Sawsan Al Zahr</t>
  </si>
  <si>
    <t>Jean Pierre Laisne</t>
  </si>
  <si>
    <t>Iain James Marshall</t>
  </si>
  <si>
    <t>heik Mohammad Mostakim Fattah</t>
  </si>
  <si>
    <t>Cong Wang</t>
  </si>
  <si>
    <t>Komal Thareja</t>
  </si>
  <si>
    <t>Michael Stealey</t>
  </si>
  <si>
    <t>Paul Ruth</t>
  </si>
  <si>
    <t>Ilya Baldin</t>
  </si>
  <si>
    <t>Roger Baig</t>
  </si>
  <si>
    <t>Agusti Moll</t>
  </si>
  <si>
    <t>Leandro Navarro</t>
  </si>
  <si>
    <t>Roger Pueyo</t>
  </si>
  <si>
    <t>Vladimir Vlassov</t>
  </si>
  <si>
    <t>Giuseppe Carella</t>
  </si>
  <si>
    <t>Florian Schreiner</t>
  </si>
  <si>
    <t>Olga Wenge</t>
  </si>
  <si>
    <t>Ulrich Lampe</t>
  </si>
  <si>
    <t>Melanie Siebenhaar</t>
  </si>
  <si>
    <t>Alexander Willner</t>
  </si>
  <si>
    <t>Robyn Loughnane</t>
  </si>
  <si>
    <t>Lohit Kapoor</t>
  </si>
  <si>
    <t>Seema Bawa</t>
  </si>
  <si>
    <t>Ankur Gupta</t>
  </si>
  <si>
    <t>Federico Larumbe</t>
  </si>
  <si>
    <t>Brunilde Sans`</t>
  </si>
  <si>
    <t>Do Le Quoc</t>
  </si>
  <si>
    <t>Lenar Yazdanov</t>
  </si>
  <si>
    <t>Christof Fetzer</t>
  </si>
  <si>
    <t>Lino Chamorro</t>
  </si>
  <si>
    <t>Fabio L´opez-Pires</t>
  </si>
  <si>
    <t>Kun Ma</t>
  </si>
  <si>
    <t>Antoine Bagula</t>
  </si>
  <si>
    <t>Hope Mauwa</t>
  </si>
  <si>
    <t>Mona Taghavi</t>
  </si>
  <si>
    <t>Kaveh Bakhtiyari</t>
  </si>
  <si>
    <t>Pankaj Sahu</t>
  </si>
  <si>
    <t>Shubhro Roy</t>
  </si>
  <si>
    <t>Mangesh Gharote</t>
  </si>
  <si>
    <t>Sutapa Mondal</t>
  </si>
  <si>
    <t>Sachin Lodha</t>
  </si>
  <si>
    <t>Anh Quan Nguyen</t>
  </si>
  <si>
    <t>El-Ghazali Talbi</t>
  </si>
  <si>
    <t>Bilkisu Larai Muhammad-Bello</t>
  </si>
  <si>
    <t>Masayoshi Aritsugi</t>
  </si>
  <si>
    <t>Saadeldin Moustafa</t>
  </si>
  <si>
    <t>Marwa Elsayed</t>
  </si>
  <si>
    <t>Beg¨um ?Ilke Zilci</t>
  </si>
  <si>
    <t>Robert Branchat</t>
  </si>
  <si>
    <t>Yang Ji</t>
  </si>
  <si>
    <t>Cheng Xu</t>
  </si>
  <si>
    <t>Jianliang Xu</t>
  </si>
  <si>
    <t>Haibo Hu</t>
  </si>
  <si>
    <t>Nadia Ranaldo</t>
  </si>
  <si>
    <t>Eugenio Zimeo</t>
  </si>
  <si>
    <t>Xi Chen</t>
  </si>
  <si>
    <t>William Knottenbelt</t>
  </si>
  <si>
    <t>Thijs Metsch</t>
  </si>
  <si>
    <t>Olumuyiwa Ibidunmoye</t>
  </si>
  <si>
    <t>Victor Bayon-Molino</t>
  </si>
  <si>
    <t>Joe Butler</t>
  </si>
  <si>
    <t>Franck Fleurey</t>
  </si>
  <si>
    <t>Kyriakos Kritikos</t>
  </si>
  <si>
    <t>Theodore Zahariadis</t>
  </si>
  <si>
    <t>Andreas Papadakis</t>
  </si>
  <si>
    <t>Federico Alvarez</t>
  </si>
  <si>
    <t>Jose Gonzalez</t>
  </si>
  <si>
    <t>Fernando Lopez</t>
  </si>
  <si>
    <t>Federico Facca</t>
  </si>
  <si>
    <t>Martin Bullman</t>
  </si>
  <si>
    <t>Yucong Duan</t>
  </si>
  <si>
    <t>Nanjangud C. Narendra</t>
  </si>
  <si>
    <t>Wencai Du</t>
  </si>
  <si>
    <t>Yongzhi Wang</t>
  </si>
  <si>
    <t>Nianjun Zhou</t>
  </si>
  <si>
    <t>Sara Mahmoud</t>
  </si>
  <si>
    <t>Nader Mohamed</t>
  </si>
  <si>
    <t>Pascal Poizat</t>
  </si>
  <si>
    <t>Ludeng Zhao</t>
  </si>
  <si>
    <t>Satish Kumar</t>
  </si>
  <si>
    <t>Tao Chen</t>
  </si>
  <si>
    <t>Phu H. Nguyen</t>
  </si>
  <si>
    <t>Jens Glattetre</t>
  </si>
  <si>
    <t>Thomas Schjerpen</t>
  </si>
  <si>
    <t>Benedikt Pittl</t>
  </si>
  <si>
    <t>Stefan Starflinger</t>
  </si>
  <si>
    <t>Werner Mach</t>
  </si>
  <si>
    <t>Ingo Weber</t>
  </si>
  <si>
    <t>Norman May</t>
  </si>
  <si>
    <t>J¨org Hoffmann</t>
  </si>
  <si>
    <t>Tomasz Kaczmarek</t>
  </si>
  <si>
    <t>Qingye Jiang</t>
  </si>
  <si>
    <t>Young Choon Lee</t>
  </si>
  <si>
    <t>Logan Stafman</t>
  </si>
  <si>
    <t>Andrew Or</t>
  </si>
  <si>
    <t>Michael J. Freedman</t>
  </si>
  <si>
    <t>Abdessalam Elhabbash</t>
  </si>
  <si>
    <t>Assylbek Jumagaliyev</t>
  </si>
  <si>
    <t>Gordon S. Blair</t>
  </si>
  <si>
    <t>Yehia Elkhatib</t>
  </si>
  <si>
    <t>Marco Comerio</t>
  </si>
  <si>
    <t>Flavio De Paoli</t>
  </si>
  <si>
    <t>Thomas Richard Connor</t>
  </si>
  <si>
    <t>Joel Southgate</t>
  </si>
  <si>
    <t>Vincent Reniers</t>
  </si>
  <si>
    <t>Sujoy Basu</t>
  </si>
  <si>
    <t>Sven Graupner</t>
  </si>
  <si>
    <t>Jim Pruyne</t>
  </si>
  <si>
    <t>Sharad Singhal</t>
  </si>
  <si>
    <t>Eduardo Silva</t>
  </si>
  <si>
    <t>Marten van Sinderen</t>
  </si>
  <si>
    <t>I. Saravanan</t>
  </si>
  <si>
    <t>Rajeswari Sridhar</t>
  </si>
  <si>
    <t>Abdallah Ali Zainelabden Abdallah Ibrahim</t>
  </si>
  <si>
    <t>Sebastien Varrette</t>
  </si>
  <si>
    <t>Erbin Lim</t>
  </si>
  <si>
    <t>Philippe Thiran</t>
  </si>
  <si>
    <t>Jesper Andersson</t>
  </si>
  <si>
    <t>Andreas Heberle</t>
  </si>
  <si>
    <t>Jens Kirchner</t>
  </si>
  <si>
    <t>Welf L¨owe</t>
  </si>
  <si>
    <t>Linlin Wu</t>
  </si>
  <si>
    <t>Saurabh Kumar Garg</t>
  </si>
  <si>
    <t>Chao Chen</t>
  </si>
  <si>
    <t>Steve Versteeg</t>
  </si>
  <si>
    <t>Manav Singhal</t>
  </si>
  <si>
    <t>Jay Ramanathan</t>
  </si>
  <si>
    <t>Marjorie Skubic</t>
  </si>
  <si>
    <t>Guodong Fan</t>
  </si>
  <si>
    <t>Ming Zhu</t>
  </si>
  <si>
    <t>Manel Mrabet</t>
  </si>
  <si>
    <t>Yosra Ben Saied</t>
  </si>
  <si>
    <t>Leila Azouz Saidane</t>
  </si>
  <si>
    <t>Rashda Khanam</t>
  </si>
  <si>
    <t>Jian Li</t>
  </si>
  <si>
    <t>Yongqing Zheng</t>
  </si>
  <si>
    <t>Chin-Chih Chang</t>
  </si>
  <si>
    <t>Young-Lin Lo</t>
  </si>
  <si>
    <t>Xumin Liu</t>
  </si>
  <si>
    <t>Jiangang Ma</t>
  </si>
  <si>
    <t>Yanchun Zhang</t>
  </si>
  <si>
    <t>Samia Nisar</t>
  </si>
  <si>
    <t>Uwe Breitenbücher</t>
  </si>
  <si>
    <t>Tobias Binz</t>
  </si>
  <si>
    <t>Oliver Kopp</t>
  </si>
  <si>
    <t>Johannes Wettinger</t>
  </si>
  <si>
    <t>Le Duy Ngan</t>
  </si>
  <si>
    <t>Rajaraman Kanagasabai</t>
  </si>
  <si>
    <t>Ornella Adinolfi</t>
  </si>
  <si>
    <t>Rosario Cristaldi</t>
  </si>
  <si>
    <t>Luigi Coppolino</t>
  </si>
  <si>
    <t>Luigi Romano</t>
  </si>
  <si>
    <t>Faisal Hafeez</t>
  </si>
  <si>
    <t>Pezhman Nasirifard</t>
  </si>
  <si>
    <t>Hans-Arno Jacobsen</t>
  </si>
  <si>
    <t>Masoumeh Tajvidi</t>
  </si>
  <si>
    <t>Joanna Kolodziej</t>
  </si>
  <si>
    <t>Xiaona Xia</t>
  </si>
  <si>
    <t>Chunmei Ma</t>
  </si>
  <si>
    <t>Jinfeng Liu</t>
  </si>
  <si>
    <t>Yizhu Wang</t>
  </si>
  <si>
    <t>Huifang Li</t>
  </si>
  <si>
    <t>Zhiwei Lin</t>
  </si>
  <si>
    <t>Yuanqing Xia</t>
  </si>
  <si>
    <t>Eunji Hwang</t>
  </si>
  <si>
    <t>Kyong Hoon Kim</t>
  </si>
  <si>
    <t>Thiago Caproni Tavares</t>
  </si>
  <si>
    <t>Regina Helenna Carlucci Santana</t>
  </si>
  <si>
    <t>Marcos José Santana</t>
  </si>
  <si>
    <t>Júlio Cezar Estrella</t>
  </si>
  <si>
    <t>Siegfried Benkner</t>
  </si>
  <si>
    <t>Chris Borckholder</t>
  </si>
  <si>
    <t>Yuriy Kaniovskyi Alfredo Saglimbeni</t>
  </si>
  <si>
    <t>Tomas Pariente Lobo</t>
  </si>
  <si>
    <t>Piotr Nowakowski</t>
  </si>
  <si>
    <t>Steven Wood</t>
  </si>
  <si>
    <t>Dhanwant S. Kang</t>
  </si>
  <si>
    <t>Hua Liu</t>
  </si>
  <si>
    <t>Munindar P. Singh</t>
  </si>
  <si>
    <t>Tong Sun</t>
  </si>
  <si>
    <t>Huaimin Wang</t>
  </si>
  <si>
    <t>Peichang Shi</t>
  </si>
  <si>
    <t>Yiming Zhang</t>
  </si>
  <si>
    <t>Ion Stoica</t>
  </si>
  <si>
    <t>Scott Shenker</t>
  </si>
  <si>
    <t>Soumya Maity</t>
  </si>
  <si>
    <t>Arindam Chaudhuri</t>
  </si>
  <si>
    <t>Kevin Kofler</t>
  </si>
  <si>
    <t>Melanie Holloway</t>
  </si>
  <si>
    <t>Abdallah Abouzamazem</t>
  </si>
  <si>
    <t>Paul Ezhilchelvan</t>
  </si>
  <si>
    <t>Zille Huma</t>
  </si>
  <si>
    <t>Christian Gerth</t>
  </si>
  <si>
    <t>Gregor Engels</t>
  </si>
  <si>
    <t>Oliver Juwig</t>
  </si>
  <si>
    <t>Haidong Zhao</t>
  </si>
  <si>
    <t>Zakaria Benomar</t>
  </si>
  <si>
    <t>Tobias Pfandzelter</t>
  </si>
  <si>
    <t>Nikolaos Georgantas</t>
  </si>
  <si>
    <t>Azubuike Ezenwoke</t>
  </si>
  <si>
    <t>Olawande Daramola</t>
  </si>
  <si>
    <t>Matthew Adigun</t>
  </si>
  <si>
    <t>Azzam Alsudais</t>
  </si>
  <si>
    <t>Mohammad Hashemi</t>
  </si>
  <si>
    <t>Zhe Huang</t>
  </si>
  <si>
    <t>Bharath Balasubramanian</t>
  </si>
  <si>
    <t>Shankaranarayanan Puzhavakath Narayanan</t>
  </si>
  <si>
    <t>Eric Keller</t>
  </si>
  <si>
    <t>Kaustubh Joshi</t>
  </si>
  <si>
    <t>Chhabi Rani Panigrahi</t>
  </si>
  <si>
    <t>Mayank Tiwary</t>
  </si>
  <si>
    <t>Bibudhendu Pati</t>
  </si>
  <si>
    <t>Rachita Misra</t>
  </si>
  <si>
    <t>H. Mearns</t>
  </si>
  <si>
    <t>J. Leaney</t>
  </si>
  <si>
    <t>A. Parakhine</t>
  </si>
  <si>
    <t>J. Debenham</t>
  </si>
  <si>
    <t>D. Verchere</t>
  </si>
  <si>
    <t>Marco A. S. Netto</t>
  </si>
  <si>
    <t>Shyam S. Wagle</t>
  </si>
  <si>
    <t>Oscar González-Rojas</t>
  </si>
  <si>
    <t>Juan Tafurth</t>
  </si>
  <si>
    <t>Bassem El Zant</t>
  </si>
  <si>
    <t>Isabel Amigo</t>
  </si>
  <si>
    <t>Ashraf Al-Ou'n</t>
  </si>
  <si>
    <t>Mariam Kiran</t>
  </si>
  <si>
    <t>Demetres D. Kouvatsos</t>
  </si>
  <si>
    <t>Johannes Grohmann</t>
  </si>
  <si>
    <t>Patrick K. Nicholson</t>
  </si>
  <si>
    <t>Jesus Omana Iglesias</t>
  </si>
  <si>
    <t>Samuel Kounev</t>
  </si>
  <si>
    <t>Diego Lugones</t>
  </si>
  <si>
    <t>Eduardo Falcão</t>
  </si>
  <si>
    <t>Constantin Gaul</t>
  </si>
  <si>
    <t>Marc Körner</t>
  </si>
  <si>
    <t>Odej Kao</t>
  </si>
  <si>
    <t>Umesh Bellur</t>
  </si>
  <si>
    <t>Arpit Malani</t>
  </si>
  <si>
    <t>Javier Diaz Montes</t>
  </si>
  <si>
    <t>Li Pan</t>
  </si>
  <si>
    <t>Bo An</t>
  </si>
  <si>
    <t>Shijun Liu</t>
  </si>
  <si>
    <t>Shrenik Jain</t>
  </si>
  <si>
    <t>Yahav Biran</t>
  </si>
  <si>
    <t>George Collins</t>
  </si>
  <si>
    <t>Syed Azam</t>
  </si>
  <si>
    <t>Joel Dubow</t>
  </si>
  <si>
    <t>Yacine Rezgui</t>
  </si>
  <si>
    <t>Andy Sutton</t>
  </si>
  <si>
    <t>Daniel Baur</t>
  </si>
  <si>
    <t>Frank Griesinger</t>
  </si>
  <si>
    <t>Yiannis Verginadis</t>
  </si>
  <si>
    <t>Vasilis Stefanidis</t>
  </si>
  <si>
    <t>Ioannis Patiniotakis</t>
  </si>
  <si>
    <t>S. L. Kiani</t>
  </si>
  <si>
    <t>K. Munir</t>
  </si>
  <si>
    <t>N. Antonopoulos</t>
  </si>
  <si>
    <t>Benjamin Aupetit</t>
  </si>
  <si>
    <t>Anthony Simonet-Boulogne</t>
  </si>
  <si>
    <t>Luciano Barreto</t>
  </si>
  <si>
    <t>Joni Fraga</t>
  </si>
  <si>
    <t>Frank Siqueira</t>
  </si>
  <si>
    <t>BV Babu</t>
  </si>
  <si>
    <t>Wenrui Li</t>
  </si>
  <si>
    <t>Pengcheng Zhang</t>
  </si>
  <si>
    <t>Zhongxue Yang</t>
  </si>
  <si>
    <t>Ana Vazquez</t>
  </si>
  <si>
    <t>Mohamed El Menshawy</t>
  </si>
  <si>
    <t>Islam Elgedawy</t>
  </si>
  <si>
    <t>Wided Mathlouthi</t>
  </si>
  <si>
    <t>Narj`es Bellamine Ben Saoud</t>
  </si>
  <si>
    <t>Amro Najjar</t>
  </si>
  <si>
    <t>Xavier Serpaggi</t>
  </si>
  <si>
    <t>Christophe Gravier</t>
  </si>
  <si>
    <t>Olivier Boissier</t>
  </si>
  <si>
    <t>Wilson A. Higashino</t>
  </si>
  <si>
    <t>Miriam A.M. Capretz</t>
  </si>
  <si>
    <t>Kais Klai</t>
  </si>
  <si>
    <t>Hanen Ochi</t>
  </si>
  <si>
    <t>Wei Wu</t>
  </si>
  <si>
    <t>Lu Liu</t>
  </si>
  <si>
    <t>John Panneerselvam</t>
  </si>
  <si>
    <t>Yanmei Zhang</t>
  </si>
  <si>
    <t>Chong Zhu</t>
  </si>
  <si>
    <t>Xiaoyi Tang</t>
  </si>
  <si>
    <t>Hengyue Jia</t>
  </si>
  <si>
    <t>Xiuli Wang</t>
  </si>
  <si>
    <t>Leila Sharifi</t>
  </si>
  <si>
    <t>Luis Veiga</t>
  </si>
  <si>
    <t>Hadeel T. El Kassabi</t>
  </si>
  <si>
    <t>Mohamed Adel Serhani</t>
  </si>
  <si>
    <t>Pritesh Jain</t>
  </si>
  <si>
    <t>Dheeraj Rane</t>
  </si>
  <si>
    <t>Shyam Patidar</t>
  </si>
  <si>
    <t>Bharathan S</t>
  </si>
  <si>
    <t>C Rajendran</t>
  </si>
  <si>
    <t>Sundarraj RP</t>
  </si>
  <si>
    <t>Fabrizio Messina</t>
  </si>
  <si>
    <t>Giuseppe Pappalardo</t>
  </si>
  <si>
    <t>Corrado Santoro</t>
  </si>
  <si>
    <t>Jihe Wang</t>
  </si>
  <si>
    <t>Bing Guo</t>
  </si>
  <si>
    <t>Meikang Qiu</t>
  </si>
  <si>
    <t>Zhong Ming</t>
  </si>
  <si>
    <t>Canh Ngo</t>
  </si>
  <si>
    <t>Craig Lee</t>
  </si>
  <si>
    <t>Jacek Cala</t>
  </si>
  <si>
    <t>Michal Giertych</t>
  </si>
  <si>
    <t>Ümit C. Büyüksahin</t>
  </si>
  <si>
    <t>Lukasz Drzewieckid</t>
  </si>
  <si>
    <t>Begüm Ilke Zilci</t>
  </si>
  <si>
    <t>Benjam´in Bar´an</t>
  </si>
  <si>
    <t>Pawel Skrzypek</t>
  </si>
  <si>
    <t>Marta Rózanska</t>
  </si>
  <si>
    <t>Lu´is Ferreira Pires</t>
  </si>
  <si>
    <t>Name</t>
  </si>
  <si>
    <t>X-axis (authors)</t>
  </si>
  <si>
    <t>Y-axis (topic)</t>
  </si>
  <si>
    <t>Number</t>
  </si>
  <si>
    <t>e</t>
  </si>
  <si>
    <t>China</t>
  </si>
  <si>
    <t>United States</t>
  </si>
  <si>
    <t>India</t>
  </si>
  <si>
    <t>Australia</t>
  </si>
  <si>
    <t>United Kingdom</t>
  </si>
  <si>
    <t>Canada</t>
  </si>
  <si>
    <t>Italy</t>
  </si>
  <si>
    <t>Iran</t>
  </si>
  <si>
    <t>Germany</t>
  </si>
  <si>
    <t>France</t>
  </si>
  <si>
    <t>Spain</t>
  </si>
  <si>
    <t>Pakistan</t>
  </si>
  <si>
    <t>South Korea</t>
  </si>
  <si>
    <t>Brazil</t>
  </si>
  <si>
    <t>Sweden</t>
  </si>
  <si>
    <t>Greece</t>
  </si>
  <si>
    <t>Oman</t>
  </si>
  <si>
    <t>Austria</t>
  </si>
  <si>
    <t>Tunisia</t>
  </si>
  <si>
    <t>Japan</t>
  </si>
  <si>
    <t>Singapore</t>
  </si>
  <si>
    <t>Netherlands</t>
  </si>
  <si>
    <t>Saudi Arabia</t>
  </si>
  <si>
    <t>Ireland</t>
  </si>
  <si>
    <t>Poland</t>
  </si>
  <si>
    <t>New Zealand</t>
  </si>
  <si>
    <t>Switzerland</t>
  </si>
  <si>
    <t>United Arab Emirates</t>
  </si>
  <si>
    <t>Romania</t>
  </si>
  <si>
    <t>Belgium</t>
  </si>
  <si>
    <t>Portugal</t>
  </si>
  <si>
    <t>Hong Kong</t>
  </si>
  <si>
    <t>Jordan</t>
  </si>
  <si>
    <t>Lebanon</t>
  </si>
  <si>
    <t>Qatar</t>
  </si>
  <si>
    <t>Hungary</t>
  </si>
  <si>
    <t>Turkey</t>
  </si>
  <si>
    <t>Egypt</t>
  </si>
  <si>
    <t>Taiwan</t>
  </si>
  <si>
    <t>Norway</t>
  </si>
  <si>
    <t>Algeria</t>
  </si>
  <si>
    <t>South Africa</t>
  </si>
  <si>
    <t>Iraq</t>
  </si>
  <si>
    <t>Georgia</t>
  </si>
  <si>
    <t>Luxembourg</t>
  </si>
  <si>
    <t>Malaysia</t>
  </si>
  <si>
    <t>Chile</t>
  </si>
  <si>
    <t>Nigeria</t>
  </si>
  <si>
    <t xml:space="preserve">China </t>
  </si>
  <si>
    <t>Colombia</t>
  </si>
  <si>
    <t>Russia</t>
  </si>
  <si>
    <t>Cyprus</t>
  </si>
  <si>
    <t>Slovakia</t>
  </si>
  <si>
    <t>Israel</t>
  </si>
  <si>
    <t>Vietnam</t>
  </si>
  <si>
    <t>Croatia</t>
  </si>
  <si>
    <t>Yemen</t>
  </si>
  <si>
    <t>Finland</t>
  </si>
  <si>
    <t>Sri Lanka</t>
  </si>
  <si>
    <t>Namibia</t>
  </si>
  <si>
    <t>Senegal</t>
  </si>
  <si>
    <t>Kuwait</t>
  </si>
  <si>
    <t>North Macedonia</t>
  </si>
  <si>
    <t>Mexico</t>
  </si>
  <si>
    <t>Paraguay</t>
  </si>
  <si>
    <t>ACM Transactions on Computer Systems</t>
  </si>
  <si>
    <t>IEEE International Conference on Cloud Networking</t>
  </si>
  <si>
    <t>IEEE High Performance Extreme Computing Conference</t>
  </si>
  <si>
    <t xml:space="preserve">European Conference on Parallel Processing </t>
  </si>
  <si>
    <t xml:space="preserve">Chinese Control Conference </t>
  </si>
  <si>
    <t xml:space="preserve">ACM/SPEC International Conference on Performance Engineering </t>
  </si>
  <si>
    <t xml:space="preserve">ACM/IFIP/USENIX International Middleware Conference </t>
  </si>
  <si>
    <t xml:space="preserve">IEEE International Conference on Distributed Computing Systems </t>
  </si>
  <si>
    <t>IEEE International Conference on Future Internet of Things and Cloud</t>
  </si>
  <si>
    <t xml:space="preserve">IEEE/ACM International Symposium on Cluster Computing and the Grid </t>
  </si>
  <si>
    <t>International Conference on Advanced Computing &amp; Communication Technologies</t>
  </si>
  <si>
    <t>International Conference on Architectural Support for Programming Languages and Operating Systems</t>
  </si>
  <si>
    <t xml:space="preserve">International Conference on Automated Software Engineering </t>
  </si>
  <si>
    <t>International Conference on Big Data</t>
  </si>
  <si>
    <t>International Conference on Cluster Computing</t>
  </si>
  <si>
    <t>International Conference on Collaboration Technologies and Systems</t>
  </si>
  <si>
    <t>International Conference on Communication Systems and Networks</t>
  </si>
  <si>
    <t xml:space="preserve">International Conference on Computing, Networking and Communications </t>
  </si>
  <si>
    <t xml:space="preserve">International Conference on Data Engineering </t>
  </si>
  <si>
    <t xml:space="preserve">International Conference on Grid Computing </t>
  </si>
  <si>
    <t xml:space="preserve">Workshop on Hot Topics in Operating Systems </t>
  </si>
  <si>
    <t>IEEE International Conference on Future Internet of Things and Cloud (FiCloud)</t>
  </si>
  <si>
    <t xml:space="preserve">Journal of Computer and System Sciences </t>
  </si>
  <si>
    <t>2014</t>
  </si>
  <si>
    <t>2009</t>
  </si>
  <si>
    <t>2010</t>
  </si>
  <si>
    <t>2011</t>
  </si>
  <si>
    <t>2012</t>
  </si>
  <si>
    <t>2013</t>
  </si>
  <si>
    <t>2015</t>
  </si>
  <si>
    <t>2016</t>
  </si>
  <si>
    <t>2017</t>
  </si>
  <si>
    <t>2018</t>
  </si>
  <si>
    <t>2019</t>
  </si>
  <si>
    <t>2020</t>
  </si>
  <si>
    <t>2021</t>
  </si>
  <si>
    <t>2022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</si>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</sst>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left" vertical="center" readingOrder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readingOrder="1"/>
    </xf>
    <xf numFmtId="0" fontId="2" fillId="0" borderId="0" xfId="0" applyFont="1" applyFill="1" applyAlignment="1">
      <alignment vertical="center"/>
    </xf>
    <xf numFmtId="0" fontId="3" fillId="0" borderId="9" xfId="0" applyFont="1" applyFill="1" applyBorder="1" applyAlignment="1">
      <alignment horizontal="left" vertical="center" readingOrder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readingOrder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Fill="1"/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 applyProtection="1">
      <alignment horizontal="left" vertical="center"/>
    </xf>
    <xf numFmtId="0" fontId="7" fillId="0" borderId="10" xfId="0" applyFont="1" applyFill="1" applyBorder="1"/>
    <xf numFmtId="0" fontId="7" fillId="0" borderId="11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/>
  </cellXfs>
  <cellStyles count="2">
    <cellStyle name="Hyperlink" xfId="1" xr:uid="{00000000-0005-0000-0000-000001000000}"/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D0803"/>
      <color rgb="FF7405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1"/>
          <c:tx>
            <c:v>topics</c:v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29D2267-F2A9-4B08-80B7-3C97EF072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D84-4D6A-BF9D-2CB6DA8D5E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02CCE8-5DBF-4BE5-8AF1-BDF71696F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D84-4D6A-BF9D-2CB6DA8D5E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77B440-4FC1-45B3-A15F-30DA3D44C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D84-4D6A-BF9D-2CB6DA8D5E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A510E0-3654-4925-9408-9DCFC11C3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84-4D6A-BF9D-2CB6DA8D5E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C345C6-F1D8-4EF8-8404-BFFE22700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D84-4D6A-BF9D-2CB6DA8D5E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22F2E6B-D916-4DC5-8035-8C0F744F6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84-4D6A-BF9D-2CB6DA8D5E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28E315-BFEB-4F47-BFE3-600F7C5E1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D84-4D6A-BF9D-2CB6DA8D5E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46BE6E-A221-48F6-BB95-A32D5FB40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D84-4D6A-BF9D-2CB6DA8D5E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6CCFD62-46B7-49FC-A013-21C36EE58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D84-4D6A-BF9D-2CB6DA8D5E0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4A7B7E7-4721-4D26-89B9-B8DE29384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D84-4D6A-BF9D-2CB6DA8D5E0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201CDFA-8DA6-4548-84EA-0278A9591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D84-4D6A-BF9D-2CB6DA8D5E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</c:numLit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([1]Topics!$A$3:$A$7,[1]Topics!$A$9:$A$14)</c15:f>
                <c15:dlblRangeCache>
                  <c:ptCount val="11"/>
                  <c:pt idx="0">
                    <c:v>Composition</c:v>
                  </c:pt>
                  <c:pt idx="1">
                    <c:v>Discovery</c:v>
                  </c:pt>
                  <c:pt idx="2">
                    <c:v>Selection</c:v>
                  </c:pt>
                  <c:pt idx="3">
                    <c:v>Recommendation</c:v>
                  </c:pt>
                  <c:pt idx="4">
                    <c:v>Resource Management-CS</c:v>
                  </c:pt>
                  <c:pt idx="5">
                    <c:v>Resource Management-PS</c:v>
                  </c:pt>
                  <c:pt idx="6">
                    <c:v>SLA Management</c:v>
                  </c:pt>
                  <c:pt idx="7">
                    <c:v>Big Data</c:v>
                  </c:pt>
                  <c:pt idx="8">
                    <c:v>Energy Management</c:v>
                  </c:pt>
                  <c:pt idx="9">
                    <c:v>Monitoring</c:v>
                  </c:pt>
                  <c:pt idx="10">
                    <c:v>Pricing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5D84-4D6A-BF9D-2CB6DA8D5E0D}"/>
            </c:ext>
          </c:extLst>
        </c:ser>
        <c:ser>
          <c:idx val="2"/>
          <c:order val="2"/>
          <c:tx>
            <c:v>authors</c:v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6BD28A-0428-419B-8D3D-7F68DCF53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D84-4D6A-BF9D-2CB6DA8D5E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5263E8-B756-4B6A-94A8-147424C46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D84-4D6A-BF9D-2CB6DA8D5E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798D94-7178-47FD-BF5A-0A0039C70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D84-4D6A-BF9D-2CB6DA8D5E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F1B6CC-4F51-48B7-9D9B-EF7C498B5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D84-4D6A-BF9D-2CB6DA8D5E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947006-F93D-42F2-A3A8-5AC1CE97D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D84-4D6A-BF9D-2CB6DA8D5E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510A04-1C7E-4FBD-80EE-A4CE5B7A3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D84-4D6A-BF9D-2CB6DA8D5E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0F53923-A962-44E2-B948-B18E679C0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D84-4D6A-BF9D-2CB6DA8D5E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[1]Authors!$A$2:$A$8</c15:f>
                <c15:dlblRangeCache>
                  <c:ptCount val="7"/>
                  <c:pt idx="0">
                    <c:v>Rajkumar Buyya</c:v>
                  </c:pt>
                  <c:pt idx="1">
                    <c:v>Athman Bouguettaya</c:v>
                  </c:pt>
                  <c:pt idx="2">
                    <c:v>Hai Dong</c:v>
                  </c:pt>
                  <c:pt idx="3">
                    <c:v>Omer F. Rana</c:v>
                  </c:pt>
                  <c:pt idx="4">
                    <c:v>Sajib Mistry</c:v>
                  </c:pt>
                  <c:pt idx="5">
                    <c:v>Yuri Demchenko</c:v>
                  </c:pt>
                  <c:pt idx="6">
                    <c:v>Zhen Ye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5D84-4D6A-BF9D-2CB6DA8D5E0D}"/>
            </c:ext>
          </c:extLst>
        </c:ser>
        <c:ser>
          <c:idx val="3"/>
          <c:order val="3"/>
          <c:tx>
            <c:strRef>
              <c:f>[1]Authors!$C$1</c:f>
              <c:strCache>
                <c:ptCount val="1"/>
                <c:pt idx="0">
                  <c:v>Composition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bubbleSize>
            <c:numRef>
              <c:f>[1]Authors!$C$2:$C$8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5D84-4D6A-BF9D-2CB6DA8D5E0D}"/>
            </c:ext>
          </c:extLst>
        </c:ser>
        <c:ser>
          <c:idx val="4"/>
          <c:order val="4"/>
          <c:tx>
            <c:strRef>
              <c:f>[1]Authors!$D$1</c:f>
              <c:strCache>
                <c:ptCount val="1"/>
                <c:pt idx="0">
                  <c:v>Discovery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</c:numLit>
          </c:yVal>
          <c:bubbleSize>
            <c:numRef>
              <c:f>[1]Authors!$D$2:$D$8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5D84-4D6A-BF9D-2CB6DA8D5E0D}"/>
            </c:ext>
          </c:extLst>
        </c:ser>
        <c:ser>
          <c:idx val="5"/>
          <c:order val="5"/>
          <c:tx>
            <c:strRef>
              <c:f>[1]Authors!$E$1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</c:numLit>
          </c:yVal>
          <c:bubbleSize>
            <c:numRef>
              <c:f>[1]Authors!$E$2:$E$8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5D84-4D6A-BF9D-2CB6DA8D5E0D}"/>
            </c:ext>
          </c:extLst>
        </c:ser>
        <c:ser>
          <c:idx val="6"/>
          <c:order val="6"/>
          <c:tx>
            <c:strRef>
              <c:f>[1]Authors!$F$1</c:f>
              <c:strCache>
                <c:ptCount val="1"/>
                <c:pt idx="0">
                  <c:v>Recommendation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4</c:v>
              </c:pt>
              <c:pt idx="9">
                <c:v>4</c:v>
              </c:pt>
              <c:pt idx="10">
                <c:v>4</c:v>
              </c:pt>
            </c:numLit>
          </c:yVal>
          <c:bubbleSize>
            <c:numRef>
              <c:f>[1]Authors!$F$2:$F$8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5D84-4D6A-BF9D-2CB6DA8D5E0D}"/>
            </c:ext>
          </c:extLst>
        </c:ser>
        <c:ser>
          <c:idx val="7"/>
          <c:order val="7"/>
          <c:tx>
            <c:strRef>
              <c:f>[1]Authors!$G$1</c:f>
              <c:strCache>
                <c:ptCount val="1"/>
                <c:pt idx="0">
                  <c:v>Resource Management-CS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5</c:v>
              </c:pt>
              <c:pt idx="1">
                <c:v>5</c:v>
              </c:pt>
              <c:pt idx="2">
                <c:v>5</c:v>
              </c:pt>
              <c:pt idx="3">
                <c:v>5</c:v>
              </c:pt>
              <c:pt idx="4">
                <c:v>5</c:v>
              </c:pt>
              <c:pt idx="5">
                <c:v>5</c:v>
              </c:pt>
              <c:pt idx="6">
                <c:v>5</c:v>
              </c:pt>
              <c:pt idx="7">
                <c:v>5</c:v>
              </c:pt>
              <c:pt idx="8">
                <c:v>5</c:v>
              </c:pt>
              <c:pt idx="9">
                <c:v>5</c:v>
              </c:pt>
              <c:pt idx="10">
                <c:v>5</c:v>
              </c:pt>
            </c:numLit>
          </c:yVal>
          <c:bubbleSize>
            <c:numRef>
              <c:f>[1]Authors!$G$2:$G$8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5D84-4D6A-BF9D-2CB6DA8D5E0D}"/>
            </c:ext>
          </c:extLst>
        </c:ser>
        <c:ser>
          <c:idx val="8"/>
          <c:order val="8"/>
          <c:tx>
            <c:strRef>
              <c:f>[1]Authors!$H$1</c:f>
              <c:strCache>
                <c:ptCount val="1"/>
                <c:pt idx="0">
                  <c:v>Resource Management-PS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6</c:v>
              </c:pt>
              <c:pt idx="1">
                <c:v>6</c:v>
              </c:pt>
              <c:pt idx="2">
                <c:v>6</c:v>
              </c:pt>
              <c:pt idx="3">
                <c:v>6</c:v>
              </c:pt>
              <c:pt idx="4">
                <c:v>6</c:v>
              </c:pt>
              <c:pt idx="5">
                <c:v>6</c:v>
              </c:pt>
              <c:pt idx="6">
                <c:v>6</c:v>
              </c:pt>
              <c:pt idx="7">
                <c:v>6</c:v>
              </c:pt>
              <c:pt idx="8">
                <c:v>6</c:v>
              </c:pt>
              <c:pt idx="9">
                <c:v>6</c:v>
              </c:pt>
              <c:pt idx="10">
                <c:v>6</c:v>
              </c:pt>
            </c:numLit>
          </c:yVal>
          <c:bubbleSize>
            <c:numRef>
              <c:f>[1]Authors!$H$2:$H$8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9-5D84-4D6A-BF9D-2CB6DA8D5E0D}"/>
            </c:ext>
          </c:extLst>
        </c:ser>
        <c:ser>
          <c:idx val="9"/>
          <c:order val="9"/>
          <c:tx>
            <c:strRef>
              <c:f>[1]Authors!$I$1</c:f>
              <c:strCache>
                <c:ptCount val="1"/>
                <c:pt idx="0">
                  <c:v>SLA Management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7</c:v>
              </c:pt>
              <c:pt idx="1">
                <c:v>7</c:v>
              </c:pt>
              <c:pt idx="2">
                <c:v>7</c:v>
              </c:pt>
              <c:pt idx="3">
                <c:v>7</c:v>
              </c:pt>
              <c:pt idx="4">
                <c:v>7</c:v>
              </c:pt>
              <c:pt idx="5">
                <c:v>7</c:v>
              </c:pt>
              <c:pt idx="6">
                <c:v>7</c:v>
              </c:pt>
              <c:pt idx="7">
                <c:v>7</c:v>
              </c:pt>
              <c:pt idx="8">
                <c:v>7</c:v>
              </c:pt>
              <c:pt idx="9">
                <c:v>7</c:v>
              </c:pt>
              <c:pt idx="10">
                <c:v>7</c:v>
              </c:pt>
            </c:numLit>
          </c:yVal>
          <c:bubbleSize>
            <c:numRef>
              <c:f>[1]Authors!$I$2:$I$8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D84-4D6A-BF9D-2CB6DA8D5E0D}"/>
            </c:ext>
          </c:extLst>
        </c:ser>
        <c:ser>
          <c:idx val="10"/>
          <c:order val="10"/>
          <c:tx>
            <c:strRef>
              <c:f>[1]Authors!$J$1</c:f>
              <c:strCache>
                <c:ptCount val="1"/>
                <c:pt idx="0">
                  <c:v>Big Data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8</c:v>
              </c:pt>
              <c:pt idx="1">
                <c:v>8</c:v>
              </c:pt>
              <c:pt idx="2">
                <c:v>8</c:v>
              </c:pt>
              <c:pt idx="3">
                <c:v>8</c:v>
              </c:pt>
              <c:pt idx="4">
                <c:v>8</c:v>
              </c:pt>
              <c:pt idx="5">
                <c:v>8</c:v>
              </c:pt>
              <c:pt idx="6">
                <c:v>8</c:v>
              </c:pt>
              <c:pt idx="7">
                <c:v>8</c:v>
              </c:pt>
              <c:pt idx="8">
                <c:v>8</c:v>
              </c:pt>
              <c:pt idx="9">
                <c:v>8</c:v>
              </c:pt>
              <c:pt idx="10">
                <c:v>8</c:v>
              </c:pt>
            </c:numLit>
          </c:yVal>
          <c:bubbleSize>
            <c:numRef>
              <c:f>[1]Authors!$J$2:$J$8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5D84-4D6A-BF9D-2CB6DA8D5E0D}"/>
            </c:ext>
          </c:extLst>
        </c:ser>
        <c:ser>
          <c:idx val="11"/>
          <c:order val="11"/>
          <c:tx>
            <c:strRef>
              <c:f>[1]Authors!$K$1</c:f>
              <c:strCache>
                <c:ptCount val="1"/>
                <c:pt idx="0">
                  <c:v>Energy Management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9</c:v>
              </c:pt>
              <c:pt idx="1">
                <c:v>9</c:v>
              </c:pt>
              <c:pt idx="2">
                <c:v>9</c:v>
              </c:pt>
              <c:pt idx="3">
                <c:v>9</c:v>
              </c:pt>
              <c:pt idx="4">
                <c:v>9</c:v>
              </c:pt>
              <c:pt idx="5">
                <c:v>9</c:v>
              </c:pt>
              <c:pt idx="6">
                <c:v>9</c:v>
              </c:pt>
              <c:pt idx="7">
                <c:v>9</c:v>
              </c:pt>
              <c:pt idx="8">
                <c:v>9</c:v>
              </c:pt>
              <c:pt idx="9">
                <c:v>9</c:v>
              </c:pt>
              <c:pt idx="10">
                <c:v>9</c:v>
              </c:pt>
            </c:numLit>
          </c:yVal>
          <c:bubbleSize>
            <c:numRef>
              <c:f>[1]Authors!$K$2:$K$8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5D84-4D6A-BF9D-2CB6DA8D5E0D}"/>
            </c:ext>
          </c:extLst>
        </c:ser>
        <c:ser>
          <c:idx val="12"/>
          <c:order val="12"/>
          <c:tx>
            <c:strRef>
              <c:f>[1]Authors!$L$1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10</c:v>
              </c:pt>
              <c:pt idx="1">
                <c:v>10</c:v>
              </c:pt>
              <c:pt idx="2">
                <c:v>10</c:v>
              </c:pt>
              <c:pt idx="3">
                <c:v>10</c:v>
              </c:pt>
              <c:pt idx="4">
                <c:v>10</c:v>
              </c:pt>
              <c:pt idx="5">
                <c:v>10</c:v>
              </c:pt>
              <c:pt idx="6">
                <c:v>10</c:v>
              </c:pt>
              <c:pt idx="7">
                <c:v>10</c:v>
              </c:pt>
              <c:pt idx="8">
                <c:v>10</c:v>
              </c:pt>
              <c:pt idx="9">
                <c:v>10</c:v>
              </c:pt>
              <c:pt idx="10">
                <c:v>10</c:v>
              </c:pt>
            </c:numLit>
          </c:yVal>
          <c:bubbleSize>
            <c:numRef>
              <c:f>[1]Authors!$L$2:$L$8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D-5D84-4D6A-BF9D-2CB6DA8D5E0D}"/>
            </c:ext>
          </c:extLst>
        </c:ser>
        <c:ser>
          <c:idx val="13"/>
          <c:order val="13"/>
          <c:tx>
            <c:strRef>
              <c:f>[1]Authors!$M$1</c:f>
              <c:strCache>
                <c:ptCount val="1"/>
                <c:pt idx="0">
                  <c:v>Pricing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D84-4D6A-BF9D-2CB6DA8D5E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11</c:v>
              </c:pt>
              <c:pt idx="1">
                <c:v>11</c:v>
              </c:pt>
              <c:pt idx="2">
                <c:v>11</c:v>
              </c:pt>
              <c:pt idx="3">
                <c:v>11</c:v>
              </c:pt>
              <c:pt idx="4">
                <c:v>11</c:v>
              </c:pt>
              <c:pt idx="5">
                <c:v>11</c:v>
              </c:pt>
              <c:pt idx="6">
                <c:v>11</c:v>
              </c:pt>
              <c:pt idx="7">
                <c:v>11</c:v>
              </c:pt>
              <c:pt idx="8">
                <c:v>11</c:v>
              </c:pt>
              <c:pt idx="9">
                <c:v>11</c:v>
              </c:pt>
              <c:pt idx="10">
                <c:v>11</c:v>
              </c:pt>
            </c:numLit>
          </c:yVal>
          <c:bubbleSize>
            <c:numRef>
              <c:f>[1]Authors!$M$2:$M$8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F-5D84-4D6A-BF9D-2CB6DA8D5E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70"/>
        <c:showNegBubbles val="0"/>
        <c:axId val="110449295"/>
        <c:axId val="110456975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data</c:v>
                </c:tx>
                <c:spPr>
                  <a:ln w="2540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[1]Authors!$P$2:$P$78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[1]Authors!$Q$2:$Q$78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9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8</c:v>
                      </c:pt>
                      <c:pt idx="41">
                        <c:v>9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6</c:v>
                      </c:pt>
                      <c:pt idx="50">
                        <c:v>7</c:v>
                      </c:pt>
                      <c:pt idx="51">
                        <c:v>8</c:v>
                      </c:pt>
                      <c:pt idx="52">
                        <c:v>9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6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9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8</c:v>
                      </c:pt>
                      <c:pt idx="74">
                        <c:v>9</c:v>
                      </c:pt>
                      <c:pt idx="75">
                        <c:v>10</c:v>
                      </c:pt>
                      <c:pt idx="76">
                        <c:v>11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[1]Authors!$R$2:$R$78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7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20-5D84-4D6A-BF9D-2CB6DA8D5E0D}"/>
                  </c:ext>
                </c:extLst>
              </c15:ser>
            </c15:filteredBubbleSeries>
          </c:ext>
        </c:extLst>
      </c:bubbleChart>
      <c:valAx>
        <c:axId val="110449295"/>
        <c:scaling>
          <c:orientation val="minMax"/>
          <c:max val="9"/>
          <c:min val="-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456975"/>
        <c:crosses val="autoZero"/>
        <c:crossBetween val="midCat"/>
      </c:valAx>
      <c:valAx>
        <c:axId val="110456975"/>
        <c:scaling>
          <c:orientation val="minMax"/>
          <c:max val="12"/>
          <c:min val="-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449295"/>
        <c:crosses val="autoZero"/>
        <c:crossBetween val="midCat"/>
        <c:majorUnit val="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0"/>
          <c:tx>
            <c:v>count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95-47B2-8959-3CB388F231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95-47B2-8959-3CB388F231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95-47B2-8959-3CB388F231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'NIST roles'!$A$3:$A$5</c:f>
              <c:strCache>
                <c:ptCount val="3"/>
                <c:pt idx="0">
                  <c:v>Arbitration</c:v>
                </c:pt>
                <c:pt idx="1">
                  <c:v>Intermediation</c:v>
                </c:pt>
                <c:pt idx="2">
                  <c:v>Aggregation</c:v>
                </c:pt>
              </c:strCache>
            </c:strRef>
          </c:cat>
          <c:val>
            <c:numRef>
              <c:f>'NIST roles'!$B$3:$B$5</c:f>
              <c:numCache>
                <c:formatCode>General</c:formatCode>
                <c:ptCount val="3"/>
                <c:pt idx="0">
                  <c:v>291</c:v>
                </c:pt>
                <c:pt idx="1">
                  <c:v>268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E1-4CD7-BD2B-606EEBC8E1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'Topics-NIST'!$B$1</c:f>
              <c:strCache>
                <c:ptCount val="1"/>
                <c:pt idx="0">
                  <c:v>Arbitration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'Topics-NIST'!$A$3:$A$14</c15:sqref>
                  </c15:fullRef>
                </c:ext>
              </c:extLst>
              <c:f>('Topics-NIST'!$A$3:$A$7,'Topics-NIST'!$A$9:$A$14)</c:f>
              <c:strCache>
                <c:ptCount val="11"/>
                <c:pt idx="0">
                  <c:v>Composition</c:v>
                </c:pt>
                <c:pt idx="1">
                  <c:v>Discovery</c:v>
                </c:pt>
                <c:pt idx="2">
                  <c:v>Selection</c:v>
                </c:pt>
                <c:pt idx="3">
                  <c:v>Recommendation</c:v>
                </c:pt>
                <c:pt idx="4">
                  <c:v>Resource Mng. (CS)</c:v>
                </c:pt>
                <c:pt idx="5">
                  <c:v>Energy Management</c:v>
                </c:pt>
                <c:pt idx="6">
                  <c:v>Resource Mag. (PS)</c:v>
                </c:pt>
                <c:pt idx="7">
                  <c:v>Big Data</c:v>
                </c:pt>
                <c:pt idx="8">
                  <c:v>SLA Management</c:v>
                </c:pt>
                <c:pt idx="9">
                  <c:v>Monitoring</c:v>
                </c:pt>
                <c:pt idx="10">
                  <c:v>Pricing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'Topics-NIST'!$B$3:$B$14</c15:sqref>
                  </c15:fullRef>
                </c:ext>
              </c:extLst>
              <c:f>('Topics-NIST'!$B$3:$B$7,'Topics-NIST'!$B$9:$B$14)</c:f>
              <c:numCache>
                <c:formatCode>General</c:formatCode>
                <c:ptCount val="11"/>
                <c:pt idx="0">
                  <c:v>82</c:v>
                </c:pt>
                <c:pt idx="1">
                  <c:v>15</c:v>
                </c:pt>
                <c:pt idx="2">
                  <c:v>38</c:v>
                </c:pt>
                <c:pt idx="3">
                  <c:v>3</c:v>
                </c:pt>
                <c:pt idx="4">
                  <c:v>97</c:v>
                </c:pt>
                <c:pt idx="5">
                  <c:v>4</c:v>
                </c:pt>
                <c:pt idx="6">
                  <c:v>70</c:v>
                </c:pt>
                <c:pt idx="7">
                  <c:v>5</c:v>
                </c:pt>
                <c:pt idx="8">
                  <c:v>15</c:v>
                </c:pt>
                <c:pt idx="9">
                  <c:v>10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427-9CF9-A401F3B6BDF7}"/>
            </c:ext>
          </c:extLst>
        </c:ser>
        <c:ser>
          <c:idx val="1"/>
          <c:order val="1"/>
          <c:tx>
            <c:strRef>
              <c:f>'Topics-NIST'!$C$1</c:f>
              <c:strCache>
                <c:ptCount val="1"/>
                <c:pt idx="0">
                  <c:v>Intermediation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'Topics-NIST'!$A$3:$A$14</c15:sqref>
                  </c15:fullRef>
                </c:ext>
              </c:extLst>
              <c:f>('Topics-NIST'!$A$3:$A$7,'Topics-NIST'!$A$9:$A$14)</c:f>
              <c:strCache>
                <c:ptCount val="11"/>
                <c:pt idx="0">
                  <c:v>Composition</c:v>
                </c:pt>
                <c:pt idx="1">
                  <c:v>Discovery</c:v>
                </c:pt>
                <c:pt idx="2">
                  <c:v>Selection</c:v>
                </c:pt>
                <c:pt idx="3">
                  <c:v>Recommendation</c:v>
                </c:pt>
                <c:pt idx="4">
                  <c:v>Resource Mng. (CS)</c:v>
                </c:pt>
                <c:pt idx="5">
                  <c:v>Energy Management</c:v>
                </c:pt>
                <c:pt idx="6">
                  <c:v>Resource Mag. (PS)</c:v>
                </c:pt>
                <c:pt idx="7">
                  <c:v>Big Data</c:v>
                </c:pt>
                <c:pt idx="8">
                  <c:v>SLA Management</c:v>
                </c:pt>
                <c:pt idx="9">
                  <c:v>Monitoring</c:v>
                </c:pt>
                <c:pt idx="10">
                  <c:v>Pricing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'Topics-NIST'!$C$3:$C$14</c15:sqref>
                  </c15:fullRef>
                </c:ext>
              </c:extLst>
              <c:f>('Topics-NIST'!$C$3:$C$7,'Topics-NIST'!$C$9:$C$14)</c:f>
              <c:numCache>
                <c:formatCode>General</c:formatCode>
                <c:ptCount val="11"/>
                <c:pt idx="0">
                  <c:v>21</c:v>
                </c:pt>
                <c:pt idx="1">
                  <c:v>25</c:v>
                </c:pt>
                <c:pt idx="2">
                  <c:v>90</c:v>
                </c:pt>
                <c:pt idx="3">
                  <c:v>16</c:v>
                </c:pt>
                <c:pt idx="4">
                  <c:v>82</c:v>
                </c:pt>
                <c:pt idx="5">
                  <c:v>8</c:v>
                </c:pt>
                <c:pt idx="6">
                  <c:v>20</c:v>
                </c:pt>
                <c:pt idx="7">
                  <c:v>4</c:v>
                </c:pt>
                <c:pt idx="8">
                  <c:v>19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D-4427-9CF9-A401F3B6BDF7}"/>
            </c:ext>
          </c:extLst>
        </c:ser>
        <c:ser>
          <c:idx val="2"/>
          <c:order val="2"/>
          <c:tx>
            <c:strRef>
              <c:f>'Topics-NIST'!$D$1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'Topics-NIST'!$A$3:$A$14</c15:sqref>
                  </c15:fullRef>
                </c:ext>
              </c:extLst>
              <c:f>('Topics-NIST'!$A$3:$A$7,'Topics-NIST'!$A$9:$A$14)</c:f>
              <c:strCache>
                <c:ptCount val="11"/>
                <c:pt idx="0">
                  <c:v>Composition</c:v>
                </c:pt>
                <c:pt idx="1">
                  <c:v>Discovery</c:v>
                </c:pt>
                <c:pt idx="2">
                  <c:v>Selection</c:v>
                </c:pt>
                <c:pt idx="3">
                  <c:v>Recommendation</c:v>
                </c:pt>
                <c:pt idx="4">
                  <c:v>Resource Mng. (CS)</c:v>
                </c:pt>
                <c:pt idx="5">
                  <c:v>Energy Management</c:v>
                </c:pt>
                <c:pt idx="6">
                  <c:v>Resource Mag. (PS)</c:v>
                </c:pt>
                <c:pt idx="7">
                  <c:v>Big Data</c:v>
                </c:pt>
                <c:pt idx="8">
                  <c:v>SLA Management</c:v>
                </c:pt>
                <c:pt idx="9">
                  <c:v>Monitoring</c:v>
                </c:pt>
                <c:pt idx="10">
                  <c:v>Pricing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'Topics-NIST'!$D$3:$D$14</c15:sqref>
                  </c15:fullRef>
                </c:ext>
              </c:extLst>
              <c:f>('Topics-NIST'!$D$3:$D$7,'Topics-NIST'!$D$9:$D$14)</c:f>
              <c:numCache>
                <c:formatCode>General</c:formatCode>
                <c:ptCount val="11"/>
                <c:pt idx="0">
                  <c:v>47</c:v>
                </c:pt>
                <c:pt idx="1">
                  <c:v>5</c:v>
                </c:pt>
                <c:pt idx="2">
                  <c:v>16</c:v>
                </c:pt>
                <c:pt idx="3">
                  <c:v>0</c:v>
                </c:pt>
                <c:pt idx="4">
                  <c:v>18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D-4427-9CF9-A401F3B6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01144"/>
        <c:axId val="521425112"/>
      </c:barChart>
      <c:catAx>
        <c:axId val="63090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5112"/>
        <c:crosses val="autoZero"/>
        <c:auto val="1"/>
        <c:lblAlgn val="ctr"/>
        <c:lblOffset val="100"/>
        <c:noMultiLvlLbl val="0"/>
      </c:catAx>
      <c:valAx>
        <c:axId val="521425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0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'Service Layer'!$A$3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'Service Layer'!$B$3</c:f>
              <c:numCache>
                <c:formatCode>General</c:formatCode>
                <c:ptCount val="1"/>
                <c:pt idx="0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3-41E2-B937-BCE389A494BB}"/>
            </c:ext>
          </c:extLst>
        </c:ser>
        <c:ser>
          <c:idx val="1"/>
          <c:order val="1"/>
          <c:tx>
            <c:strRef>
              <c:f>'Service Layer'!$A$4</c:f>
              <c:strCache>
                <c:ptCount val="1"/>
                <c:pt idx="0">
                  <c:v>XaaS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'Service Layer'!$B$4</c:f>
              <c:numCache>
                <c:formatCode>General</c:formatCode>
                <c:ptCount val="1"/>
                <c:pt idx="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3-41E2-B937-BCE389A494BB}"/>
            </c:ext>
          </c:extLst>
        </c:ser>
        <c:ser>
          <c:idx val="2"/>
          <c:order val="2"/>
          <c:tx>
            <c:strRef>
              <c:f>'Service Layer'!$A$5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'Service Layer'!$B$5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3-41E2-B937-BCE389A494BB}"/>
            </c:ext>
          </c:extLst>
        </c:ser>
        <c:ser>
          <c:idx val="3"/>
          <c:order val="3"/>
          <c:tx>
            <c:strRef>
              <c:f>'Service Layer'!$A$6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'Service Layer'!$B$6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3-41E2-B937-BCE389A49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3952936"/>
        <c:axId val="453965832"/>
      </c:barChart>
      <c:catAx>
        <c:axId val="4539529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Layer
</a:t>
                </a:r>
              </a:p>
            </c:rich>
          </c:tx>
          <c:layout>
            <c:manualLayout>
              <c:xMode val="edge"/>
              <c:yMode val="edge"/>
              <c:x val="5.3459119496855348E-2"/>
              <c:y val="0.34112252404435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53965832"/>
        <c:crosses val="autoZero"/>
        <c:auto val="1"/>
        <c:lblAlgn val="ctr"/>
        <c:lblOffset val="100"/>
        <c:noMultiLvlLbl val="0"/>
      </c:catAx>
      <c:valAx>
        <c:axId val="45396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5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C-46F9-92C1-DEF725E3321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6C-46F9-92C1-DEF725E3321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21C5AF-DC00-4576-B155-6C489C7D21ED}" type="VALUE">
                      <a:rPr lang="en-US" sz="1200" b="1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36C-46F9-92C1-DEF725E332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1FC4E9-2B01-4501-921B-D2A8DA7E5A26}" type="VALUE">
                      <a:rPr lang="en-US" sz="1200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36C-46F9-92C1-DEF725E332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 Topology'!$A$3:$A$4</c:f>
              <c:strCache>
                <c:ptCount val="2"/>
                <c:pt idx="0">
                  <c:v>Centralized</c:v>
                </c:pt>
                <c:pt idx="1">
                  <c:v>Distributed</c:v>
                </c:pt>
              </c:strCache>
            </c:strRef>
          </c:cat>
          <c:val>
            <c:numRef>
              <c:f>'Control Topology'!$B$3:$B$4</c:f>
              <c:numCache>
                <c:formatCode>General</c:formatCode>
                <c:ptCount val="2"/>
                <c:pt idx="0">
                  <c:v>525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6C-46F9-92C1-DEF725E33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data</c:v>
          </c:tx>
          <c:spPr>
            <a:ln>
              <a:solidFill>
                <a:schemeClr val="tx1">
                  <a:lumMod val="15000"/>
                  <a:lumOff val="85000"/>
                  <a:alpha val="8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[1]Authors!$P$2:$P$78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[1]Authors!$Q$2:$Q$78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</c:numCache>
              <c:extLst xmlns:c15="http://schemas.microsoft.com/office/drawing/2012/chart"/>
            </c:numRef>
          </c:yVal>
          <c:bubbleSize>
            <c:numRef>
              <c:f>[1]Authors!$R$2:$R$78</c:f>
              <c:numCache>
                <c:formatCode>General</c:formatCode>
                <c:ptCount val="77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9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xmlns:c16="http://schemas.microsoft.com/office/drawing/2014/chart" uri="{C3380CC4-5D6E-409C-BE32-E72D297353CC}">
              <c16:uniqueId val="{00000000-0C26-42B1-BBFC-4018FC2FA548}"/>
            </c:ext>
          </c:extLst>
        </c:ser>
        <c:ser>
          <c:idx val="1"/>
          <c:order val="1"/>
          <c:tx>
            <c:v>topics</c:v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6DF0DCB-24FF-4BEA-883D-0EEE078798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6-42B1-BBFC-4018FC2FA5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A38DB5-5CF5-4E73-BC65-901B0E068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2B1-BBFC-4018FC2FA5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26ACE5-EBAA-41D7-86D7-111D35D08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2B1-BBFC-4018FC2FA5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B0EDE0-488A-4E0E-B8F7-1751776D9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2B1-BBFC-4018FC2FA5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E6D35A-13DC-4316-9F94-F7772C868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2B1-BBFC-4018FC2FA5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0A10403-6C34-4C27-86F5-003FD6FA0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2B1-BBFC-4018FC2FA5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BBACC1-D2B4-4E7F-A8E0-11EB73409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2B1-BBFC-4018FC2FA54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787660B-9A1A-4791-9B48-00507D609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2B1-BBFC-4018FC2FA54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A45C32-A033-43C8-823D-AE24EA594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C26-42B1-BBFC-4018FC2FA54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CE065A3-8982-4C4F-81A5-95BFD3C86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C26-42B1-BBFC-4018FC2FA54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67EF89C-D16C-45FD-98F9-F18F80F6A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C26-42B1-BBFC-4018FC2FA5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</c:numLit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([1]Topics!$A$3:$A$7,[1]Topics!$A$9:$A$14)</c15:f>
                <c15:dlblRangeCache>
                  <c:ptCount val="11"/>
                  <c:pt idx="0">
                    <c:v>Composition</c:v>
                  </c:pt>
                  <c:pt idx="1">
                    <c:v>Discovery</c:v>
                  </c:pt>
                  <c:pt idx="2">
                    <c:v>Selection</c:v>
                  </c:pt>
                  <c:pt idx="3">
                    <c:v>Recommendation</c:v>
                  </c:pt>
                  <c:pt idx="4">
                    <c:v>Resource Management-CS</c:v>
                  </c:pt>
                  <c:pt idx="5">
                    <c:v>Resource Management-PS</c:v>
                  </c:pt>
                  <c:pt idx="6">
                    <c:v>SLA Management</c:v>
                  </c:pt>
                  <c:pt idx="7">
                    <c:v>Big Data</c:v>
                  </c:pt>
                  <c:pt idx="8">
                    <c:v>Energy Management</c:v>
                  </c:pt>
                  <c:pt idx="9">
                    <c:v>Monitoring</c:v>
                  </c:pt>
                  <c:pt idx="10">
                    <c:v>Pricing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0C26-42B1-BBFC-4018FC2FA548}"/>
            </c:ext>
          </c:extLst>
        </c:ser>
        <c:ser>
          <c:idx val="2"/>
          <c:order val="2"/>
          <c:tx>
            <c:v>authors</c:v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88E7571-B51D-471A-BAF2-5E64BCE96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C26-42B1-BBFC-4018FC2FA5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579FCC-9727-4277-8C98-02C1C2058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C26-42B1-BBFC-4018FC2FA5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60DF44-3151-458C-A3C3-F9A4667EF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C26-42B1-BBFC-4018FC2FA5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E7204D-4DBD-4A46-B062-064A6A70E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C26-42B1-BBFC-4018FC2FA5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F65664-FBA5-4F33-AB58-D80EAB17AF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C26-42B1-BBFC-4018FC2FA5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0C2B2F-7750-4E80-9381-7FBBD50A2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C26-42B1-BBFC-4018FC2FA5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A805C9-68AC-45A6-AC28-14C22359E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C26-42B1-BBFC-4018FC2FA5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[1]Authors!$A$2:$A$8</c15:f>
                <c15:dlblRangeCache>
                  <c:ptCount val="7"/>
                  <c:pt idx="0">
                    <c:v>Rajkumar Buyya</c:v>
                  </c:pt>
                  <c:pt idx="1">
                    <c:v>Athman Bouguettaya</c:v>
                  </c:pt>
                  <c:pt idx="2">
                    <c:v>Hai Dong</c:v>
                  </c:pt>
                  <c:pt idx="3">
                    <c:v>Omer F. Rana</c:v>
                  </c:pt>
                  <c:pt idx="4">
                    <c:v>Sajib Mistry</c:v>
                  </c:pt>
                  <c:pt idx="5">
                    <c:v>Yuri Demchenko</c:v>
                  </c:pt>
                  <c:pt idx="6">
                    <c:v>Zhen Ye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0C26-42B1-BBFC-4018FC2FA5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70"/>
        <c:showNegBubbles val="0"/>
        <c:axId val="110449295"/>
        <c:axId val="110456975"/>
        <c:extLst/>
      </c:bubbleChart>
      <c:valAx>
        <c:axId val="110449295"/>
        <c:scaling>
          <c:orientation val="minMax"/>
          <c:max val="9"/>
          <c:min val="-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456975"/>
        <c:crosses val="autoZero"/>
        <c:crossBetween val="midCat"/>
      </c:valAx>
      <c:valAx>
        <c:axId val="110456975"/>
        <c:scaling>
          <c:orientation val="minMax"/>
          <c:max val="12"/>
          <c:min val="-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449295"/>
        <c:crosses val="autoZero"/>
        <c:crossBetween val="midCat"/>
        <c:majorUnit val="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[1]Countries!$B$1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C1-4F2C-953B-5542C76AC8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C1-4F2C-953B-5542C76AC8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C1-4F2C-953B-5542C76AC8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C1-4F2C-953B-5542C76AC8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C1-4F2C-953B-5542C76AC8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C1-4F2C-953B-5542C76AC8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C1-4F2C-953B-5542C76AC8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6C1-4F2C-953B-5542C76AC8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6C1-4F2C-953B-5542C76AC8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6C1-4F2C-953B-5542C76AC8E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6C1-4F2C-953B-5542C76AC8E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6C1-4F2C-953B-5542C76AC8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6C1-4F2C-953B-5542C76AC8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6C1-4F2C-953B-5542C76AC8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6C1-4F2C-953B-5542C76AC8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6C1-4F2C-953B-5542C76AC8E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6C1-4F2C-953B-5542C76AC8E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6C1-4F2C-953B-5542C76AC8E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46C1-4F2C-953B-5542C76AC8E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46C1-4F2C-953B-5542C76AC8E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46C1-4F2C-953B-5542C76AC8E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46C1-4F2C-953B-5542C76AC8E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46C1-4F2C-953B-5542C76AC8E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46C1-4F2C-953B-5542C76AC8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[1]Countries!$A$2:$A$13</c:f>
              <c:strCache>
                <c:ptCount val="12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Australia</c:v>
                </c:pt>
                <c:pt idx="4">
                  <c:v>United Kingdom</c:v>
                </c:pt>
                <c:pt idx="5">
                  <c:v>Canada</c:v>
                </c:pt>
                <c:pt idx="6">
                  <c:v>Italy</c:v>
                </c:pt>
                <c:pt idx="7">
                  <c:v>Iran</c:v>
                </c:pt>
                <c:pt idx="8">
                  <c:v>Germany</c:v>
                </c:pt>
                <c:pt idx="9">
                  <c:v>France</c:v>
                </c:pt>
                <c:pt idx="10">
                  <c:v>Spain</c:v>
                </c:pt>
                <c:pt idx="11">
                  <c:v>Other</c:v>
                </c:pt>
              </c:strCache>
            </c:strRef>
          </c:cat>
          <c:val>
            <c:numRef>
              <c:f>[1]Countries!$B$2:$B$13</c:f>
              <c:numCache>
                <c:formatCode>General</c:formatCode>
                <c:ptCount val="12"/>
                <c:pt idx="0">
                  <c:v>120</c:v>
                </c:pt>
                <c:pt idx="1">
                  <c:v>103</c:v>
                </c:pt>
                <c:pt idx="2">
                  <c:v>92</c:v>
                </c:pt>
                <c:pt idx="3">
                  <c:v>80</c:v>
                </c:pt>
                <c:pt idx="4">
                  <c:v>52</c:v>
                </c:pt>
                <c:pt idx="5">
                  <c:v>47</c:v>
                </c:pt>
                <c:pt idx="6">
                  <c:v>41</c:v>
                </c:pt>
                <c:pt idx="7">
                  <c:v>39</c:v>
                </c:pt>
                <c:pt idx="8">
                  <c:v>38</c:v>
                </c:pt>
                <c:pt idx="9">
                  <c:v>33</c:v>
                </c:pt>
                <c:pt idx="10">
                  <c:v>33</c:v>
                </c:pt>
                <c:pt idx="11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C1-4F2C-953B-5542C76AC8E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1933-49D7-8CD1-B7F2B40EB9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1933-49D7-8CD1-B7F2B40EB9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1933-49D7-8CD1-B7F2B40EB9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1933-49D7-8CD1-B7F2B40EB9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1933-49D7-8CD1-B7F2B40EB9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1933-49D7-8CD1-B7F2B40EB9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1933-49D7-8CD1-B7F2B40EB9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1933-49D7-8CD1-B7F2B40EB9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1933-49D7-8CD1-B7F2B40EB9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1933-49D7-8CD1-B7F2B40EB9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1933-49D7-8CD1-B7F2B40EB9A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1933-49D7-8CD1-B7F2B40EB9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933-49D7-8CD1-B7F2B40EB9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933-49D7-8CD1-B7F2B40EB9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933-49D7-8CD1-B7F2B40EB9A6}"/>
                </c:ext>
              </c:extLst>
            </c:dLbl>
            <c:dLbl>
              <c:idx val="3"/>
              <c:layout>
                <c:manualLayout>
                  <c:x val="-1.2498437695288089E-2"/>
                  <c:y val="-9.974231925238689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933-49D7-8CD1-B7F2B40EB9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933-49D7-8CD1-B7F2B40EB9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933-49D7-8CD1-B7F2B40EB9A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933-49D7-8CD1-B7F2B40EB9A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933-49D7-8CD1-B7F2B40EB9A6}"/>
                </c:ext>
              </c:extLst>
            </c:dLbl>
            <c:dLbl>
              <c:idx val="8"/>
              <c:layout>
                <c:manualLayout>
                  <c:x val="-1.4998125234345707E-2"/>
                  <c:y val="2.65979518006368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933-49D7-8CD1-B7F2B40EB9A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933-49D7-8CD1-B7F2B40EB9A6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933-49D7-8CD1-B7F2B40EB9A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933-49D7-8CD1-B7F2B40EB9A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Topics!$A$3:$A$14</c:f>
              <c:strCache>
                <c:ptCount val="12"/>
                <c:pt idx="0">
                  <c:v>Composition</c:v>
                </c:pt>
                <c:pt idx="1">
                  <c:v>Discovery</c:v>
                </c:pt>
                <c:pt idx="2">
                  <c:v>Selection</c:v>
                </c:pt>
                <c:pt idx="3">
                  <c:v>Recommendation</c:v>
                </c:pt>
                <c:pt idx="4">
                  <c:v>Resource Management (Client-Side)</c:v>
                </c:pt>
                <c:pt idx="6">
                  <c:v>Energy Management</c:v>
                </c:pt>
                <c:pt idx="7">
                  <c:v>Resource Management (Privider-Side)</c:v>
                </c:pt>
                <c:pt idx="8">
                  <c:v>Big Data</c:v>
                </c:pt>
                <c:pt idx="9">
                  <c:v>SLA Management</c:v>
                </c:pt>
                <c:pt idx="10">
                  <c:v>Monitoring</c:v>
                </c:pt>
                <c:pt idx="11">
                  <c:v>Pricing</c:v>
                </c:pt>
              </c:strCache>
            </c:strRef>
          </c:cat>
          <c:val>
            <c:numRef>
              <c:f>Topics!$B$3:$B$14</c:f>
              <c:numCache>
                <c:formatCode>General</c:formatCode>
                <c:ptCount val="12"/>
                <c:pt idx="0">
                  <c:v>147</c:v>
                </c:pt>
                <c:pt idx="1">
                  <c:v>43</c:v>
                </c:pt>
                <c:pt idx="2">
                  <c:v>143</c:v>
                </c:pt>
                <c:pt idx="3">
                  <c:v>18</c:v>
                </c:pt>
                <c:pt idx="4">
                  <c:v>193</c:v>
                </c:pt>
                <c:pt idx="6">
                  <c:v>16</c:v>
                </c:pt>
                <c:pt idx="7">
                  <c:v>95</c:v>
                </c:pt>
                <c:pt idx="8">
                  <c:v>9</c:v>
                </c:pt>
                <c:pt idx="9">
                  <c:v>35</c:v>
                </c:pt>
                <c:pt idx="10">
                  <c:v>37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933-49D7-8CD1-B7F2B40EB9A6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A89-465C-B0E1-06C69A358E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A89-465C-B0E1-06C69A358E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A89-465C-B0E1-06C69A358E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A89-465C-B0E1-06C69A358E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A89-465C-B0E1-06C69A358E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A89-465C-B0E1-06C69A358E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A89-465C-B0E1-06C69A358E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A89-465C-B0E1-06C69A358E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A89-465C-B0E1-06C69A358E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0A89-465C-B0E1-06C69A358E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0A89-465C-B0E1-06C69A358E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1933-49D7-8CD1-B7F2B40EB9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0A89-465C-B0E1-06C69A358E0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0A89-465C-B0E1-06C69A358E0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0A89-465C-B0E1-06C69A358E0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0A89-465C-B0E1-06C69A358E0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0A89-465C-B0E1-06C69A358E0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0A89-465C-B0E1-06C69A358E0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0A89-465C-B0E1-06C69A358E0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0A89-465C-B0E1-06C69A358E0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0A89-465C-B0E1-06C69A358E0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0A89-465C-B0E1-06C69A358E0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0A89-465C-B0E1-06C69A358E0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1933-49D7-8CD1-B7F2B40EB9A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Topics!$A$3:$A$14</c:f>
              <c:strCache>
                <c:ptCount val="12"/>
                <c:pt idx="0">
                  <c:v>Composition</c:v>
                </c:pt>
                <c:pt idx="1">
                  <c:v>Discovery</c:v>
                </c:pt>
                <c:pt idx="2">
                  <c:v>Selection</c:v>
                </c:pt>
                <c:pt idx="3">
                  <c:v>Recommendation</c:v>
                </c:pt>
                <c:pt idx="4">
                  <c:v>Resource Management (Client-Side)</c:v>
                </c:pt>
                <c:pt idx="6">
                  <c:v>Energy Management</c:v>
                </c:pt>
                <c:pt idx="7">
                  <c:v>Resource Management (Privider-Side)</c:v>
                </c:pt>
                <c:pt idx="8">
                  <c:v>Big Data</c:v>
                </c:pt>
                <c:pt idx="9">
                  <c:v>SLA Management</c:v>
                </c:pt>
                <c:pt idx="10">
                  <c:v>Monitoring</c:v>
                </c:pt>
                <c:pt idx="11">
                  <c:v>Pricing</c:v>
                </c:pt>
              </c:strCache>
            </c:strRef>
          </c:cat>
          <c:val>
            <c:numRef>
              <c:f>Topics!$C$3:$C$14</c:f>
              <c:numCache>
                <c:formatCode>General</c:formatCode>
                <c:ptCount val="12"/>
                <c:pt idx="0">
                  <c:v>0.23186119873817035</c:v>
                </c:pt>
                <c:pt idx="1">
                  <c:v>6.7823343848580436E-2</c:v>
                </c:pt>
                <c:pt idx="2">
                  <c:v>0.22555205047318613</c:v>
                </c:pt>
                <c:pt idx="3">
                  <c:v>2.8391167192429023E-2</c:v>
                </c:pt>
                <c:pt idx="4">
                  <c:v>0.30441640378548895</c:v>
                </c:pt>
                <c:pt idx="6">
                  <c:v>2.5236593059936908E-2</c:v>
                </c:pt>
                <c:pt idx="7">
                  <c:v>0.14984227129337541</c:v>
                </c:pt>
                <c:pt idx="8">
                  <c:v>1.4195583596214511E-2</c:v>
                </c:pt>
                <c:pt idx="9">
                  <c:v>5.5205047318611984E-2</c:v>
                </c:pt>
                <c:pt idx="10">
                  <c:v>5.8359621451104099E-2</c:v>
                </c:pt>
                <c:pt idx="11">
                  <c:v>8.0441640378548895E-2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933-49D7-8CD1-B7F2B40EB9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Year!$A$2</c:f>
              <c:strCache>
                <c:ptCount val="1"/>
                <c:pt idx="0">
                  <c:v>Journals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Year!$B$2:$O$2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17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  <c:pt idx="7">
                  <c:v>35</c:v>
                </c:pt>
                <c:pt idx="8">
                  <c:v>50</c:v>
                </c:pt>
                <c:pt idx="9">
                  <c:v>70</c:v>
                </c:pt>
                <c:pt idx="10">
                  <c:v>70</c:v>
                </c:pt>
                <c:pt idx="11">
                  <c:v>29</c:v>
                </c:pt>
                <c:pt idx="12">
                  <c:v>36</c:v>
                </c:pt>
                <c:pt idx="1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7-4FDC-BA7A-0700FA16F7F0}"/>
            </c:ext>
          </c:extLst>
        </c:ser>
        <c:ser>
          <c:idx val="1"/>
          <c:order val="1"/>
          <c:tx>
            <c:strRef>
              <c:f>Year!$A$3</c:f>
              <c:strCache>
                <c:ptCount val="1"/>
                <c:pt idx="0">
                  <c:v>Conferences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Year!$B$1:$O$1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Year!$B$3:$O$3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18</c:v>
                </c:pt>
                <c:pt idx="4">
                  <c:v>25</c:v>
                </c:pt>
                <c:pt idx="5">
                  <c:v>34</c:v>
                </c:pt>
                <c:pt idx="6">
                  <c:v>30</c:v>
                </c:pt>
                <c:pt idx="7">
                  <c:v>20</c:v>
                </c:pt>
                <c:pt idx="8">
                  <c:v>15</c:v>
                </c:pt>
                <c:pt idx="9">
                  <c:v>13</c:v>
                </c:pt>
                <c:pt idx="10">
                  <c:v>22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7-4FDC-BA7A-0700FA16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740136"/>
        <c:axId val="1209231416"/>
      </c:barChart>
      <c:catAx>
        <c:axId val="70774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31416"/>
        <c:crosses val="autoZero"/>
        <c:auto val="1"/>
        <c:lblAlgn val="ctr"/>
        <c:lblOffset val="100"/>
        <c:noMultiLvlLbl val="0"/>
      </c:catAx>
      <c:valAx>
        <c:axId val="12092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4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'Topics-Year'!$A$3</c:f>
              <c:strCache>
                <c:ptCount val="1"/>
                <c:pt idx="0">
                  <c:v>Composition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'Topics-Year'!$B$3:$O$3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13</c:v>
                </c:pt>
                <c:pt idx="9">
                  <c:v>20</c:v>
                </c:pt>
                <c:pt idx="10">
                  <c:v>19</c:v>
                </c:pt>
                <c:pt idx="11">
                  <c:v>10</c:v>
                </c:pt>
                <c:pt idx="12">
                  <c:v>7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B-4173-BC2F-8E62EF176E3C}"/>
            </c:ext>
          </c:extLst>
        </c:ser>
        <c:ser>
          <c:idx val="1"/>
          <c:order val="1"/>
          <c:tx>
            <c:strRef>
              <c:f>'Topics-Year'!$A$4</c:f>
              <c:strCache>
                <c:ptCount val="1"/>
                <c:pt idx="0">
                  <c:v>Discovery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'Topics-Year'!$B$4:$O$4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B-4173-BC2F-8E62EF176E3C}"/>
            </c:ext>
          </c:extLst>
        </c:ser>
        <c:ser>
          <c:idx val="2"/>
          <c:order val="2"/>
          <c:tx>
            <c:strRef>
              <c:f>'Topics-Year'!$A$5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'Topics-Year'!$B$5:$O$5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19</c:v>
                </c:pt>
                <c:pt idx="9">
                  <c:v>13</c:v>
                </c:pt>
                <c:pt idx="10">
                  <c:v>24</c:v>
                </c:pt>
                <c:pt idx="11">
                  <c:v>9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B-4173-BC2F-8E62EF176E3C}"/>
            </c:ext>
          </c:extLst>
        </c:ser>
        <c:ser>
          <c:idx val="3"/>
          <c:order val="3"/>
          <c:tx>
            <c:strRef>
              <c:f>'Topics-Year'!$A$6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B-4173-BC2F-8E62EF176E3C}"/>
            </c:ext>
          </c:extLst>
        </c:ser>
        <c:ser>
          <c:idx val="4"/>
          <c:order val="4"/>
          <c:tx>
            <c:strRef>
              <c:f>'Topics-Year'!$A$7</c:f>
              <c:strCache>
                <c:ptCount val="1"/>
                <c:pt idx="0">
                  <c:v>Resource Management-CS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'Topics-Year'!$B$7:$O$7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21</c:v>
                </c:pt>
                <c:pt idx="5">
                  <c:v>15</c:v>
                </c:pt>
                <c:pt idx="6">
                  <c:v>22</c:v>
                </c:pt>
                <c:pt idx="7">
                  <c:v>15</c:v>
                </c:pt>
                <c:pt idx="8">
                  <c:v>20</c:v>
                </c:pt>
                <c:pt idx="9">
                  <c:v>28</c:v>
                </c:pt>
                <c:pt idx="10">
                  <c:v>27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BB-4173-BC2F-8E62EF17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88000"/>
        <c:axId val="2102172640"/>
      </c:lineChart>
      <c:catAx>
        <c:axId val="2102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72640"/>
        <c:crosses val="autoZero"/>
        <c:auto val="1"/>
        <c:lblAlgn val="ctr"/>
        <c:lblOffset val="100"/>
        <c:noMultiLvlLbl val="0"/>
      </c:catAx>
      <c:valAx>
        <c:axId val="21021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Papaer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'Topics-Year'!$A$9</c:f>
              <c:strCache>
                <c:ptCount val="1"/>
                <c:pt idx="0">
                  <c:v>Resource Management-PS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'Topics-Year'!$B$9:$O$9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4</c:v>
                </c:pt>
                <c:pt idx="12">
                  <c:v>9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6-4254-AAD5-EC01E28879FD}"/>
            </c:ext>
          </c:extLst>
        </c:ser>
        <c:ser>
          <c:idx val="1"/>
          <c:order val="1"/>
          <c:tx>
            <c:strRef>
              <c:f>'Topics-Year'!$A$10</c:f>
              <c:strCache>
                <c:ptCount val="1"/>
                <c:pt idx="0">
                  <c:v>SLA Management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'Topics-Year'!$B$10:$O$10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6-4254-AAD5-EC01E28879FD}"/>
            </c:ext>
          </c:extLst>
        </c:ser>
        <c:ser>
          <c:idx val="2"/>
          <c:order val="2"/>
          <c:tx>
            <c:strRef>
              <c:f>'Topics-Year'!$A$11</c:f>
              <c:strCache>
                <c:ptCount val="1"/>
                <c:pt idx="0">
                  <c:v>Big Data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'Topics-Year'!$B$11:$O$11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6-4254-AAD5-EC01E28879FD}"/>
            </c:ext>
          </c:extLst>
        </c:ser>
        <c:ser>
          <c:idx val="3"/>
          <c:order val="3"/>
          <c:tx>
            <c:strRef>
              <c:f>'Topics-Year'!$A$12</c:f>
              <c:strCache>
                <c:ptCount val="1"/>
                <c:pt idx="0">
                  <c:v>Energy Management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'Topics-Year'!$B$12:$O$12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6-4254-AAD5-EC01E28879FD}"/>
            </c:ext>
          </c:extLst>
        </c:ser>
        <c:ser>
          <c:idx val="4"/>
          <c:order val="4"/>
          <c:tx>
            <c:strRef>
              <c:f>'Topics-Year'!$A$13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'Topics-Year'!$B$13:$O$13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6-4254-AAD5-EC01E28879FD}"/>
            </c:ext>
          </c:extLst>
        </c:ser>
        <c:ser>
          <c:idx val="5"/>
          <c:order val="5"/>
          <c:tx>
            <c:strRef>
              <c:f>'Topics-Year'!$A$14</c:f>
              <c:strCache>
                <c:ptCount val="1"/>
                <c:pt idx="0">
                  <c:v>Pricing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'Topics-Year'!$B$14:$O$14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6-4254-AAD5-EC01E2887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88000"/>
        <c:axId val="2102172640"/>
      </c:lineChart>
      <c:catAx>
        <c:axId val="2102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72640"/>
        <c:crosses val="autoZero"/>
        <c:auto val="1"/>
        <c:lblAlgn val="ctr"/>
        <c:lblOffset val="100"/>
        <c:noMultiLvlLbl val="0"/>
      </c:catAx>
      <c:valAx>
        <c:axId val="21021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Papaer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'Emperical Evaluation'!$A$3:$A$6</c:f>
              <c:strCache>
                <c:ptCount val="4"/>
                <c:pt idx="0">
                  <c:v>Simulation</c:v>
                </c:pt>
                <c:pt idx="1">
                  <c:v>Testbed</c:v>
                </c:pt>
                <c:pt idx="2">
                  <c:v>Real World</c:v>
                </c:pt>
                <c:pt idx="3">
                  <c:v>No Evaluation</c:v>
                </c:pt>
              </c:strCache>
            </c:strRef>
          </c:cat>
          <c:val>
            <c:numRef>
              <c:f>'Emperical Evaluation'!$B$3:$B$6</c:f>
              <c:numCache>
                <c:formatCode>General</c:formatCode>
                <c:ptCount val="4"/>
                <c:pt idx="0">
                  <c:v>437</c:v>
                </c:pt>
                <c:pt idx="1">
                  <c:v>63</c:v>
                </c:pt>
                <c:pt idx="2">
                  <c:v>66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D-43FF-906C-C09271F046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C5A3-4E4A-8134-03457F2C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893720"/>
        <c:axId val="1636894552"/>
      </c:barChart>
      <c:catAx>
        <c:axId val="163689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94552"/>
        <c:crosses val="autoZero"/>
        <c:auto val="1"/>
        <c:lblAlgn val="ctr"/>
        <c:lblOffset val="100"/>
        <c:noMultiLvlLbl val="0"/>
      </c:catAx>
      <c:valAx>
        <c:axId val="163689455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9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Techniques!$A$3:$A$16</c:f>
              <c:strCache>
                <c:ptCount val="14"/>
                <c:pt idx="0">
                  <c:v>Heuristic</c:v>
                </c:pt>
                <c:pt idx="1">
                  <c:v>Framework or Architecture</c:v>
                </c:pt>
                <c:pt idx="2">
                  <c:v>Metaheuristic</c:v>
                </c:pt>
                <c:pt idx="3">
                  <c:v>Machine Learning</c:v>
                </c:pt>
                <c:pt idx="4">
                  <c:v>Mechanism Design</c:v>
                </c:pt>
                <c:pt idx="5">
                  <c:v>Constrained Optimization</c:v>
                </c:pt>
                <c:pt idx="6">
                  <c:v>Multi-criteria Decision Making</c:v>
                </c:pt>
                <c:pt idx="7">
                  <c:v>Semantic Technology</c:v>
                </c:pt>
                <c:pt idx="8">
                  <c:v>Game Theory</c:v>
                </c:pt>
                <c:pt idx="9">
                  <c:v>Graph Theory</c:v>
                </c:pt>
                <c:pt idx="10">
                  <c:v>Fuzzy Theory</c:v>
                </c:pt>
                <c:pt idx="11">
                  <c:v>Approximation Algorithms</c:v>
                </c:pt>
                <c:pt idx="12">
                  <c:v>Dynamic Programming</c:v>
                </c:pt>
                <c:pt idx="13">
                  <c:v>Other</c:v>
                </c:pt>
              </c:strCache>
            </c:strRef>
          </c:cat>
          <c:val>
            <c:numRef>
              <c:f>Techniques!$B$3:$B$16</c:f>
              <c:numCache>
                <c:formatCode>General</c:formatCode>
                <c:ptCount val="14"/>
                <c:pt idx="0">
                  <c:v>209</c:v>
                </c:pt>
                <c:pt idx="1">
                  <c:v>194</c:v>
                </c:pt>
                <c:pt idx="2">
                  <c:v>85</c:v>
                </c:pt>
                <c:pt idx="3">
                  <c:v>50</c:v>
                </c:pt>
                <c:pt idx="4">
                  <c:v>44</c:v>
                </c:pt>
                <c:pt idx="5">
                  <c:v>40</c:v>
                </c:pt>
                <c:pt idx="6">
                  <c:v>39</c:v>
                </c:pt>
                <c:pt idx="7">
                  <c:v>34</c:v>
                </c:pt>
                <c:pt idx="8">
                  <c:v>30</c:v>
                </c:pt>
                <c:pt idx="9">
                  <c:v>21</c:v>
                </c:pt>
                <c:pt idx="10">
                  <c:v>15</c:v>
                </c:pt>
                <c:pt idx="11">
                  <c:v>9</c:v>
                </c:pt>
                <c:pt idx="12">
                  <c:v>7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3-42CF-9486-232B25AB76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303-4867-8EEB-BB384E6CC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7888216"/>
        <c:axId val="1087895288"/>
      </c:barChart>
      <c:catAx>
        <c:axId val="1087888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Techniques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95288"/>
        <c:crosses val="autoZero"/>
        <c:auto val="1"/>
        <c:lblAlgn val="ctr"/>
        <c:lblOffset val="100"/>
        <c:noMultiLvlLbl val="0"/>
      </c:catAx>
      <c:valAx>
        <c:axId val="108789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778387</xdr:colOff>
      <xdr:row>4</xdr:row>
      <xdr:rowOff>94574</xdr:rowOff>
    </xdr:from>
    <xdr:to>
      <xdr:col>42</xdr:col>
      <xdr:colOff>443023</xdr:colOff>
      <xdr:row>44</xdr:row>
      <xdr:rowOff>118140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C0474-6492-46A0-A378-AE3AC97E8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841887</xdr:colOff>
      <xdr:row>47</xdr:row>
      <xdr:rowOff>31074</xdr:rowOff>
    </xdr:from>
    <xdr:to>
      <xdr:col>42</xdr:col>
      <xdr:colOff>506523</xdr:colOff>
      <xdr:row>87</xdr:row>
      <xdr:rowOff>54640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7B43E-7E15-4F8F-9568-44A2B4CEC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381000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1D498-3338-46BB-9B83-37D8AD287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28575</xdr:rowOff>
    </xdr:from>
    <xdr:to>
      <xdr:col>12</xdr:col>
      <xdr:colOff>307975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6C184-30EC-4563-930C-5F5957736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307975</xdr:colOff>
      <xdr:row>0</xdr:row>
      <xdr:rowOff>177800</xdr:rowOff>
    </xdr:from>
    <xdr:to>
      <xdr:col>18</xdr:col>
      <xdr:colOff>85725</xdr:colOff>
      <xdr:row>20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0E55D-5114-435E-939F-E35321A09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14</xdr:row>
      <xdr:rowOff>28575</xdr:rowOff>
    </xdr:from>
    <xdr:to>
      <xdr:col>11</xdr:col>
      <xdr:colOff>108585</xdr:colOff>
      <xdr:row>34</xdr:row>
      <xdr:rowOff>38418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43028-85C9-42BA-BBF4-CE4BB90D5D7F}"/>
            </a:ext>
            <a:ext uri="{147F2762-F138-4A5C-976F-8EAC2B608ADB}">
              <a16:predDERef xmlns:a16="http://schemas.microsoft.com/office/drawing/2014/main" pre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171450</xdr:rowOff>
    </xdr:from>
    <xdr:to>
      <xdr:col>10</xdr:col>
      <xdr:colOff>333375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F4D27D-4DDF-47A6-8448-AE976A36F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9525</xdr:rowOff>
    </xdr:from>
    <xdr:to>
      <xdr:col>7</xdr:col>
      <xdr:colOff>28575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571F97-5D9B-DA3E-3B67-0BE921F5E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18</xdr:row>
      <xdr:rowOff>0</xdr:rowOff>
    </xdr:from>
    <xdr:to>
      <xdr:col>16</xdr:col>
      <xdr:colOff>542925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77CA5-2515-4F5E-B532-AA418DA21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0</xdr:rowOff>
    </xdr:from>
    <xdr:to>
      <xdr:col>11</xdr:col>
      <xdr:colOff>38100</xdr:colOff>
      <xdr:row>18</xdr:row>
      <xdr:rowOff>55245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DAE36C2-FDDC-42CB-9A70-196AE9201D7E}"/>
            </a:ext>
            <a:ext uri="{147F2762-F138-4A5C-976F-8EAC2B608ADB}">
              <a16:predDERef xmlns:a16="http://schemas.microsoft.com/office/drawing/2014/main" pred="{ABA76FF2-E881-478A-8E51-A9C157117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2</xdr:row>
      <xdr:rowOff>19049</xdr:rowOff>
    </xdr:from>
    <xdr:to>
      <xdr:col>17</xdr:col>
      <xdr:colOff>504825</xdr:colOff>
      <xdr:row>22</xdr:row>
      <xdr:rowOff>124882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C44FBD4-A564-4E52-9938-D4946314726E}"/>
            </a:ext>
            <a:ext uri="{147F2762-F138-4A5C-976F-8EAC2B608ADB}">
              <a16:predDERef xmlns:a16="http://schemas.microsoft.com/office/drawing/2014/main" pred="{797E7396-42CB-40D9-BBC3-70B30A6CE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174625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3C0A0-A825-4979-8DFE-6941416A2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213947</xdr:colOff>
      <xdr:row>16</xdr:row>
      <xdr:rowOff>5129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A4C309-0CF0-4679-AC5B-586A1E1F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ew%20Broker\TSC%202\Final%20Supp\Included%20Papers%20-%20Khorasani.xlsx" TargetMode="External"/><Relationship Id="rId1" Type="http://schemas.openxmlformats.org/officeDocument/2006/relationships/externalLinkPath" Target="Included%20Papers%20-%20Khoras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urnal Papers"/>
      <sheetName val="Conference Papers"/>
      <sheetName val="All Papers"/>
      <sheetName val="Topics"/>
      <sheetName val="Authors"/>
      <sheetName val="Countries"/>
      <sheetName val="Year"/>
      <sheetName val="Topics-Year"/>
    </sheetNames>
    <sheetDataSet>
      <sheetData sheetId="0" refreshError="1"/>
      <sheetData sheetId="1" refreshError="1"/>
      <sheetData sheetId="2"/>
      <sheetData sheetId="3">
        <row r="3">
          <cell r="A3" t="str">
            <v>Composition</v>
          </cell>
        </row>
        <row r="4">
          <cell r="A4" t="str">
            <v>Discovery</v>
          </cell>
        </row>
        <row r="5">
          <cell r="A5" t="str">
            <v>Selection</v>
          </cell>
        </row>
        <row r="6">
          <cell r="A6" t="str">
            <v>Recommendation</v>
          </cell>
        </row>
        <row r="7">
          <cell r="A7" t="str">
            <v>Resource Management-CS</v>
          </cell>
        </row>
        <row r="9">
          <cell r="A9" t="str">
            <v>Resource Management-PS</v>
          </cell>
        </row>
        <row r="10">
          <cell r="A10" t="str">
            <v>SLA Management</v>
          </cell>
        </row>
        <row r="11">
          <cell r="A11" t="str">
            <v>Big Data</v>
          </cell>
        </row>
        <row r="12">
          <cell r="A12" t="str">
            <v>Energy Management</v>
          </cell>
        </row>
        <row r="13">
          <cell r="A13" t="str">
            <v>Monitoring</v>
          </cell>
        </row>
        <row r="14">
          <cell r="A14" t="str">
            <v>Pricing</v>
          </cell>
        </row>
      </sheetData>
      <sheetData sheetId="4">
        <row r="1">
          <cell r="C1" t="str">
            <v>Composition</v>
          </cell>
          <cell r="D1" t="str">
            <v>Discovery</v>
          </cell>
          <cell r="E1" t="str">
            <v>Selection</v>
          </cell>
          <cell r="F1" t="str">
            <v>Recommendation</v>
          </cell>
          <cell r="G1" t="str">
            <v>Resource Management-CS</v>
          </cell>
          <cell r="H1" t="str">
            <v>Resource Management-PS</v>
          </cell>
          <cell r="I1" t="str">
            <v>SLA Management</v>
          </cell>
          <cell r="J1" t="str">
            <v>Big Data</v>
          </cell>
          <cell r="K1" t="str">
            <v>Energy Management</v>
          </cell>
          <cell r="L1" t="str">
            <v>Monitoring</v>
          </cell>
          <cell r="M1" t="str">
            <v>Pricing</v>
          </cell>
        </row>
        <row r="2">
          <cell r="A2" t="str">
            <v>Rajkumar Buyya</v>
          </cell>
          <cell r="C2">
            <v>7</v>
          </cell>
          <cell r="D2">
            <v>1</v>
          </cell>
          <cell r="E2">
            <v>4</v>
          </cell>
          <cell r="F2">
            <v>0</v>
          </cell>
          <cell r="G2">
            <v>7</v>
          </cell>
          <cell r="H2">
            <v>2</v>
          </cell>
          <cell r="I2">
            <v>2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P2">
            <v>1</v>
          </cell>
          <cell r="Q2">
            <v>1</v>
          </cell>
          <cell r="R2">
            <v>7</v>
          </cell>
        </row>
        <row r="3">
          <cell r="A3" t="str">
            <v>Athman Bouguettaya</v>
          </cell>
          <cell r="C3">
            <v>9</v>
          </cell>
          <cell r="D3">
            <v>0</v>
          </cell>
          <cell r="E3">
            <v>3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P3">
            <v>1</v>
          </cell>
          <cell r="Q3">
            <v>2</v>
          </cell>
          <cell r="R3">
            <v>1</v>
          </cell>
        </row>
        <row r="4">
          <cell r="A4" t="str">
            <v>Hai Dong</v>
          </cell>
          <cell r="C4">
            <v>5</v>
          </cell>
          <cell r="D4">
            <v>0</v>
          </cell>
          <cell r="E4">
            <v>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P4">
            <v>1</v>
          </cell>
          <cell r="Q4">
            <v>3</v>
          </cell>
          <cell r="R4">
            <v>4</v>
          </cell>
        </row>
        <row r="5">
          <cell r="A5" t="str">
            <v>Omer F. Rana</v>
          </cell>
          <cell r="C5">
            <v>2</v>
          </cell>
          <cell r="D5">
            <v>0</v>
          </cell>
          <cell r="E5">
            <v>3</v>
          </cell>
          <cell r="F5">
            <v>0</v>
          </cell>
          <cell r="G5">
            <v>1</v>
          </cell>
          <cell r="H5">
            <v>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P5">
            <v>1</v>
          </cell>
          <cell r="Q5">
            <v>4</v>
          </cell>
          <cell r="R5">
            <v>0</v>
          </cell>
        </row>
        <row r="6">
          <cell r="A6" t="str">
            <v>Sajib Mistry</v>
          </cell>
          <cell r="C6">
            <v>5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P6">
            <v>1</v>
          </cell>
          <cell r="Q6">
            <v>5</v>
          </cell>
          <cell r="R6">
            <v>7</v>
          </cell>
        </row>
        <row r="7">
          <cell r="A7" t="str">
            <v>Yuri Demchenko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4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P7">
            <v>1</v>
          </cell>
          <cell r="Q7">
            <v>6</v>
          </cell>
          <cell r="R7">
            <v>2</v>
          </cell>
        </row>
        <row r="8">
          <cell r="A8" t="str">
            <v>Zhen Ye</v>
          </cell>
          <cell r="C8">
            <v>5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P8">
            <v>1</v>
          </cell>
          <cell r="Q8">
            <v>7</v>
          </cell>
          <cell r="R8">
            <v>2</v>
          </cell>
        </row>
        <row r="9">
          <cell r="P9">
            <v>1</v>
          </cell>
          <cell r="Q9">
            <v>8</v>
          </cell>
          <cell r="R9">
            <v>0</v>
          </cell>
        </row>
        <row r="10">
          <cell r="P10">
            <v>1</v>
          </cell>
          <cell r="Q10">
            <v>9</v>
          </cell>
          <cell r="R10">
            <v>1</v>
          </cell>
        </row>
        <row r="11">
          <cell r="P11">
            <v>1</v>
          </cell>
          <cell r="Q11">
            <v>10</v>
          </cell>
          <cell r="R11">
            <v>0</v>
          </cell>
        </row>
        <row r="12">
          <cell r="P12">
            <v>1</v>
          </cell>
          <cell r="Q12">
            <v>11</v>
          </cell>
          <cell r="R12">
            <v>1</v>
          </cell>
        </row>
        <row r="13">
          <cell r="P13">
            <v>2</v>
          </cell>
          <cell r="Q13">
            <v>1</v>
          </cell>
          <cell r="R13">
            <v>9</v>
          </cell>
        </row>
        <row r="14">
          <cell r="P14">
            <v>2</v>
          </cell>
          <cell r="Q14">
            <v>2</v>
          </cell>
          <cell r="R14">
            <v>0</v>
          </cell>
        </row>
        <row r="15">
          <cell r="P15">
            <v>2</v>
          </cell>
          <cell r="Q15">
            <v>3</v>
          </cell>
          <cell r="R15">
            <v>3</v>
          </cell>
        </row>
        <row r="16">
          <cell r="P16">
            <v>2</v>
          </cell>
          <cell r="Q16">
            <v>4</v>
          </cell>
          <cell r="R16">
            <v>0</v>
          </cell>
        </row>
        <row r="17">
          <cell r="P17">
            <v>2</v>
          </cell>
          <cell r="Q17">
            <v>5</v>
          </cell>
          <cell r="R17">
            <v>0</v>
          </cell>
        </row>
        <row r="18">
          <cell r="P18">
            <v>2</v>
          </cell>
          <cell r="Q18">
            <v>6</v>
          </cell>
          <cell r="R18">
            <v>0</v>
          </cell>
        </row>
        <row r="19">
          <cell r="P19">
            <v>2</v>
          </cell>
          <cell r="Q19">
            <v>7</v>
          </cell>
          <cell r="R19">
            <v>0</v>
          </cell>
        </row>
        <row r="20">
          <cell r="P20">
            <v>2</v>
          </cell>
          <cell r="Q20">
            <v>8</v>
          </cell>
          <cell r="R20">
            <v>0</v>
          </cell>
        </row>
        <row r="21">
          <cell r="P21">
            <v>2</v>
          </cell>
          <cell r="Q21">
            <v>9</v>
          </cell>
          <cell r="R21">
            <v>0</v>
          </cell>
        </row>
        <row r="22">
          <cell r="P22">
            <v>2</v>
          </cell>
          <cell r="Q22">
            <v>10</v>
          </cell>
          <cell r="R22">
            <v>0</v>
          </cell>
        </row>
        <row r="23">
          <cell r="P23">
            <v>2</v>
          </cell>
          <cell r="Q23">
            <v>11</v>
          </cell>
          <cell r="R23">
            <v>0</v>
          </cell>
        </row>
        <row r="24">
          <cell r="P24">
            <v>3</v>
          </cell>
          <cell r="Q24">
            <v>1</v>
          </cell>
          <cell r="R24">
            <v>5</v>
          </cell>
        </row>
        <row r="25">
          <cell r="P25">
            <v>3</v>
          </cell>
          <cell r="Q25">
            <v>2</v>
          </cell>
          <cell r="R25">
            <v>0</v>
          </cell>
        </row>
        <row r="26">
          <cell r="P26">
            <v>3</v>
          </cell>
          <cell r="Q26">
            <v>3</v>
          </cell>
          <cell r="R26">
            <v>2</v>
          </cell>
        </row>
        <row r="27">
          <cell r="P27">
            <v>3</v>
          </cell>
          <cell r="Q27">
            <v>4</v>
          </cell>
          <cell r="R27">
            <v>0</v>
          </cell>
        </row>
        <row r="28">
          <cell r="P28">
            <v>3</v>
          </cell>
          <cell r="Q28">
            <v>5</v>
          </cell>
          <cell r="R28">
            <v>0</v>
          </cell>
        </row>
        <row r="29">
          <cell r="P29">
            <v>3</v>
          </cell>
          <cell r="Q29">
            <v>6</v>
          </cell>
          <cell r="R29">
            <v>0</v>
          </cell>
        </row>
        <row r="30">
          <cell r="P30">
            <v>3</v>
          </cell>
          <cell r="Q30">
            <v>7</v>
          </cell>
          <cell r="R30">
            <v>0</v>
          </cell>
        </row>
        <row r="31">
          <cell r="P31">
            <v>3</v>
          </cell>
          <cell r="Q31">
            <v>8</v>
          </cell>
          <cell r="R31">
            <v>0</v>
          </cell>
        </row>
        <row r="32">
          <cell r="P32">
            <v>3</v>
          </cell>
          <cell r="Q32">
            <v>9</v>
          </cell>
          <cell r="R32">
            <v>0</v>
          </cell>
        </row>
        <row r="33">
          <cell r="P33">
            <v>3</v>
          </cell>
          <cell r="Q33">
            <v>10</v>
          </cell>
          <cell r="R33">
            <v>0</v>
          </cell>
        </row>
        <row r="34">
          <cell r="P34">
            <v>3</v>
          </cell>
          <cell r="Q34">
            <v>11</v>
          </cell>
          <cell r="R34">
            <v>0</v>
          </cell>
        </row>
        <row r="35">
          <cell r="P35">
            <v>4</v>
          </cell>
          <cell r="Q35">
            <v>1</v>
          </cell>
          <cell r="R35">
            <v>2</v>
          </cell>
        </row>
        <row r="36">
          <cell r="P36">
            <v>4</v>
          </cell>
          <cell r="Q36">
            <v>2</v>
          </cell>
          <cell r="R36">
            <v>0</v>
          </cell>
        </row>
        <row r="37">
          <cell r="P37">
            <v>4</v>
          </cell>
          <cell r="Q37">
            <v>3</v>
          </cell>
          <cell r="R37">
            <v>3</v>
          </cell>
        </row>
        <row r="38">
          <cell r="P38">
            <v>4</v>
          </cell>
          <cell r="Q38">
            <v>4</v>
          </cell>
          <cell r="R38">
            <v>0</v>
          </cell>
        </row>
        <row r="39">
          <cell r="P39">
            <v>4</v>
          </cell>
          <cell r="Q39">
            <v>5</v>
          </cell>
          <cell r="R39">
            <v>1</v>
          </cell>
        </row>
        <row r="40">
          <cell r="P40">
            <v>4</v>
          </cell>
          <cell r="Q40">
            <v>6</v>
          </cell>
          <cell r="R40">
            <v>2</v>
          </cell>
        </row>
        <row r="41">
          <cell r="P41">
            <v>4</v>
          </cell>
          <cell r="Q41">
            <v>7</v>
          </cell>
          <cell r="R41">
            <v>0</v>
          </cell>
        </row>
        <row r="42">
          <cell r="P42">
            <v>4</v>
          </cell>
          <cell r="Q42">
            <v>8</v>
          </cell>
          <cell r="R42">
            <v>0</v>
          </cell>
        </row>
        <row r="43">
          <cell r="P43">
            <v>4</v>
          </cell>
          <cell r="Q43">
            <v>9</v>
          </cell>
          <cell r="R43">
            <v>0</v>
          </cell>
        </row>
        <row r="44">
          <cell r="P44">
            <v>4</v>
          </cell>
          <cell r="Q44">
            <v>10</v>
          </cell>
          <cell r="R44">
            <v>0</v>
          </cell>
        </row>
        <row r="45">
          <cell r="P45">
            <v>4</v>
          </cell>
          <cell r="Q45">
            <v>11</v>
          </cell>
          <cell r="R45">
            <v>0</v>
          </cell>
        </row>
        <row r="46">
          <cell r="P46">
            <v>5</v>
          </cell>
          <cell r="Q46">
            <v>1</v>
          </cell>
          <cell r="R46">
            <v>5</v>
          </cell>
        </row>
        <row r="47">
          <cell r="P47">
            <v>5</v>
          </cell>
          <cell r="Q47">
            <v>2</v>
          </cell>
          <cell r="R47">
            <v>0</v>
          </cell>
        </row>
        <row r="48">
          <cell r="P48">
            <v>5</v>
          </cell>
          <cell r="Q48">
            <v>3</v>
          </cell>
          <cell r="R48">
            <v>1</v>
          </cell>
        </row>
        <row r="49">
          <cell r="P49">
            <v>5</v>
          </cell>
          <cell r="Q49">
            <v>4</v>
          </cell>
          <cell r="R49">
            <v>0</v>
          </cell>
        </row>
        <row r="50">
          <cell r="P50">
            <v>5</v>
          </cell>
          <cell r="Q50">
            <v>5</v>
          </cell>
          <cell r="R50">
            <v>0</v>
          </cell>
        </row>
        <row r="51">
          <cell r="P51">
            <v>5</v>
          </cell>
          <cell r="Q51">
            <v>6</v>
          </cell>
          <cell r="R51">
            <v>0</v>
          </cell>
        </row>
        <row r="52">
          <cell r="P52">
            <v>5</v>
          </cell>
          <cell r="Q52">
            <v>7</v>
          </cell>
          <cell r="R52">
            <v>0</v>
          </cell>
        </row>
        <row r="53">
          <cell r="P53">
            <v>5</v>
          </cell>
          <cell r="Q53">
            <v>8</v>
          </cell>
          <cell r="R53">
            <v>0</v>
          </cell>
        </row>
        <row r="54">
          <cell r="P54">
            <v>5</v>
          </cell>
          <cell r="Q54">
            <v>9</v>
          </cell>
          <cell r="R54">
            <v>0</v>
          </cell>
        </row>
        <row r="55">
          <cell r="P55">
            <v>5</v>
          </cell>
          <cell r="Q55">
            <v>10</v>
          </cell>
          <cell r="R55">
            <v>0</v>
          </cell>
        </row>
        <row r="56">
          <cell r="P56">
            <v>5</v>
          </cell>
          <cell r="Q56">
            <v>11</v>
          </cell>
          <cell r="R56">
            <v>0</v>
          </cell>
        </row>
        <row r="57">
          <cell r="P57">
            <v>6</v>
          </cell>
          <cell r="Q57">
            <v>1</v>
          </cell>
          <cell r="R57">
            <v>0</v>
          </cell>
        </row>
        <row r="58">
          <cell r="P58">
            <v>6</v>
          </cell>
          <cell r="Q58">
            <v>2</v>
          </cell>
          <cell r="R58">
            <v>1</v>
          </cell>
        </row>
        <row r="59">
          <cell r="P59">
            <v>6</v>
          </cell>
          <cell r="Q59">
            <v>3</v>
          </cell>
          <cell r="R59">
            <v>0</v>
          </cell>
        </row>
        <row r="60">
          <cell r="P60">
            <v>6</v>
          </cell>
          <cell r="Q60">
            <v>4</v>
          </cell>
          <cell r="R60">
            <v>0</v>
          </cell>
        </row>
        <row r="61">
          <cell r="P61">
            <v>6</v>
          </cell>
          <cell r="Q61">
            <v>5</v>
          </cell>
          <cell r="R61">
            <v>4</v>
          </cell>
        </row>
        <row r="62">
          <cell r="P62">
            <v>6</v>
          </cell>
          <cell r="Q62">
            <v>6</v>
          </cell>
          <cell r="R62">
            <v>1</v>
          </cell>
        </row>
        <row r="63">
          <cell r="P63">
            <v>6</v>
          </cell>
          <cell r="Q63">
            <v>7</v>
          </cell>
          <cell r="R63">
            <v>0</v>
          </cell>
        </row>
        <row r="64">
          <cell r="P64">
            <v>6</v>
          </cell>
          <cell r="Q64">
            <v>8</v>
          </cell>
          <cell r="R64">
            <v>0</v>
          </cell>
        </row>
        <row r="65">
          <cell r="P65">
            <v>6</v>
          </cell>
          <cell r="Q65">
            <v>9</v>
          </cell>
          <cell r="R65">
            <v>0</v>
          </cell>
        </row>
        <row r="66">
          <cell r="P66">
            <v>6</v>
          </cell>
          <cell r="Q66">
            <v>10</v>
          </cell>
          <cell r="R66">
            <v>0</v>
          </cell>
        </row>
        <row r="67">
          <cell r="P67">
            <v>6</v>
          </cell>
          <cell r="Q67">
            <v>11</v>
          </cell>
          <cell r="R67">
            <v>0</v>
          </cell>
        </row>
        <row r="68">
          <cell r="P68">
            <v>7</v>
          </cell>
          <cell r="Q68">
            <v>1</v>
          </cell>
          <cell r="R68">
            <v>5</v>
          </cell>
        </row>
        <row r="69">
          <cell r="P69">
            <v>7</v>
          </cell>
          <cell r="Q69">
            <v>2</v>
          </cell>
          <cell r="R69">
            <v>0</v>
          </cell>
        </row>
        <row r="70">
          <cell r="P70">
            <v>7</v>
          </cell>
          <cell r="Q70">
            <v>3</v>
          </cell>
          <cell r="R70">
            <v>0</v>
          </cell>
        </row>
        <row r="71">
          <cell r="P71">
            <v>7</v>
          </cell>
          <cell r="Q71">
            <v>4</v>
          </cell>
          <cell r="R71">
            <v>0</v>
          </cell>
        </row>
        <row r="72">
          <cell r="P72">
            <v>7</v>
          </cell>
          <cell r="Q72">
            <v>5</v>
          </cell>
          <cell r="R72">
            <v>1</v>
          </cell>
        </row>
        <row r="73">
          <cell r="P73">
            <v>7</v>
          </cell>
          <cell r="Q73">
            <v>6</v>
          </cell>
          <cell r="R73">
            <v>0</v>
          </cell>
        </row>
        <row r="74">
          <cell r="P74">
            <v>7</v>
          </cell>
          <cell r="Q74">
            <v>7</v>
          </cell>
          <cell r="R74">
            <v>0</v>
          </cell>
        </row>
        <row r="75">
          <cell r="P75">
            <v>7</v>
          </cell>
          <cell r="Q75">
            <v>8</v>
          </cell>
          <cell r="R75">
            <v>0</v>
          </cell>
        </row>
        <row r="76">
          <cell r="P76">
            <v>7</v>
          </cell>
          <cell r="Q76">
            <v>9</v>
          </cell>
          <cell r="R76">
            <v>0</v>
          </cell>
        </row>
        <row r="77">
          <cell r="P77">
            <v>7</v>
          </cell>
          <cell r="Q77">
            <v>10</v>
          </cell>
          <cell r="R77">
            <v>0</v>
          </cell>
        </row>
        <row r="78">
          <cell r="P78">
            <v>7</v>
          </cell>
          <cell r="Q78">
            <v>11</v>
          </cell>
          <cell r="R78">
            <v>0</v>
          </cell>
        </row>
      </sheetData>
      <sheetData sheetId="5">
        <row r="1">
          <cell r="B1" t="str">
            <v>Count</v>
          </cell>
        </row>
        <row r="2">
          <cell r="A2" t="str">
            <v>China</v>
          </cell>
          <cell r="B2">
            <v>120</v>
          </cell>
        </row>
        <row r="3">
          <cell r="A3" t="str">
            <v>United States</v>
          </cell>
          <cell r="B3">
            <v>103</v>
          </cell>
        </row>
        <row r="4">
          <cell r="A4" t="str">
            <v>India</v>
          </cell>
          <cell r="B4">
            <v>92</v>
          </cell>
        </row>
        <row r="5">
          <cell r="A5" t="str">
            <v>Australia</v>
          </cell>
          <cell r="B5">
            <v>80</v>
          </cell>
        </row>
        <row r="6">
          <cell r="A6" t="str">
            <v>United Kingdom</v>
          </cell>
          <cell r="B6">
            <v>52</v>
          </cell>
        </row>
        <row r="7">
          <cell r="A7" t="str">
            <v>Canada</v>
          </cell>
          <cell r="B7">
            <v>47</v>
          </cell>
        </row>
        <row r="8">
          <cell r="A8" t="str">
            <v>Italy</v>
          </cell>
          <cell r="B8">
            <v>41</v>
          </cell>
        </row>
        <row r="9">
          <cell r="A9" t="str">
            <v>Iran</v>
          </cell>
          <cell r="B9">
            <v>39</v>
          </cell>
        </row>
        <row r="10">
          <cell r="A10" t="str">
            <v>Germany</v>
          </cell>
          <cell r="B10">
            <v>38</v>
          </cell>
        </row>
        <row r="11">
          <cell r="A11" t="str">
            <v>France</v>
          </cell>
          <cell r="B11">
            <v>33</v>
          </cell>
        </row>
        <row r="12">
          <cell r="A12" t="str">
            <v>Spain</v>
          </cell>
          <cell r="B12">
            <v>33</v>
          </cell>
        </row>
        <row r="13">
          <cell r="A13" t="str">
            <v>Other</v>
          </cell>
          <cell r="B13">
            <v>291</v>
          </cell>
        </row>
      </sheetData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32F5A0-71FA-49CB-A748-AE6ABEC0EF6D}" name="Table10" displayName="Table10" ref="A1:N427" totalsRowShown="0" headerRowDxfId="150" dataDxfId="151" headerRowBorderDxfId="167" tableBorderDxfId="168" totalsRowBorderDxfId="166">
  <autoFilter ref="A1:N427" xr:uid="{9732F5A0-71FA-49CB-A748-AE6ABEC0EF6D}"/>
  <tableColumns count="14">
    <tableColumn id="1" xr3:uid="{1962EF1C-9717-43C9-AC6B-119D105A63F3}" name="Paper Title" dataDxfId="165"/>
    <tableColumn id="2" xr3:uid="{342438ED-B42C-4DCC-81B3-FF516108D93C}" name="DoI" dataDxfId="164"/>
    <tableColumn id="3" xr3:uid="{76972916-AE65-4122-B475-D9AB3DBE06B4}" name="Year" dataDxfId="163"/>
    <tableColumn id="4" xr3:uid="{36C7928A-05A7-4ADB-965F-7F4C943C86A3}" name="Authors" dataDxfId="162"/>
    <tableColumn id="5" xr3:uid="{0EB30EED-0398-43BF-825A-25137CEE304F}" name="Item Type" dataDxfId="161"/>
    <tableColumn id="6" xr3:uid="{B6705935-FF64-4C7E-8DAD-CFA824FC8A66}" name="Pub" dataDxfId="160"/>
    <tableColumn id="7" xr3:uid="{E18A5C00-A8A0-4F6C-846A-792A09FD0C25}" name="Topic " dataDxfId="159"/>
    <tableColumn id="8" xr3:uid="{0EF7121D-C88B-47EF-BE97-BA4CD428EDD9}" name="Techniques " dataDxfId="158"/>
    <tableColumn id="9" xr3:uid="{B58A8A81-2622-41AB-8225-846B150E1D28}" name="Environment " dataDxfId="157"/>
    <tableColumn id="10" xr3:uid="{1D970A8C-464E-4E01-9CF7-F3F22271C6B9}" name="Service Layer " dataDxfId="156"/>
    <tableColumn id="11" xr3:uid="{16D5D230-BCCE-4A67-B4D7-719AB7D1082A}" name="Broker Control Topology" dataDxfId="155"/>
    <tableColumn id="12" xr3:uid="{19267E26-56A8-4975-8CB9-D80329E8E6A6}" name="NIST category ‎ " dataDxfId="154"/>
    <tableColumn id="13" xr3:uid="{A04A106A-2BEA-4174-83FB-F8F29EEC7012}" name="Frameworks, platforms " dataDxfId="153"/>
    <tableColumn id="14" xr3:uid="{DE0F1812-9CA4-4979-A08B-845E5E1F5D2C}" name="Empirical evaluation " dataDxfId="1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8DB5554-0376-4D75-9740-23CC38A8AA70}" name="Table24" displayName="Table24" ref="A1:O14" totalsRowShown="0" headerRowDxfId="80" dataDxfId="81" tableBorderDxfId="94">
  <autoFilter ref="A1:O14" xr:uid="{48DB5554-0376-4D75-9740-23CC38A8AA70}"/>
  <tableColumns count="15">
    <tableColumn id="1" xr3:uid="{D4E59D9B-D2DB-4C93-8029-1E071FA116BC}" name="Topic" dataDxfId="79"/>
    <tableColumn id="2" xr3:uid="{906AA727-D36A-49DD-BA6B-20AA8489F5B9}" name="2009" dataDxfId="78"/>
    <tableColumn id="3" xr3:uid="{47B53405-A573-494D-BAAC-59743591DAEF}" name="2010" dataDxfId="77"/>
    <tableColumn id="4" xr3:uid="{9E49A287-73FD-40AE-B7E8-2078522401D3}" name="2011" dataDxfId="93"/>
    <tableColumn id="5" xr3:uid="{A2015BE6-08DC-4DA3-BF36-7C3C8A6C0BA8}" name="2012" dataDxfId="92"/>
    <tableColumn id="6" xr3:uid="{71EF5B17-B4D4-45D7-93DB-C4A0757640C9}" name="2013" dataDxfId="91"/>
    <tableColumn id="7" xr3:uid="{9F8059D4-2051-4DCA-90AC-8F5AF0077D90}" name="2014" dataDxfId="90"/>
    <tableColumn id="8" xr3:uid="{6831CCFB-3A17-4EB6-A5BF-463D7CE772D0}" name="2015" dataDxfId="89"/>
    <tableColumn id="9" xr3:uid="{DAFFCE2A-F414-43C1-803E-5D962AE20036}" name="2016" dataDxfId="88"/>
    <tableColumn id="10" xr3:uid="{98E4495C-2FC3-4F0E-A84B-D541CBA20363}" name="2017" dataDxfId="87"/>
    <tableColumn id="11" xr3:uid="{D8658375-8F47-4062-B687-3C9B169078EE}" name="2018" dataDxfId="86"/>
    <tableColumn id="12" xr3:uid="{8FDBC10E-79E6-441F-9821-94A4E466D2B7}" name="2019" dataDxfId="85"/>
    <tableColumn id="13" xr3:uid="{B25F485F-4AA1-477C-A68D-29A7D32DF69F}" name="2020" dataDxfId="84"/>
    <tableColumn id="14" xr3:uid="{1DFE4464-2335-4D5F-9F57-D207A20CA207}" name="2021" dataDxfId="83"/>
    <tableColumn id="15" xr3:uid="{82733F7F-57D7-4C4B-8913-E94FAD19D78A}" name="2022" dataDxfId="8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35D7293-4294-4BDE-9D4B-B76F49293A4C}" name="Table26" displayName="Table26" ref="A1:B6" totalsRowShown="0">
  <autoFilter ref="A1:B6" xr:uid="{535D7293-4294-4BDE-9D4B-B76F49293A4C}"/>
  <tableColumns count="2">
    <tableColumn id="1" xr3:uid="{2433D1DC-3102-4FDE-8EC5-970AB78F8047}" name="Evaluation Type" dataDxfId="73"/>
    <tableColumn id="3" xr3:uid="{9D0BE299-8C9F-40FC-BE9E-C95BFE134226}" name="Count" dataDxfId="7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CCB0AE5-E5EB-4BA6-9CC5-5FB87EE99DF9}" name="Table27" displayName="Table27" ref="A1:B16" totalsRowShown="0" headerRowDxfId="69">
  <autoFilter ref="A1:B16" xr:uid="{9CCB0AE5-E5EB-4BA6-9CC5-5FB87EE99DF9}"/>
  <tableColumns count="2">
    <tableColumn id="1" xr3:uid="{0FACA2D7-D059-4F02-8FB7-A19B56739AF3}" name="Technique" dataDxfId="71"/>
    <tableColumn id="2" xr3:uid="{2DB7199D-6C7B-4C32-8812-FC8B44963685}" name="Count" dataDxfId="7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00958AF-1A57-499F-A5EF-001678A440BA}" name="Table28" displayName="Table28" ref="A1:B5" totalsRowShown="0" headerRowDxfId="66">
  <autoFilter ref="A1:B5" xr:uid="{800958AF-1A57-499F-A5EF-001678A440BA}"/>
  <tableColumns count="2">
    <tableColumn id="1" xr3:uid="{6D2D5C25-137D-402C-A496-4D59976D134E}" name="NIST role" dataDxfId="68"/>
    <tableColumn id="2" xr3:uid="{C22138C8-2EE1-48F0-9178-F116B97BE7A5}" name="Count" dataDxfId="6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DDE4ED6-339E-4AEC-9022-64AEE90DBDFA}" name="Table30" displayName="Table30" ref="A1:D14" totalsRowShown="0" headerRowDxfId="61" dataDxfId="60">
  <autoFilter ref="A1:D14" xr:uid="{CDDE4ED6-339E-4AEC-9022-64AEE90DBDFA}"/>
  <tableColumns count="4">
    <tableColumn id="1" xr3:uid="{B733BE39-4806-4FBA-9FDE-C49E1A8A7211}" name="Topic" dataDxfId="65"/>
    <tableColumn id="2" xr3:uid="{F13D290A-7BD7-415C-BCCB-8C07EA2BA955}" name="Arbitration" dataDxfId="64"/>
    <tableColumn id="3" xr3:uid="{494699BD-ACD1-4C34-8584-36AD2EC3D290}" name="Intermediation" dataDxfId="63"/>
    <tableColumn id="4" xr3:uid="{C0FAE77C-C3F0-447D-A8A4-764934F622B1}" name="Aggregation" dataDxfId="6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1E6946-C526-48D6-B9F4-48620A2684D3}" name="Table32" displayName="Table32" ref="A1:B6" totalsRowShown="0" headerRowDxfId="58">
  <autoFilter ref="A1:B6" xr:uid="{F21E6946-C526-48D6-B9F4-48620A2684D3}"/>
  <tableColumns count="2">
    <tableColumn id="1" xr3:uid="{867DA3A5-7AC0-4286-B7C3-B678B8705F93}" name="Service Layer"/>
    <tableColumn id="2" xr3:uid="{1E8D83B5-C735-43B3-9271-5160B47811C5}" name="Count" dataDxfId="5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2D971DC-D1D3-45B2-A3F4-67BA693B8F86}" name="Table33" displayName="Table33" ref="A1:B4" totalsRowShown="0" headerRowDxfId="57">
  <autoFilter ref="A1:B4" xr:uid="{D2D971DC-D1D3-45B2-A3F4-67BA693B8F86}"/>
  <tableColumns count="2">
    <tableColumn id="1" xr3:uid="{B27FEAB3-9FFC-49D6-8AF3-10A112639B20}" name="Control Topology"/>
    <tableColumn id="2" xr3:uid="{76F8C2C3-5579-4916-8624-E8D5EB8A2B11}" name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FDA921-2AE9-4F6B-9544-689B5DB7FF10}" name="Table12" displayName="Table12" ref="A1:B56" totalsRowShown="0" headerRowDxfId="148" headerRowBorderDxfId="149">
  <autoFilter ref="A1:B56" xr:uid="{08FDA921-2AE9-4F6B-9544-689B5DB7FF10}"/>
  <tableColumns count="2">
    <tableColumn id="1" xr3:uid="{C7CA044E-D39B-455C-BF9F-275499A2E654}" name="Name" dataDxfId="56"/>
    <tableColumn id="2" xr3:uid="{5332E0CB-0219-4770-9D1C-F04B284B5679}" name="Count" dataDxfId="55">
      <calculatedColumnFormula>COUNTIF('Journal Papers'!F:F,"*"&amp;A2&amp;"*")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FEBB9CB-4D70-415D-A85C-5E89F6A30F15}" name="Table18" displayName="Table18" ref="A1:N209" totalsRowShown="0" headerRowDxfId="130" dataDxfId="131" headerRowBorderDxfId="146" tableBorderDxfId="147">
  <autoFilter ref="A1:N209" xr:uid="{AFEBB9CB-4D70-415D-A85C-5E89F6A30F15}"/>
  <tableColumns count="14">
    <tableColumn id="1" xr3:uid="{6A5942D3-B536-441C-AC51-0F204B6D3884}" name="Paper Title" dataDxfId="145"/>
    <tableColumn id="2" xr3:uid="{5CD1D6D6-544F-4DCD-A08D-EA3EAFC29CBF}" name="DoI" dataDxfId="144"/>
    <tableColumn id="3" xr3:uid="{DD9517B2-4797-4371-8FF9-F63B35922DCE}" name="Year" dataDxfId="143"/>
    <tableColumn id="4" xr3:uid="{EFFE8532-93B6-48E8-BD04-BF4A8962FA2E}" name="Authors" dataDxfId="142"/>
    <tableColumn id="5" xr3:uid="{AC59D569-1D74-4791-A5ED-F3E745FBA31A}" name="Item Type" dataDxfId="141"/>
    <tableColumn id="6" xr3:uid="{ED2ADAEA-8AE9-4142-9C8B-0243ED787555}" name="Pub" dataDxfId="140"/>
    <tableColumn id="7" xr3:uid="{0620F6CF-B8FF-438D-B10B-AEC05B34E4B1}" name="Topic " dataDxfId="139"/>
    <tableColumn id="8" xr3:uid="{9660DDDE-DB7B-442E-B1F5-37CA786AF299}" name="Techniques " dataDxfId="138"/>
    <tableColumn id="9" xr3:uid="{F10E390F-5E4C-44AC-9306-287189B18624}" name="Environment " dataDxfId="137"/>
    <tableColumn id="10" xr3:uid="{AB96E41D-73AE-4B8C-961D-D3824061FDF9}" name="Service Layer " dataDxfId="136"/>
    <tableColumn id="11" xr3:uid="{0793C414-EF80-42EE-9E1A-BCA7EC670465}" name="Broker Control Topology" dataDxfId="135"/>
    <tableColumn id="12" xr3:uid="{92BB8B48-A687-4A6D-9220-5383EC2761E7}" name="NIST category ‎ " dataDxfId="134"/>
    <tableColumn id="13" xr3:uid="{734F1295-EB71-4F36-B5BE-A8DB62FF2B5B}" name="Frameworks, platforms " dataDxfId="133"/>
    <tableColumn id="14" xr3:uid="{16CFDA64-E7BD-4224-9564-7D9F7BEAA9EA}" name="Empirical evaluation " dataDxfId="1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CAA380F-DC09-4D54-ADCE-E3FB7C5186E8}" name="Table19" displayName="Table19" ref="A1:B37" totalsRowShown="0" headerRowBorderDxfId="129">
  <autoFilter ref="A1:B37" xr:uid="{1CAA380F-DC09-4D54-ADCE-E3FB7C5186E8}"/>
  <tableColumns count="2">
    <tableColumn id="1" xr3:uid="{9FB48152-86F1-4A21-BD80-DC2D70789D07}" name="Name" dataDxfId="54"/>
    <tableColumn id="2" xr3:uid="{D284D9FF-669A-4647-A35C-E1AED503BC48}" name="Count" dataDxfId="53">
      <calculatedColumnFormula>COUNTIF('Conference Papers'!F:F,"*"&amp;A2&amp;"*")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CFAC73E-8A0B-478D-9C4E-38A2EC01B4FF}" name="Table20" displayName="Table20" ref="A1:N635" totalsRowShown="0" headerRowDxfId="111" dataDxfId="112" headerRowBorderDxfId="127" tableBorderDxfId="128">
  <autoFilter ref="A1:N635" xr:uid="{0CFAC73E-8A0B-478D-9C4E-38A2EC01B4FF}"/>
  <tableColumns count="14">
    <tableColumn id="1" xr3:uid="{DBA99DCC-5110-41D6-89C0-4BF53799CAEF}" name="Paper Title" dataDxfId="126"/>
    <tableColumn id="2" xr3:uid="{87659214-0844-41F8-9C26-D141B1E9E88E}" name="DoI" dataDxfId="125"/>
    <tableColumn id="3" xr3:uid="{AF377FBC-EAE0-477E-AE33-7C957E055636}" name="Year" dataDxfId="124"/>
    <tableColumn id="4" xr3:uid="{B75E849C-DB89-471A-B646-86C4764FA740}" name="Authors" dataDxfId="123"/>
    <tableColumn id="5" xr3:uid="{1E02305F-A0F1-46D5-B470-F3DDFA8D7230}" name="Item Type" dataDxfId="122"/>
    <tableColumn id="6" xr3:uid="{B1ED5BD3-8B84-45D8-AF3B-E87FD4A90797}" name="Pub" dataDxfId="121"/>
    <tableColumn id="7" xr3:uid="{B4978C08-4745-418F-89C5-CB81FF72B390}" name="Topic " dataDxfId="120"/>
    <tableColumn id="8" xr3:uid="{072637D7-3F5D-4D32-AE41-36A8D36D08A0}" name="Techniques " dataDxfId="119"/>
    <tableColumn id="9" xr3:uid="{EA7D1D19-52B3-4BE6-B816-FA640D6DEAAA}" name="Environment " dataDxfId="118"/>
    <tableColumn id="10" xr3:uid="{752BF171-D69B-4DAB-A06D-6337B73AA968}" name="Service Layer " dataDxfId="117"/>
    <tableColumn id="11" xr3:uid="{4530A706-B325-4C75-ADFA-C6A804D7D0DF}" name="Broker Control Topology" dataDxfId="116"/>
    <tableColumn id="12" xr3:uid="{80776541-74E3-42FA-9672-668D54A686C8}" name="NIST category ‎ " dataDxfId="115"/>
    <tableColumn id="13" xr3:uid="{0B3A80DB-1A97-4550-BEB7-7095D08ECA59}" name="Frameworks, platforms " dataDxfId="114"/>
    <tableColumn id="14" xr3:uid="{E970EC56-E35E-43CB-A547-C127B9F8334A}" name="Empirical evaluation " dataDxfId="1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65CDB1-3283-40B2-AF46-748ADCB37CC3}" name="Table1" displayName="Table1" ref="A1:M1865" totalsRowShown="0">
  <sortState xmlns:xlrd2="http://schemas.microsoft.com/office/spreadsheetml/2017/richdata2" ref="A2:B1865">
    <sortCondition descending="1" ref="B1:B1865"/>
  </sortState>
  <tableColumns count="13">
    <tableColumn id="1" xr3:uid="{611143C9-707C-4711-ADCE-03741962CC0C}" name="Name"/>
    <tableColumn id="2" xr3:uid="{BC3546DE-A781-4C4C-AD42-17CE67BC0048}" name="Count" dataDxfId="52">
      <calculatedColumnFormula>COUNTIF('All Papers'!D:D,"*"&amp;Table1[[#This Row],[Name]]&amp;"*")</calculatedColumnFormula>
    </tableColumn>
    <tableColumn id="3" xr3:uid="{A4EE61E1-EEA8-45B8-A777-8E4033E62858}" name="Composition" dataDxfId="51">
      <calculatedColumnFormula>COUNTIFS('All Papers'!$D:$D,"*"&amp;$A2&amp;"*",'All Papers'!$G:$G,"*"&amp;Table1[[#Headers],[Composition]]&amp;"*")</calculatedColumnFormula>
    </tableColumn>
    <tableColumn id="4" xr3:uid="{9C23E177-5180-43C3-94D1-289C9F4763A3}" name="Discovery" dataDxfId="50">
      <calculatedColumnFormula>COUNTIFS('All Papers'!$D:$D,"*"&amp;$A2&amp;"*",'All Papers'!$G:$G,"*"&amp;Table1[[#Headers],[Discovery]]&amp;"*")</calculatedColumnFormula>
    </tableColumn>
    <tableColumn id="5" xr3:uid="{BC65B852-9D7F-43AF-8EC8-DBFEA3364E2A}" name="Selection" dataDxfId="49">
      <calculatedColumnFormula>COUNTIFS('All Papers'!$D:$D,"*"&amp;$A2&amp;"*",'All Papers'!$G:$G,"*"&amp;Table1[[#Headers],[Selection]]&amp;"*")</calculatedColumnFormula>
    </tableColumn>
    <tableColumn id="6" xr3:uid="{09AA1D3C-E668-4755-85BF-3847422B72FD}" name="Recommendation" dataDxfId="48">
      <calculatedColumnFormula>COUNTIFS('All Papers'!$D:$D,"*"&amp;$A2&amp;"*",'All Papers'!$G:$G,"*"&amp;Table1[[#Headers],[Recommendation]]&amp;"*")</calculatedColumnFormula>
    </tableColumn>
    <tableColumn id="7" xr3:uid="{6E109F73-8806-4FED-A108-9779AC6000F9}" name="Resource Management-CS" dataDxfId="47">
      <calculatedColumnFormula>COUNTIFS('All Papers'!$D:$D,"*"&amp;$A2&amp;"*",'All Papers'!$G:$G,"*"&amp;Table1[[#Headers],[Resource Management-CS]]&amp;"*")</calculatedColumnFormula>
    </tableColumn>
    <tableColumn id="8" xr3:uid="{3F2DC211-47D5-437F-9889-7D7300658E42}" name="Resource Management-PS" dataDxfId="46">
      <calculatedColumnFormula>COUNTIFS('All Papers'!$D:$D,"*"&amp;$A2&amp;"*",'All Papers'!$G:$G,"*"&amp;Table1[[#Headers],[Resource Management-PS]]&amp;"*")</calculatedColumnFormula>
    </tableColumn>
    <tableColumn id="9" xr3:uid="{79F53256-892A-41EA-AC9B-1FF2ABB80681}" name="SLA Management" dataDxfId="45">
      <calculatedColumnFormula>COUNTIFS('All Papers'!$D:$D,"*"&amp;$A2&amp;"*",'All Papers'!$G:$G,"*"&amp;Table1[[#Headers],[SLA Management]]&amp;"*")</calculatedColumnFormula>
    </tableColumn>
    <tableColumn id="10" xr3:uid="{CB19A21D-8386-4F3A-AA8D-D9DF19963A7A}" name="Big Data" dataDxfId="44">
      <calculatedColumnFormula>COUNTIFS('All Papers'!$D:$D,"*"&amp;$A2&amp;"*",'All Papers'!$G:$G,"*"&amp;Table1[[#Headers],[Big Data]]&amp;"*")</calculatedColumnFormula>
    </tableColumn>
    <tableColumn id="11" xr3:uid="{090EF2ED-A477-4A24-B26F-B1186F0F85EB}" name="Energy Management" dataDxfId="43">
      <calculatedColumnFormula>COUNTIFS('All Papers'!$D:$D,"*"&amp;$A2&amp;"*",'All Papers'!$G:$G,"*"&amp;Table1[[#Headers],[Energy Management]]&amp;"*")</calculatedColumnFormula>
    </tableColumn>
    <tableColumn id="12" xr3:uid="{F5DD08C7-71EA-4169-A4F8-505BD6EAEFE4}" name="Monitoring" dataDxfId="42">
      <calculatedColumnFormula>COUNTIFS('All Papers'!$D:$D,"*"&amp;$A2&amp;"*",'All Papers'!$G:$G,"*"&amp;Table1[[#Headers],[Monitoring]]&amp;"*")</calculatedColumnFormula>
    </tableColumn>
    <tableColumn id="13" xr3:uid="{B82E386A-D8EC-4AC3-8C26-0B2ADF3033D4}" name="Pricing" dataDxfId="41">
      <calculatedColumnFormula>COUNTIFS('All Papers'!$D:$D,"*"&amp;$A2&amp;"*",'All Papers'!$G:$G,"*"&amp;Table1[[#Headers],[Pricing]]&amp;"*")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7D6664-5DC6-422B-ADED-1D9BA0C3147D}" name="Table2" displayName="Table2" ref="A1:B67" totalsRowShown="0">
  <sortState xmlns:xlrd2="http://schemas.microsoft.com/office/spreadsheetml/2017/richdata2" ref="A2:B67">
    <sortCondition descending="1" ref="B1:B67"/>
  </sortState>
  <tableColumns count="2">
    <tableColumn id="1" xr3:uid="{60A92CE9-A4DD-4A6C-9C6A-0AF55160ABB0}" name="Name"/>
    <tableColumn id="2" xr3:uid="{5E12B2F7-C67A-406E-995C-CCAEFC069D96}" name="Count" dataDxfId="169">
      <calculatedColumnFormula>COUNTIF('[1]All Papers'!D:D,"*"&amp;Table2[[#This Row],[Name]]&amp;"*")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FA9A76C-FE62-45C5-B499-5D50F8FA3012}" name="Table22" displayName="Table22" ref="A1:C14" totalsRowShown="0">
  <autoFilter ref="A1:C14" xr:uid="{4FA9A76C-FE62-45C5-B499-5D50F8FA3012}"/>
  <tableColumns count="3">
    <tableColumn id="1" xr3:uid="{5F573109-4E2B-4005-BC41-352D5214AD0C}" name="Topic" dataDxfId="76"/>
    <tableColumn id="2" xr3:uid="{C374D7D5-0171-4EE9-BF86-E218D2E11F38}" name="Count" dataDxfId="75"/>
    <tableColumn id="3" xr3:uid="{646F198F-F6CB-4D59-8396-CB35C7B8A3AE}" name="Percentage" dataDxfId="74">
      <calculatedColumnFormula>B2/(COUNTA('All Papers'!A:A)-1)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90DDAAA-61FD-4448-8539-E92124F64E39}" name="Table23" displayName="Table23" ref="A1:O3" totalsRowShown="0" headerRowDxfId="95" dataDxfId="96">
  <tableColumns count="15">
    <tableColumn id="1" xr3:uid="{08392F6C-95E4-4C69-9160-96A19A0E8E64}" name="Type"/>
    <tableColumn id="2" xr3:uid="{3FFA04B0-F082-4423-BAF1-1429BD5FDDBE}" name="2009" dataDxfId="110">
      <calculatedColumnFormula>COUNTIF('Conference Papers'!C:C,"2009")</calculatedColumnFormula>
    </tableColumn>
    <tableColumn id="3" xr3:uid="{411630E5-A1B1-42F8-A9A3-E48C4830419A}" name="2010" dataDxfId="109">
      <calculatedColumnFormula>COUNTIF('Conference Papers'!C:C,"2010")</calculatedColumnFormula>
    </tableColumn>
    <tableColumn id="4" xr3:uid="{008E223D-6012-40F4-B805-12ABEDCA210B}" name="2011" dataDxfId="108">
      <calculatedColumnFormula>COUNTIF('Conference Papers'!C:C,"2011")</calculatedColumnFormula>
    </tableColumn>
    <tableColumn id="5" xr3:uid="{2DFF0993-9A2A-4EBD-8F63-4307C4B23289}" name="2012" dataDxfId="107">
      <calculatedColumnFormula>COUNTIF('Conference Papers'!C:C,"2012")</calculatedColumnFormula>
    </tableColumn>
    <tableColumn id="6" xr3:uid="{E51D169E-450F-4231-9BA0-AE5ABE4922A4}" name="2013" dataDxfId="106">
      <calculatedColumnFormula>COUNTIF('Conference Papers'!C:C,"2013")</calculatedColumnFormula>
    </tableColumn>
    <tableColumn id="7" xr3:uid="{E582AFE8-3A60-4C2F-ADEC-22F2E252221B}" name="2014" dataDxfId="105">
      <calculatedColumnFormula>COUNTIF('Conference Papers'!C:C,"2014")</calculatedColumnFormula>
    </tableColumn>
    <tableColumn id="8" xr3:uid="{54664D5D-6F51-40DE-A750-EC603E32FD05}" name="2015" dataDxfId="104">
      <calculatedColumnFormula>COUNTIF('Conference Papers'!C:C,"2015")</calculatedColumnFormula>
    </tableColumn>
    <tableColumn id="9" xr3:uid="{E91DF05D-2A26-4213-94FE-609C5F039389}" name="2016" dataDxfId="103">
      <calculatedColumnFormula>COUNTIF('Conference Papers'!C:C,"2016")</calculatedColumnFormula>
    </tableColumn>
    <tableColumn id="10" xr3:uid="{4563868B-2285-49E7-869A-931DD23948A0}" name="2017" dataDxfId="102">
      <calculatedColumnFormula>COUNTIF('Conference Papers'!C:C,"2017")</calculatedColumnFormula>
    </tableColumn>
    <tableColumn id="11" xr3:uid="{62F2A2FA-DFAE-4076-A3FB-F3805D2C6037}" name="2018" dataDxfId="101">
      <calculatedColumnFormula>COUNTIF('Conference Papers'!C:C,"2018")</calculatedColumnFormula>
    </tableColumn>
    <tableColumn id="12" xr3:uid="{48E75AAF-C32B-41A6-A641-BDC7BDCFA2F7}" name="2019" dataDxfId="100">
      <calculatedColumnFormula>COUNTIF('Conference Papers'!C:C,"2019")</calculatedColumnFormula>
    </tableColumn>
    <tableColumn id="13" xr3:uid="{9396C9FE-6494-40B6-939E-729006E0133F}" name="2020" dataDxfId="99">
      <calculatedColumnFormula>COUNTIF('Conference Papers'!C:C,"2020")</calculatedColumnFormula>
    </tableColumn>
    <tableColumn id="14" xr3:uid="{CB95E5F6-329D-48D4-B6A9-B067DB985771}" name="2021" dataDxfId="98">
      <calculatedColumnFormula>COUNTIF('Conference Papers'!C:C,"2021")</calculatedColumnFormula>
    </tableColumn>
    <tableColumn id="15" xr3:uid="{BDFE86E3-57F3-41FA-8950-F5BE1C021353}" name="2022" dataDxfId="97">
      <calculatedColumnFormula>COUNTIF('Conference Papers'!C:C,"2022")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i.org/10.1016/j.future.2019.05.03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doi.org/10.1016/j.future.2019.05.0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8F65-7DD8-406A-AC11-3153C7BE50B7}">
  <sheetPr codeName="Sheet4"/>
  <dimension ref="A1:N427"/>
  <sheetViews>
    <sheetView workbookViewId="0">
      <pane ySplit="1" topLeftCell="A155" activePane="bottomLeft" state="frozen"/>
      <selection pane="bottomLeft" activeCell="A186" sqref="A1:A1048576"/>
    </sheetView>
  </sheetViews>
  <sheetFormatPr defaultRowHeight="15" x14ac:dyDescent="0.25"/>
  <cols>
    <col min="1" max="1" width="37.140625" customWidth="1"/>
    <col min="4" max="4" width="17.140625" customWidth="1"/>
    <col min="5" max="5" width="11.5703125" customWidth="1"/>
    <col min="6" max="6" width="16.140625" customWidth="1"/>
    <col min="7" max="7" width="30.140625" customWidth="1"/>
    <col min="8" max="8" width="26.42578125" customWidth="1"/>
    <col min="9" max="9" width="13.42578125" customWidth="1"/>
    <col min="10" max="10" width="14.42578125" customWidth="1"/>
    <col min="11" max="11" width="22.85546875" customWidth="1"/>
    <col min="12" max="12" width="15.28515625" customWidth="1"/>
    <col min="13" max="13" width="21.7109375" customWidth="1"/>
    <col min="14" max="14" width="19.42578125" customWidth="1"/>
  </cols>
  <sheetData>
    <row r="1" spans="1:14" s="20" customFormat="1" ht="17.100000000000001" customHeight="1" x14ac:dyDescent="0.25">
      <c r="A1" s="21" t="s">
        <v>1019</v>
      </c>
      <c r="B1" s="22" t="s">
        <v>1020</v>
      </c>
      <c r="C1" s="23" t="s">
        <v>2263</v>
      </c>
      <c r="D1" s="24" t="s">
        <v>1686</v>
      </c>
      <c r="E1" s="22" t="s">
        <v>1629</v>
      </c>
      <c r="F1" s="25" t="s">
        <v>2264</v>
      </c>
      <c r="G1" s="23" t="s">
        <v>1021</v>
      </c>
      <c r="H1" s="23" t="s">
        <v>1022</v>
      </c>
      <c r="I1" s="23" t="s">
        <v>1023</v>
      </c>
      <c r="J1" s="23" t="s">
        <v>1024</v>
      </c>
      <c r="K1" s="23" t="s">
        <v>2427</v>
      </c>
      <c r="L1" s="23" t="s">
        <v>1025</v>
      </c>
      <c r="M1" s="23" t="s">
        <v>1026</v>
      </c>
      <c r="N1" s="26" t="s">
        <v>1027</v>
      </c>
    </row>
    <row r="2" spans="1:14" s="1" customFormat="1" ht="17.100000000000001" customHeight="1" x14ac:dyDescent="0.25">
      <c r="A2" s="9" t="s">
        <v>1490</v>
      </c>
      <c r="B2" s="10" t="s">
        <v>1491</v>
      </c>
      <c r="C2" s="10">
        <v>2014</v>
      </c>
      <c r="D2" s="11" t="s">
        <v>2203</v>
      </c>
      <c r="E2" s="10" t="s">
        <v>1630</v>
      </c>
      <c r="F2" s="11" t="s">
        <v>1492</v>
      </c>
      <c r="G2" s="10" t="s">
        <v>2266</v>
      </c>
      <c r="H2" s="10" t="s">
        <v>1057</v>
      </c>
      <c r="I2" s="10" t="s">
        <v>1493</v>
      </c>
      <c r="J2" s="10" t="s">
        <v>1030</v>
      </c>
      <c r="K2" s="12" t="s">
        <v>1037</v>
      </c>
      <c r="L2" s="10" t="s">
        <v>1247</v>
      </c>
      <c r="M2" s="10" t="s">
        <v>1093</v>
      </c>
      <c r="N2" s="13" t="s">
        <v>1035</v>
      </c>
    </row>
    <row r="3" spans="1:14" s="1" customFormat="1" ht="17.100000000000001" customHeight="1" x14ac:dyDescent="0.25">
      <c r="A3" s="9" t="s">
        <v>382</v>
      </c>
      <c r="B3" s="10" t="s">
        <v>383</v>
      </c>
      <c r="C3" s="10">
        <v>2017</v>
      </c>
      <c r="D3" s="11" t="s">
        <v>1943</v>
      </c>
      <c r="E3" s="10" t="s">
        <v>1630</v>
      </c>
      <c r="F3" s="11" t="s">
        <v>379</v>
      </c>
      <c r="G3" s="10" t="s">
        <v>2266</v>
      </c>
      <c r="H3" s="10" t="s">
        <v>1057</v>
      </c>
      <c r="I3" s="12" t="s">
        <v>1029</v>
      </c>
      <c r="J3" s="12" t="s">
        <v>1688</v>
      </c>
      <c r="K3" s="10" t="s">
        <v>1031</v>
      </c>
      <c r="L3" s="10" t="s">
        <v>1032</v>
      </c>
      <c r="M3" s="10" t="s">
        <v>1187</v>
      </c>
      <c r="N3" s="14" t="s">
        <v>1035</v>
      </c>
    </row>
    <row r="4" spans="1:14" s="1" customFormat="1" ht="17.100000000000001" customHeight="1" x14ac:dyDescent="0.25">
      <c r="A4" s="9" t="s">
        <v>452</v>
      </c>
      <c r="B4" s="10" t="s">
        <v>453</v>
      </c>
      <c r="C4" s="10">
        <v>2019</v>
      </c>
      <c r="D4" s="11" t="s">
        <v>2018</v>
      </c>
      <c r="E4" s="10" t="s">
        <v>1630</v>
      </c>
      <c r="F4" s="11" t="s">
        <v>379</v>
      </c>
      <c r="G4" s="10" t="s">
        <v>1028</v>
      </c>
      <c r="H4" s="10" t="s">
        <v>1168</v>
      </c>
      <c r="I4" s="12" t="s">
        <v>1029</v>
      </c>
      <c r="J4" s="10" t="s">
        <v>1040</v>
      </c>
      <c r="K4" s="12" t="s">
        <v>1037</v>
      </c>
      <c r="L4" s="10" t="s">
        <v>1032</v>
      </c>
      <c r="M4" s="10" t="s">
        <v>1129</v>
      </c>
      <c r="N4" s="14" t="s">
        <v>1035</v>
      </c>
    </row>
    <row r="5" spans="1:14" s="1" customFormat="1" ht="17.100000000000001" customHeight="1" x14ac:dyDescent="0.25">
      <c r="A5" s="9" t="s">
        <v>380</v>
      </c>
      <c r="B5" s="10" t="s">
        <v>381</v>
      </c>
      <c r="C5" s="10">
        <v>2016</v>
      </c>
      <c r="D5" s="11" t="s">
        <v>2059</v>
      </c>
      <c r="E5" s="10" t="s">
        <v>1630</v>
      </c>
      <c r="F5" s="11" t="s">
        <v>379</v>
      </c>
      <c r="G5" s="10" t="s">
        <v>1538</v>
      </c>
      <c r="H5" s="10" t="s">
        <v>1230</v>
      </c>
      <c r="I5" s="12" t="s">
        <v>1029</v>
      </c>
      <c r="J5" s="10" t="s">
        <v>1030</v>
      </c>
      <c r="K5" s="10" t="s">
        <v>1031</v>
      </c>
      <c r="L5" s="10" t="s">
        <v>1032</v>
      </c>
      <c r="M5" s="10" t="s">
        <v>1231</v>
      </c>
      <c r="N5" s="14" t="s">
        <v>1035</v>
      </c>
    </row>
    <row r="6" spans="1:14" s="1" customFormat="1" ht="17.100000000000001" customHeight="1" x14ac:dyDescent="0.25">
      <c r="A6" s="9" t="s">
        <v>361</v>
      </c>
      <c r="B6" s="10" t="s">
        <v>362</v>
      </c>
      <c r="C6" s="10">
        <v>2017</v>
      </c>
      <c r="D6" s="11" t="s">
        <v>1773</v>
      </c>
      <c r="E6" s="10" t="s">
        <v>1630</v>
      </c>
      <c r="F6" s="11" t="s">
        <v>363</v>
      </c>
      <c r="G6" s="10" t="s">
        <v>2266</v>
      </c>
      <c r="H6" s="10" t="s">
        <v>2326</v>
      </c>
      <c r="I6" s="12" t="s">
        <v>1039</v>
      </c>
      <c r="J6" s="10" t="s">
        <v>1030</v>
      </c>
      <c r="K6" s="12" t="s">
        <v>1037</v>
      </c>
      <c r="L6" s="10" t="s">
        <v>1032</v>
      </c>
      <c r="M6" s="10" t="s">
        <v>1086</v>
      </c>
      <c r="N6" s="13" t="s">
        <v>1072</v>
      </c>
    </row>
    <row r="7" spans="1:14" s="1" customFormat="1" ht="17.100000000000001" customHeight="1" x14ac:dyDescent="0.25">
      <c r="A7" s="9" t="s">
        <v>298</v>
      </c>
      <c r="B7" s="10" t="s">
        <v>299</v>
      </c>
      <c r="C7" s="10">
        <v>2016</v>
      </c>
      <c r="D7" s="11" t="s">
        <v>1765</v>
      </c>
      <c r="E7" s="10" t="s">
        <v>1630</v>
      </c>
      <c r="F7" s="11" t="s">
        <v>294</v>
      </c>
      <c r="G7" s="10" t="s">
        <v>2266</v>
      </c>
      <c r="H7" s="10" t="s">
        <v>2326</v>
      </c>
      <c r="I7" s="12" t="s">
        <v>1029</v>
      </c>
      <c r="J7" s="10" t="s">
        <v>1030</v>
      </c>
      <c r="K7" s="10" t="s">
        <v>1031</v>
      </c>
      <c r="L7" s="10" t="s">
        <v>1032</v>
      </c>
      <c r="M7" s="10" t="s">
        <v>1078</v>
      </c>
      <c r="N7" s="13" t="s">
        <v>1072</v>
      </c>
    </row>
    <row r="8" spans="1:14" s="1" customFormat="1" ht="17.100000000000001" customHeight="1" x14ac:dyDescent="0.25">
      <c r="A8" s="9" t="s">
        <v>300</v>
      </c>
      <c r="B8" s="10" t="s">
        <v>301</v>
      </c>
      <c r="C8" s="10">
        <v>2018</v>
      </c>
      <c r="D8" s="11" t="s">
        <v>1764</v>
      </c>
      <c r="E8" s="10" t="s">
        <v>1630</v>
      </c>
      <c r="F8" s="11" t="s">
        <v>294</v>
      </c>
      <c r="G8" s="10" t="s">
        <v>2266</v>
      </c>
      <c r="H8" s="10" t="s">
        <v>2326</v>
      </c>
      <c r="I8" s="12" t="s">
        <v>1039</v>
      </c>
      <c r="J8" s="12" t="s">
        <v>1688</v>
      </c>
      <c r="K8" s="10" t="s">
        <v>1031</v>
      </c>
      <c r="L8" s="10" t="s">
        <v>1247</v>
      </c>
      <c r="M8" s="10" t="s">
        <v>1077</v>
      </c>
      <c r="N8" s="14" t="s">
        <v>1035</v>
      </c>
    </row>
    <row r="9" spans="1:14" s="1" customFormat="1" ht="17.100000000000001" customHeight="1" x14ac:dyDescent="0.25">
      <c r="A9" s="9" t="s">
        <v>292</v>
      </c>
      <c r="B9" s="10" t="s">
        <v>293</v>
      </c>
      <c r="C9" s="12">
        <v>2016</v>
      </c>
      <c r="D9" s="11" t="s">
        <v>2066</v>
      </c>
      <c r="E9" s="10" t="s">
        <v>1630</v>
      </c>
      <c r="F9" s="11" t="s">
        <v>294</v>
      </c>
      <c r="G9" s="12" t="s">
        <v>1165</v>
      </c>
      <c r="H9" s="10" t="s">
        <v>2340</v>
      </c>
      <c r="I9" s="12" t="s">
        <v>1039</v>
      </c>
      <c r="J9" s="12" t="s">
        <v>1040</v>
      </c>
      <c r="K9" s="10" t="s">
        <v>1031</v>
      </c>
      <c r="L9" s="12" t="s">
        <v>1042</v>
      </c>
      <c r="M9" s="12" t="s">
        <v>1056</v>
      </c>
      <c r="N9" s="13" t="s">
        <v>1072</v>
      </c>
    </row>
    <row r="10" spans="1:14" s="1" customFormat="1" ht="17.100000000000001" customHeight="1" x14ac:dyDescent="0.25">
      <c r="A10" s="9" t="s">
        <v>2433</v>
      </c>
      <c r="B10" s="10" t="s">
        <v>297</v>
      </c>
      <c r="C10" s="12">
        <v>2018</v>
      </c>
      <c r="D10" s="11" t="s">
        <v>1712</v>
      </c>
      <c r="E10" s="10" t="s">
        <v>1630</v>
      </c>
      <c r="F10" s="11" t="s">
        <v>294</v>
      </c>
      <c r="G10" s="12" t="s">
        <v>1028</v>
      </c>
      <c r="H10" s="10" t="s">
        <v>2320</v>
      </c>
      <c r="I10" s="12" t="s">
        <v>1029</v>
      </c>
      <c r="J10" s="12" t="s">
        <v>1036</v>
      </c>
      <c r="K10" s="12" t="s">
        <v>1037</v>
      </c>
      <c r="L10" s="10" t="s">
        <v>1032</v>
      </c>
      <c r="M10" s="12" t="s">
        <v>1038</v>
      </c>
      <c r="N10" s="13" t="s">
        <v>1034</v>
      </c>
    </row>
    <row r="11" spans="1:14" s="1" customFormat="1" ht="17.100000000000001" customHeight="1" x14ac:dyDescent="0.25">
      <c r="A11" s="9" t="s">
        <v>295</v>
      </c>
      <c r="B11" s="10" t="s">
        <v>296</v>
      </c>
      <c r="C11" s="12">
        <v>2014</v>
      </c>
      <c r="D11" s="11" t="s">
        <v>2020</v>
      </c>
      <c r="E11" s="10" t="s">
        <v>1630</v>
      </c>
      <c r="F11" s="11" t="s">
        <v>294</v>
      </c>
      <c r="G11" s="12" t="s">
        <v>1054</v>
      </c>
      <c r="H11" s="10" t="s">
        <v>2345</v>
      </c>
      <c r="I11" s="12" t="s">
        <v>1039</v>
      </c>
      <c r="J11" s="12" t="s">
        <v>1689</v>
      </c>
      <c r="K11" s="10" t="s">
        <v>1031</v>
      </c>
      <c r="L11" s="12" t="s">
        <v>1042</v>
      </c>
      <c r="M11" s="12" t="s">
        <v>114</v>
      </c>
      <c r="N11" s="14" t="s">
        <v>1035</v>
      </c>
    </row>
    <row r="12" spans="1:14" s="1" customFormat="1" ht="17.100000000000001" customHeight="1" x14ac:dyDescent="0.25">
      <c r="A12" s="9" t="s">
        <v>862</v>
      </c>
      <c r="B12" s="10" t="s">
        <v>865</v>
      </c>
      <c r="C12" s="10">
        <v>2019</v>
      </c>
      <c r="D12" s="11" t="s">
        <v>2251</v>
      </c>
      <c r="E12" s="10" t="s">
        <v>1630</v>
      </c>
      <c r="F12" s="11" t="s">
        <v>861</v>
      </c>
      <c r="G12" s="10" t="s">
        <v>1028</v>
      </c>
      <c r="H12" s="10" t="s">
        <v>1168</v>
      </c>
      <c r="I12" s="12" t="s">
        <v>1029</v>
      </c>
      <c r="J12" s="10" t="s">
        <v>1069</v>
      </c>
      <c r="K12" s="10" t="s">
        <v>1031</v>
      </c>
      <c r="L12" s="10" t="s">
        <v>1032</v>
      </c>
      <c r="M12" s="10" t="s">
        <v>1067</v>
      </c>
      <c r="N12" s="13" t="s">
        <v>1035</v>
      </c>
    </row>
    <row r="13" spans="1:14" s="1" customFormat="1" ht="17.100000000000001" customHeight="1" x14ac:dyDescent="0.25">
      <c r="A13" s="9" t="s">
        <v>613</v>
      </c>
      <c r="B13" s="10" t="s">
        <v>614</v>
      </c>
      <c r="C13" s="10">
        <v>2022</v>
      </c>
      <c r="D13" s="11" t="s">
        <v>1705</v>
      </c>
      <c r="E13" s="10" t="s">
        <v>1630</v>
      </c>
      <c r="F13" s="11" t="s">
        <v>330</v>
      </c>
      <c r="G13" s="10" t="s">
        <v>1054</v>
      </c>
      <c r="H13" s="10" t="s">
        <v>2326</v>
      </c>
      <c r="I13" s="12" t="s">
        <v>1039</v>
      </c>
      <c r="J13" s="10" t="s">
        <v>1036</v>
      </c>
      <c r="K13" s="12" t="s">
        <v>1037</v>
      </c>
      <c r="L13" s="10" t="s">
        <v>1247</v>
      </c>
      <c r="M13" s="10" t="s">
        <v>1093</v>
      </c>
      <c r="N13" s="14" t="s">
        <v>1035</v>
      </c>
    </row>
    <row r="14" spans="1:14" s="1" customFormat="1" ht="17.100000000000001" customHeight="1" x14ac:dyDescent="0.25">
      <c r="A14" s="9" t="s">
        <v>1598</v>
      </c>
      <c r="B14" s="10" t="s">
        <v>1599</v>
      </c>
      <c r="C14" s="10">
        <v>2017</v>
      </c>
      <c r="D14" s="11" t="s">
        <v>2259</v>
      </c>
      <c r="E14" s="10" t="s">
        <v>1630</v>
      </c>
      <c r="F14" s="11" t="s">
        <v>330</v>
      </c>
      <c r="G14" s="10" t="s">
        <v>2280</v>
      </c>
      <c r="H14" s="10" t="s">
        <v>2326</v>
      </c>
      <c r="I14" s="10" t="s">
        <v>1493</v>
      </c>
      <c r="J14" s="10" t="s">
        <v>1030</v>
      </c>
      <c r="K14" s="10" t="s">
        <v>1031</v>
      </c>
      <c r="L14" s="10" t="s">
        <v>1247</v>
      </c>
      <c r="M14" s="10" t="s">
        <v>1102</v>
      </c>
      <c r="N14" s="13" t="s">
        <v>1072</v>
      </c>
    </row>
    <row r="15" spans="1:14" s="1" customFormat="1" ht="17.100000000000001" customHeight="1" x14ac:dyDescent="0.25">
      <c r="A15" s="9" t="s">
        <v>2430</v>
      </c>
      <c r="B15" s="10" t="s">
        <v>331</v>
      </c>
      <c r="C15" s="10">
        <v>2013</v>
      </c>
      <c r="D15" s="11" t="s">
        <v>1861</v>
      </c>
      <c r="E15" s="10" t="s">
        <v>1630</v>
      </c>
      <c r="F15" s="11" t="s">
        <v>330</v>
      </c>
      <c r="G15" s="10" t="s">
        <v>1639</v>
      </c>
      <c r="H15" s="10" t="s">
        <v>2334</v>
      </c>
      <c r="I15" s="12" t="s">
        <v>1029</v>
      </c>
      <c r="J15" s="10" t="s">
        <v>1040</v>
      </c>
      <c r="K15" s="10" t="s">
        <v>1031</v>
      </c>
      <c r="L15" s="10" t="s">
        <v>1032</v>
      </c>
      <c r="M15" s="12" t="s">
        <v>114</v>
      </c>
      <c r="N15" s="14" t="s">
        <v>1035</v>
      </c>
    </row>
    <row r="16" spans="1:14" s="1" customFormat="1" ht="17.100000000000001" customHeight="1" x14ac:dyDescent="0.25">
      <c r="A16" s="9" t="s">
        <v>1482</v>
      </c>
      <c r="B16" s="10" t="s">
        <v>1483</v>
      </c>
      <c r="C16" s="10">
        <v>2018</v>
      </c>
      <c r="D16" s="11" t="s">
        <v>2200</v>
      </c>
      <c r="E16" s="10" t="s">
        <v>1630</v>
      </c>
      <c r="F16" s="11" t="s">
        <v>330</v>
      </c>
      <c r="G16" s="10" t="s">
        <v>1215</v>
      </c>
      <c r="H16" s="10" t="s">
        <v>2334</v>
      </c>
      <c r="I16" s="12" t="s">
        <v>1029</v>
      </c>
      <c r="J16" s="10" t="s">
        <v>1030</v>
      </c>
      <c r="K16" s="12" t="s">
        <v>1037</v>
      </c>
      <c r="L16" s="10" t="s">
        <v>1032</v>
      </c>
      <c r="M16" s="10" t="s">
        <v>1049</v>
      </c>
      <c r="N16" s="13" t="s">
        <v>1035</v>
      </c>
    </row>
    <row r="17" spans="1:14" s="1" customFormat="1" ht="17.100000000000001" customHeight="1" x14ac:dyDescent="0.25">
      <c r="A17" s="27" t="s">
        <v>1616</v>
      </c>
      <c r="B17" s="28" t="s">
        <v>1617</v>
      </c>
      <c r="C17" s="29">
        <v>2014</v>
      </c>
      <c r="D17" s="11" t="s">
        <v>1679</v>
      </c>
      <c r="E17" s="28" t="s">
        <v>1630</v>
      </c>
      <c r="F17" s="30" t="s">
        <v>330</v>
      </c>
      <c r="G17" s="29" t="s">
        <v>1609</v>
      </c>
      <c r="H17" s="29" t="s">
        <v>2353</v>
      </c>
      <c r="I17" s="29" t="s">
        <v>1493</v>
      </c>
      <c r="J17" s="29" t="s">
        <v>1030</v>
      </c>
      <c r="K17" s="12" t="s">
        <v>1037</v>
      </c>
      <c r="L17" s="29" t="s">
        <v>1042</v>
      </c>
      <c r="M17" s="10" t="s">
        <v>114</v>
      </c>
      <c r="N17" s="42" t="s">
        <v>1035</v>
      </c>
    </row>
    <row r="18" spans="1:14" s="1" customFormat="1" ht="17.100000000000001" customHeight="1" x14ac:dyDescent="0.25">
      <c r="A18" s="9" t="s">
        <v>897</v>
      </c>
      <c r="B18" s="10" t="s">
        <v>898</v>
      </c>
      <c r="C18" s="10">
        <v>2021</v>
      </c>
      <c r="D18" s="11" t="s">
        <v>2231</v>
      </c>
      <c r="E18" s="10" t="s">
        <v>1630</v>
      </c>
      <c r="F18" s="11" t="s">
        <v>330</v>
      </c>
      <c r="G18" s="10" t="s">
        <v>2275</v>
      </c>
      <c r="H18" s="10" t="s">
        <v>1161</v>
      </c>
      <c r="I18" s="10" t="s">
        <v>1493</v>
      </c>
      <c r="J18" s="10" t="s">
        <v>1030</v>
      </c>
      <c r="K18" s="10" t="s">
        <v>1643</v>
      </c>
      <c r="L18" s="10" t="s">
        <v>1247</v>
      </c>
      <c r="M18" s="10" t="s">
        <v>1093</v>
      </c>
      <c r="N18" s="13" t="s">
        <v>1035</v>
      </c>
    </row>
    <row r="19" spans="1:14" s="1" customFormat="1" ht="17.100000000000001" customHeight="1" x14ac:dyDescent="0.25">
      <c r="A19" s="9" t="s">
        <v>1484</v>
      </c>
      <c r="B19" s="10" t="s">
        <v>1485</v>
      </c>
      <c r="C19" s="10">
        <v>2015</v>
      </c>
      <c r="D19" s="11" t="s">
        <v>2201</v>
      </c>
      <c r="E19" s="10" t="s">
        <v>1630</v>
      </c>
      <c r="F19" s="11" t="s">
        <v>330</v>
      </c>
      <c r="G19" s="10" t="s">
        <v>2266</v>
      </c>
      <c r="H19" s="10" t="s">
        <v>1057</v>
      </c>
      <c r="I19" s="10" t="s">
        <v>1039</v>
      </c>
      <c r="J19" s="10" t="s">
        <v>1030</v>
      </c>
      <c r="K19" s="10" t="s">
        <v>1031</v>
      </c>
      <c r="L19" s="10" t="s">
        <v>1247</v>
      </c>
      <c r="M19" s="10" t="s">
        <v>1250</v>
      </c>
      <c r="N19" s="13" t="s">
        <v>1034</v>
      </c>
    </row>
    <row r="20" spans="1:14" s="1" customFormat="1" ht="17.100000000000001" customHeight="1" x14ac:dyDescent="0.25">
      <c r="A20" s="9" t="s">
        <v>1460</v>
      </c>
      <c r="B20" s="10" t="s">
        <v>1461</v>
      </c>
      <c r="C20" s="10">
        <v>2022</v>
      </c>
      <c r="D20" s="11" t="s">
        <v>2191</v>
      </c>
      <c r="E20" s="10" t="s">
        <v>1630</v>
      </c>
      <c r="F20" s="11" t="s">
        <v>330</v>
      </c>
      <c r="G20" s="10" t="s">
        <v>2266</v>
      </c>
      <c r="H20" s="10" t="s">
        <v>1057</v>
      </c>
      <c r="I20" s="10" t="s">
        <v>1039</v>
      </c>
      <c r="J20" s="10" t="s">
        <v>1030</v>
      </c>
      <c r="K20" s="10" t="s">
        <v>1031</v>
      </c>
      <c r="L20" s="10" t="s">
        <v>1247</v>
      </c>
      <c r="M20" s="10" t="s">
        <v>1049</v>
      </c>
      <c r="N20" s="13" t="s">
        <v>1035</v>
      </c>
    </row>
    <row r="21" spans="1:14" s="1" customFormat="1" ht="17.100000000000001" customHeight="1" x14ac:dyDescent="0.25">
      <c r="A21" s="9" t="s">
        <v>424</v>
      </c>
      <c r="B21" s="10" t="s">
        <v>425</v>
      </c>
      <c r="C21" s="10">
        <v>2019</v>
      </c>
      <c r="D21" s="11" t="s">
        <v>1964</v>
      </c>
      <c r="E21" s="10" t="s">
        <v>1630</v>
      </c>
      <c r="F21" s="11" t="s">
        <v>330</v>
      </c>
      <c r="G21" s="10" t="s">
        <v>2266</v>
      </c>
      <c r="H21" s="10" t="s">
        <v>1057</v>
      </c>
      <c r="I21" s="12" t="s">
        <v>1039</v>
      </c>
      <c r="J21" s="10" t="s">
        <v>1030</v>
      </c>
      <c r="K21" s="10" t="s">
        <v>1031</v>
      </c>
      <c r="L21" s="10" t="s">
        <v>1247</v>
      </c>
      <c r="M21" s="12" t="s">
        <v>114</v>
      </c>
      <c r="N21" s="14" t="s">
        <v>1035</v>
      </c>
    </row>
    <row r="22" spans="1:14" s="1" customFormat="1" ht="17.100000000000001" customHeight="1" x14ac:dyDescent="0.25">
      <c r="A22" s="9" t="s">
        <v>412</v>
      </c>
      <c r="B22" s="10" t="s">
        <v>413</v>
      </c>
      <c r="C22" s="10">
        <v>2019</v>
      </c>
      <c r="D22" s="11" t="s">
        <v>2014</v>
      </c>
      <c r="E22" s="10" t="s">
        <v>1630</v>
      </c>
      <c r="F22" s="11" t="s">
        <v>330</v>
      </c>
      <c r="G22" s="10" t="s">
        <v>2266</v>
      </c>
      <c r="H22" s="10" t="s">
        <v>1057</v>
      </c>
      <c r="I22" s="12" t="s">
        <v>1039</v>
      </c>
      <c r="J22" s="10" t="s">
        <v>1040</v>
      </c>
      <c r="K22" s="10" t="s">
        <v>1031</v>
      </c>
      <c r="L22" s="10" t="s">
        <v>1032</v>
      </c>
      <c r="M22" s="12" t="s">
        <v>114</v>
      </c>
      <c r="N22" s="14" t="s">
        <v>1035</v>
      </c>
    </row>
    <row r="23" spans="1:14" s="1" customFormat="1" ht="17.100000000000001" customHeight="1" x14ac:dyDescent="0.25">
      <c r="A23" s="9" t="s">
        <v>334</v>
      </c>
      <c r="B23" s="10" t="s">
        <v>335</v>
      </c>
      <c r="C23" s="10">
        <v>2018</v>
      </c>
      <c r="D23" s="11" t="s">
        <v>1702</v>
      </c>
      <c r="E23" s="10" t="s">
        <v>1630</v>
      </c>
      <c r="F23" s="11" t="s">
        <v>330</v>
      </c>
      <c r="G23" s="10" t="s">
        <v>1080</v>
      </c>
      <c r="H23" s="10" t="s">
        <v>2425</v>
      </c>
      <c r="I23" s="12" t="s">
        <v>1029</v>
      </c>
      <c r="J23" s="10" t="s">
        <v>1040</v>
      </c>
      <c r="K23" s="10" t="s">
        <v>1031</v>
      </c>
      <c r="L23" s="10" t="s">
        <v>1032</v>
      </c>
      <c r="M23" s="12" t="s">
        <v>114</v>
      </c>
      <c r="N23" s="13" t="s">
        <v>1034</v>
      </c>
    </row>
    <row r="24" spans="1:14" s="1" customFormat="1" ht="17.100000000000001" customHeight="1" x14ac:dyDescent="0.25">
      <c r="A24" s="9" t="s">
        <v>338</v>
      </c>
      <c r="B24" s="10" t="s">
        <v>339</v>
      </c>
      <c r="C24" s="12">
        <v>2018</v>
      </c>
      <c r="D24" s="11" t="s">
        <v>1928</v>
      </c>
      <c r="E24" s="10" t="s">
        <v>1630</v>
      </c>
      <c r="F24" s="11" t="s">
        <v>330</v>
      </c>
      <c r="G24" s="10" t="s">
        <v>1028</v>
      </c>
      <c r="H24" s="10" t="s">
        <v>1179</v>
      </c>
      <c r="I24" s="12" t="s">
        <v>1039</v>
      </c>
      <c r="J24" s="10" t="s">
        <v>1040</v>
      </c>
      <c r="K24" s="12" t="s">
        <v>1037</v>
      </c>
      <c r="L24" s="10" t="s">
        <v>1032</v>
      </c>
      <c r="M24" s="12" t="s">
        <v>114</v>
      </c>
      <c r="N24" s="14" t="s">
        <v>1035</v>
      </c>
    </row>
    <row r="25" spans="1:14" s="1" customFormat="1" ht="17.100000000000001" customHeight="1" x14ac:dyDescent="0.25">
      <c r="A25" s="9" t="s">
        <v>332</v>
      </c>
      <c r="B25" s="10" t="s">
        <v>333</v>
      </c>
      <c r="C25" s="12">
        <v>2016</v>
      </c>
      <c r="D25" s="11" t="s">
        <v>1991</v>
      </c>
      <c r="E25" s="10" t="s">
        <v>1630</v>
      </c>
      <c r="F25" s="11" t="s">
        <v>330</v>
      </c>
      <c r="G25" s="12" t="s">
        <v>1642</v>
      </c>
      <c r="H25" s="10" t="s">
        <v>2428</v>
      </c>
      <c r="I25" s="12" t="s">
        <v>1029</v>
      </c>
      <c r="J25" s="12" t="s">
        <v>2405</v>
      </c>
      <c r="K25" s="10" t="s">
        <v>1031</v>
      </c>
      <c r="L25" s="10" t="s">
        <v>1032</v>
      </c>
      <c r="M25" s="12" t="s">
        <v>114</v>
      </c>
      <c r="N25" s="14" t="s">
        <v>1035</v>
      </c>
    </row>
    <row r="26" spans="1:14" s="1" customFormat="1" ht="17.100000000000001" customHeight="1" x14ac:dyDescent="0.25">
      <c r="A26" s="9" t="s">
        <v>524</v>
      </c>
      <c r="B26" s="10" t="s">
        <v>525</v>
      </c>
      <c r="C26" s="10">
        <v>2020</v>
      </c>
      <c r="D26" s="11" t="s">
        <v>2043</v>
      </c>
      <c r="E26" s="10" t="s">
        <v>1630</v>
      </c>
      <c r="F26" s="11" t="s">
        <v>330</v>
      </c>
      <c r="G26" s="10" t="s">
        <v>2266</v>
      </c>
      <c r="H26" s="10" t="s">
        <v>2360</v>
      </c>
      <c r="I26" s="12" t="s">
        <v>1039</v>
      </c>
      <c r="J26" s="10" t="s">
        <v>1030</v>
      </c>
      <c r="K26" s="10" t="s">
        <v>1031</v>
      </c>
      <c r="L26" s="10" t="s">
        <v>1032</v>
      </c>
      <c r="M26" s="12" t="s">
        <v>114</v>
      </c>
      <c r="N26" s="14" t="s">
        <v>1035</v>
      </c>
    </row>
    <row r="27" spans="1:14" s="1" customFormat="1" ht="17.100000000000001" customHeight="1" x14ac:dyDescent="0.25">
      <c r="A27" s="9" t="s">
        <v>1488</v>
      </c>
      <c r="B27" s="10" t="s">
        <v>1489</v>
      </c>
      <c r="C27" s="10">
        <v>2018</v>
      </c>
      <c r="D27" s="11" t="s">
        <v>2202</v>
      </c>
      <c r="E27" s="10" t="s">
        <v>1630</v>
      </c>
      <c r="F27" s="11" t="s">
        <v>330</v>
      </c>
      <c r="G27" s="10" t="s">
        <v>2275</v>
      </c>
      <c r="H27" s="10" t="s">
        <v>1229</v>
      </c>
      <c r="I27" s="10" t="s">
        <v>1039</v>
      </c>
      <c r="J27" s="10" t="s">
        <v>1030</v>
      </c>
      <c r="K27" s="10" t="s">
        <v>1031</v>
      </c>
      <c r="L27" s="10" t="s">
        <v>1247</v>
      </c>
      <c r="M27" s="10" t="s">
        <v>1067</v>
      </c>
      <c r="N27" s="13" t="s">
        <v>1035</v>
      </c>
    </row>
    <row r="28" spans="1:14" s="1" customFormat="1" ht="17.100000000000001" customHeight="1" x14ac:dyDescent="0.25">
      <c r="A28" s="9" t="s">
        <v>575</v>
      </c>
      <c r="B28" s="10" t="s">
        <v>576</v>
      </c>
      <c r="C28" s="10">
        <v>2021</v>
      </c>
      <c r="D28" s="11" t="s">
        <v>1858</v>
      </c>
      <c r="E28" s="10" t="s">
        <v>1630</v>
      </c>
      <c r="F28" s="11" t="s">
        <v>330</v>
      </c>
      <c r="G28" s="10" t="s">
        <v>2275</v>
      </c>
      <c r="H28" s="10" t="s">
        <v>1229</v>
      </c>
      <c r="I28" s="12" t="s">
        <v>1039</v>
      </c>
      <c r="J28" s="10" t="s">
        <v>1030</v>
      </c>
      <c r="K28" s="10" t="s">
        <v>1031</v>
      </c>
      <c r="L28" s="10" t="s">
        <v>1247</v>
      </c>
      <c r="M28" s="10" t="s">
        <v>1075</v>
      </c>
      <c r="N28" s="13" t="s">
        <v>1035</v>
      </c>
    </row>
    <row r="29" spans="1:14" s="1" customFormat="1" ht="17.100000000000001" customHeight="1" x14ac:dyDescent="0.25">
      <c r="A29" s="9" t="s">
        <v>543</v>
      </c>
      <c r="B29" s="10" t="s">
        <v>544</v>
      </c>
      <c r="C29" s="10">
        <v>2019</v>
      </c>
      <c r="D29" s="11" t="s">
        <v>1740</v>
      </c>
      <c r="E29" s="10" t="s">
        <v>1630</v>
      </c>
      <c r="F29" s="11" t="s">
        <v>330</v>
      </c>
      <c r="G29" s="10" t="s">
        <v>2266</v>
      </c>
      <c r="H29" s="10" t="s">
        <v>2340</v>
      </c>
      <c r="I29" s="12" t="s">
        <v>1029</v>
      </c>
      <c r="J29" s="10" t="s">
        <v>1030</v>
      </c>
      <c r="K29" s="10" t="s">
        <v>1031</v>
      </c>
      <c r="L29" s="10" t="s">
        <v>1032</v>
      </c>
      <c r="M29" s="12" t="s">
        <v>114</v>
      </c>
      <c r="N29" s="14" t="s">
        <v>1035</v>
      </c>
    </row>
    <row r="30" spans="1:14" s="1" customFormat="1" ht="17.100000000000001" customHeight="1" x14ac:dyDescent="0.25">
      <c r="A30" s="9" t="s">
        <v>418</v>
      </c>
      <c r="B30" s="10" t="s">
        <v>419</v>
      </c>
      <c r="C30" s="10">
        <v>2019</v>
      </c>
      <c r="D30" s="11" t="s">
        <v>2099</v>
      </c>
      <c r="E30" s="10" t="s">
        <v>1630</v>
      </c>
      <c r="F30" s="11" t="s">
        <v>330</v>
      </c>
      <c r="G30" s="10" t="s">
        <v>2266</v>
      </c>
      <c r="H30" s="10" t="s">
        <v>2340</v>
      </c>
      <c r="I30" s="12" t="s">
        <v>1039</v>
      </c>
      <c r="J30" s="10" t="s">
        <v>1048</v>
      </c>
      <c r="K30" s="10" t="s">
        <v>1031</v>
      </c>
      <c r="L30" s="10" t="s">
        <v>1247</v>
      </c>
      <c r="M30" s="10" t="s">
        <v>1116</v>
      </c>
      <c r="N30" s="14" t="s">
        <v>1035</v>
      </c>
    </row>
    <row r="31" spans="1:14" s="1" customFormat="1" ht="17.100000000000001" customHeight="1" x14ac:dyDescent="0.25">
      <c r="A31" s="9" t="s">
        <v>340</v>
      </c>
      <c r="B31" s="10" t="s">
        <v>341</v>
      </c>
      <c r="C31" s="12">
        <v>2016</v>
      </c>
      <c r="D31" s="11" t="s">
        <v>2070</v>
      </c>
      <c r="E31" s="10" t="s">
        <v>1630</v>
      </c>
      <c r="F31" s="11" t="s">
        <v>330</v>
      </c>
      <c r="G31" s="12" t="s">
        <v>1054</v>
      </c>
      <c r="H31" s="10" t="s">
        <v>2340</v>
      </c>
      <c r="I31" s="12" t="s">
        <v>1029</v>
      </c>
      <c r="J31" s="12" t="s">
        <v>1036</v>
      </c>
      <c r="K31" s="10" t="s">
        <v>1031</v>
      </c>
      <c r="L31" s="10" t="s">
        <v>1247</v>
      </c>
      <c r="M31" s="12" t="s">
        <v>1235</v>
      </c>
      <c r="N31" s="14" t="s">
        <v>1035</v>
      </c>
    </row>
    <row r="32" spans="1:14" s="1" customFormat="1" ht="17.100000000000001" customHeight="1" x14ac:dyDescent="0.25">
      <c r="A32" s="9" t="s">
        <v>518</v>
      </c>
      <c r="B32" s="10" t="s">
        <v>519</v>
      </c>
      <c r="C32" s="10">
        <v>2021</v>
      </c>
      <c r="D32" s="11" t="s">
        <v>1722</v>
      </c>
      <c r="E32" s="10" t="s">
        <v>1630</v>
      </c>
      <c r="F32" s="11" t="s">
        <v>330</v>
      </c>
      <c r="G32" s="10" t="s">
        <v>1028</v>
      </c>
      <c r="H32" s="10" t="s">
        <v>2320</v>
      </c>
      <c r="I32" s="12" t="s">
        <v>1039</v>
      </c>
      <c r="J32" s="10" t="s">
        <v>1040</v>
      </c>
      <c r="K32" s="10" t="s">
        <v>1031</v>
      </c>
      <c r="L32" s="10" t="s">
        <v>1032</v>
      </c>
      <c r="M32" s="12" t="s">
        <v>114</v>
      </c>
      <c r="N32" s="14" t="s">
        <v>1035</v>
      </c>
    </row>
    <row r="33" spans="1:14" s="1" customFormat="1" ht="17.100000000000001" customHeight="1" x14ac:dyDescent="0.25">
      <c r="A33" s="9" t="s">
        <v>2432</v>
      </c>
      <c r="B33" s="10" t="s">
        <v>522</v>
      </c>
      <c r="C33" s="10">
        <v>2022</v>
      </c>
      <c r="D33" s="11" t="s">
        <v>1724</v>
      </c>
      <c r="E33" s="10" t="s">
        <v>1630</v>
      </c>
      <c r="F33" s="11" t="s">
        <v>330</v>
      </c>
      <c r="G33" s="10" t="s">
        <v>1028</v>
      </c>
      <c r="H33" s="10" t="s">
        <v>2320</v>
      </c>
      <c r="I33" s="12" t="s">
        <v>1039</v>
      </c>
      <c r="J33" s="10" t="s">
        <v>1040</v>
      </c>
      <c r="K33" s="10" t="s">
        <v>1031</v>
      </c>
      <c r="L33" s="10" t="s">
        <v>1032</v>
      </c>
      <c r="M33" s="12" t="s">
        <v>114</v>
      </c>
      <c r="N33" s="14" t="s">
        <v>1035</v>
      </c>
    </row>
    <row r="34" spans="1:14" s="1" customFormat="1" ht="17.100000000000001" customHeight="1" x14ac:dyDescent="0.25">
      <c r="A34" s="9" t="s">
        <v>420</v>
      </c>
      <c r="B34" s="10" t="s">
        <v>421</v>
      </c>
      <c r="C34" s="10">
        <v>2020</v>
      </c>
      <c r="D34" s="11" t="s">
        <v>1850</v>
      </c>
      <c r="E34" s="10" t="s">
        <v>1630</v>
      </c>
      <c r="F34" s="11" t="s">
        <v>330</v>
      </c>
      <c r="G34" s="10" t="s">
        <v>1054</v>
      </c>
      <c r="H34" s="10" t="s">
        <v>2384</v>
      </c>
      <c r="I34" s="12" t="s">
        <v>1039</v>
      </c>
      <c r="J34" s="10" t="s">
        <v>1040</v>
      </c>
      <c r="K34" s="10" t="s">
        <v>1031</v>
      </c>
      <c r="L34" s="10" t="s">
        <v>1042</v>
      </c>
      <c r="M34" s="10" t="s">
        <v>1145</v>
      </c>
      <c r="N34" s="14" t="s">
        <v>1035</v>
      </c>
    </row>
    <row r="35" spans="1:14" s="1" customFormat="1" ht="17.100000000000001" customHeight="1" x14ac:dyDescent="0.25">
      <c r="A35" s="9" t="s">
        <v>328</v>
      </c>
      <c r="B35" s="10" t="s">
        <v>329</v>
      </c>
      <c r="C35" s="12">
        <v>2013</v>
      </c>
      <c r="D35" s="11" t="s">
        <v>1891</v>
      </c>
      <c r="E35" s="10" t="s">
        <v>1630</v>
      </c>
      <c r="F35" s="11" t="s">
        <v>330</v>
      </c>
      <c r="G35" s="31" t="s">
        <v>1177</v>
      </c>
      <c r="H35" s="31" t="s">
        <v>2265</v>
      </c>
      <c r="I35" s="12" t="s">
        <v>1029</v>
      </c>
      <c r="J35" s="12" t="s">
        <v>1040</v>
      </c>
      <c r="K35" s="10" t="s">
        <v>1031</v>
      </c>
      <c r="L35" s="10" t="s">
        <v>1247</v>
      </c>
      <c r="M35" s="12" t="s">
        <v>1058</v>
      </c>
      <c r="N35" s="13" t="s">
        <v>1072</v>
      </c>
    </row>
    <row r="36" spans="1:14" s="1" customFormat="1" ht="17.100000000000001" customHeight="1" x14ac:dyDescent="0.25">
      <c r="A36" s="9" t="s">
        <v>336</v>
      </c>
      <c r="B36" s="10" t="s">
        <v>337</v>
      </c>
      <c r="C36" s="10">
        <v>2019</v>
      </c>
      <c r="D36" s="11" t="s">
        <v>1895</v>
      </c>
      <c r="E36" s="10" t="s">
        <v>1630</v>
      </c>
      <c r="F36" s="11" t="s">
        <v>330</v>
      </c>
      <c r="G36" s="10" t="s">
        <v>1028</v>
      </c>
      <c r="H36" s="10" t="s">
        <v>2386</v>
      </c>
      <c r="I36" s="12" t="s">
        <v>1029</v>
      </c>
      <c r="J36" s="10" t="s">
        <v>1040</v>
      </c>
      <c r="K36" s="10" t="s">
        <v>1031</v>
      </c>
      <c r="L36" s="10" t="s">
        <v>1032</v>
      </c>
      <c r="M36" s="10" t="s">
        <v>1160</v>
      </c>
      <c r="N36" s="13" t="s">
        <v>1034</v>
      </c>
    </row>
    <row r="37" spans="1:14" s="1" customFormat="1" ht="17.100000000000001" customHeight="1" x14ac:dyDescent="0.25">
      <c r="A37" s="9" t="s">
        <v>342</v>
      </c>
      <c r="B37" s="10" t="s">
        <v>343</v>
      </c>
      <c r="C37" s="10">
        <v>2018</v>
      </c>
      <c r="D37" s="11" t="s">
        <v>1978</v>
      </c>
      <c r="E37" s="10" t="s">
        <v>1630</v>
      </c>
      <c r="F37" s="11" t="s">
        <v>330</v>
      </c>
      <c r="G37" s="10" t="s">
        <v>1054</v>
      </c>
      <c r="H37" s="10" t="s">
        <v>2331</v>
      </c>
      <c r="I37" s="12" t="s">
        <v>1029</v>
      </c>
      <c r="J37" s="10" t="s">
        <v>1040</v>
      </c>
      <c r="K37" s="10" t="s">
        <v>1031</v>
      </c>
      <c r="L37" s="10" t="s">
        <v>1042</v>
      </c>
      <c r="M37" s="12" t="s">
        <v>114</v>
      </c>
      <c r="N37" s="14" t="s">
        <v>1035</v>
      </c>
    </row>
    <row r="38" spans="1:14" s="1" customFormat="1" ht="17.100000000000001" customHeight="1" x14ac:dyDescent="0.25">
      <c r="A38" s="9" t="s">
        <v>569</v>
      </c>
      <c r="B38" s="10" t="s">
        <v>896</v>
      </c>
      <c r="C38" s="10">
        <v>2019</v>
      </c>
      <c r="D38" s="11" t="s">
        <v>1879</v>
      </c>
      <c r="E38" s="10" t="s">
        <v>1630</v>
      </c>
      <c r="F38" s="11" t="s">
        <v>1158</v>
      </c>
      <c r="G38" s="10" t="s">
        <v>2275</v>
      </c>
      <c r="H38" s="10" t="s">
        <v>1161</v>
      </c>
      <c r="I38" s="12" t="s">
        <v>1039</v>
      </c>
      <c r="J38" s="10" t="s">
        <v>1030</v>
      </c>
      <c r="K38" s="10" t="s">
        <v>1031</v>
      </c>
      <c r="L38" s="10" t="s">
        <v>1032</v>
      </c>
      <c r="M38" s="10" t="s">
        <v>1116</v>
      </c>
      <c r="N38" s="13" t="s">
        <v>1035</v>
      </c>
    </row>
    <row r="39" spans="1:14" s="1" customFormat="1" ht="17.100000000000001" customHeight="1" x14ac:dyDescent="0.25">
      <c r="A39" s="9" t="s">
        <v>317</v>
      </c>
      <c r="B39" s="10" t="s">
        <v>318</v>
      </c>
      <c r="C39" s="10">
        <v>2018</v>
      </c>
      <c r="D39" s="11" t="s">
        <v>1772</v>
      </c>
      <c r="E39" s="10" t="s">
        <v>1630</v>
      </c>
      <c r="F39" s="11" t="s">
        <v>319</v>
      </c>
      <c r="G39" s="10" t="s">
        <v>2275</v>
      </c>
      <c r="H39" s="10" t="s">
        <v>2326</v>
      </c>
      <c r="I39" s="12" t="s">
        <v>1039</v>
      </c>
      <c r="J39" s="10" t="s">
        <v>1030</v>
      </c>
      <c r="K39" s="10" t="s">
        <v>1031</v>
      </c>
      <c r="L39" s="10" t="s">
        <v>1247</v>
      </c>
      <c r="M39" s="10" t="s">
        <v>1086</v>
      </c>
      <c r="N39" s="13" t="s">
        <v>1072</v>
      </c>
    </row>
    <row r="40" spans="1:14" s="1" customFormat="1" ht="17.100000000000001" customHeight="1" x14ac:dyDescent="0.25">
      <c r="A40" s="9" t="s">
        <v>428</v>
      </c>
      <c r="B40" s="10" t="s">
        <v>429</v>
      </c>
      <c r="C40" s="10">
        <v>2019</v>
      </c>
      <c r="D40" s="11" t="s">
        <v>1842</v>
      </c>
      <c r="E40" s="10" t="s">
        <v>1630</v>
      </c>
      <c r="F40" s="11" t="s">
        <v>319</v>
      </c>
      <c r="G40" s="10" t="s">
        <v>1165</v>
      </c>
      <c r="H40" s="10" t="s">
        <v>2350</v>
      </c>
      <c r="I40" s="12" t="s">
        <v>1039</v>
      </c>
      <c r="J40" s="10" t="s">
        <v>1030</v>
      </c>
      <c r="K40" s="10" t="s">
        <v>1031</v>
      </c>
      <c r="L40" s="10" t="s">
        <v>1247</v>
      </c>
      <c r="M40" s="10" t="s">
        <v>1131</v>
      </c>
      <c r="N40" s="14" t="s">
        <v>1035</v>
      </c>
    </row>
    <row r="41" spans="1:14" s="1" customFormat="1" ht="17.100000000000001" customHeight="1" x14ac:dyDescent="0.25">
      <c r="A41" s="9" t="s">
        <v>448</v>
      </c>
      <c r="B41" s="10" t="s">
        <v>449</v>
      </c>
      <c r="C41" s="10">
        <v>2019</v>
      </c>
      <c r="D41" s="11" t="s">
        <v>1983</v>
      </c>
      <c r="E41" s="10" t="s">
        <v>1630</v>
      </c>
      <c r="F41" s="11" t="s">
        <v>319</v>
      </c>
      <c r="G41" s="10" t="s">
        <v>2266</v>
      </c>
      <c r="H41" s="10" t="s">
        <v>1057</v>
      </c>
      <c r="I41" s="12" t="s">
        <v>1029</v>
      </c>
      <c r="J41" s="10" t="s">
        <v>1030</v>
      </c>
      <c r="K41" s="10" t="s">
        <v>1031</v>
      </c>
      <c r="L41" s="10" t="s">
        <v>1032</v>
      </c>
      <c r="M41" s="10" t="s">
        <v>1200</v>
      </c>
      <c r="N41" s="14" t="s">
        <v>1035</v>
      </c>
    </row>
    <row r="42" spans="1:14" s="1" customFormat="1" ht="17.100000000000001" customHeight="1" x14ac:dyDescent="0.25">
      <c r="A42" s="9" t="s">
        <v>320</v>
      </c>
      <c r="B42" s="10" t="s">
        <v>321</v>
      </c>
      <c r="C42" s="10">
        <v>2017</v>
      </c>
      <c r="D42" s="11" t="s">
        <v>1995</v>
      </c>
      <c r="E42" s="10" t="s">
        <v>1630</v>
      </c>
      <c r="F42" s="11" t="s">
        <v>319</v>
      </c>
      <c r="G42" s="10" t="s">
        <v>2266</v>
      </c>
      <c r="H42" s="10" t="s">
        <v>2385</v>
      </c>
      <c r="I42" s="12" t="s">
        <v>1039</v>
      </c>
      <c r="J42" s="10" t="s">
        <v>1036</v>
      </c>
      <c r="K42" s="10" t="s">
        <v>1031</v>
      </c>
      <c r="L42" s="10" t="s">
        <v>1032</v>
      </c>
      <c r="M42" s="12" t="s">
        <v>114</v>
      </c>
      <c r="N42" s="14" t="s">
        <v>1035</v>
      </c>
    </row>
    <row r="43" spans="1:14" s="1" customFormat="1" ht="17.100000000000001" customHeight="1" x14ac:dyDescent="0.25">
      <c r="A43" s="9" t="s">
        <v>142</v>
      </c>
      <c r="B43" s="10" t="s">
        <v>143</v>
      </c>
      <c r="C43" s="32">
        <v>2014</v>
      </c>
      <c r="D43" s="11" t="s">
        <v>1837</v>
      </c>
      <c r="E43" s="10" t="s">
        <v>1630</v>
      </c>
      <c r="F43" s="33" t="s">
        <v>144</v>
      </c>
      <c r="G43" s="10" t="s">
        <v>2275</v>
      </c>
      <c r="H43" s="10" t="s">
        <v>2326</v>
      </c>
      <c r="I43" s="12" t="s">
        <v>1039</v>
      </c>
      <c r="J43" s="10" t="s">
        <v>1030</v>
      </c>
      <c r="K43" s="10" t="s">
        <v>1031</v>
      </c>
      <c r="L43" s="10" t="s">
        <v>1247</v>
      </c>
      <c r="M43" s="12" t="s">
        <v>114</v>
      </c>
      <c r="N43" s="13" t="s">
        <v>1041</v>
      </c>
    </row>
    <row r="44" spans="1:14" s="1" customFormat="1" ht="17.100000000000001" customHeight="1" x14ac:dyDescent="0.25">
      <c r="A44" s="9" t="s">
        <v>145</v>
      </c>
      <c r="B44" s="10" t="s">
        <v>146</v>
      </c>
      <c r="C44" s="32">
        <v>2014</v>
      </c>
      <c r="D44" s="11" t="s">
        <v>1839</v>
      </c>
      <c r="E44" s="10" t="s">
        <v>1630</v>
      </c>
      <c r="F44" s="33" t="s">
        <v>144</v>
      </c>
      <c r="G44" s="10" t="s">
        <v>2266</v>
      </c>
      <c r="H44" s="10" t="s">
        <v>2326</v>
      </c>
      <c r="I44" s="12" t="s">
        <v>1029</v>
      </c>
      <c r="J44" s="10" t="s">
        <v>1030</v>
      </c>
      <c r="K44" s="10" t="s">
        <v>1031</v>
      </c>
      <c r="L44" s="10" t="s">
        <v>2400</v>
      </c>
      <c r="M44" s="10" t="s">
        <v>1102</v>
      </c>
      <c r="N44" s="13" t="s">
        <v>1072</v>
      </c>
    </row>
    <row r="45" spans="1:14" s="1" customFormat="1" ht="17.100000000000001" customHeight="1" x14ac:dyDescent="0.25">
      <c r="A45" s="9" t="s">
        <v>441</v>
      </c>
      <c r="B45" s="10" t="s">
        <v>442</v>
      </c>
      <c r="C45" s="10">
        <v>2019</v>
      </c>
      <c r="D45" s="11" t="s">
        <v>1843</v>
      </c>
      <c r="E45" s="10" t="s">
        <v>1630</v>
      </c>
      <c r="F45" s="11" t="s">
        <v>443</v>
      </c>
      <c r="G45" s="10" t="s">
        <v>1028</v>
      </c>
      <c r="H45" s="10" t="s">
        <v>2326</v>
      </c>
      <c r="I45" s="12" t="s">
        <v>1029</v>
      </c>
      <c r="J45" s="10" t="s">
        <v>1036</v>
      </c>
      <c r="K45" s="10" t="s">
        <v>1031</v>
      </c>
      <c r="L45" s="10" t="s">
        <v>1032</v>
      </c>
      <c r="M45" s="12" t="s">
        <v>114</v>
      </c>
      <c r="N45" s="14" t="s">
        <v>1035</v>
      </c>
    </row>
    <row r="46" spans="1:14" s="1" customFormat="1" ht="17.100000000000001" customHeight="1" x14ac:dyDescent="0.25">
      <c r="A46" s="9" t="s">
        <v>403</v>
      </c>
      <c r="B46" s="34" t="s">
        <v>114</v>
      </c>
      <c r="C46" s="10">
        <v>2012</v>
      </c>
      <c r="D46" s="11" t="s">
        <v>1654</v>
      </c>
      <c r="E46" s="10" t="s">
        <v>1630</v>
      </c>
      <c r="F46" s="11" t="s">
        <v>404</v>
      </c>
      <c r="G46" s="10" t="s">
        <v>1054</v>
      </c>
      <c r="H46" s="10" t="s">
        <v>2326</v>
      </c>
      <c r="I46" s="12" t="s">
        <v>1039</v>
      </c>
      <c r="J46" s="10" t="s">
        <v>1030</v>
      </c>
      <c r="K46" s="10" t="s">
        <v>1031</v>
      </c>
      <c r="L46" s="10" t="s">
        <v>1042</v>
      </c>
      <c r="M46" s="12" t="s">
        <v>114</v>
      </c>
      <c r="N46" s="14" t="s">
        <v>1035</v>
      </c>
    </row>
    <row r="47" spans="1:14" s="1" customFormat="1" ht="17.100000000000001" customHeight="1" x14ac:dyDescent="0.25">
      <c r="A47" s="9" t="s">
        <v>405</v>
      </c>
      <c r="B47" s="34" t="s">
        <v>114</v>
      </c>
      <c r="C47" s="10">
        <v>2017</v>
      </c>
      <c r="D47" s="11" t="s">
        <v>1655</v>
      </c>
      <c r="E47" s="10" t="s">
        <v>1630</v>
      </c>
      <c r="F47" s="11" t="s">
        <v>404</v>
      </c>
      <c r="G47" s="10" t="s">
        <v>2266</v>
      </c>
      <c r="H47" s="10" t="s">
        <v>2326</v>
      </c>
      <c r="I47" s="12" t="s">
        <v>1039</v>
      </c>
      <c r="J47" s="10" t="s">
        <v>1030</v>
      </c>
      <c r="K47" s="10" t="s">
        <v>1031</v>
      </c>
      <c r="L47" s="10" t="s">
        <v>1032</v>
      </c>
      <c r="M47" s="10" t="s">
        <v>1126</v>
      </c>
      <c r="N47" s="14" t="s">
        <v>1035</v>
      </c>
    </row>
    <row r="48" spans="1:14" s="1" customFormat="1" ht="17.100000000000001" customHeight="1" x14ac:dyDescent="0.25">
      <c r="A48" s="9" t="s">
        <v>498</v>
      </c>
      <c r="B48" s="10" t="s">
        <v>499</v>
      </c>
      <c r="C48" s="10">
        <v>2022</v>
      </c>
      <c r="D48" s="11" t="s">
        <v>2042</v>
      </c>
      <c r="E48" s="10" t="s">
        <v>1630</v>
      </c>
      <c r="F48" s="11" t="s">
        <v>495</v>
      </c>
      <c r="G48" s="10" t="s">
        <v>1054</v>
      </c>
      <c r="H48" s="10" t="s">
        <v>1168</v>
      </c>
      <c r="I48" s="12" t="s">
        <v>1029</v>
      </c>
      <c r="J48" s="12" t="s">
        <v>1040</v>
      </c>
      <c r="K48" s="10" t="s">
        <v>1031</v>
      </c>
      <c r="L48" s="10" t="s">
        <v>1042</v>
      </c>
      <c r="M48" s="12" t="s">
        <v>114</v>
      </c>
      <c r="N48" s="14" t="s">
        <v>1035</v>
      </c>
    </row>
    <row r="49" spans="1:14" s="1" customFormat="1" ht="17.100000000000001" customHeight="1" x14ac:dyDescent="0.25">
      <c r="A49" s="9" t="s">
        <v>493</v>
      </c>
      <c r="B49" s="10" t="s">
        <v>494</v>
      </c>
      <c r="C49" s="10">
        <v>2020</v>
      </c>
      <c r="D49" s="11" t="s">
        <v>2041</v>
      </c>
      <c r="E49" s="10" t="s">
        <v>1630</v>
      </c>
      <c r="F49" s="11" t="s">
        <v>495</v>
      </c>
      <c r="G49" s="10" t="s">
        <v>1054</v>
      </c>
      <c r="H49" s="10" t="s">
        <v>1168</v>
      </c>
      <c r="I49" s="12" t="s">
        <v>1039</v>
      </c>
      <c r="J49" s="10" t="s">
        <v>1040</v>
      </c>
      <c r="K49" s="10" t="s">
        <v>1031</v>
      </c>
      <c r="L49" s="10" t="s">
        <v>1042</v>
      </c>
      <c r="M49" s="12" t="s">
        <v>114</v>
      </c>
      <c r="N49" s="14" t="s">
        <v>1035</v>
      </c>
    </row>
    <row r="50" spans="1:14" s="1" customFormat="1" ht="17.100000000000001" customHeight="1" x14ac:dyDescent="0.25">
      <c r="A50" s="27" t="s">
        <v>1626</v>
      </c>
      <c r="B50" s="34" t="s">
        <v>114</v>
      </c>
      <c r="C50" s="35">
        <v>2022</v>
      </c>
      <c r="D50" s="36" t="s">
        <v>1685</v>
      </c>
      <c r="E50" s="37" t="s">
        <v>1630</v>
      </c>
      <c r="F50" s="37" t="s">
        <v>495</v>
      </c>
      <c r="G50" s="29" t="s">
        <v>1028</v>
      </c>
      <c r="H50" s="29" t="s">
        <v>1168</v>
      </c>
      <c r="I50" s="29" t="s">
        <v>1029</v>
      </c>
      <c r="J50" s="29" t="s">
        <v>1040</v>
      </c>
      <c r="K50" s="29" t="s">
        <v>1031</v>
      </c>
      <c r="L50" s="29" t="s">
        <v>1032</v>
      </c>
      <c r="M50" s="29" t="s">
        <v>2291</v>
      </c>
      <c r="N50" s="43" t="s">
        <v>1035</v>
      </c>
    </row>
    <row r="51" spans="1:14" s="1" customFormat="1" ht="17.100000000000001" customHeight="1" x14ac:dyDescent="0.25">
      <c r="A51" s="9" t="s">
        <v>1518</v>
      </c>
      <c r="B51" s="10" t="s">
        <v>1519</v>
      </c>
      <c r="C51" s="10">
        <v>2015</v>
      </c>
      <c r="D51" s="11" t="s">
        <v>1760</v>
      </c>
      <c r="E51" s="10" t="s">
        <v>1630</v>
      </c>
      <c r="F51" s="11" t="s">
        <v>208</v>
      </c>
      <c r="G51" s="10" t="s">
        <v>2266</v>
      </c>
      <c r="H51" s="10" t="s">
        <v>2337</v>
      </c>
      <c r="I51" s="10" t="s">
        <v>1493</v>
      </c>
      <c r="J51" s="10" t="s">
        <v>1030</v>
      </c>
      <c r="K51" s="10" t="s">
        <v>1031</v>
      </c>
      <c r="L51" s="10" t="s">
        <v>1247</v>
      </c>
      <c r="M51" s="10" t="s">
        <v>114</v>
      </c>
      <c r="N51" s="13" t="s">
        <v>1035</v>
      </c>
    </row>
    <row r="52" spans="1:14" s="1" customFormat="1" ht="17.100000000000001" customHeight="1" x14ac:dyDescent="0.25">
      <c r="A52" s="9" t="s">
        <v>1581</v>
      </c>
      <c r="B52" s="10" t="s">
        <v>1582</v>
      </c>
      <c r="C52" s="10">
        <v>2017</v>
      </c>
      <c r="D52" s="11" t="s">
        <v>2242</v>
      </c>
      <c r="E52" s="10" t="s">
        <v>1630</v>
      </c>
      <c r="F52" s="11" t="s">
        <v>208</v>
      </c>
      <c r="G52" s="10" t="s">
        <v>2275</v>
      </c>
      <c r="H52" s="10" t="s">
        <v>2337</v>
      </c>
      <c r="I52" s="10" t="s">
        <v>1039</v>
      </c>
      <c r="J52" s="10" t="s">
        <v>1030</v>
      </c>
      <c r="K52" s="12" t="s">
        <v>1037</v>
      </c>
      <c r="L52" s="10" t="s">
        <v>1247</v>
      </c>
      <c r="M52" s="10" t="s">
        <v>1250</v>
      </c>
      <c r="N52" s="13" t="s">
        <v>1159</v>
      </c>
    </row>
    <row r="53" spans="1:14" s="1" customFormat="1" ht="17.100000000000001" customHeight="1" x14ac:dyDescent="0.25">
      <c r="A53" s="9" t="s">
        <v>1522</v>
      </c>
      <c r="B53" s="10" t="s">
        <v>1523</v>
      </c>
      <c r="C53" s="10">
        <v>2015</v>
      </c>
      <c r="D53" s="11" t="s">
        <v>2213</v>
      </c>
      <c r="E53" s="10" t="s">
        <v>1630</v>
      </c>
      <c r="F53" s="11" t="s">
        <v>208</v>
      </c>
      <c r="G53" s="10" t="s">
        <v>1177</v>
      </c>
      <c r="H53" s="10" t="s">
        <v>2366</v>
      </c>
      <c r="I53" s="10" t="s">
        <v>1493</v>
      </c>
      <c r="J53" s="10" t="s">
        <v>1040</v>
      </c>
      <c r="K53" s="12" t="s">
        <v>1037</v>
      </c>
      <c r="L53" s="10" t="s">
        <v>1247</v>
      </c>
      <c r="M53" s="10" t="s">
        <v>1055</v>
      </c>
      <c r="N53" s="13" t="s">
        <v>1034</v>
      </c>
    </row>
    <row r="54" spans="1:14" s="1" customFormat="1" ht="17.100000000000001" customHeight="1" x14ac:dyDescent="0.25">
      <c r="A54" s="9" t="s">
        <v>1498</v>
      </c>
      <c r="B54" s="10" t="s">
        <v>1499</v>
      </c>
      <c r="C54" s="10">
        <v>2017</v>
      </c>
      <c r="D54" s="11" t="s">
        <v>2205</v>
      </c>
      <c r="E54" s="10" t="s">
        <v>1630</v>
      </c>
      <c r="F54" s="11" t="s">
        <v>208</v>
      </c>
      <c r="G54" s="10" t="s">
        <v>2281</v>
      </c>
      <c r="H54" s="10" t="s">
        <v>2326</v>
      </c>
      <c r="I54" s="10" t="s">
        <v>1493</v>
      </c>
      <c r="J54" s="10" t="s">
        <v>1030</v>
      </c>
      <c r="K54" s="10" t="s">
        <v>1031</v>
      </c>
      <c r="L54" s="10" t="s">
        <v>1042</v>
      </c>
      <c r="M54" s="10" t="s">
        <v>1500</v>
      </c>
      <c r="N54" s="13" t="s">
        <v>1034</v>
      </c>
    </row>
    <row r="55" spans="1:14" s="1" customFormat="1" ht="17.100000000000001" customHeight="1" x14ac:dyDescent="0.25">
      <c r="A55" s="9" t="s">
        <v>1504</v>
      </c>
      <c r="B55" s="10" t="s">
        <v>1505</v>
      </c>
      <c r="C55" s="10">
        <v>2022</v>
      </c>
      <c r="D55" s="11" t="s">
        <v>2207</v>
      </c>
      <c r="E55" s="10" t="s">
        <v>1630</v>
      </c>
      <c r="F55" s="11" t="s">
        <v>208</v>
      </c>
      <c r="G55" s="10" t="s">
        <v>1177</v>
      </c>
      <c r="H55" s="10" t="s">
        <v>2326</v>
      </c>
      <c r="I55" s="10" t="s">
        <v>1493</v>
      </c>
      <c r="J55" s="10" t="s">
        <v>1030</v>
      </c>
      <c r="K55" s="10" t="s">
        <v>1031</v>
      </c>
      <c r="L55" s="10" t="s">
        <v>1247</v>
      </c>
      <c r="M55" s="10" t="s">
        <v>1506</v>
      </c>
      <c r="N55" s="13" t="s">
        <v>1072</v>
      </c>
    </row>
    <row r="56" spans="1:14" s="1" customFormat="1" ht="17.100000000000001" customHeight="1" x14ac:dyDescent="0.25">
      <c r="A56" s="9" t="s">
        <v>1524</v>
      </c>
      <c r="B56" s="10" t="s">
        <v>1525</v>
      </c>
      <c r="C56" s="10">
        <v>2016</v>
      </c>
      <c r="D56" s="11" t="s">
        <v>2214</v>
      </c>
      <c r="E56" s="10" t="s">
        <v>1630</v>
      </c>
      <c r="F56" s="11" t="s">
        <v>208</v>
      </c>
      <c r="G56" s="10" t="s">
        <v>2266</v>
      </c>
      <c r="H56" s="10" t="s">
        <v>2326</v>
      </c>
      <c r="I56" s="10" t="s">
        <v>1493</v>
      </c>
      <c r="J56" s="10" t="s">
        <v>1691</v>
      </c>
      <c r="K56" s="12" t="s">
        <v>1037</v>
      </c>
      <c r="L56" s="10" t="s">
        <v>1042</v>
      </c>
      <c r="M56" s="10" t="s">
        <v>1526</v>
      </c>
      <c r="N56" s="13" t="s">
        <v>1035</v>
      </c>
    </row>
    <row r="57" spans="1:14" s="1" customFormat="1" ht="17.100000000000001" customHeight="1" x14ac:dyDescent="0.25">
      <c r="A57" s="9" t="s">
        <v>1501</v>
      </c>
      <c r="B57" s="10" t="s">
        <v>1502</v>
      </c>
      <c r="C57" s="10">
        <v>2016</v>
      </c>
      <c r="D57" s="11" t="s">
        <v>2206</v>
      </c>
      <c r="E57" s="10" t="s">
        <v>1630</v>
      </c>
      <c r="F57" s="11" t="s">
        <v>208</v>
      </c>
      <c r="G57" s="10" t="s">
        <v>2275</v>
      </c>
      <c r="H57" s="10" t="s">
        <v>1161</v>
      </c>
      <c r="I57" s="10" t="s">
        <v>1493</v>
      </c>
      <c r="J57" s="10" t="s">
        <v>1030</v>
      </c>
      <c r="K57" s="10" t="s">
        <v>1031</v>
      </c>
      <c r="L57" s="10" t="s">
        <v>1247</v>
      </c>
      <c r="M57" s="10" t="s">
        <v>1503</v>
      </c>
      <c r="N57" s="13" t="s">
        <v>1035</v>
      </c>
    </row>
    <row r="58" spans="1:14" s="1" customFormat="1" ht="17.100000000000001" customHeight="1" x14ac:dyDescent="0.25">
      <c r="A58" s="9" t="s">
        <v>206</v>
      </c>
      <c r="B58" s="10" t="s">
        <v>207</v>
      </c>
      <c r="C58" s="10">
        <v>2017</v>
      </c>
      <c r="D58" s="11" t="s">
        <v>1997</v>
      </c>
      <c r="E58" s="10" t="s">
        <v>1630</v>
      </c>
      <c r="F58" s="11" t="s">
        <v>208</v>
      </c>
      <c r="G58" s="10" t="s">
        <v>1066</v>
      </c>
      <c r="H58" s="10" t="s">
        <v>1057</v>
      </c>
      <c r="I58" s="12" t="s">
        <v>1039</v>
      </c>
      <c r="J58" s="10" t="s">
        <v>1052</v>
      </c>
      <c r="K58" s="10" t="s">
        <v>1031</v>
      </c>
      <c r="L58" s="10" t="s">
        <v>1032</v>
      </c>
      <c r="M58" s="12" t="s">
        <v>114</v>
      </c>
      <c r="N58" s="14" t="s">
        <v>1035</v>
      </c>
    </row>
    <row r="59" spans="1:14" s="1" customFormat="1" ht="17.100000000000001" customHeight="1" x14ac:dyDescent="0.25">
      <c r="A59" s="9" t="s">
        <v>1529</v>
      </c>
      <c r="B59" s="10" t="s">
        <v>1530</v>
      </c>
      <c r="C59" s="10">
        <v>2020</v>
      </c>
      <c r="D59" s="11" t="s">
        <v>2216</v>
      </c>
      <c r="E59" s="10" t="s">
        <v>1630</v>
      </c>
      <c r="F59" s="11" t="s">
        <v>208</v>
      </c>
      <c r="G59" s="10" t="s">
        <v>2271</v>
      </c>
      <c r="H59" s="10" t="s">
        <v>1057</v>
      </c>
      <c r="I59" s="12" t="s">
        <v>1029</v>
      </c>
      <c r="J59" s="10" t="s">
        <v>1036</v>
      </c>
      <c r="K59" s="10" t="s">
        <v>1031</v>
      </c>
      <c r="L59" s="10" t="s">
        <v>1032</v>
      </c>
      <c r="M59" s="10" t="s">
        <v>1055</v>
      </c>
      <c r="N59" s="13" t="s">
        <v>1035</v>
      </c>
    </row>
    <row r="60" spans="1:14" s="1" customFormat="1" ht="17.100000000000001" customHeight="1" x14ac:dyDescent="0.25">
      <c r="A60" s="9" t="s">
        <v>1516</v>
      </c>
      <c r="B60" s="10" t="s">
        <v>1517</v>
      </c>
      <c r="C60" s="10">
        <v>2016</v>
      </c>
      <c r="D60" s="11" t="s">
        <v>2211</v>
      </c>
      <c r="E60" s="10" t="s">
        <v>1630</v>
      </c>
      <c r="F60" s="11" t="s">
        <v>208</v>
      </c>
      <c r="G60" s="10" t="s">
        <v>1641</v>
      </c>
      <c r="H60" s="10" t="s">
        <v>1057</v>
      </c>
      <c r="I60" s="10" t="s">
        <v>1493</v>
      </c>
      <c r="J60" s="10" t="s">
        <v>1030</v>
      </c>
      <c r="K60" s="12" t="s">
        <v>1037</v>
      </c>
      <c r="L60" s="10" t="s">
        <v>1247</v>
      </c>
      <c r="M60" s="10" t="s">
        <v>1093</v>
      </c>
      <c r="N60" s="13" t="s">
        <v>1035</v>
      </c>
    </row>
    <row r="61" spans="1:14" s="1" customFormat="1" ht="17.100000000000001" customHeight="1" x14ac:dyDescent="0.25">
      <c r="A61" s="9" t="s">
        <v>209</v>
      </c>
      <c r="B61" s="10" t="s">
        <v>210</v>
      </c>
      <c r="C61" s="12">
        <v>2013</v>
      </c>
      <c r="D61" s="11" t="s">
        <v>1934</v>
      </c>
      <c r="E61" s="10" t="s">
        <v>1630</v>
      </c>
      <c r="F61" s="11" t="s">
        <v>208</v>
      </c>
      <c r="G61" s="12" t="s">
        <v>1028</v>
      </c>
      <c r="H61" s="10" t="s">
        <v>1647</v>
      </c>
      <c r="I61" s="12" t="s">
        <v>1039</v>
      </c>
      <c r="J61" s="12" t="s">
        <v>1030</v>
      </c>
      <c r="K61" s="10" t="s">
        <v>1031</v>
      </c>
      <c r="L61" s="12" t="s">
        <v>1042</v>
      </c>
      <c r="M61" s="12" t="s">
        <v>114</v>
      </c>
      <c r="N61" s="14" t="s">
        <v>1035</v>
      </c>
    </row>
    <row r="62" spans="1:14" s="1" customFormat="1" ht="17.100000000000001" customHeight="1" x14ac:dyDescent="0.25">
      <c r="A62" s="9" t="s">
        <v>1531</v>
      </c>
      <c r="B62" s="10" t="s">
        <v>1532</v>
      </c>
      <c r="C62" s="10">
        <v>2022</v>
      </c>
      <c r="D62" s="11" t="s">
        <v>1743</v>
      </c>
      <c r="E62" s="10" t="s">
        <v>1630</v>
      </c>
      <c r="F62" s="11" t="s">
        <v>208</v>
      </c>
      <c r="G62" s="10" t="s">
        <v>1215</v>
      </c>
      <c r="H62" s="10" t="s">
        <v>1168</v>
      </c>
      <c r="I62" s="12" t="s">
        <v>1029</v>
      </c>
      <c r="J62" s="10" t="s">
        <v>1040</v>
      </c>
      <c r="K62" s="10" t="s">
        <v>1031</v>
      </c>
      <c r="L62" s="10" t="s">
        <v>1032</v>
      </c>
      <c r="M62" s="10" t="s">
        <v>1055</v>
      </c>
      <c r="N62" s="13" t="s">
        <v>1035</v>
      </c>
    </row>
    <row r="63" spans="1:14" s="1" customFormat="1" ht="17.100000000000001" customHeight="1" x14ac:dyDescent="0.25">
      <c r="A63" s="9" t="s">
        <v>1514</v>
      </c>
      <c r="B63" s="10" t="s">
        <v>1515</v>
      </c>
      <c r="C63" s="10">
        <v>2012</v>
      </c>
      <c r="D63" s="11" t="s">
        <v>2210</v>
      </c>
      <c r="E63" s="10" t="s">
        <v>1630</v>
      </c>
      <c r="F63" s="11" t="s">
        <v>208</v>
      </c>
      <c r="G63" s="10" t="s">
        <v>2286</v>
      </c>
      <c r="H63" s="10" t="s">
        <v>1229</v>
      </c>
      <c r="I63" s="10" t="s">
        <v>1493</v>
      </c>
      <c r="J63" s="10" t="s">
        <v>1040</v>
      </c>
      <c r="K63" s="12" t="s">
        <v>1037</v>
      </c>
      <c r="L63" s="10" t="s">
        <v>1247</v>
      </c>
      <c r="M63" s="10" t="s">
        <v>1093</v>
      </c>
      <c r="N63" s="13" t="s">
        <v>1035</v>
      </c>
    </row>
    <row r="64" spans="1:14" s="1" customFormat="1" ht="17.100000000000001" customHeight="1" x14ac:dyDescent="0.25">
      <c r="A64" s="9" t="s">
        <v>213</v>
      </c>
      <c r="B64" s="10" t="s">
        <v>214</v>
      </c>
      <c r="C64" s="10">
        <v>2016</v>
      </c>
      <c r="D64" s="11" t="s">
        <v>1674</v>
      </c>
      <c r="E64" s="10" t="s">
        <v>1630</v>
      </c>
      <c r="F64" s="11" t="s">
        <v>208</v>
      </c>
      <c r="G64" s="10" t="s">
        <v>1028</v>
      </c>
      <c r="H64" s="10" t="s">
        <v>2376</v>
      </c>
      <c r="I64" s="12" t="s">
        <v>1039</v>
      </c>
      <c r="J64" s="10" t="s">
        <v>1030</v>
      </c>
      <c r="K64" s="10" t="s">
        <v>1031</v>
      </c>
      <c r="L64" s="10" t="s">
        <v>1032</v>
      </c>
      <c r="M64" s="12" t="s">
        <v>114</v>
      </c>
      <c r="N64" s="14" t="s">
        <v>1035</v>
      </c>
    </row>
    <row r="65" spans="1:14" s="1" customFormat="1" ht="17.100000000000001" customHeight="1" x14ac:dyDescent="0.25">
      <c r="A65" s="9" t="s">
        <v>1527</v>
      </c>
      <c r="B65" s="10" t="s">
        <v>1528</v>
      </c>
      <c r="C65" s="10">
        <v>2022</v>
      </c>
      <c r="D65" s="11" t="s">
        <v>2215</v>
      </c>
      <c r="E65" s="10" t="s">
        <v>1630</v>
      </c>
      <c r="F65" s="11" t="s">
        <v>208</v>
      </c>
      <c r="G65" s="10" t="s">
        <v>2275</v>
      </c>
      <c r="H65" s="10" t="s">
        <v>1228</v>
      </c>
      <c r="I65" s="10" t="s">
        <v>1493</v>
      </c>
      <c r="J65" s="10" t="s">
        <v>1030</v>
      </c>
      <c r="K65" s="10" t="s">
        <v>1031</v>
      </c>
      <c r="L65" s="10" t="s">
        <v>1247</v>
      </c>
      <c r="M65" s="10" t="s">
        <v>1093</v>
      </c>
      <c r="N65" s="13" t="s">
        <v>1035</v>
      </c>
    </row>
    <row r="66" spans="1:14" s="1" customFormat="1" ht="17.100000000000001" customHeight="1" x14ac:dyDescent="0.25">
      <c r="A66" s="9" t="s">
        <v>454</v>
      </c>
      <c r="B66" s="10" t="s">
        <v>455</v>
      </c>
      <c r="C66" s="10">
        <v>2020</v>
      </c>
      <c r="D66" s="11" t="s">
        <v>2104</v>
      </c>
      <c r="E66" s="10" t="s">
        <v>1630</v>
      </c>
      <c r="F66" s="11" t="s">
        <v>208</v>
      </c>
      <c r="G66" s="10" t="s">
        <v>1054</v>
      </c>
      <c r="H66" s="10" t="s">
        <v>2340</v>
      </c>
      <c r="I66" s="12" t="s">
        <v>1029</v>
      </c>
      <c r="J66" s="10" t="s">
        <v>1036</v>
      </c>
      <c r="K66" s="10" t="s">
        <v>1031</v>
      </c>
      <c r="L66" s="10" t="s">
        <v>1042</v>
      </c>
      <c r="M66" s="12" t="s">
        <v>114</v>
      </c>
      <c r="N66" s="14" t="s">
        <v>1035</v>
      </c>
    </row>
    <row r="67" spans="1:14" s="1" customFormat="1" ht="17.100000000000001" customHeight="1" x14ac:dyDescent="0.25">
      <c r="A67" s="9" t="s">
        <v>215</v>
      </c>
      <c r="B67" s="10" t="s">
        <v>216</v>
      </c>
      <c r="C67" s="12">
        <v>2017</v>
      </c>
      <c r="D67" s="11" t="s">
        <v>1715</v>
      </c>
      <c r="E67" s="10" t="s">
        <v>1630</v>
      </c>
      <c r="F67" s="11" t="s">
        <v>208</v>
      </c>
      <c r="G67" s="12" t="s">
        <v>1028</v>
      </c>
      <c r="H67" s="10" t="s">
        <v>2320</v>
      </c>
      <c r="I67" s="12" t="s">
        <v>1029</v>
      </c>
      <c r="J67" s="12" t="s">
        <v>1040</v>
      </c>
      <c r="K67" s="10" t="s">
        <v>1031</v>
      </c>
      <c r="L67" s="10" t="s">
        <v>1032</v>
      </c>
      <c r="M67" s="12" t="s">
        <v>1051</v>
      </c>
      <c r="N67" s="14" t="s">
        <v>1035</v>
      </c>
    </row>
    <row r="68" spans="1:14" s="1" customFormat="1" ht="17.100000000000001" customHeight="1" x14ac:dyDescent="0.25">
      <c r="A68" s="9" t="s">
        <v>868</v>
      </c>
      <c r="B68" s="10" t="s">
        <v>1596</v>
      </c>
      <c r="C68" s="10">
        <v>2021</v>
      </c>
      <c r="D68" s="11" t="s">
        <v>2233</v>
      </c>
      <c r="E68" s="10" t="s">
        <v>1630</v>
      </c>
      <c r="F68" s="11" t="s">
        <v>208</v>
      </c>
      <c r="G68" s="10" t="s">
        <v>1260</v>
      </c>
      <c r="H68" s="10" t="s">
        <v>2347</v>
      </c>
      <c r="I68" s="10" t="s">
        <v>1493</v>
      </c>
      <c r="J68" s="10" t="s">
        <v>1040</v>
      </c>
      <c r="K68" s="10" t="s">
        <v>1031</v>
      </c>
      <c r="L68" s="10" t="s">
        <v>1032</v>
      </c>
      <c r="M68" s="10" t="s">
        <v>1574</v>
      </c>
      <c r="N68" s="13" t="s">
        <v>1072</v>
      </c>
    </row>
    <row r="69" spans="1:14" s="1" customFormat="1" ht="17.100000000000001" customHeight="1" x14ac:dyDescent="0.25">
      <c r="A69" s="9" t="s">
        <v>211</v>
      </c>
      <c r="B69" s="10" t="s">
        <v>212</v>
      </c>
      <c r="C69" s="10">
        <v>2015</v>
      </c>
      <c r="D69" s="11" t="s">
        <v>1910</v>
      </c>
      <c r="E69" s="10" t="s">
        <v>1630</v>
      </c>
      <c r="F69" s="11" t="s">
        <v>208</v>
      </c>
      <c r="G69" s="10" t="s">
        <v>1028</v>
      </c>
      <c r="H69" s="10" t="s">
        <v>2362</v>
      </c>
      <c r="I69" s="12" t="s">
        <v>1029</v>
      </c>
      <c r="J69" s="10" t="s">
        <v>1036</v>
      </c>
      <c r="K69" s="10" t="s">
        <v>1031</v>
      </c>
      <c r="L69" s="10" t="s">
        <v>1032</v>
      </c>
      <c r="M69" s="10" t="s">
        <v>1109</v>
      </c>
      <c r="N69" s="14" t="s">
        <v>1035</v>
      </c>
    </row>
    <row r="70" spans="1:14" s="1" customFormat="1" ht="17.100000000000001" customHeight="1" x14ac:dyDescent="0.25">
      <c r="A70" s="9" t="s">
        <v>845</v>
      </c>
      <c r="B70" s="10" t="s">
        <v>846</v>
      </c>
      <c r="C70" s="10">
        <v>2019</v>
      </c>
      <c r="D70" s="11" t="s">
        <v>2250</v>
      </c>
      <c r="E70" s="10" t="s">
        <v>1630</v>
      </c>
      <c r="F70" s="11" t="s">
        <v>208</v>
      </c>
      <c r="G70" s="10" t="s">
        <v>1054</v>
      </c>
      <c r="H70" s="10" t="s">
        <v>2349</v>
      </c>
      <c r="I70" s="12" t="s">
        <v>1029</v>
      </c>
      <c r="J70" s="10" t="s">
        <v>1040</v>
      </c>
      <c r="K70" s="10" t="s">
        <v>1031</v>
      </c>
      <c r="L70" s="10" t="s">
        <v>1042</v>
      </c>
      <c r="M70" s="10" t="s">
        <v>114</v>
      </c>
      <c r="N70" s="13" t="s">
        <v>1041</v>
      </c>
    </row>
    <row r="71" spans="1:14" s="1" customFormat="1" ht="17.100000000000001" customHeight="1" x14ac:dyDescent="0.25">
      <c r="A71" s="9" t="s">
        <v>217</v>
      </c>
      <c r="B71" s="10" t="s">
        <v>218</v>
      </c>
      <c r="C71" s="10">
        <v>2013</v>
      </c>
      <c r="D71" s="11" t="s">
        <v>1894</v>
      </c>
      <c r="E71" s="10" t="s">
        <v>1630</v>
      </c>
      <c r="F71" s="11" t="s">
        <v>208</v>
      </c>
      <c r="G71" s="10" t="s">
        <v>1165</v>
      </c>
      <c r="H71" s="10" t="s">
        <v>2386</v>
      </c>
      <c r="I71" s="10" t="s">
        <v>1039</v>
      </c>
      <c r="J71" s="10" t="s">
        <v>1040</v>
      </c>
      <c r="K71" s="10" t="s">
        <v>1031</v>
      </c>
      <c r="L71" s="10" t="s">
        <v>1247</v>
      </c>
      <c r="M71" s="12" t="s">
        <v>114</v>
      </c>
      <c r="N71" s="14" t="s">
        <v>1035</v>
      </c>
    </row>
    <row r="72" spans="1:14" s="1" customFormat="1" ht="17.100000000000001" customHeight="1" x14ac:dyDescent="0.25">
      <c r="A72" s="9" t="s">
        <v>1583</v>
      </c>
      <c r="B72" s="10" t="s">
        <v>1584</v>
      </c>
      <c r="C72" s="10">
        <v>2020</v>
      </c>
      <c r="D72" s="11" t="s">
        <v>2243</v>
      </c>
      <c r="E72" s="10" t="s">
        <v>1630</v>
      </c>
      <c r="F72" s="11" t="s">
        <v>208</v>
      </c>
      <c r="G72" s="10" t="s">
        <v>1215</v>
      </c>
      <c r="H72" s="10" t="s">
        <v>2331</v>
      </c>
      <c r="I72" s="12" t="s">
        <v>1029</v>
      </c>
      <c r="J72" s="10" t="s">
        <v>1040</v>
      </c>
      <c r="K72" s="10" t="s">
        <v>1031</v>
      </c>
      <c r="L72" s="10" t="s">
        <v>1247</v>
      </c>
      <c r="M72" s="10" t="s">
        <v>1049</v>
      </c>
      <c r="N72" s="13" t="s">
        <v>1035</v>
      </c>
    </row>
    <row r="73" spans="1:14" s="1" customFormat="1" ht="17.100000000000001" customHeight="1" x14ac:dyDescent="0.25">
      <c r="A73" s="9" t="s">
        <v>1511</v>
      </c>
      <c r="B73" s="10" t="s">
        <v>1512</v>
      </c>
      <c r="C73" s="10">
        <v>2015</v>
      </c>
      <c r="D73" s="11" t="s">
        <v>2209</v>
      </c>
      <c r="E73" s="10" t="s">
        <v>1630</v>
      </c>
      <c r="F73" s="11" t="s">
        <v>208</v>
      </c>
      <c r="G73" s="10" t="s">
        <v>2275</v>
      </c>
      <c r="H73" s="10" t="s">
        <v>2331</v>
      </c>
      <c r="I73" s="10" t="s">
        <v>1493</v>
      </c>
      <c r="J73" s="10" t="s">
        <v>1040</v>
      </c>
      <c r="K73" s="10" t="s">
        <v>1031</v>
      </c>
      <c r="L73" s="10" t="s">
        <v>1247</v>
      </c>
      <c r="M73" s="10" t="s">
        <v>1513</v>
      </c>
      <c r="N73" s="13" t="s">
        <v>1072</v>
      </c>
    </row>
    <row r="74" spans="1:14" s="1" customFormat="1" ht="17.100000000000001" customHeight="1" x14ac:dyDescent="0.25">
      <c r="A74" s="9" t="s">
        <v>219</v>
      </c>
      <c r="B74" s="10" t="s">
        <v>220</v>
      </c>
      <c r="C74" s="10">
        <v>2018</v>
      </c>
      <c r="D74" s="11" t="s">
        <v>1921</v>
      </c>
      <c r="E74" s="10" t="s">
        <v>1630</v>
      </c>
      <c r="F74" s="11" t="s">
        <v>208</v>
      </c>
      <c r="G74" s="12" t="s">
        <v>1184</v>
      </c>
      <c r="H74" s="10" t="s">
        <v>2331</v>
      </c>
      <c r="I74" s="12" t="s">
        <v>1029</v>
      </c>
      <c r="J74" s="12" t="s">
        <v>1040</v>
      </c>
      <c r="K74" s="10" t="s">
        <v>1031</v>
      </c>
      <c r="L74" s="10" t="s">
        <v>1032</v>
      </c>
      <c r="M74" s="10" t="s">
        <v>1091</v>
      </c>
      <c r="N74" s="14" t="s">
        <v>1035</v>
      </c>
    </row>
    <row r="75" spans="1:14" s="1" customFormat="1" ht="17.100000000000001" customHeight="1" x14ac:dyDescent="0.25">
      <c r="A75" s="9" t="s">
        <v>541</v>
      </c>
      <c r="B75" s="10" t="s">
        <v>1148</v>
      </c>
      <c r="C75" s="10">
        <v>2021</v>
      </c>
      <c r="D75" s="11" t="s">
        <v>1666</v>
      </c>
      <c r="E75" s="10" t="s">
        <v>1630</v>
      </c>
      <c r="F75" s="11" t="s">
        <v>542</v>
      </c>
      <c r="G75" s="10" t="s">
        <v>1080</v>
      </c>
      <c r="H75" s="10" t="s">
        <v>1178</v>
      </c>
      <c r="I75" s="12" t="s">
        <v>1029</v>
      </c>
      <c r="J75" s="12" t="s">
        <v>1040</v>
      </c>
      <c r="K75" s="10" t="s">
        <v>1031</v>
      </c>
      <c r="L75" s="10" t="s">
        <v>1032</v>
      </c>
      <c r="M75" s="10" t="s">
        <v>1050</v>
      </c>
      <c r="N75" s="14" t="s">
        <v>1035</v>
      </c>
    </row>
    <row r="76" spans="1:14" s="1" customFormat="1" ht="17.100000000000001" customHeight="1" x14ac:dyDescent="0.25">
      <c r="A76" s="9" t="s">
        <v>2402</v>
      </c>
      <c r="B76" s="10" t="s">
        <v>397</v>
      </c>
      <c r="C76" s="10">
        <v>2011</v>
      </c>
      <c r="D76" s="11" t="s">
        <v>1820</v>
      </c>
      <c r="E76" s="10" t="s">
        <v>1630</v>
      </c>
      <c r="F76" s="11" t="s">
        <v>396</v>
      </c>
      <c r="G76" s="10" t="s">
        <v>1637</v>
      </c>
      <c r="H76" s="10" t="s">
        <v>2326</v>
      </c>
      <c r="I76" s="12" t="s">
        <v>1029</v>
      </c>
      <c r="J76" s="10" t="s">
        <v>1040</v>
      </c>
      <c r="K76" s="10" t="s">
        <v>1031</v>
      </c>
      <c r="L76" s="10" t="s">
        <v>1042</v>
      </c>
      <c r="M76" s="12" t="s">
        <v>114</v>
      </c>
      <c r="N76" s="13" t="s">
        <v>1041</v>
      </c>
    </row>
    <row r="77" spans="1:14" s="1" customFormat="1" ht="17.100000000000001" customHeight="1" x14ac:dyDescent="0.25">
      <c r="A77" s="9" t="s">
        <v>394</v>
      </c>
      <c r="B77" s="10" t="s">
        <v>395</v>
      </c>
      <c r="C77" s="12">
        <v>2018</v>
      </c>
      <c r="D77" s="11" t="s">
        <v>1902</v>
      </c>
      <c r="E77" s="10" t="s">
        <v>1630</v>
      </c>
      <c r="F77" s="11" t="s">
        <v>396</v>
      </c>
      <c r="G77" s="12" t="s">
        <v>1638</v>
      </c>
      <c r="H77" s="10" t="s">
        <v>2329</v>
      </c>
      <c r="I77" s="12" t="s">
        <v>1039</v>
      </c>
      <c r="J77" s="12" t="s">
        <v>1048</v>
      </c>
      <c r="K77" s="10" t="s">
        <v>1031</v>
      </c>
      <c r="L77" s="10" t="s">
        <v>1032</v>
      </c>
      <c r="M77" s="12" t="s">
        <v>1064</v>
      </c>
      <c r="N77" s="14" t="s">
        <v>1035</v>
      </c>
    </row>
    <row r="78" spans="1:14" s="1" customFormat="1" ht="17.100000000000001" customHeight="1" x14ac:dyDescent="0.25">
      <c r="A78" s="9" t="s">
        <v>398</v>
      </c>
      <c r="B78" s="10" t="s">
        <v>399</v>
      </c>
      <c r="C78" s="10">
        <v>2018</v>
      </c>
      <c r="D78" s="11" t="s">
        <v>1864</v>
      </c>
      <c r="E78" s="10" t="s">
        <v>1630</v>
      </c>
      <c r="F78" s="11" t="s">
        <v>396</v>
      </c>
      <c r="G78" s="10" t="s">
        <v>1062</v>
      </c>
      <c r="H78" s="10" t="s">
        <v>2355</v>
      </c>
      <c r="I78" s="12" t="s">
        <v>1029</v>
      </c>
      <c r="J78" s="10" t="s">
        <v>1030</v>
      </c>
      <c r="K78" s="10" t="s">
        <v>1031</v>
      </c>
      <c r="L78" s="10" t="s">
        <v>1032</v>
      </c>
      <c r="M78" s="12" t="s">
        <v>1055</v>
      </c>
      <c r="N78" s="14" t="s">
        <v>1035</v>
      </c>
    </row>
    <row r="79" spans="1:14" s="1" customFormat="1" ht="17.100000000000001" customHeight="1" x14ac:dyDescent="0.25">
      <c r="A79" s="9" t="s">
        <v>899</v>
      </c>
      <c r="B79" s="10" t="s">
        <v>900</v>
      </c>
      <c r="C79" s="10">
        <v>2022</v>
      </c>
      <c r="D79" s="11" t="s">
        <v>2232</v>
      </c>
      <c r="E79" s="10" t="s">
        <v>1630</v>
      </c>
      <c r="F79" s="11" t="s">
        <v>901</v>
      </c>
      <c r="G79" s="10" t="s">
        <v>1062</v>
      </c>
      <c r="H79" s="10" t="s">
        <v>1057</v>
      </c>
      <c r="I79" s="10" t="s">
        <v>1493</v>
      </c>
      <c r="J79" s="10" t="s">
        <v>1040</v>
      </c>
      <c r="K79" s="10" t="s">
        <v>1031</v>
      </c>
      <c r="L79" s="10" t="s">
        <v>1032</v>
      </c>
      <c r="M79" s="10" t="s">
        <v>114</v>
      </c>
      <c r="N79" s="13" t="s">
        <v>1035</v>
      </c>
    </row>
    <row r="80" spans="1:14" s="1" customFormat="1" ht="17.100000000000001" customHeight="1" x14ac:dyDescent="0.25">
      <c r="A80" s="9" t="s">
        <v>348</v>
      </c>
      <c r="B80" s="10" t="s">
        <v>349</v>
      </c>
      <c r="C80" s="10">
        <v>2017</v>
      </c>
      <c r="D80" s="11" t="s">
        <v>1832</v>
      </c>
      <c r="E80" s="10" t="s">
        <v>1630</v>
      </c>
      <c r="F80" s="11" t="s">
        <v>350</v>
      </c>
      <c r="G80" s="10" t="s">
        <v>1054</v>
      </c>
      <c r="H80" s="10" t="s">
        <v>2326</v>
      </c>
      <c r="I80" s="12" t="s">
        <v>1029</v>
      </c>
      <c r="J80" s="10" t="s">
        <v>1030</v>
      </c>
      <c r="K80" s="10" t="s">
        <v>1031</v>
      </c>
      <c r="L80" s="10" t="s">
        <v>1247</v>
      </c>
      <c r="M80" s="10" t="s">
        <v>1086</v>
      </c>
      <c r="N80" s="14" t="s">
        <v>1035</v>
      </c>
    </row>
    <row r="81" spans="1:14" s="1" customFormat="1" ht="17.100000000000001" customHeight="1" x14ac:dyDescent="0.25">
      <c r="A81" s="9" t="s">
        <v>351</v>
      </c>
      <c r="B81" s="10" t="s">
        <v>352</v>
      </c>
      <c r="C81" s="12">
        <v>2014</v>
      </c>
      <c r="D81" s="11" t="s">
        <v>2071</v>
      </c>
      <c r="E81" s="10" t="s">
        <v>1630</v>
      </c>
      <c r="F81" s="11" t="s">
        <v>350</v>
      </c>
      <c r="G81" s="12" t="s">
        <v>1054</v>
      </c>
      <c r="H81" s="10" t="s">
        <v>2340</v>
      </c>
      <c r="I81" s="12" t="s">
        <v>1029</v>
      </c>
      <c r="J81" s="12" t="s">
        <v>1689</v>
      </c>
      <c r="K81" s="10" t="s">
        <v>1031</v>
      </c>
      <c r="L81" s="10" t="s">
        <v>1247</v>
      </c>
      <c r="M81" s="12" t="s">
        <v>114</v>
      </c>
      <c r="N81" s="14" t="s">
        <v>1035</v>
      </c>
    </row>
    <row r="82" spans="1:14" s="1" customFormat="1" ht="17.100000000000001" customHeight="1" x14ac:dyDescent="0.25">
      <c r="A82" s="9" t="s">
        <v>113</v>
      </c>
      <c r="B82" s="34" t="s">
        <v>114</v>
      </c>
      <c r="C82" s="10">
        <v>2017</v>
      </c>
      <c r="D82" s="11" t="s">
        <v>1657</v>
      </c>
      <c r="E82" s="10" t="s">
        <v>1630</v>
      </c>
      <c r="F82" s="11" t="s">
        <v>115</v>
      </c>
      <c r="G82" s="10" t="s">
        <v>1175</v>
      </c>
      <c r="H82" s="10" t="s">
        <v>2326</v>
      </c>
      <c r="I82" s="12" t="s">
        <v>1039</v>
      </c>
      <c r="J82" s="10" t="s">
        <v>1691</v>
      </c>
      <c r="K82" s="10" t="s">
        <v>1031</v>
      </c>
      <c r="L82" s="12" t="s">
        <v>1042</v>
      </c>
      <c r="M82" s="12" t="s">
        <v>114</v>
      </c>
      <c r="N82" s="13" t="s">
        <v>1041</v>
      </c>
    </row>
    <row r="83" spans="1:14" s="1" customFormat="1" ht="17.100000000000001" customHeight="1" x14ac:dyDescent="0.25">
      <c r="A83" s="9" t="s">
        <v>437</v>
      </c>
      <c r="B83" s="10" t="s">
        <v>438</v>
      </c>
      <c r="C83" s="10">
        <v>2019</v>
      </c>
      <c r="D83" s="11" t="s">
        <v>1695</v>
      </c>
      <c r="E83" s="10" t="s">
        <v>1630</v>
      </c>
      <c r="F83" s="11" t="s">
        <v>2</v>
      </c>
      <c r="G83" s="10" t="s">
        <v>2266</v>
      </c>
      <c r="H83" s="10" t="s">
        <v>2342</v>
      </c>
      <c r="I83" s="12" t="s">
        <v>1029</v>
      </c>
      <c r="J83" s="10" t="s">
        <v>1030</v>
      </c>
      <c r="K83" s="10" t="s">
        <v>1031</v>
      </c>
      <c r="L83" s="10" t="s">
        <v>1032</v>
      </c>
      <c r="M83" s="10" t="s">
        <v>1132</v>
      </c>
      <c r="N83" s="14" t="s">
        <v>1035</v>
      </c>
    </row>
    <row r="84" spans="1:14" s="2" customFormat="1" ht="17.100000000000001" customHeight="1" x14ac:dyDescent="0.25">
      <c r="A84" s="9" t="s">
        <v>1587</v>
      </c>
      <c r="B84" s="10" t="s">
        <v>1588</v>
      </c>
      <c r="C84" s="10">
        <v>2018</v>
      </c>
      <c r="D84" s="11" t="s">
        <v>2245</v>
      </c>
      <c r="E84" s="10" t="s">
        <v>1630</v>
      </c>
      <c r="F84" s="11" t="s">
        <v>2</v>
      </c>
      <c r="G84" s="10" t="s">
        <v>2275</v>
      </c>
      <c r="H84" s="10" t="s">
        <v>2337</v>
      </c>
      <c r="I84" s="10" t="s">
        <v>1039</v>
      </c>
      <c r="J84" s="10" t="s">
        <v>1030</v>
      </c>
      <c r="K84" s="10" t="s">
        <v>1031</v>
      </c>
      <c r="L84" s="10" t="s">
        <v>1247</v>
      </c>
      <c r="M84" s="10" t="s">
        <v>114</v>
      </c>
      <c r="N84" s="13" t="s">
        <v>1035</v>
      </c>
    </row>
    <row r="85" spans="1:14" s="1" customFormat="1" ht="17.100000000000001" customHeight="1" x14ac:dyDescent="0.25">
      <c r="A85" s="9" t="s">
        <v>71</v>
      </c>
      <c r="B85" s="10" t="s">
        <v>72</v>
      </c>
      <c r="C85" s="32">
        <v>2012</v>
      </c>
      <c r="D85" s="11" t="s">
        <v>1884</v>
      </c>
      <c r="E85" s="10" t="s">
        <v>1630</v>
      </c>
      <c r="F85" s="33" t="s">
        <v>2</v>
      </c>
      <c r="G85" s="10" t="s">
        <v>2266</v>
      </c>
      <c r="H85" s="10" t="s">
        <v>2338</v>
      </c>
      <c r="I85" s="12" t="s">
        <v>1039</v>
      </c>
      <c r="J85" s="10" t="s">
        <v>1052</v>
      </c>
      <c r="K85" s="10" t="s">
        <v>1031</v>
      </c>
      <c r="L85" s="10" t="s">
        <v>1032</v>
      </c>
      <c r="M85" s="10" t="s">
        <v>1071</v>
      </c>
      <c r="N85" s="13" t="s">
        <v>1072</v>
      </c>
    </row>
    <row r="86" spans="1:14" s="1" customFormat="1" ht="17.100000000000001" customHeight="1" x14ac:dyDescent="0.25">
      <c r="A86" s="9" t="s">
        <v>45</v>
      </c>
      <c r="B86" s="10" t="s">
        <v>46</v>
      </c>
      <c r="C86" s="10">
        <v>2017</v>
      </c>
      <c r="D86" s="11" t="s">
        <v>1802</v>
      </c>
      <c r="E86" s="10" t="s">
        <v>1630</v>
      </c>
      <c r="F86" s="11" t="s">
        <v>2</v>
      </c>
      <c r="G86" s="10" t="s">
        <v>2266</v>
      </c>
      <c r="H86" s="10" t="s">
        <v>2364</v>
      </c>
      <c r="I86" s="12" t="s">
        <v>1039</v>
      </c>
      <c r="J86" s="10" t="s">
        <v>1030</v>
      </c>
      <c r="K86" s="10" t="s">
        <v>1031</v>
      </c>
      <c r="L86" s="10" t="s">
        <v>1247</v>
      </c>
      <c r="M86" s="10" t="s">
        <v>1067</v>
      </c>
      <c r="N86" s="14" t="s">
        <v>1035</v>
      </c>
    </row>
    <row r="87" spans="1:14" s="1" customFormat="1" ht="17.100000000000001" customHeight="1" x14ac:dyDescent="0.25">
      <c r="A87" s="9" t="s">
        <v>464</v>
      </c>
      <c r="B87" s="10" t="s">
        <v>465</v>
      </c>
      <c r="C87" s="10">
        <v>2019</v>
      </c>
      <c r="D87" s="11" t="s">
        <v>1886</v>
      </c>
      <c r="E87" s="10" t="s">
        <v>1630</v>
      </c>
      <c r="F87" s="11" t="s">
        <v>2</v>
      </c>
      <c r="G87" s="10" t="s">
        <v>2279</v>
      </c>
      <c r="H87" s="10" t="s">
        <v>2365</v>
      </c>
      <c r="I87" s="12" t="s">
        <v>1029</v>
      </c>
      <c r="J87" s="10" t="s">
        <v>1030</v>
      </c>
      <c r="K87" s="12" t="s">
        <v>1037</v>
      </c>
      <c r="L87" s="10" t="s">
        <v>1247</v>
      </c>
      <c r="M87" s="10" t="s">
        <v>1093</v>
      </c>
      <c r="N87" s="14" t="s">
        <v>1035</v>
      </c>
    </row>
    <row r="88" spans="1:14" s="1" customFormat="1" ht="17.100000000000001" customHeight="1" x14ac:dyDescent="0.25">
      <c r="A88" s="9" t="s">
        <v>3</v>
      </c>
      <c r="B88" s="10" t="s">
        <v>4</v>
      </c>
      <c r="C88" s="10">
        <v>2013</v>
      </c>
      <c r="D88" s="11" t="s">
        <v>1759</v>
      </c>
      <c r="E88" s="10" t="s">
        <v>1630</v>
      </c>
      <c r="F88" s="11" t="s">
        <v>2</v>
      </c>
      <c r="G88" s="10" t="s">
        <v>2266</v>
      </c>
      <c r="H88" s="10" t="s">
        <v>2326</v>
      </c>
      <c r="I88" s="12" t="s">
        <v>1039</v>
      </c>
      <c r="J88" s="10" t="s">
        <v>1030</v>
      </c>
      <c r="K88" s="10" t="s">
        <v>1031</v>
      </c>
      <c r="L88" s="10" t="s">
        <v>1247</v>
      </c>
      <c r="M88" s="12" t="s">
        <v>114</v>
      </c>
      <c r="N88" s="13" t="s">
        <v>1034</v>
      </c>
    </row>
    <row r="89" spans="1:14" s="1" customFormat="1" ht="17.100000000000001" customHeight="1" x14ac:dyDescent="0.25">
      <c r="A89" s="9" t="s">
        <v>65</v>
      </c>
      <c r="B89" s="10" t="s">
        <v>66</v>
      </c>
      <c r="C89" s="10">
        <v>2013</v>
      </c>
      <c r="D89" s="11" t="s">
        <v>1760</v>
      </c>
      <c r="E89" s="10" t="s">
        <v>1630</v>
      </c>
      <c r="F89" s="11" t="s">
        <v>2</v>
      </c>
      <c r="G89" s="10" t="s">
        <v>2266</v>
      </c>
      <c r="H89" s="10" t="s">
        <v>2326</v>
      </c>
      <c r="I89" s="12" t="s">
        <v>1039</v>
      </c>
      <c r="J89" s="10" t="s">
        <v>1052</v>
      </c>
      <c r="K89" s="10" t="s">
        <v>1031</v>
      </c>
      <c r="L89" s="10" t="s">
        <v>1247</v>
      </c>
      <c r="M89" s="12" t="s">
        <v>114</v>
      </c>
      <c r="N89" s="14" t="s">
        <v>1035</v>
      </c>
    </row>
    <row r="90" spans="1:14" s="1" customFormat="1" ht="17.100000000000001" customHeight="1" x14ac:dyDescent="0.25">
      <c r="A90" s="9" t="s">
        <v>450</v>
      </c>
      <c r="B90" s="10" t="s">
        <v>451</v>
      </c>
      <c r="C90" s="32">
        <v>2019</v>
      </c>
      <c r="D90" s="11" t="s">
        <v>1845</v>
      </c>
      <c r="E90" s="10" t="s">
        <v>1630</v>
      </c>
      <c r="F90" s="33" t="s">
        <v>2</v>
      </c>
      <c r="G90" s="12" t="s">
        <v>1215</v>
      </c>
      <c r="H90" s="10" t="s">
        <v>2326</v>
      </c>
      <c r="I90" s="12" t="s">
        <v>1029</v>
      </c>
      <c r="J90" s="10" t="s">
        <v>1030</v>
      </c>
      <c r="K90" s="10" t="s">
        <v>1031</v>
      </c>
      <c r="L90" s="10" t="s">
        <v>1032</v>
      </c>
      <c r="M90" s="12" t="s">
        <v>114</v>
      </c>
      <c r="N90" s="13" t="s">
        <v>1041</v>
      </c>
    </row>
    <row r="91" spans="1:14" s="1" customFormat="1" ht="17.100000000000001" customHeight="1" x14ac:dyDescent="0.25">
      <c r="A91" s="9" t="s">
        <v>109</v>
      </c>
      <c r="B91" s="10" t="s">
        <v>110</v>
      </c>
      <c r="C91" s="10">
        <v>2017</v>
      </c>
      <c r="D91" s="11" t="s">
        <v>1800</v>
      </c>
      <c r="E91" s="10" t="s">
        <v>1630</v>
      </c>
      <c r="F91" s="11" t="s">
        <v>2</v>
      </c>
      <c r="G91" s="10" t="s">
        <v>2275</v>
      </c>
      <c r="H91" s="10" t="s">
        <v>2326</v>
      </c>
      <c r="I91" s="12" t="s">
        <v>1039</v>
      </c>
      <c r="J91" s="10" t="s">
        <v>1030</v>
      </c>
      <c r="K91" s="10" t="s">
        <v>1031</v>
      </c>
      <c r="L91" s="10" t="s">
        <v>1247</v>
      </c>
      <c r="M91" s="10" t="s">
        <v>1113</v>
      </c>
      <c r="N91" s="14" t="s">
        <v>1035</v>
      </c>
    </row>
    <row r="92" spans="1:14" s="1" customFormat="1" ht="17.100000000000001" customHeight="1" x14ac:dyDescent="0.25">
      <c r="A92" s="9" t="s">
        <v>31</v>
      </c>
      <c r="B92" s="10" t="s">
        <v>32</v>
      </c>
      <c r="C92" s="10">
        <v>2018</v>
      </c>
      <c r="D92" s="11" t="s">
        <v>1814</v>
      </c>
      <c r="E92" s="10" t="s">
        <v>1630</v>
      </c>
      <c r="F92" s="11" t="s">
        <v>2</v>
      </c>
      <c r="G92" s="10" t="s">
        <v>1544</v>
      </c>
      <c r="H92" s="10" t="s">
        <v>2326</v>
      </c>
      <c r="I92" s="12" t="s">
        <v>1039</v>
      </c>
      <c r="J92" s="10" t="s">
        <v>1030</v>
      </c>
      <c r="K92" s="10" t="s">
        <v>1031</v>
      </c>
      <c r="L92" s="10" t="s">
        <v>1032</v>
      </c>
      <c r="M92" s="12" t="s">
        <v>114</v>
      </c>
      <c r="N92" s="14" t="s">
        <v>1035</v>
      </c>
    </row>
    <row r="93" spans="1:14" s="1" customFormat="1" ht="17.100000000000001" customHeight="1" x14ac:dyDescent="0.25">
      <c r="A93" s="9" t="s">
        <v>85</v>
      </c>
      <c r="B93" s="10" t="s">
        <v>86</v>
      </c>
      <c r="C93" s="32">
        <v>2018</v>
      </c>
      <c r="D93" s="11" t="s">
        <v>1930</v>
      </c>
      <c r="E93" s="10" t="s">
        <v>1630</v>
      </c>
      <c r="F93" s="33" t="s">
        <v>2</v>
      </c>
      <c r="G93" s="10" t="s">
        <v>1538</v>
      </c>
      <c r="H93" s="10" t="s">
        <v>2326</v>
      </c>
      <c r="I93" s="12" t="s">
        <v>1039</v>
      </c>
      <c r="J93" s="10" t="s">
        <v>1117</v>
      </c>
      <c r="K93" s="10" t="s">
        <v>1031</v>
      </c>
      <c r="L93" s="10" t="s">
        <v>1032</v>
      </c>
      <c r="M93" s="12" t="s">
        <v>114</v>
      </c>
      <c r="N93" s="14" t="s">
        <v>1035</v>
      </c>
    </row>
    <row r="94" spans="1:14" s="1" customFormat="1" ht="17.100000000000001" customHeight="1" x14ac:dyDescent="0.25">
      <c r="A94" s="9" t="s">
        <v>73</v>
      </c>
      <c r="B94" s="10" t="s">
        <v>74</v>
      </c>
      <c r="C94" s="32">
        <v>2018</v>
      </c>
      <c r="D94" s="11" t="s">
        <v>1817</v>
      </c>
      <c r="E94" s="10" t="s">
        <v>1630</v>
      </c>
      <c r="F94" s="33" t="s">
        <v>2</v>
      </c>
      <c r="G94" s="10" t="s">
        <v>1094</v>
      </c>
      <c r="H94" s="10" t="s">
        <v>2326</v>
      </c>
      <c r="I94" s="12" t="s">
        <v>1039</v>
      </c>
      <c r="J94" s="10" t="s">
        <v>1117</v>
      </c>
      <c r="K94" s="10" t="s">
        <v>1031</v>
      </c>
      <c r="L94" s="10" t="s">
        <v>2399</v>
      </c>
      <c r="M94" s="10" t="s">
        <v>1120</v>
      </c>
      <c r="N94" s="14" t="s">
        <v>1035</v>
      </c>
    </row>
    <row r="95" spans="1:14" s="1" customFormat="1" ht="17.100000000000001" customHeight="1" x14ac:dyDescent="0.25">
      <c r="A95" s="9" t="s">
        <v>21</v>
      </c>
      <c r="B95" s="10" t="s">
        <v>22</v>
      </c>
      <c r="C95" s="32">
        <v>2018</v>
      </c>
      <c r="D95" s="11" t="s">
        <v>1656</v>
      </c>
      <c r="E95" s="10" t="s">
        <v>1630</v>
      </c>
      <c r="F95" s="33" t="s">
        <v>2</v>
      </c>
      <c r="G95" s="10" t="s">
        <v>1054</v>
      </c>
      <c r="H95" s="10" t="s">
        <v>2326</v>
      </c>
      <c r="I95" s="12" t="s">
        <v>1029</v>
      </c>
      <c r="J95" s="10" t="s">
        <v>1127</v>
      </c>
      <c r="K95" s="10" t="s">
        <v>1031</v>
      </c>
      <c r="L95" s="10" t="s">
        <v>1042</v>
      </c>
      <c r="M95" s="12" t="s">
        <v>1128</v>
      </c>
      <c r="N95" s="13" t="s">
        <v>1072</v>
      </c>
    </row>
    <row r="96" spans="1:14" s="1" customFormat="1" ht="17.100000000000001" customHeight="1" x14ac:dyDescent="0.25">
      <c r="A96" s="9" t="s">
        <v>47</v>
      </c>
      <c r="B96" s="38" t="s">
        <v>48</v>
      </c>
      <c r="C96" s="10">
        <v>2012</v>
      </c>
      <c r="D96" s="11" t="s">
        <v>1746</v>
      </c>
      <c r="E96" s="10" t="s">
        <v>1630</v>
      </c>
      <c r="F96" s="11" t="s">
        <v>2</v>
      </c>
      <c r="G96" s="10" t="s">
        <v>2266</v>
      </c>
      <c r="H96" s="10" t="s">
        <v>2326</v>
      </c>
      <c r="I96" s="10" t="s">
        <v>1493</v>
      </c>
      <c r="J96" s="10" t="s">
        <v>1048</v>
      </c>
      <c r="K96" s="10" t="s">
        <v>1031</v>
      </c>
      <c r="L96" s="10" t="s">
        <v>1032</v>
      </c>
      <c r="M96" s="12" t="s">
        <v>114</v>
      </c>
      <c r="N96" s="14" t="s">
        <v>1035</v>
      </c>
    </row>
    <row r="97" spans="1:14" s="1" customFormat="1" ht="17.100000000000001" customHeight="1" x14ac:dyDescent="0.25">
      <c r="A97" s="9" t="s">
        <v>35</v>
      </c>
      <c r="B97" s="10" t="s">
        <v>36</v>
      </c>
      <c r="C97" s="32">
        <v>2014</v>
      </c>
      <c r="D97" s="11" t="s">
        <v>1780</v>
      </c>
      <c r="E97" s="10" t="s">
        <v>1630</v>
      </c>
      <c r="F97" s="33" t="s">
        <v>2</v>
      </c>
      <c r="G97" s="10" t="s">
        <v>1054</v>
      </c>
      <c r="H97" s="10" t="s">
        <v>2326</v>
      </c>
      <c r="I97" s="12" t="s">
        <v>1029</v>
      </c>
      <c r="J97" s="10" t="s">
        <v>1036</v>
      </c>
      <c r="K97" s="10" t="s">
        <v>1031</v>
      </c>
      <c r="L97" s="10" t="s">
        <v>1042</v>
      </c>
      <c r="M97" s="12" t="s">
        <v>114</v>
      </c>
      <c r="N97" s="13" t="s">
        <v>1041</v>
      </c>
    </row>
    <row r="98" spans="1:14" s="1" customFormat="1" ht="17.100000000000001" customHeight="1" x14ac:dyDescent="0.25">
      <c r="A98" s="9" t="s">
        <v>57</v>
      </c>
      <c r="B98" s="10" t="s">
        <v>58</v>
      </c>
      <c r="C98" s="10">
        <v>2012</v>
      </c>
      <c r="D98" s="11" t="s">
        <v>1747</v>
      </c>
      <c r="E98" s="10" t="s">
        <v>1630</v>
      </c>
      <c r="F98" s="11" t="s">
        <v>2</v>
      </c>
      <c r="G98" s="10" t="s">
        <v>2266</v>
      </c>
      <c r="H98" s="10" t="s">
        <v>2326</v>
      </c>
      <c r="I98" s="12" t="s">
        <v>1039</v>
      </c>
      <c r="J98" s="10" t="s">
        <v>1036</v>
      </c>
      <c r="K98" s="10" t="s">
        <v>1031</v>
      </c>
      <c r="L98" s="10" t="s">
        <v>2399</v>
      </c>
      <c r="M98" s="12" t="s">
        <v>114</v>
      </c>
      <c r="N98" s="13" t="s">
        <v>1034</v>
      </c>
    </row>
    <row r="99" spans="1:14" s="1" customFormat="1" ht="17.100000000000001" customHeight="1" x14ac:dyDescent="0.25">
      <c r="A99" s="9" t="s">
        <v>51</v>
      </c>
      <c r="B99" s="10" t="s">
        <v>52</v>
      </c>
      <c r="C99" s="10">
        <v>2012</v>
      </c>
      <c r="D99" s="11" t="s">
        <v>1757</v>
      </c>
      <c r="E99" s="10" t="s">
        <v>1630</v>
      </c>
      <c r="F99" s="11" t="s">
        <v>2</v>
      </c>
      <c r="G99" s="10" t="s">
        <v>1183</v>
      </c>
      <c r="H99" s="10" t="s">
        <v>2326</v>
      </c>
      <c r="I99" s="12" t="s">
        <v>1029</v>
      </c>
      <c r="J99" s="10" t="s">
        <v>1036</v>
      </c>
      <c r="K99" s="10" t="s">
        <v>1031</v>
      </c>
      <c r="L99" s="10" t="s">
        <v>1247</v>
      </c>
      <c r="M99" s="12" t="s">
        <v>114</v>
      </c>
      <c r="N99" s="13" t="s">
        <v>1072</v>
      </c>
    </row>
    <row r="100" spans="1:14" s="1" customFormat="1" ht="17.100000000000001" customHeight="1" x14ac:dyDescent="0.25">
      <c r="A100" s="9" t="s">
        <v>827</v>
      </c>
      <c r="B100" s="10" t="s">
        <v>828</v>
      </c>
      <c r="C100" s="10">
        <v>2016</v>
      </c>
      <c r="D100" s="11" t="s">
        <v>2230</v>
      </c>
      <c r="E100" s="10" t="s">
        <v>1630</v>
      </c>
      <c r="F100" s="11" t="s">
        <v>2</v>
      </c>
      <c r="G100" s="10" t="s">
        <v>2288</v>
      </c>
      <c r="H100" s="10" t="s">
        <v>2326</v>
      </c>
      <c r="I100" s="10" t="s">
        <v>1493</v>
      </c>
      <c r="J100" s="10" t="s">
        <v>1036</v>
      </c>
      <c r="K100" s="10" t="s">
        <v>1031</v>
      </c>
      <c r="L100" s="10" t="s">
        <v>1247</v>
      </c>
      <c r="M100" s="10" t="s">
        <v>1056</v>
      </c>
      <c r="N100" s="13" t="s">
        <v>1072</v>
      </c>
    </row>
    <row r="101" spans="1:14" s="1" customFormat="1" ht="17.100000000000001" customHeight="1" x14ac:dyDescent="0.25">
      <c r="A101" s="9" t="s">
        <v>79</v>
      </c>
      <c r="B101" s="10" t="s">
        <v>80</v>
      </c>
      <c r="C101" s="32">
        <v>2014</v>
      </c>
      <c r="D101" s="11" t="s">
        <v>1779</v>
      </c>
      <c r="E101" s="10" t="s">
        <v>1630</v>
      </c>
      <c r="F101" s="33" t="s">
        <v>2</v>
      </c>
      <c r="G101" s="12" t="s">
        <v>1215</v>
      </c>
      <c r="H101" s="10" t="s">
        <v>2326</v>
      </c>
      <c r="I101" s="12" t="s">
        <v>1029</v>
      </c>
      <c r="J101" s="10" t="s">
        <v>1036</v>
      </c>
      <c r="K101" s="10" t="s">
        <v>1031</v>
      </c>
      <c r="L101" s="10" t="s">
        <v>1032</v>
      </c>
      <c r="M101" s="12" t="s">
        <v>114</v>
      </c>
      <c r="N101" s="14" t="s">
        <v>1035</v>
      </c>
    </row>
    <row r="102" spans="1:14" s="1" customFormat="1" ht="17.100000000000001" customHeight="1" x14ac:dyDescent="0.25">
      <c r="A102" s="9" t="s">
        <v>25</v>
      </c>
      <c r="B102" s="10" t="s">
        <v>26</v>
      </c>
      <c r="C102" s="12">
        <v>2017</v>
      </c>
      <c r="D102" s="11" t="s">
        <v>1790</v>
      </c>
      <c r="E102" s="10" t="s">
        <v>1630</v>
      </c>
      <c r="F102" s="11" t="s">
        <v>2</v>
      </c>
      <c r="G102" s="10" t="s">
        <v>1028</v>
      </c>
      <c r="H102" s="10" t="s">
        <v>2326</v>
      </c>
      <c r="I102" s="12" t="s">
        <v>1029</v>
      </c>
      <c r="J102" s="12" t="s">
        <v>1036</v>
      </c>
      <c r="K102" s="10" t="s">
        <v>1031</v>
      </c>
      <c r="L102" s="10" t="s">
        <v>1032</v>
      </c>
      <c r="M102" s="12" t="s">
        <v>1050</v>
      </c>
      <c r="N102" s="14" t="s">
        <v>1035</v>
      </c>
    </row>
    <row r="103" spans="1:14" s="1" customFormat="1" ht="17.100000000000001" customHeight="1" x14ac:dyDescent="0.25">
      <c r="A103" s="9" t="s">
        <v>19</v>
      </c>
      <c r="B103" s="10" t="s">
        <v>20</v>
      </c>
      <c r="C103" s="32">
        <v>2018</v>
      </c>
      <c r="D103" s="11" t="s">
        <v>1805</v>
      </c>
      <c r="E103" s="10" t="s">
        <v>1630</v>
      </c>
      <c r="F103" s="33" t="s">
        <v>2</v>
      </c>
      <c r="G103" s="10" t="s">
        <v>2275</v>
      </c>
      <c r="H103" s="10" t="s">
        <v>2326</v>
      </c>
      <c r="I103" s="12" t="s">
        <v>1039</v>
      </c>
      <c r="J103" s="10" t="s">
        <v>1040</v>
      </c>
      <c r="K103" s="10" t="s">
        <v>1031</v>
      </c>
      <c r="L103" s="12" t="s">
        <v>1042</v>
      </c>
      <c r="M103" s="10" t="s">
        <v>1115</v>
      </c>
      <c r="N103" s="14" t="s">
        <v>1035</v>
      </c>
    </row>
    <row r="104" spans="1:14" s="1" customFormat="1" ht="17.100000000000001" customHeight="1" x14ac:dyDescent="0.25">
      <c r="A104" s="9" t="s">
        <v>53</v>
      </c>
      <c r="B104" s="10" t="s">
        <v>54</v>
      </c>
      <c r="C104" s="10">
        <v>2014</v>
      </c>
      <c r="D104" s="11" t="s">
        <v>1777</v>
      </c>
      <c r="E104" s="10" t="s">
        <v>1630</v>
      </c>
      <c r="F104" s="11" t="s">
        <v>2</v>
      </c>
      <c r="G104" s="10" t="s">
        <v>1167</v>
      </c>
      <c r="H104" s="10" t="s">
        <v>2326</v>
      </c>
      <c r="I104" s="12" t="s">
        <v>1039</v>
      </c>
      <c r="J104" s="10" t="s">
        <v>1040</v>
      </c>
      <c r="K104" s="10" t="s">
        <v>1031</v>
      </c>
      <c r="L104" s="10" t="s">
        <v>1247</v>
      </c>
      <c r="M104" s="12" t="s">
        <v>114</v>
      </c>
      <c r="N104" s="14" t="s">
        <v>1035</v>
      </c>
    </row>
    <row r="105" spans="1:14" s="1" customFormat="1" ht="17.100000000000001" customHeight="1" x14ac:dyDescent="0.25">
      <c r="A105" s="9" t="s">
        <v>446</v>
      </c>
      <c r="B105" s="10" t="s">
        <v>447</v>
      </c>
      <c r="C105" s="10">
        <v>2019</v>
      </c>
      <c r="D105" s="11" t="s">
        <v>1844</v>
      </c>
      <c r="E105" s="10" t="s">
        <v>1630</v>
      </c>
      <c r="F105" s="11" t="s">
        <v>2</v>
      </c>
      <c r="G105" s="10" t="s">
        <v>2275</v>
      </c>
      <c r="H105" s="10" t="s">
        <v>2326</v>
      </c>
      <c r="I105" s="12" t="s">
        <v>1039</v>
      </c>
      <c r="J105" s="10" t="s">
        <v>1040</v>
      </c>
      <c r="K105" s="10" t="s">
        <v>1031</v>
      </c>
      <c r="L105" s="10" t="s">
        <v>1032</v>
      </c>
      <c r="M105" s="12" t="s">
        <v>114</v>
      </c>
      <c r="N105" s="13" t="s">
        <v>1041</v>
      </c>
    </row>
    <row r="106" spans="1:14" s="1" customFormat="1" ht="17.100000000000001" customHeight="1" x14ac:dyDescent="0.25">
      <c r="A106" s="9" t="s">
        <v>17</v>
      </c>
      <c r="B106" s="10" t="s">
        <v>18</v>
      </c>
      <c r="C106" s="10">
        <v>2013</v>
      </c>
      <c r="D106" s="11" t="s">
        <v>1758</v>
      </c>
      <c r="E106" s="10" t="s">
        <v>1630</v>
      </c>
      <c r="F106" s="11" t="s">
        <v>2</v>
      </c>
      <c r="G106" s="10" t="s">
        <v>2266</v>
      </c>
      <c r="H106" s="10" t="s">
        <v>2326</v>
      </c>
      <c r="I106" s="12" t="s">
        <v>1039</v>
      </c>
      <c r="J106" s="12" t="s">
        <v>1040</v>
      </c>
      <c r="K106" s="10" t="s">
        <v>1031</v>
      </c>
      <c r="L106" s="10" t="s">
        <v>1032</v>
      </c>
      <c r="M106" s="10" t="s">
        <v>1073</v>
      </c>
      <c r="N106" s="14" t="s">
        <v>1035</v>
      </c>
    </row>
    <row r="107" spans="1:14" s="1" customFormat="1" ht="17.100000000000001" customHeight="1" x14ac:dyDescent="0.25">
      <c r="A107" s="9" t="s">
        <v>5</v>
      </c>
      <c r="B107" s="10" t="s">
        <v>6</v>
      </c>
      <c r="C107" s="10">
        <v>2014</v>
      </c>
      <c r="D107" s="11" t="s">
        <v>1778</v>
      </c>
      <c r="E107" s="10" t="s">
        <v>1630</v>
      </c>
      <c r="F107" s="11" t="s">
        <v>2</v>
      </c>
      <c r="G107" s="10" t="s">
        <v>2266</v>
      </c>
      <c r="H107" s="10" t="s">
        <v>2326</v>
      </c>
      <c r="I107" s="12" t="s">
        <v>1029</v>
      </c>
      <c r="J107" s="10" t="s">
        <v>1040</v>
      </c>
      <c r="K107" s="10" t="s">
        <v>1031</v>
      </c>
      <c r="L107" s="10" t="s">
        <v>1032</v>
      </c>
      <c r="M107" s="12" t="s">
        <v>114</v>
      </c>
      <c r="N107" s="14" t="s">
        <v>1035</v>
      </c>
    </row>
    <row r="108" spans="1:14" s="1" customFormat="1" ht="17.100000000000001" customHeight="1" x14ac:dyDescent="0.25">
      <c r="A108" s="9" t="s">
        <v>95</v>
      </c>
      <c r="B108" s="10" t="s">
        <v>96</v>
      </c>
      <c r="C108" s="12">
        <v>2018</v>
      </c>
      <c r="D108" s="11" t="s">
        <v>1803</v>
      </c>
      <c r="E108" s="10" t="s">
        <v>1630</v>
      </c>
      <c r="F108" s="11" t="s">
        <v>2</v>
      </c>
      <c r="G108" s="12" t="s">
        <v>1028</v>
      </c>
      <c r="H108" s="10" t="s">
        <v>2326</v>
      </c>
      <c r="I108" s="12" t="s">
        <v>1029</v>
      </c>
      <c r="J108" s="12" t="s">
        <v>1040</v>
      </c>
      <c r="K108" s="10" t="s">
        <v>1031</v>
      </c>
      <c r="L108" s="10" t="s">
        <v>1032</v>
      </c>
      <c r="M108" s="12" t="s">
        <v>1075</v>
      </c>
      <c r="N108" s="14" t="s">
        <v>1035</v>
      </c>
    </row>
    <row r="109" spans="1:14" s="1" customFormat="1" ht="17.100000000000001" customHeight="1" x14ac:dyDescent="0.25">
      <c r="A109" s="9" t="s">
        <v>43</v>
      </c>
      <c r="B109" s="10" t="s">
        <v>44</v>
      </c>
      <c r="C109" s="10">
        <v>2012</v>
      </c>
      <c r="D109" s="11" t="s">
        <v>1714</v>
      </c>
      <c r="E109" s="10" t="s">
        <v>1630</v>
      </c>
      <c r="F109" s="11" t="s">
        <v>2</v>
      </c>
      <c r="G109" s="10" t="s">
        <v>2266</v>
      </c>
      <c r="H109" s="10" t="s">
        <v>2326</v>
      </c>
      <c r="I109" s="12" t="s">
        <v>1039</v>
      </c>
      <c r="J109" s="10" t="s">
        <v>1030</v>
      </c>
      <c r="K109" s="12" t="s">
        <v>1037</v>
      </c>
      <c r="L109" s="10" t="s">
        <v>1032</v>
      </c>
      <c r="M109" s="10" t="s">
        <v>1047</v>
      </c>
      <c r="N109" s="13" t="s">
        <v>1072</v>
      </c>
    </row>
    <row r="110" spans="1:14" s="1" customFormat="1" ht="17.100000000000001" customHeight="1" x14ac:dyDescent="0.25">
      <c r="A110" s="9" t="s">
        <v>83</v>
      </c>
      <c r="B110" s="10" t="s">
        <v>84</v>
      </c>
      <c r="C110" s="10">
        <v>2014</v>
      </c>
      <c r="D110" s="11" t="s">
        <v>1770</v>
      </c>
      <c r="E110" s="10" t="s">
        <v>1630</v>
      </c>
      <c r="F110" s="11" t="s">
        <v>2</v>
      </c>
      <c r="G110" s="10" t="s">
        <v>1176</v>
      </c>
      <c r="H110" s="10" t="s">
        <v>2326</v>
      </c>
      <c r="I110" s="12" t="s">
        <v>1039</v>
      </c>
      <c r="J110" s="12" t="s">
        <v>1688</v>
      </c>
      <c r="K110" s="12" t="s">
        <v>1037</v>
      </c>
      <c r="L110" s="10" t="s">
        <v>1042</v>
      </c>
      <c r="M110" s="10" t="s">
        <v>1083</v>
      </c>
      <c r="N110" s="13" t="s">
        <v>1034</v>
      </c>
    </row>
    <row r="111" spans="1:14" s="1" customFormat="1" ht="17.100000000000001" customHeight="1" x14ac:dyDescent="0.25">
      <c r="A111" s="9" t="s">
        <v>91</v>
      </c>
      <c r="B111" s="10" t="s">
        <v>92</v>
      </c>
      <c r="C111" s="12">
        <v>2010</v>
      </c>
      <c r="D111" s="11" t="s">
        <v>1745</v>
      </c>
      <c r="E111" s="10" t="s">
        <v>1630</v>
      </c>
      <c r="F111" s="11" t="s">
        <v>2</v>
      </c>
      <c r="G111" s="12" t="s">
        <v>1183</v>
      </c>
      <c r="H111" s="10" t="s">
        <v>2326</v>
      </c>
      <c r="I111" s="12" t="s">
        <v>1029</v>
      </c>
      <c r="J111" s="12" t="s">
        <v>1040</v>
      </c>
      <c r="K111" s="12" t="s">
        <v>1037</v>
      </c>
      <c r="L111" s="10" t="s">
        <v>1032</v>
      </c>
      <c r="M111" s="12" t="s">
        <v>1045</v>
      </c>
      <c r="N111" s="13" t="s">
        <v>1072</v>
      </c>
    </row>
    <row r="112" spans="1:14" s="1" customFormat="1" ht="17.100000000000001" customHeight="1" x14ac:dyDescent="0.25">
      <c r="A112" s="9" t="s">
        <v>49</v>
      </c>
      <c r="B112" s="10" t="s">
        <v>50</v>
      </c>
      <c r="C112" s="32">
        <v>2018</v>
      </c>
      <c r="D112" s="11" t="s">
        <v>1812</v>
      </c>
      <c r="E112" s="10" t="s">
        <v>1630</v>
      </c>
      <c r="F112" s="33" t="s">
        <v>2</v>
      </c>
      <c r="G112" s="10" t="s">
        <v>2266</v>
      </c>
      <c r="H112" s="10" t="s">
        <v>2326</v>
      </c>
      <c r="I112" s="12" t="s">
        <v>1039</v>
      </c>
      <c r="J112" s="10" t="s">
        <v>1693</v>
      </c>
      <c r="K112" s="12" t="s">
        <v>1037</v>
      </c>
      <c r="L112" s="10" t="s">
        <v>1032</v>
      </c>
      <c r="M112" s="12" t="s">
        <v>114</v>
      </c>
      <c r="N112" s="14" t="s">
        <v>1035</v>
      </c>
    </row>
    <row r="113" spans="1:14" s="1" customFormat="1" ht="17.100000000000001" customHeight="1" x14ac:dyDescent="0.25">
      <c r="A113" s="9" t="s">
        <v>55</v>
      </c>
      <c r="B113" s="10" t="s">
        <v>56</v>
      </c>
      <c r="C113" s="10">
        <v>2014</v>
      </c>
      <c r="D113" s="11" t="s">
        <v>1761</v>
      </c>
      <c r="E113" s="10" t="s">
        <v>1630</v>
      </c>
      <c r="F113" s="11" t="s">
        <v>2</v>
      </c>
      <c r="G113" s="10" t="s">
        <v>1028</v>
      </c>
      <c r="H113" s="10" t="s">
        <v>2326</v>
      </c>
      <c r="I113" s="12" t="s">
        <v>1029</v>
      </c>
      <c r="J113" s="12" t="s">
        <v>1040</v>
      </c>
      <c r="K113" s="12" t="s">
        <v>1037</v>
      </c>
      <c r="L113" s="10" t="s">
        <v>2399</v>
      </c>
      <c r="M113" s="10" t="s">
        <v>1074</v>
      </c>
      <c r="N113" s="14" t="s">
        <v>1035</v>
      </c>
    </row>
    <row r="114" spans="1:14" s="1" customFormat="1" ht="17.100000000000001" customHeight="1" x14ac:dyDescent="0.25">
      <c r="A114" s="9" t="s">
        <v>1585</v>
      </c>
      <c r="B114" s="10" t="s">
        <v>1586</v>
      </c>
      <c r="C114" s="10">
        <v>2012</v>
      </c>
      <c r="D114" s="11" t="s">
        <v>2244</v>
      </c>
      <c r="E114" s="10" t="s">
        <v>1630</v>
      </c>
      <c r="F114" s="11" t="s">
        <v>2</v>
      </c>
      <c r="G114" s="10" t="s">
        <v>2285</v>
      </c>
      <c r="H114" s="10" t="s">
        <v>2326</v>
      </c>
      <c r="I114" s="10" t="s">
        <v>1039</v>
      </c>
      <c r="J114" s="10" t="s">
        <v>1040</v>
      </c>
      <c r="K114" s="12" t="s">
        <v>1037</v>
      </c>
      <c r="L114" s="10" t="s">
        <v>1247</v>
      </c>
      <c r="M114" s="10" t="s">
        <v>114</v>
      </c>
      <c r="N114" s="13" t="s">
        <v>1072</v>
      </c>
    </row>
    <row r="115" spans="1:14" s="2" customFormat="1" ht="17.100000000000001" customHeight="1" x14ac:dyDescent="0.25">
      <c r="A115" s="9" t="s">
        <v>77</v>
      </c>
      <c r="B115" s="10" t="s">
        <v>78</v>
      </c>
      <c r="C115" s="10">
        <v>2018</v>
      </c>
      <c r="D115" s="11" t="s">
        <v>1963</v>
      </c>
      <c r="E115" s="10" t="s">
        <v>1630</v>
      </c>
      <c r="F115" s="11" t="s">
        <v>2</v>
      </c>
      <c r="G115" s="10" t="s">
        <v>2270</v>
      </c>
      <c r="H115" s="10" t="s">
        <v>2350</v>
      </c>
      <c r="I115" s="12" t="s">
        <v>1039</v>
      </c>
      <c r="J115" s="10" t="s">
        <v>1030</v>
      </c>
      <c r="K115" s="10" t="s">
        <v>1031</v>
      </c>
      <c r="L115" s="10" t="s">
        <v>1247</v>
      </c>
      <c r="M115" s="12" t="s">
        <v>114</v>
      </c>
      <c r="N115" s="14" t="s">
        <v>1035</v>
      </c>
    </row>
    <row r="116" spans="1:14" s="1" customFormat="1" ht="17.100000000000001" customHeight="1" x14ac:dyDescent="0.25">
      <c r="A116" s="9" t="s">
        <v>29</v>
      </c>
      <c r="B116" s="10" t="s">
        <v>30</v>
      </c>
      <c r="C116" s="10">
        <v>2018</v>
      </c>
      <c r="D116" s="11" t="s">
        <v>1813</v>
      </c>
      <c r="E116" s="10" t="s">
        <v>1630</v>
      </c>
      <c r="F116" s="11" t="s">
        <v>2</v>
      </c>
      <c r="G116" s="10" t="s">
        <v>2276</v>
      </c>
      <c r="H116" s="10" t="s">
        <v>2351</v>
      </c>
      <c r="I116" s="12" t="s">
        <v>1029</v>
      </c>
      <c r="J116" s="10" t="s">
        <v>1693</v>
      </c>
      <c r="K116" s="10" t="s">
        <v>1031</v>
      </c>
      <c r="L116" s="10" t="s">
        <v>1032</v>
      </c>
      <c r="M116" s="10" t="s">
        <v>1046</v>
      </c>
      <c r="N116" s="14" t="s">
        <v>1035</v>
      </c>
    </row>
    <row r="117" spans="1:14" s="1" customFormat="1" ht="17.100000000000001" customHeight="1" x14ac:dyDescent="0.25">
      <c r="A117" s="9" t="s">
        <v>97</v>
      </c>
      <c r="B117" s="10" t="s">
        <v>98</v>
      </c>
      <c r="C117" s="12">
        <v>2018</v>
      </c>
      <c r="D117" s="11" t="s">
        <v>1818</v>
      </c>
      <c r="E117" s="10" t="s">
        <v>1630</v>
      </c>
      <c r="F117" s="11" t="s">
        <v>2</v>
      </c>
      <c r="G117" s="12" t="s">
        <v>1176</v>
      </c>
      <c r="H117" s="10" t="s">
        <v>2329</v>
      </c>
      <c r="I117" s="12" t="s">
        <v>1029</v>
      </c>
      <c r="J117" s="10" t="s">
        <v>1040</v>
      </c>
      <c r="K117" s="10" t="s">
        <v>1031</v>
      </c>
      <c r="L117" s="10" t="s">
        <v>1032</v>
      </c>
      <c r="M117" s="12" t="s">
        <v>1121</v>
      </c>
      <c r="N117" s="13" t="s">
        <v>1034</v>
      </c>
    </row>
    <row r="118" spans="1:14" s="1" customFormat="1" ht="17.100000000000001" customHeight="1" x14ac:dyDescent="0.25">
      <c r="A118" s="9" t="s">
        <v>462</v>
      </c>
      <c r="B118" s="10" t="s">
        <v>463</v>
      </c>
      <c r="C118" s="10">
        <v>2019</v>
      </c>
      <c r="D118" s="11" t="s">
        <v>1862</v>
      </c>
      <c r="E118" s="10" t="s">
        <v>1630</v>
      </c>
      <c r="F118" s="11" t="s">
        <v>2</v>
      </c>
      <c r="G118" s="10" t="s">
        <v>1028</v>
      </c>
      <c r="H118" s="10" t="s">
        <v>2356</v>
      </c>
      <c r="I118" s="12" t="s">
        <v>1029</v>
      </c>
      <c r="J118" s="10" t="s">
        <v>1036</v>
      </c>
      <c r="K118" s="10" t="s">
        <v>1031</v>
      </c>
      <c r="L118" s="10" t="s">
        <v>1247</v>
      </c>
      <c r="M118" s="10" t="s">
        <v>1135</v>
      </c>
      <c r="N118" s="14" t="s">
        <v>1035</v>
      </c>
    </row>
    <row r="119" spans="1:14" s="1" customFormat="1" ht="17.100000000000001" customHeight="1" x14ac:dyDescent="0.25">
      <c r="A119" s="27" t="s">
        <v>1618</v>
      </c>
      <c r="B119" s="34" t="s">
        <v>1619</v>
      </c>
      <c r="C119" s="29">
        <v>2019</v>
      </c>
      <c r="D119" s="11" t="s">
        <v>1681</v>
      </c>
      <c r="E119" s="10" t="s">
        <v>1630</v>
      </c>
      <c r="F119" s="30" t="s">
        <v>2</v>
      </c>
      <c r="G119" s="29" t="s">
        <v>1639</v>
      </c>
      <c r="H119" s="29" t="s">
        <v>2354</v>
      </c>
      <c r="I119" s="29" t="s">
        <v>1493</v>
      </c>
      <c r="J119" s="29" t="s">
        <v>1048</v>
      </c>
      <c r="K119" s="10" t="s">
        <v>1031</v>
      </c>
      <c r="L119" s="10" t="s">
        <v>1032</v>
      </c>
      <c r="M119" s="29" t="s">
        <v>1628</v>
      </c>
      <c r="N119" s="43" t="s">
        <v>1072</v>
      </c>
    </row>
    <row r="120" spans="1:14" s="1" customFormat="1" ht="17.100000000000001" customHeight="1" x14ac:dyDescent="0.25">
      <c r="A120" s="9" t="s">
        <v>577</v>
      </c>
      <c r="B120" s="10" t="s">
        <v>578</v>
      </c>
      <c r="C120" s="10">
        <v>2020</v>
      </c>
      <c r="D120" s="11" t="s">
        <v>1865</v>
      </c>
      <c r="E120" s="10" t="s">
        <v>1630</v>
      </c>
      <c r="F120" s="11" t="s">
        <v>2</v>
      </c>
      <c r="G120" s="10" t="s">
        <v>2301</v>
      </c>
      <c r="H120" s="10" t="s">
        <v>1161</v>
      </c>
      <c r="I120" s="10" t="s">
        <v>1039</v>
      </c>
      <c r="J120" s="10" t="s">
        <v>1030</v>
      </c>
      <c r="K120" s="10" t="s">
        <v>1031</v>
      </c>
      <c r="L120" s="10" t="s">
        <v>1247</v>
      </c>
      <c r="M120" s="10" t="s">
        <v>1162</v>
      </c>
      <c r="N120" s="13" t="s">
        <v>1035</v>
      </c>
    </row>
    <row r="121" spans="1:14" s="1" customFormat="1" ht="17.100000000000001" customHeight="1" x14ac:dyDescent="0.25">
      <c r="A121" s="9" t="s">
        <v>1555</v>
      </c>
      <c r="B121" s="10" t="s">
        <v>1556</v>
      </c>
      <c r="C121" s="10">
        <v>2013</v>
      </c>
      <c r="D121" s="11" t="s">
        <v>2224</v>
      </c>
      <c r="E121" s="10" t="s">
        <v>1630</v>
      </c>
      <c r="F121" s="11" t="s">
        <v>2</v>
      </c>
      <c r="G121" s="10" t="s">
        <v>2266</v>
      </c>
      <c r="H121" s="10" t="s">
        <v>1161</v>
      </c>
      <c r="I121" s="10" t="s">
        <v>1493</v>
      </c>
      <c r="J121" s="10" t="s">
        <v>1048</v>
      </c>
      <c r="K121" s="12" t="s">
        <v>1037</v>
      </c>
      <c r="L121" s="10" t="s">
        <v>1247</v>
      </c>
      <c r="M121" s="10" t="s">
        <v>1557</v>
      </c>
      <c r="N121" s="13" t="s">
        <v>1035</v>
      </c>
    </row>
    <row r="122" spans="1:14" s="1" customFormat="1" ht="17.100000000000001" customHeight="1" x14ac:dyDescent="0.25">
      <c r="A122" s="9" t="s">
        <v>99</v>
      </c>
      <c r="B122" s="10" t="s">
        <v>100</v>
      </c>
      <c r="C122" s="10">
        <v>2017</v>
      </c>
      <c r="D122" s="11" t="s">
        <v>2004</v>
      </c>
      <c r="E122" s="10" t="s">
        <v>1630</v>
      </c>
      <c r="F122" s="11" t="s">
        <v>2</v>
      </c>
      <c r="G122" s="10" t="s">
        <v>1028</v>
      </c>
      <c r="H122" s="10" t="s">
        <v>1166</v>
      </c>
      <c r="I122" s="12" t="s">
        <v>1029</v>
      </c>
      <c r="J122" s="10" t="s">
        <v>1030</v>
      </c>
      <c r="K122" s="10" t="s">
        <v>1031</v>
      </c>
      <c r="L122" s="10" t="s">
        <v>1032</v>
      </c>
      <c r="M122" s="10" t="s">
        <v>1206</v>
      </c>
      <c r="N122" s="13" t="s">
        <v>1072</v>
      </c>
    </row>
    <row r="123" spans="1:14" s="1" customFormat="1" ht="17.100000000000001" customHeight="1" x14ac:dyDescent="0.25">
      <c r="A123" s="9" t="s">
        <v>1551</v>
      </c>
      <c r="B123" s="10" t="s">
        <v>1552</v>
      </c>
      <c r="C123" s="10">
        <v>2019</v>
      </c>
      <c r="D123" s="11" t="s">
        <v>2222</v>
      </c>
      <c r="E123" s="10" t="s">
        <v>1630</v>
      </c>
      <c r="F123" s="11" t="s">
        <v>2</v>
      </c>
      <c r="G123" s="10" t="s">
        <v>2266</v>
      </c>
      <c r="H123" s="10" t="s">
        <v>1057</v>
      </c>
      <c r="I123" s="10" t="s">
        <v>1493</v>
      </c>
      <c r="J123" s="10" t="s">
        <v>1030</v>
      </c>
      <c r="K123" s="10" t="s">
        <v>1031</v>
      </c>
      <c r="L123" s="10" t="s">
        <v>1247</v>
      </c>
      <c r="M123" s="10" t="s">
        <v>114</v>
      </c>
      <c r="N123" s="13" t="s">
        <v>1035</v>
      </c>
    </row>
    <row r="124" spans="1:14" s="1" customFormat="1" ht="17.100000000000001" customHeight="1" x14ac:dyDescent="0.25">
      <c r="A124" s="9" t="s">
        <v>7</v>
      </c>
      <c r="B124" s="10" t="s">
        <v>8</v>
      </c>
      <c r="C124" s="10">
        <v>2015</v>
      </c>
      <c r="D124" s="11" t="s">
        <v>1993</v>
      </c>
      <c r="E124" s="10" t="s">
        <v>1630</v>
      </c>
      <c r="F124" s="11" t="s">
        <v>2</v>
      </c>
      <c r="G124" s="10" t="s">
        <v>2275</v>
      </c>
      <c r="H124" s="10" t="s">
        <v>1057</v>
      </c>
      <c r="I124" s="12" t="s">
        <v>1039</v>
      </c>
      <c r="J124" s="10" t="s">
        <v>1030</v>
      </c>
      <c r="K124" s="10" t="s">
        <v>1031</v>
      </c>
      <c r="L124" s="10" t="s">
        <v>1247</v>
      </c>
      <c r="M124" s="12" t="s">
        <v>114</v>
      </c>
      <c r="N124" s="14" t="s">
        <v>1035</v>
      </c>
    </row>
    <row r="125" spans="1:14" s="1" customFormat="1" ht="17.100000000000001" customHeight="1" x14ac:dyDescent="0.25">
      <c r="A125" s="9" t="s">
        <v>87</v>
      </c>
      <c r="B125" s="10" t="s">
        <v>88</v>
      </c>
      <c r="C125" s="10">
        <v>2016</v>
      </c>
      <c r="D125" s="11" t="s">
        <v>1947</v>
      </c>
      <c r="E125" s="10" t="s">
        <v>1630</v>
      </c>
      <c r="F125" s="11" t="s">
        <v>2</v>
      </c>
      <c r="G125" s="10" t="s">
        <v>1164</v>
      </c>
      <c r="H125" s="10" t="s">
        <v>1057</v>
      </c>
      <c r="I125" s="10" t="s">
        <v>1493</v>
      </c>
      <c r="J125" s="10" t="s">
        <v>1030</v>
      </c>
      <c r="K125" s="10" t="s">
        <v>1031</v>
      </c>
      <c r="L125" s="10" t="s">
        <v>1032</v>
      </c>
      <c r="M125" s="10" t="s">
        <v>1190</v>
      </c>
      <c r="N125" s="14" t="s">
        <v>1035</v>
      </c>
    </row>
    <row r="126" spans="1:14" s="1" customFormat="1" ht="17.100000000000001" customHeight="1" x14ac:dyDescent="0.25">
      <c r="A126" s="9" t="s">
        <v>67</v>
      </c>
      <c r="B126" s="10" t="s">
        <v>68</v>
      </c>
      <c r="C126" s="10">
        <v>2016</v>
      </c>
      <c r="D126" s="11" t="s">
        <v>1994</v>
      </c>
      <c r="E126" s="10" t="s">
        <v>1630</v>
      </c>
      <c r="F126" s="11" t="s">
        <v>2</v>
      </c>
      <c r="G126" s="10" t="s">
        <v>1544</v>
      </c>
      <c r="H126" s="10" t="s">
        <v>1057</v>
      </c>
      <c r="I126" s="12" t="s">
        <v>1039</v>
      </c>
      <c r="J126" s="10" t="s">
        <v>1052</v>
      </c>
      <c r="K126" s="10" t="s">
        <v>1031</v>
      </c>
      <c r="L126" s="10" t="s">
        <v>1032</v>
      </c>
      <c r="M126" s="12" t="s">
        <v>114</v>
      </c>
      <c r="N126" s="14" t="s">
        <v>1035</v>
      </c>
    </row>
    <row r="127" spans="1:14" s="1" customFormat="1" ht="17.100000000000001" customHeight="1" x14ac:dyDescent="0.25">
      <c r="A127" s="9" t="s">
        <v>75</v>
      </c>
      <c r="B127" s="10" t="s">
        <v>76</v>
      </c>
      <c r="C127" s="10">
        <v>2017</v>
      </c>
      <c r="D127" s="11" t="s">
        <v>1957</v>
      </c>
      <c r="E127" s="10" t="s">
        <v>1630</v>
      </c>
      <c r="F127" s="11" t="s">
        <v>2</v>
      </c>
      <c r="G127" s="10" t="s">
        <v>2266</v>
      </c>
      <c r="H127" s="10" t="s">
        <v>1057</v>
      </c>
      <c r="I127" s="12" t="s">
        <v>1029</v>
      </c>
      <c r="J127" s="10" t="s">
        <v>1030</v>
      </c>
      <c r="K127" s="10" t="s">
        <v>1031</v>
      </c>
      <c r="L127" s="10" t="s">
        <v>1032</v>
      </c>
      <c r="M127" s="10" t="s">
        <v>1194</v>
      </c>
      <c r="N127" s="14" t="s">
        <v>1035</v>
      </c>
    </row>
    <row r="128" spans="1:14" s="1" customFormat="1" ht="17.100000000000001" customHeight="1" x14ac:dyDescent="0.25">
      <c r="A128" s="9" t="s">
        <v>103</v>
      </c>
      <c r="B128" s="10" t="s">
        <v>104</v>
      </c>
      <c r="C128" s="10">
        <v>2017</v>
      </c>
      <c r="D128" s="11" t="s">
        <v>1996</v>
      </c>
      <c r="E128" s="10" t="s">
        <v>1630</v>
      </c>
      <c r="F128" s="11" t="s">
        <v>2</v>
      </c>
      <c r="G128" s="10" t="s">
        <v>2275</v>
      </c>
      <c r="H128" s="10" t="s">
        <v>1057</v>
      </c>
      <c r="I128" s="12" t="s">
        <v>1029</v>
      </c>
      <c r="J128" s="10" t="s">
        <v>1030</v>
      </c>
      <c r="K128" s="10" t="s">
        <v>1031</v>
      </c>
      <c r="L128" s="10" t="s">
        <v>1032</v>
      </c>
      <c r="M128" s="12" t="s">
        <v>114</v>
      </c>
      <c r="N128" s="14" t="s">
        <v>1035</v>
      </c>
    </row>
    <row r="129" spans="1:14" s="1" customFormat="1" ht="17.100000000000001" customHeight="1" x14ac:dyDescent="0.25">
      <c r="A129" s="9" t="s">
        <v>63</v>
      </c>
      <c r="B129" s="10" t="s">
        <v>64</v>
      </c>
      <c r="C129" s="10">
        <v>2018</v>
      </c>
      <c r="D129" s="11" t="s">
        <v>1979</v>
      </c>
      <c r="E129" s="10" t="s">
        <v>1630</v>
      </c>
      <c r="F129" s="11" t="s">
        <v>2</v>
      </c>
      <c r="G129" s="10" t="s">
        <v>2266</v>
      </c>
      <c r="H129" s="10" t="s">
        <v>1057</v>
      </c>
      <c r="I129" s="12" t="s">
        <v>1029</v>
      </c>
      <c r="J129" s="10" t="s">
        <v>1048</v>
      </c>
      <c r="K129" s="10" t="s">
        <v>1031</v>
      </c>
      <c r="L129" s="12" t="s">
        <v>1042</v>
      </c>
      <c r="M129" s="10" t="s">
        <v>1102</v>
      </c>
      <c r="N129" s="13" t="s">
        <v>1072</v>
      </c>
    </row>
    <row r="130" spans="1:14" s="1" customFormat="1" ht="17.100000000000001" customHeight="1" x14ac:dyDescent="0.25">
      <c r="A130" s="9" t="s">
        <v>59</v>
      </c>
      <c r="B130" s="10" t="s">
        <v>60</v>
      </c>
      <c r="C130" s="12">
        <v>2018</v>
      </c>
      <c r="D130" s="11" t="s">
        <v>1992</v>
      </c>
      <c r="E130" s="10" t="s">
        <v>1630</v>
      </c>
      <c r="F130" s="11" t="s">
        <v>2</v>
      </c>
      <c r="G130" s="12" t="s">
        <v>1054</v>
      </c>
      <c r="H130" s="10" t="s">
        <v>1057</v>
      </c>
      <c r="I130" s="12" t="s">
        <v>1029</v>
      </c>
      <c r="J130" s="10" t="s">
        <v>1040</v>
      </c>
      <c r="K130" s="12" t="s">
        <v>1037</v>
      </c>
      <c r="L130" s="12" t="s">
        <v>1042</v>
      </c>
      <c r="M130" s="12" t="s">
        <v>1204</v>
      </c>
      <c r="N130" s="13" t="s">
        <v>1034</v>
      </c>
    </row>
    <row r="131" spans="1:14" s="1" customFormat="1" ht="17.100000000000001" customHeight="1" x14ac:dyDescent="0.25">
      <c r="A131" s="9" t="s">
        <v>15</v>
      </c>
      <c r="B131" s="10" t="s">
        <v>16</v>
      </c>
      <c r="C131" s="10">
        <v>2019</v>
      </c>
      <c r="D131" s="11" t="s">
        <v>1982</v>
      </c>
      <c r="E131" s="10" t="s">
        <v>1630</v>
      </c>
      <c r="F131" s="11" t="s">
        <v>2</v>
      </c>
      <c r="G131" s="10" t="s">
        <v>1164</v>
      </c>
      <c r="H131" s="10" t="s">
        <v>1057</v>
      </c>
      <c r="I131" s="12" t="s">
        <v>1039</v>
      </c>
      <c r="J131" s="10" t="s">
        <v>1069</v>
      </c>
      <c r="K131" s="12" t="s">
        <v>1037</v>
      </c>
      <c r="L131" s="10" t="s">
        <v>1042</v>
      </c>
      <c r="M131" s="10" t="s">
        <v>1199</v>
      </c>
      <c r="N131" s="14" t="s">
        <v>1035</v>
      </c>
    </row>
    <row r="132" spans="1:14" s="1" customFormat="1" ht="17.100000000000001" customHeight="1" x14ac:dyDescent="0.25">
      <c r="A132" s="9" t="s">
        <v>107</v>
      </c>
      <c r="B132" s="10" t="s">
        <v>108</v>
      </c>
      <c r="C132" s="10">
        <v>2017</v>
      </c>
      <c r="D132" s="11" t="s">
        <v>2002</v>
      </c>
      <c r="E132" s="10" t="s">
        <v>1630</v>
      </c>
      <c r="F132" s="11" t="s">
        <v>2</v>
      </c>
      <c r="G132" s="10" t="s">
        <v>1028</v>
      </c>
      <c r="H132" s="10" t="s">
        <v>1057</v>
      </c>
      <c r="I132" s="12" t="s">
        <v>1039</v>
      </c>
      <c r="J132" s="10" t="s">
        <v>1040</v>
      </c>
      <c r="K132" s="12" t="s">
        <v>1037</v>
      </c>
      <c r="L132" s="10" t="s">
        <v>1032</v>
      </c>
      <c r="M132" s="10" t="s">
        <v>1093</v>
      </c>
      <c r="N132" s="14" t="s">
        <v>1035</v>
      </c>
    </row>
    <row r="133" spans="1:14" s="1" customFormat="1" ht="17.100000000000001" customHeight="1" x14ac:dyDescent="0.25">
      <c r="A133" s="9" t="s">
        <v>105</v>
      </c>
      <c r="B133" s="10" t="s">
        <v>106</v>
      </c>
      <c r="C133" s="10">
        <v>2017</v>
      </c>
      <c r="D133" s="11" t="s">
        <v>2038</v>
      </c>
      <c r="E133" s="10" t="s">
        <v>1630</v>
      </c>
      <c r="F133" s="11" t="s">
        <v>2</v>
      </c>
      <c r="G133" s="10" t="s">
        <v>2266</v>
      </c>
      <c r="H133" s="10" t="s">
        <v>1168</v>
      </c>
      <c r="I133" s="12" t="s">
        <v>1029</v>
      </c>
      <c r="J133" s="10" t="s">
        <v>1052</v>
      </c>
      <c r="K133" s="10" t="s">
        <v>1031</v>
      </c>
      <c r="L133" s="10" t="s">
        <v>1032</v>
      </c>
      <c r="M133" s="10" t="s">
        <v>1220</v>
      </c>
      <c r="N133" s="13" t="s">
        <v>1072</v>
      </c>
    </row>
    <row r="134" spans="1:14" s="1" customFormat="1" ht="17.100000000000001" customHeight="1" x14ac:dyDescent="0.25">
      <c r="A134" s="9" t="s">
        <v>439</v>
      </c>
      <c r="B134" s="10" t="s">
        <v>440</v>
      </c>
      <c r="C134" s="10">
        <v>2019</v>
      </c>
      <c r="D134" s="11" t="s">
        <v>1907</v>
      </c>
      <c r="E134" s="10" t="s">
        <v>1630</v>
      </c>
      <c r="F134" s="11" t="s">
        <v>2</v>
      </c>
      <c r="G134" s="10" t="s">
        <v>1062</v>
      </c>
      <c r="H134" s="10" t="s">
        <v>2422</v>
      </c>
      <c r="I134" s="12" t="s">
        <v>1029</v>
      </c>
      <c r="J134" s="10" t="s">
        <v>1040</v>
      </c>
      <c r="K134" s="10" t="s">
        <v>1031</v>
      </c>
      <c r="L134" s="10" t="s">
        <v>1032</v>
      </c>
      <c r="M134" s="12" t="s">
        <v>114</v>
      </c>
      <c r="N134" s="14" t="s">
        <v>1035</v>
      </c>
    </row>
    <row r="135" spans="1:14" s="1" customFormat="1" ht="17.100000000000001" customHeight="1" x14ac:dyDescent="0.25">
      <c r="A135" s="9" t="s">
        <v>470</v>
      </c>
      <c r="B135" s="10" t="s">
        <v>471</v>
      </c>
      <c r="C135" s="10">
        <v>2019</v>
      </c>
      <c r="D135" s="11" t="s">
        <v>1704</v>
      </c>
      <c r="E135" s="10" t="s">
        <v>1630</v>
      </c>
      <c r="F135" s="11" t="s">
        <v>2</v>
      </c>
      <c r="G135" s="10" t="s">
        <v>1028</v>
      </c>
      <c r="H135" s="10" t="s">
        <v>2418</v>
      </c>
      <c r="I135" s="12" t="s">
        <v>1039</v>
      </c>
      <c r="J135" s="10" t="s">
        <v>1036</v>
      </c>
      <c r="K135" s="10" t="s">
        <v>1031</v>
      </c>
      <c r="L135" s="10" t="s">
        <v>1247</v>
      </c>
      <c r="M135" s="10" t="s">
        <v>1050</v>
      </c>
      <c r="N135" s="14" t="s">
        <v>1035</v>
      </c>
    </row>
    <row r="136" spans="1:14" s="1" customFormat="1" ht="17.100000000000001" customHeight="1" x14ac:dyDescent="0.25">
      <c r="A136" s="9" t="s">
        <v>101</v>
      </c>
      <c r="B136" s="10" t="s">
        <v>102</v>
      </c>
      <c r="C136" s="12">
        <v>2018</v>
      </c>
      <c r="D136" s="11" t="s">
        <v>1701</v>
      </c>
      <c r="E136" s="10" t="s">
        <v>1630</v>
      </c>
      <c r="F136" s="11" t="s">
        <v>2</v>
      </c>
      <c r="G136" s="12" t="s">
        <v>1028</v>
      </c>
      <c r="H136" s="10" t="s">
        <v>2421</v>
      </c>
      <c r="I136" s="12" t="s">
        <v>1029</v>
      </c>
      <c r="J136" s="10" t="s">
        <v>1036</v>
      </c>
      <c r="K136" s="10" t="s">
        <v>1031</v>
      </c>
      <c r="L136" s="10" t="s">
        <v>1032</v>
      </c>
      <c r="M136" s="12" t="s">
        <v>1050</v>
      </c>
      <c r="N136" s="14" t="s">
        <v>1035</v>
      </c>
    </row>
    <row r="137" spans="1:14" s="1" customFormat="1" ht="17.100000000000001" customHeight="1" x14ac:dyDescent="0.25">
      <c r="A137" s="9" t="s">
        <v>1540</v>
      </c>
      <c r="B137" s="10" t="s">
        <v>1541</v>
      </c>
      <c r="C137" s="10">
        <v>2021</v>
      </c>
      <c r="D137" s="11" t="s">
        <v>2219</v>
      </c>
      <c r="E137" s="10" t="s">
        <v>1630</v>
      </c>
      <c r="F137" s="11" t="s">
        <v>2</v>
      </c>
      <c r="G137" s="10" t="s">
        <v>1538</v>
      </c>
      <c r="H137" s="10" t="s">
        <v>1230</v>
      </c>
      <c r="I137" s="10" t="s">
        <v>1493</v>
      </c>
      <c r="J137" s="10" t="s">
        <v>1030</v>
      </c>
      <c r="K137" s="10" t="s">
        <v>1031</v>
      </c>
      <c r="L137" s="10" t="s">
        <v>1247</v>
      </c>
      <c r="M137" s="10" t="s">
        <v>1093</v>
      </c>
      <c r="N137" s="13" t="s">
        <v>1035</v>
      </c>
    </row>
    <row r="138" spans="1:14" s="1" customFormat="1" ht="17.100000000000001" customHeight="1" x14ac:dyDescent="0.25">
      <c r="A138" s="9" t="s">
        <v>1542</v>
      </c>
      <c r="B138" s="10" t="s">
        <v>1543</v>
      </c>
      <c r="C138" s="10">
        <v>2022</v>
      </c>
      <c r="D138" s="11" t="s">
        <v>1678</v>
      </c>
      <c r="E138" s="10" t="s">
        <v>1630</v>
      </c>
      <c r="F138" s="11" t="s">
        <v>2</v>
      </c>
      <c r="G138" s="10" t="s">
        <v>1544</v>
      </c>
      <c r="H138" s="10" t="s">
        <v>1230</v>
      </c>
      <c r="I138" s="10" t="s">
        <v>1493</v>
      </c>
      <c r="J138" s="10" t="s">
        <v>1030</v>
      </c>
      <c r="K138" s="12" t="s">
        <v>1037</v>
      </c>
      <c r="L138" s="10" t="s">
        <v>1247</v>
      </c>
      <c r="M138" s="10" t="s">
        <v>114</v>
      </c>
      <c r="N138" s="13" t="s">
        <v>1035</v>
      </c>
    </row>
    <row r="139" spans="1:14" s="1" customFormat="1" ht="17.100000000000001" customHeight="1" x14ac:dyDescent="0.25">
      <c r="A139" s="9" t="s">
        <v>13</v>
      </c>
      <c r="B139" s="10" t="s">
        <v>14</v>
      </c>
      <c r="C139" s="10">
        <v>2015</v>
      </c>
      <c r="D139" s="11" t="s">
        <v>2078</v>
      </c>
      <c r="E139" s="10" t="s">
        <v>1630</v>
      </c>
      <c r="F139" s="11" t="s">
        <v>2</v>
      </c>
      <c r="G139" s="10" t="s">
        <v>2266</v>
      </c>
      <c r="H139" s="10" t="s">
        <v>2340</v>
      </c>
      <c r="I139" s="12" t="s">
        <v>1039</v>
      </c>
      <c r="J139" s="10" t="s">
        <v>1030</v>
      </c>
      <c r="K139" s="10" t="s">
        <v>1031</v>
      </c>
      <c r="L139" s="10" t="s">
        <v>1042</v>
      </c>
      <c r="M139" s="10" t="s">
        <v>1093</v>
      </c>
      <c r="N139" s="14" t="s">
        <v>1035</v>
      </c>
    </row>
    <row r="140" spans="1:14" s="1" customFormat="1" ht="17.100000000000001" customHeight="1" x14ac:dyDescent="0.25">
      <c r="A140" s="9" t="s">
        <v>27</v>
      </c>
      <c r="B140" s="10" t="s">
        <v>28</v>
      </c>
      <c r="C140" s="10">
        <v>2012</v>
      </c>
      <c r="D140" s="11" t="s">
        <v>2063</v>
      </c>
      <c r="E140" s="10" t="s">
        <v>1630</v>
      </c>
      <c r="F140" s="11" t="s">
        <v>2</v>
      </c>
      <c r="G140" s="10" t="s">
        <v>2266</v>
      </c>
      <c r="H140" s="10" t="s">
        <v>2340</v>
      </c>
      <c r="I140" s="12" t="s">
        <v>1029</v>
      </c>
      <c r="J140" s="10" t="s">
        <v>1030</v>
      </c>
      <c r="K140" s="10" t="s">
        <v>1031</v>
      </c>
      <c r="L140" s="10" t="s">
        <v>1032</v>
      </c>
      <c r="M140" s="10" t="s">
        <v>1046</v>
      </c>
      <c r="N140" s="14" t="s">
        <v>1035</v>
      </c>
    </row>
    <row r="141" spans="1:14" s="1" customFormat="1" ht="17.100000000000001" customHeight="1" x14ac:dyDescent="0.25">
      <c r="A141" s="9" t="s">
        <v>11</v>
      </c>
      <c r="B141" s="10" t="s">
        <v>12</v>
      </c>
      <c r="C141" s="10">
        <v>2016</v>
      </c>
      <c r="D141" s="11" t="s">
        <v>2081</v>
      </c>
      <c r="E141" s="10" t="s">
        <v>1630</v>
      </c>
      <c r="F141" s="11" t="s">
        <v>2</v>
      </c>
      <c r="G141" s="10" t="s">
        <v>1028</v>
      </c>
      <c r="H141" s="10" t="s">
        <v>2340</v>
      </c>
      <c r="I141" s="12" t="s">
        <v>1029</v>
      </c>
      <c r="J141" s="10" t="s">
        <v>1030</v>
      </c>
      <c r="K141" s="10" t="s">
        <v>1031</v>
      </c>
      <c r="L141" s="10" t="s">
        <v>1032</v>
      </c>
      <c r="M141" s="12" t="s">
        <v>114</v>
      </c>
      <c r="N141" s="14" t="s">
        <v>1035</v>
      </c>
    </row>
    <row r="142" spans="1:14" s="1" customFormat="1" ht="17.100000000000001" customHeight="1" x14ac:dyDescent="0.25">
      <c r="A142" s="9" t="s">
        <v>81</v>
      </c>
      <c r="B142" s="10" t="s">
        <v>82</v>
      </c>
      <c r="C142" s="10">
        <v>2017</v>
      </c>
      <c r="D142" s="11" t="s">
        <v>2082</v>
      </c>
      <c r="E142" s="10" t="s">
        <v>1630</v>
      </c>
      <c r="F142" s="11" t="s">
        <v>2</v>
      </c>
      <c r="G142" s="10" t="s">
        <v>1183</v>
      </c>
      <c r="H142" s="10" t="s">
        <v>2340</v>
      </c>
      <c r="I142" s="12" t="s">
        <v>1039</v>
      </c>
      <c r="J142" s="10" t="s">
        <v>1030</v>
      </c>
      <c r="K142" s="10" t="s">
        <v>1031</v>
      </c>
      <c r="L142" s="10" t="s">
        <v>1032</v>
      </c>
      <c r="M142" s="12" t="s">
        <v>1236</v>
      </c>
      <c r="N142" s="14" t="s">
        <v>1035</v>
      </c>
    </row>
    <row r="143" spans="1:14" s="1" customFormat="1" ht="17.100000000000001" customHeight="1" x14ac:dyDescent="0.25">
      <c r="A143" s="9" t="s">
        <v>41</v>
      </c>
      <c r="B143" s="10" t="s">
        <v>42</v>
      </c>
      <c r="C143" s="10">
        <v>2018</v>
      </c>
      <c r="D143" s="11" t="s">
        <v>2095</v>
      </c>
      <c r="E143" s="10" t="s">
        <v>1630</v>
      </c>
      <c r="F143" s="11" t="s">
        <v>2</v>
      </c>
      <c r="G143" s="10" t="s">
        <v>1054</v>
      </c>
      <c r="H143" s="10" t="s">
        <v>2340</v>
      </c>
      <c r="I143" s="12" t="s">
        <v>1029</v>
      </c>
      <c r="J143" s="10" t="s">
        <v>1036</v>
      </c>
      <c r="K143" s="10" t="s">
        <v>1031</v>
      </c>
      <c r="L143" s="10" t="s">
        <v>1042</v>
      </c>
      <c r="M143" s="12" t="s">
        <v>114</v>
      </c>
      <c r="N143" s="14" t="s">
        <v>1035</v>
      </c>
    </row>
    <row r="144" spans="1:14" s="1" customFormat="1" ht="17.100000000000001" customHeight="1" x14ac:dyDescent="0.25">
      <c r="A144" s="9" t="s">
        <v>466</v>
      </c>
      <c r="B144" s="10" t="s">
        <v>467</v>
      </c>
      <c r="C144" s="10">
        <v>2019</v>
      </c>
      <c r="D144" s="11" t="s">
        <v>2061</v>
      </c>
      <c r="E144" s="10" t="s">
        <v>1630</v>
      </c>
      <c r="F144" s="11" t="s">
        <v>2</v>
      </c>
      <c r="G144" s="10" t="s">
        <v>1054</v>
      </c>
      <c r="H144" s="10" t="s">
        <v>2340</v>
      </c>
      <c r="I144" s="12" t="s">
        <v>1029</v>
      </c>
      <c r="J144" s="10" t="s">
        <v>1114</v>
      </c>
      <c r="K144" s="10" t="s">
        <v>1031</v>
      </c>
      <c r="L144" s="10" t="s">
        <v>1247</v>
      </c>
      <c r="M144" s="10" t="s">
        <v>1050</v>
      </c>
      <c r="N144" s="14" t="s">
        <v>1035</v>
      </c>
    </row>
    <row r="145" spans="1:14" s="1" customFormat="1" ht="17.100000000000001" customHeight="1" x14ac:dyDescent="0.25">
      <c r="A145" s="9" t="s">
        <v>468</v>
      </c>
      <c r="B145" s="10" t="s">
        <v>469</v>
      </c>
      <c r="C145" s="10">
        <v>2019</v>
      </c>
      <c r="D145" s="11" t="s">
        <v>2101</v>
      </c>
      <c r="E145" s="10" t="s">
        <v>1630</v>
      </c>
      <c r="F145" s="11" t="s">
        <v>2</v>
      </c>
      <c r="G145" s="10" t="s">
        <v>1054</v>
      </c>
      <c r="H145" s="10" t="s">
        <v>2340</v>
      </c>
      <c r="I145" s="12" t="s">
        <v>1029</v>
      </c>
      <c r="J145" s="10" t="s">
        <v>1036</v>
      </c>
      <c r="K145" s="10" t="s">
        <v>1031</v>
      </c>
      <c r="L145" s="10" t="s">
        <v>1247</v>
      </c>
      <c r="M145" s="12" t="s">
        <v>1055</v>
      </c>
      <c r="N145" s="14" t="s">
        <v>1035</v>
      </c>
    </row>
    <row r="146" spans="1:14" s="1" customFormat="1" ht="17.100000000000001" customHeight="1" x14ac:dyDescent="0.25">
      <c r="A146" s="9" t="s">
        <v>93</v>
      </c>
      <c r="B146" s="10" t="s">
        <v>94</v>
      </c>
      <c r="C146" s="10">
        <v>2017</v>
      </c>
      <c r="D146" s="11" t="s">
        <v>2092</v>
      </c>
      <c r="E146" s="10" t="s">
        <v>1630</v>
      </c>
      <c r="F146" s="11" t="s">
        <v>2</v>
      </c>
      <c r="G146" s="10" t="s">
        <v>1028</v>
      </c>
      <c r="H146" s="10" t="s">
        <v>2340</v>
      </c>
      <c r="I146" s="12" t="s">
        <v>1039</v>
      </c>
      <c r="J146" s="10" t="s">
        <v>1036</v>
      </c>
      <c r="K146" s="10" t="s">
        <v>1031</v>
      </c>
      <c r="L146" s="10" t="s">
        <v>1032</v>
      </c>
      <c r="M146" s="10" t="s">
        <v>1239</v>
      </c>
      <c r="N146" s="14" t="s">
        <v>1035</v>
      </c>
    </row>
    <row r="147" spans="1:14" s="1" customFormat="1" ht="17.100000000000001" customHeight="1" x14ac:dyDescent="0.25">
      <c r="A147" s="9" t="s">
        <v>39</v>
      </c>
      <c r="B147" s="10" t="s">
        <v>40</v>
      </c>
      <c r="C147" s="10">
        <v>2017</v>
      </c>
      <c r="D147" s="11" t="s">
        <v>2093</v>
      </c>
      <c r="E147" s="10" t="s">
        <v>1630</v>
      </c>
      <c r="F147" s="11" t="s">
        <v>2</v>
      </c>
      <c r="G147" s="10" t="s">
        <v>1165</v>
      </c>
      <c r="H147" s="10" t="s">
        <v>2340</v>
      </c>
      <c r="I147" s="12" t="s">
        <v>1029</v>
      </c>
      <c r="J147" s="10" t="s">
        <v>1040</v>
      </c>
      <c r="K147" s="10" t="s">
        <v>1031</v>
      </c>
      <c r="L147" s="10" t="s">
        <v>1247</v>
      </c>
      <c r="M147" s="12" t="s">
        <v>114</v>
      </c>
      <c r="N147" s="14" t="s">
        <v>1035</v>
      </c>
    </row>
    <row r="148" spans="1:14" s="1" customFormat="1" ht="17.100000000000001" customHeight="1" x14ac:dyDescent="0.25">
      <c r="A148" s="9" t="s">
        <v>430</v>
      </c>
      <c r="B148" s="10" t="s">
        <v>431</v>
      </c>
      <c r="C148" s="10">
        <v>2019</v>
      </c>
      <c r="D148" s="11" t="s">
        <v>2097</v>
      </c>
      <c r="E148" s="10" t="s">
        <v>1630</v>
      </c>
      <c r="F148" s="11" t="s">
        <v>2</v>
      </c>
      <c r="G148" s="10" t="s">
        <v>1028</v>
      </c>
      <c r="H148" s="10" t="s">
        <v>2340</v>
      </c>
      <c r="I148" s="12" t="s">
        <v>1039</v>
      </c>
      <c r="J148" s="10" t="s">
        <v>1030</v>
      </c>
      <c r="K148" s="12" t="s">
        <v>1037</v>
      </c>
      <c r="L148" s="10" t="s">
        <v>1247</v>
      </c>
      <c r="M148" s="10" t="s">
        <v>1241</v>
      </c>
      <c r="N148" s="13" t="s">
        <v>1034</v>
      </c>
    </row>
    <row r="149" spans="1:14" s="1" customFormat="1" ht="17.100000000000001" customHeight="1" x14ac:dyDescent="0.25">
      <c r="A149" s="9" t="s">
        <v>432</v>
      </c>
      <c r="B149" s="10" t="s">
        <v>433</v>
      </c>
      <c r="C149" s="10">
        <v>2019</v>
      </c>
      <c r="D149" s="11" t="s">
        <v>2098</v>
      </c>
      <c r="E149" s="10" t="s">
        <v>1630</v>
      </c>
      <c r="F149" s="11" t="s">
        <v>2</v>
      </c>
      <c r="G149" s="10" t="s">
        <v>1054</v>
      </c>
      <c r="H149" s="10" t="s">
        <v>2340</v>
      </c>
      <c r="I149" s="12" t="s">
        <v>1039</v>
      </c>
      <c r="J149" s="10" t="s">
        <v>1036</v>
      </c>
      <c r="K149" s="12" t="s">
        <v>1037</v>
      </c>
      <c r="L149" s="10" t="s">
        <v>1247</v>
      </c>
      <c r="M149" s="10" t="s">
        <v>1216</v>
      </c>
      <c r="N149" s="14" t="s">
        <v>1035</v>
      </c>
    </row>
    <row r="150" spans="1:14" s="1" customFormat="1" ht="17.100000000000001" customHeight="1" x14ac:dyDescent="0.25">
      <c r="A150" s="9" t="s">
        <v>69</v>
      </c>
      <c r="B150" s="10" t="s">
        <v>70</v>
      </c>
      <c r="C150" s="10">
        <v>2014</v>
      </c>
      <c r="D150" s="11" t="s">
        <v>2076</v>
      </c>
      <c r="E150" s="10" t="s">
        <v>1630</v>
      </c>
      <c r="F150" s="11" t="s">
        <v>2</v>
      </c>
      <c r="G150" s="10" t="s">
        <v>2266</v>
      </c>
      <c r="H150" s="10" t="s">
        <v>2381</v>
      </c>
      <c r="I150" s="12" t="s">
        <v>1029</v>
      </c>
      <c r="J150" s="10" t="s">
        <v>1030</v>
      </c>
      <c r="K150" s="10" t="s">
        <v>1031</v>
      </c>
      <c r="L150" s="10" t="s">
        <v>1032</v>
      </c>
      <c r="M150" s="10" t="s">
        <v>1050</v>
      </c>
      <c r="N150" s="14" t="s">
        <v>1035</v>
      </c>
    </row>
    <row r="151" spans="1:14" s="1" customFormat="1" ht="17.100000000000001" customHeight="1" x14ac:dyDescent="0.25">
      <c r="A151" s="9" t="s">
        <v>9</v>
      </c>
      <c r="B151" s="10" t="s">
        <v>10</v>
      </c>
      <c r="C151" s="12">
        <v>2018</v>
      </c>
      <c r="D151" s="11" t="s">
        <v>1906</v>
      </c>
      <c r="E151" s="10" t="s">
        <v>1630</v>
      </c>
      <c r="F151" s="11" t="s">
        <v>2</v>
      </c>
      <c r="G151" s="12" t="s">
        <v>1028</v>
      </c>
      <c r="H151" s="10" t="s">
        <v>2379</v>
      </c>
      <c r="I151" s="12" t="s">
        <v>1029</v>
      </c>
      <c r="J151" s="12" t="s">
        <v>1040</v>
      </c>
      <c r="K151" s="10" t="s">
        <v>1031</v>
      </c>
      <c r="L151" s="10" t="s">
        <v>1032</v>
      </c>
      <c r="M151" s="12" t="s">
        <v>1050</v>
      </c>
      <c r="N151" s="14" t="s">
        <v>1035</v>
      </c>
    </row>
    <row r="152" spans="1:14" s="1" customFormat="1" ht="17.100000000000001" customHeight="1" x14ac:dyDescent="0.25">
      <c r="A152" s="9" t="s">
        <v>61</v>
      </c>
      <c r="B152" s="10" t="s">
        <v>62</v>
      </c>
      <c r="C152" s="10">
        <v>2019</v>
      </c>
      <c r="D152" s="11" t="s">
        <v>2096</v>
      </c>
      <c r="E152" s="10" t="s">
        <v>1630</v>
      </c>
      <c r="F152" s="11" t="s">
        <v>2</v>
      </c>
      <c r="G152" s="10" t="s">
        <v>2302</v>
      </c>
      <c r="H152" s="10" t="s">
        <v>2383</v>
      </c>
      <c r="I152" s="12" t="s">
        <v>1039</v>
      </c>
      <c r="J152" s="10" t="s">
        <v>1052</v>
      </c>
      <c r="K152" s="10" t="s">
        <v>1031</v>
      </c>
      <c r="L152" s="10" t="s">
        <v>1032</v>
      </c>
      <c r="M152" s="10" t="s">
        <v>1049</v>
      </c>
      <c r="N152" s="14" t="s">
        <v>1035</v>
      </c>
    </row>
    <row r="153" spans="1:14" s="1" customFormat="1" ht="17.100000000000001" customHeight="1" x14ac:dyDescent="0.25">
      <c r="A153" s="9" t="s">
        <v>1548</v>
      </c>
      <c r="B153" s="10" t="s">
        <v>1549</v>
      </c>
      <c r="C153" s="10">
        <v>2020</v>
      </c>
      <c r="D153" s="11" t="s">
        <v>2221</v>
      </c>
      <c r="E153" s="10" t="s">
        <v>1630</v>
      </c>
      <c r="F153" s="11" t="s">
        <v>2</v>
      </c>
      <c r="G153" s="10" t="s">
        <v>2275</v>
      </c>
      <c r="H153" s="10" t="s">
        <v>1550</v>
      </c>
      <c r="I153" s="10" t="s">
        <v>1493</v>
      </c>
      <c r="J153" s="10" t="s">
        <v>1030</v>
      </c>
      <c r="K153" s="12" t="s">
        <v>1037</v>
      </c>
      <c r="L153" s="10" t="s">
        <v>1247</v>
      </c>
      <c r="M153" s="10" t="s">
        <v>1050</v>
      </c>
      <c r="N153" s="13" t="s">
        <v>1035</v>
      </c>
    </row>
    <row r="154" spans="1:14" s="1" customFormat="1" ht="17.100000000000001" customHeight="1" x14ac:dyDescent="0.25">
      <c r="A154" s="9" t="s">
        <v>502</v>
      </c>
      <c r="B154" s="10" t="s">
        <v>503</v>
      </c>
      <c r="C154" s="10">
        <v>2020</v>
      </c>
      <c r="D154" s="11" t="s">
        <v>1721</v>
      </c>
      <c r="E154" s="10" t="s">
        <v>1630</v>
      </c>
      <c r="F154" s="11" t="s">
        <v>2</v>
      </c>
      <c r="G154" s="10" t="s">
        <v>1028</v>
      </c>
      <c r="H154" s="10" t="s">
        <v>2320</v>
      </c>
      <c r="I154" s="12" t="s">
        <v>1039</v>
      </c>
      <c r="J154" s="10" t="s">
        <v>1040</v>
      </c>
      <c r="K154" s="10" t="s">
        <v>1031</v>
      </c>
      <c r="L154" s="10" t="s">
        <v>1032</v>
      </c>
      <c r="M154" s="12" t="s">
        <v>114</v>
      </c>
      <c r="N154" s="13" t="s">
        <v>1041</v>
      </c>
    </row>
    <row r="155" spans="1:14" s="1" customFormat="1" ht="17.100000000000001" customHeight="1" x14ac:dyDescent="0.25">
      <c r="A155" s="9" t="s">
        <v>530</v>
      </c>
      <c r="B155" s="10" t="s">
        <v>531</v>
      </c>
      <c r="C155" s="10">
        <v>2020</v>
      </c>
      <c r="D155" s="11" t="s">
        <v>1727</v>
      </c>
      <c r="E155" s="10" t="s">
        <v>1630</v>
      </c>
      <c r="F155" s="11" t="s">
        <v>2</v>
      </c>
      <c r="G155" s="10" t="s">
        <v>1028</v>
      </c>
      <c r="H155" s="10" t="s">
        <v>2320</v>
      </c>
      <c r="I155" s="12" t="s">
        <v>1039</v>
      </c>
      <c r="J155" s="10" t="s">
        <v>1040</v>
      </c>
      <c r="K155" s="10" t="s">
        <v>1031</v>
      </c>
      <c r="L155" s="10" t="s">
        <v>1032</v>
      </c>
      <c r="M155" s="12" t="s">
        <v>114</v>
      </c>
      <c r="N155" s="14" t="s">
        <v>1035</v>
      </c>
    </row>
    <row r="156" spans="1:14" s="1" customFormat="1" ht="17.100000000000001" customHeight="1" x14ac:dyDescent="0.25">
      <c r="A156" s="9" t="s">
        <v>37</v>
      </c>
      <c r="B156" s="10" t="s">
        <v>38</v>
      </c>
      <c r="C156" s="10">
        <v>2018</v>
      </c>
      <c r="D156" s="11" t="s">
        <v>1718</v>
      </c>
      <c r="E156" s="10" t="s">
        <v>1630</v>
      </c>
      <c r="F156" s="11" t="s">
        <v>2</v>
      </c>
      <c r="G156" s="10" t="s">
        <v>1062</v>
      </c>
      <c r="H156" s="10" t="s">
        <v>2320</v>
      </c>
      <c r="I156" s="12" t="s">
        <v>1029</v>
      </c>
      <c r="J156" s="10" t="s">
        <v>1040</v>
      </c>
      <c r="K156" s="10" t="s">
        <v>1031</v>
      </c>
      <c r="L156" s="10" t="s">
        <v>1032</v>
      </c>
      <c r="M156" s="10" t="s">
        <v>1125</v>
      </c>
      <c r="N156" s="13" t="s">
        <v>1072</v>
      </c>
    </row>
    <row r="157" spans="1:14" s="1" customFormat="1" ht="17.100000000000001" customHeight="1" x14ac:dyDescent="0.25">
      <c r="A157" s="9" t="s">
        <v>444</v>
      </c>
      <c r="B157" s="10" t="s">
        <v>445</v>
      </c>
      <c r="C157" s="10">
        <v>2019</v>
      </c>
      <c r="D157" s="11" t="s">
        <v>1984</v>
      </c>
      <c r="E157" s="10" t="s">
        <v>1630</v>
      </c>
      <c r="F157" s="11" t="s">
        <v>2</v>
      </c>
      <c r="G157" s="10" t="s">
        <v>1201</v>
      </c>
      <c r="H157" s="10" t="s">
        <v>2426</v>
      </c>
      <c r="I157" s="12" t="s">
        <v>1039</v>
      </c>
      <c r="J157" s="10" t="s">
        <v>1030</v>
      </c>
      <c r="K157" s="10" t="s">
        <v>1031</v>
      </c>
      <c r="L157" s="10" t="s">
        <v>2400</v>
      </c>
      <c r="M157" s="10" t="s">
        <v>1202</v>
      </c>
      <c r="N157" s="14" t="s">
        <v>1035</v>
      </c>
    </row>
    <row r="158" spans="1:14" s="1" customFormat="1" ht="17.100000000000001" customHeight="1" x14ac:dyDescent="0.25">
      <c r="A158" s="9" t="s">
        <v>23</v>
      </c>
      <c r="B158" s="10" t="s">
        <v>24</v>
      </c>
      <c r="C158" s="10">
        <v>2015</v>
      </c>
      <c r="D158" s="11" t="s">
        <v>1904</v>
      </c>
      <c r="E158" s="10" t="s">
        <v>1630</v>
      </c>
      <c r="F158" s="11" t="s">
        <v>2</v>
      </c>
      <c r="G158" s="10" t="s">
        <v>1062</v>
      </c>
      <c r="H158" s="10" t="s">
        <v>2346</v>
      </c>
      <c r="I158" s="12" t="s">
        <v>1029</v>
      </c>
      <c r="J158" s="10" t="s">
        <v>1036</v>
      </c>
      <c r="K158" s="10" t="s">
        <v>1031</v>
      </c>
      <c r="L158" s="10" t="s">
        <v>1032</v>
      </c>
      <c r="M158" s="12" t="s">
        <v>114</v>
      </c>
      <c r="N158" s="13" t="s">
        <v>1034</v>
      </c>
    </row>
    <row r="159" spans="1:14" s="1" customFormat="1" ht="17.100000000000001" customHeight="1" x14ac:dyDescent="0.25">
      <c r="A159" s="9" t="s">
        <v>504</v>
      </c>
      <c r="B159" s="10" t="s">
        <v>505</v>
      </c>
      <c r="C159" s="10">
        <v>2020</v>
      </c>
      <c r="D159" s="11" t="s">
        <v>1730</v>
      </c>
      <c r="E159" s="10" t="s">
        <v>1630</v>
      </c>
      <c r="F159" s="11" t="s">
        <v>2</v>
      </c>
      <c r="G159" s="10" t="s">
        <v>1634</v>
      </c>
      <c r="H159" s="10" t="s">
        <v>2348</v>
      </c>
      <c r="I159" s="12" t="s">
        <v>1039</v>
      </c>
      <c r="J159" s="10" t="s">
        <v>1030</v>
      </c>
      <c r="K159" s="10" t="s">
        <v>1031</v>
      </c>
      <c r="L159" s="10" t="s">
        <v>1032</v>
      </c>
      <c r="M159" s="12" t="s">
        <v>114</v>
      </c>
      <c r="N159" s="13" t="s">
        <v>1072</v>
      </c>
    </row>
    <row r="160" spans="1:14" s="1" customFormat="1" ht="17.100000000000001" customHeight="1" x14ac:dyDescent="0.25">
      <c r="A160" s="9" t="s">
        <v>89</v>
      </c>
      <c r="B160" s="10" t="s">
        <v>90</v>
      </c>
      <c r="C160" s="10">
        <v>2015</v>
      </c>
      <c r="D160" s="11" t="s">
        <v>1784</v>
      </c>
      <c r="E160" s="10" t="s">
        <v>1630</v>
      </c>
      <c r="F160" s="11" t="s">
        <v>2</v>
      </c>
      <c r="G160" s="10" t="s">
        <v>1054</v>
      </c>
      <c r="H160" s="10" t="s">
        <v>1170</v>
      </c>
      <c r="I160" s="12" t="s">
        <v>1039</v>
      </c>
      <c r="J160" s="10" t="s">
        <v>1036</v>
      </c>
      <c r="K160" s="12" t="s">
        <v>1037</v>
      </c>
      <c r="L160" s="10" t="s">
        <v>1247</v>
      </c>
      <c r="M160" s="12" t="s">
        <v>1092</v>
      </c>
      <c r="N160" s="14" t="s">
        <v>1035</v>
      </c>
    </row>
    <row r="161" spans="1:14" s="1" customFormat="1" ht="17.100000000000001" customHeight="1" x14ac:dyDescent="0.25">
      <c r="A161" s="9" t="s">
        <v>33</v>
      </c>
      <c r="B161" s="10" t="s">
        <v>34</v>
      </c>
      <c r="C161" s="10">
        <v>2018</v>
      </c>
      <c r="D161" s="11" t="s">
        <v>1918</v>
      </c>
      <c r="E161" s="10" t="s">
        <v>1630</v>
      </c>
      <c r="F161" s="11" t="s">
        <v>2</v>
      </c>
      <c r="G161" s="10" t="s">
        <v>1183</v>
      </c>
      <c r="H161" s="10" t="s">
        <v>2331</v>
      </c>
      <c r="I161" s="12" t="s">
        <v>1039</v>
      </c>
      <c r="J161" s="10" t="s">
        <v>1030</v>
      </c>
      <c r="K161" s="10" t="s">
        <v>1031</v>
      </c>
      <c r="L161" s="10" t="s">
        <v>1032</v>
      </c>
      <c r="M161" s="10" t="s">
        <v>1119</v>
      </c>
      <c r="N161" s="14" t="s">
        <v>1035</v>
      </c>
    </row>
    <row r="162" spans="1:14" s="1" customFormat="1" ht="17.100000000000001" customHeight="1" x14ac:dyDescent="0.25">
      <c r="A162" s="9" t="s">
        <v>1324</v>
      </c>
      <c r="B162" s="10" t="s">
        <v>1325</v>
      </c>
      <c r="C162" s="10">
        <v>2018</v>
      </c>
      <c r="D162" s="11" t="s">
        <v>2137</v>
      </c>
      <c r="E162" s="10" t="s">
        <v>1630</v>
      </c>
      <c r="F162" s="11" t="s">
        <v>780</v>
      </c>
      <c r="G162" s="10" t="s">
        <v>1174</v>
      </c>
      <c r="H162" s="10" t="s">
        <v>2326</v>
      </c>
      <c r="I162" s="10" t="s">
        <v>1039</v>
      </c>
      <c r="J162" s="10" t="s">
        <v>1030</v>
      </c>
      <c r="K162" s="10" t="s">
        <v>1031</v>
      </c>
      <c r="L162" s="10" t="s">
        <v>1247</v>
      </c>
      <c r="M162" s="10" t="s">
        <v>114</v>
      </c>
      <c r="N162" s="13" t="s">
        <v>1041</v>
      </c>
    </row>
    <row r="163" spans="1:14" s="1" customFormat="1" ht="17.100000000000001" customHeight="1" x14ac:dyDescent="0.25">
      <c r="A163" s="9" t="s">
        <v>1251</v>
      </c>
      <c r="B163" s="10" t="s">
        <v>1252</v>
      </c>
      <c r="C163" s="10">
        <v>2012</v>
      </c>
      <c r="D163" s="11" t="s">
        <v>2111</v>
      </c>
      <c r="E163" s="10" t="s">
        <v>1630</v>
      </c>
      <c r="F163" s="11" t="s">
        <v>780</v>
      </c>
      <c r="G163" s="10" t="s">
        <v>1253</v>
      </c>
      <c r="H163" s="10" t="s">
        <v>2326</v>
      </c>
      <c r="I163" s="10" t="s">
        <v>1039</v>
      </c>
      <c r="J163" s="10" t="s">
        <v>1040</v>
      </c>
      <c r="K163" s="10" t="s">
        <v>1031</v>
      </c>
      <c r="L163" s="10" t="s">
        <v>1247</v>
      </c>
      <c r="M163" s="10" t="s">
        <v>1254</v>
      </c>
      <c r="N163" s="13" t="s">
        <v>1034</v>
      </c>
    </row>
    <row r="164" spans="1:14" s="1" customFormat="1" ht="17.100000000000001" customHeight="1" x14ac:dyDescent="0.25">
      <c r="A164" s="9" t="s">
        <v>779</v>
      </c>
      <c r="B164" s="10" t="s">
        <v>911</v>
      </c>
      <c r="C164" s="10">
        <v>2022</v>
      </c>
      <c r="D164" s="11" t="s">
        <v>1899</v>
      </c>
      <c r="E164" s="10" t="s">
        <v>1630</v>
      </c>
      <c r="F164" s="11" t="s">
        <v>780</v>
      </c>
      <c r="G164" s="10" t="s">
        <v>2275</v>
      </c>
      <c r="H164" s="10" t="s">
        <v>2326</v>
      </c>
      <c r="I164" s="12" t="s">
        <v>1039</v>
      </c>
      <c r="J164" s="12" t="s">
        <v>1040</v>
      </c>
      <c r="K164" s="12" t="s">
        <v>1037</v>
      </c>
      <c r="L164" s="10" t="s">
        <v>1032</v>
      </c>
      <c r="M164" s="10" t="s">
        <v>1155</v>
      </c>
      <c r="N164" s="13" t="s">
        <v>1041</v>
      </c>
    </row>
    <row r="165" spans="1:14" s="1" customFormat="1" ht="17.100000000000001" customHeight="1" x14ac:dyDescent="0.25">
      <c r="A165" s="9" t="s">
        <v>1313</v>
      </c>
      <c r="B165" s="10" t="s">
        <v>1314</v>
      </c>
      <c r="C165" s="10">
        <v>2020</v>
      </c>
      <c r="D165" s="11" t="s">
        <v>2133</v>
      </c>
      <c r="E165" s="10" t="s">
        <v>1630</v>
      </c>
      <c r="F165" s="11" t="s">
        <v>780</v>
      </c>
      <c r="G165" s="10" t="s">
        <v>2290</v>
      </c>
      <c r="H165" s="10" t="s">
        <v>2326</v>
      </c>
      <c r="I165" s="10" t="s">
        <v>1039</v>
      </c>
      <c r="J165" s="10" t="s">
        <v>1040</v>
      </c>
      <c r="K165" s="12" t="s">
        <v>1037</v>
      </c>
      <c r="L165" s="10" t="s">
        <v>1247</v>
      </c>
      <c r="M165" s="10" t="s">
        <v>1315</v>
      </c>
      <c r="N165" s="13" t="s">
        <v>1072</v>
      </c>
    </row>
    <row r="166" spans="1:14" s="1" customFormat="1" ht="17.100000000000001" customHeight="1" x14ac:dyDescent="0.25">
      <c r="A166" s="9" t="s">
        <v>1285</v>
      </c>
      <c r="B166" s="10" t="s">
        <v>1286</v>
      </c>
      <c r="C166" s="10">
        <v>2017</v>
      </c>
      <c r="D166" s="11" t="s">
        <v>2123</v>
      </c>
      <c r="E166" s="10" t="s">
        <v>1630</v>
      </c>
      <c r="F166" s="11" t="s">
        <v>112</v>
      </c>
      <c r="G166" s="10" t="s">
        <v>2275</v>
      </c>
      <c r="H166" s="10" t="s">
        <v>2326</v>
      </c>
      <c r="I166" s="10" t="s">
        <v>1039</v>
      </c>
      <c r="J166" s="10" t="s">
        <v>1030</v>
      </c>
      <c r="K166" s="10" t="s">
        <v>1031</v>
      </c>
      <c r="L166" s="10" t="s">
        <v>1247</v>
      </c>
      <c r="M166" s="10" t="s">
        <v>114</v>
      </c>
      <c r="N166" s="13" t="s">
        <v>1041</v>
      </c>
    </row>
    <row r="167" spans="1:14" s="1" customFormat="1" ht="17.100000000000001" customHeight="1" x14ac:dyDescent="0.25">
      <c r="A167" s="9" t="s">
        <v>111</v>
      </c>
      <c r="B167" s="10" t="s">
        <v>801</v>
      </c>
      <c r="C167" s="10">
        <v>2015</v>
      </c>
      <c r="D167" s="11" t="s">
        <v>1826</v>
      </c>
      <c r="E167" s="10" t="s">
        <v>1630</v>
      </c>
      <c r="F167" s="11" t="s">
        <v>112</v>
      </c>
      <c r="G167" s="10" t="s">
        <v>1054</v>
      </c>
      <c r="H167" s="10" t="s">
        <v>2326</v>
      </c>
      <c r="I167" s="12" t="s">
        <v>1029</v>
      </c>
      <c r="J167" s="10" t="s">
        <v>1693</v>
      </c>
      <c r="K167" s="10" t="s">
        <v>1031</v>
      </c>
      <c r="L167" s="12" t="s">
        <v>1042</v>
      </c>
      <c r="M167" s="12" t="s">
        <v>114</v>
      </c>
      <c r="N167" s="14" t="s">
        <v>1035</v>
      </c>
    </row>
    <row r="168" spans="1:14" s="1" customFormat="1" ht="17.100000000000001" customHeight="1" x14ac:dyDescent="0.25">
      <c r="A168" s="9" t="s">
        <v>1600</v>
      </c>
      <c r="B168" s="10" t="s">
        <v>1607</v>
      </c>
      <c r="C168" s="10">
        <v>2009</v>
      </c>
      <c r="D168" s="11" t="s">
        <v>2260</v>
      </c>
      <c r="E168" s="10" t="s">
        <v>1630</v>
      </c>
      <c r="F168" s="11" t="s">
        <v>112</v>
      </c>
      <c r="G168" s="10" t="s">
        <v>2275</v>
      </c>
      <c r="H168" s="10" t="s">
        <v>2326</v>
      </c>
      <c r="I168" s="10" t="s">
        <v>1493</v>
      </c>
      <c r="J168" s="10" t="s">
        <v>1030</v>
      </c>
      <c r="K168" s="12" t="s">
        <v>1037</v>
      </c>
      <c r="L168" s="10" t="s">
        <v>1247</v>
      </c>
      <c r="M168" s="10" t="s">
        <v>114</v>
      </c>
      <c r="N168" s="13" t="s">
        <v>1072</v>
      </c>
    </row>
    <row r="169" spans="1:14" s="1" customFormat="1" ht="17.100000000000001" customHeight="1" x14ac:dyDescent="0.25">
      <c r="A169" s="9" t="s">
        <v>201</v>
      </c>
      <c r="B169" s="10" t="s">
        <v>825</v>
      </c>
      <c r="C169" s="10">
        <v>2018</v>
      </c>
      <c r="D169" s="11" t="s">
        <v>1696</v>
      </c>
      <c r="E169" s="10" t="s">
        <v>1630</v>
      </c>
      <c r="F169" s="11" t="s">
        <v>192</v>
      </c>
      <c r="G169" s="10" t="s">
        <v>1054</v>
      </c>
      <c r="H169" s="10" t="s">
        <v>2341</v>
      </c>
      <c r="I169" s="12" t="s">
        <v>1039</v>
      </c>
      <c r="J169" s="10" t="s">
        <v>1030</v>
      </c>
      <c r="K169" s="10" t="s">
        <v>1031</v>
      </c>
      <c r="L169" s="10" t="s">
        <v>1042</v>
      </c>
      <c r="M169" s="12" t="s">
        <v>1055</v>
      </c>
      <c r="N169" s="14" t="s">
        <v>1035</v>
      </c>
    </row>
    <row r="170" spans="1:14" s="1" customFormat="1" ht="17.100000000000001" customHeight="1" x14ac:dyDescent="0.25">
      <c r="A170" s="9" t="s">
        <v>1245</v>
      </c>
      <c r="B170" s="10" t="s">
        <v>1246</v>
      </c>
      <c r="C170" s="10">
        <v>2020</v>
      </c>
      <c r="D170" s="11" t="s">
        <v>2109</v>
      </c>
      <c r="E170" s="10" t="s">
        <v>1630</v>
      </c>
      <c r="F170" s="11" t="s">
        <v>192</v>
      </c>
      <c r="G170" s="10" t="s">
        <v>2267</v>
      </c>
      <c r="H170" s="10" t="s">
        <v>2336</v>
      </c>
      <c r="I170" s="10" t="s">
        <v>1039</v>
      </c>
      <c r="J170" s="10" t="s">
        <v>1030</v>
      </c>
      <c r="K170" s="10" t="s">
        <v>1031</v>
      </c>
      <c r="L170" s="10" t="s">
        <v>1247</v>
      </c>
      <c r="M170" s="10" t="s">
        <v>114</v>
      </c>
      <c r="N170" s="13" t="s">
        <v>1035</v>
      </c>
    </row>
    <row r="171" spans="1:14" s="1" customFormat="1" ht="17.100000000000001" customHeight="1" x14ac:dyDescent="0.25">
      <c r="A171" s="9" t="s">
        <v>777</v>
      </c>
      <c r="B171" s="10" t="s">
        <v>907</v>
      </c>
      <c r="C171" s="10">
        <v>2021</v>
      </c>
      <c r="D171" s="11" t="s">
        <v>1878</v>
      </c>
      <c r="E171" s="10" t="s">
        <v>1630</v>
      </c>
      <c r="F171" s="11" t="s">
        <v>192</v>
      </c>
      <c r="G171" s="10" t="s">
        <v>1028</v>
      </c>
      <c r="H171" s="10" t="s">
        <v>2336</v>
      </c>
      <c r="I171" s="12" t="s">
        <v>1029</v>
      </c>
      <c r="J171" s="12" t="s">
        <v>1030</v>
      </c>
      <c r="K171" s="12" t="s">
        <v>1037</v>
      </c>
      <c r="L171" s="10" t="s">
        <v>1032</v>
      </c>
      <c r="M171" s="10" t="s">
        <v>1116</v>
      </c>
      <c r="N171" s="13" t="s">
        <v>1035</v>
      </c>
    </row>
    <row r="172" spans="1:14" s="1" customFormat="1" ht="17.100000000000001" customHeight="1" x14ac:dyDescent="0.25">
      <c r="A172" s="9" t="s">
        <v>486</v>
      </c>
      <c r="B172" s="10" t="s">
        <v>856</v>
      </c>
      <c r="C172" s="10">
        <v>2019</v>
      </c>
      <c r="D172" s="11" t="s">
        <v>1659</v>
      </c>
      <c r="E172" s="10" t="s">
        <v>1630</v>
      </c>
      <c r="F172" s="11" t="s">
        <v>192</v>
      </c>
      <c r="G172" s="10" t="s">
        <v>2266</v>
      </c>
      <c r="H172" s="10" t="s">
        <v>2337</v>
      </c>
      <c r="I172" s="12" t="s">
        <v>1039</v>
      </c>
      <c r="J172" s="10" t="s">
        <v>1040</v>
      </c>
      <c r="K172" s="12" t="s">
        <v>1037</v>
      </c>
      <c r="L172" s="10" t="s">
        <v>1032</v>
      </c>
      <c r="M172" s="12" t="s">
        <v>114</v>
      </c>
      <c r="N172" s="14" t="s">
        <v>1035</v>
      </c>
    </row>
    <row r="173" spans="1:14" s="1" customFormat="1" ht="17.100000000000001" customHeight="1" x14ac:dyDescent="0.25">
      <c r="A173" s="9" t="s">
        <v>882</v>
      </c>
      <c r="B173" s="10" t="s">
        <v>883</v>
      </c>
      <c r="C173" s="10">
        <v>2020</v>
      </c>
      <c r="D173" s="11" t="s">
        <v>1896</v>
      </c>
      <c r="E173" s="10" t="s">
        <v>1630</v>
      </c>
      <c r="F173" s="11" t="s">
        <v>192</v>
      </c>
      <c r="G173" s="10" t="s">
        <v>2266</v>
      </c>
      <c r="H173" s="10" t="s">
        <v>2369</v>
      </c>
      <c r="I173" s="12" t="s">
        <v>1029</v>
      </c>
      <c r="J173" s="12" t="s">
        <v>1040</v>
      </c>
      <c r="K173" s="10" t="s">
        <v>1031</v>
      </c>
      <c r="L173" s="10" t="s">
        <v>1032</v>
      </c>
      <c r="M173" s="10" t="s">
        <v>1152</v>
      </c>
      <c r="N173" s="14" t="s">
        <v>1035</v>
      </c>
    </row>
    <row r="174" spans="1:14" s="1" customFormat="1" ht="17.100000000000001" customHeight="1" x14ac:dyDescent="0.25">
      <c r="A174" s="9" t="s">
        <v>481</v>
      </c>
      <c r="B174" s="10" t="s">
        <v>853</v>
      </c>
      <c r="C174" s="10">
        <v>2019</v>
      </c>
      <c r="D174" s="11" t="s">
        <v>1669</v>
      </c>
      <c r="E174" s="10" t="s">
        <v>1630</v>
      </c>
      <c r="F174" s="11" t="s">
        <v>192</v>
      </c>
      <c r="G174" s="10" t="s">
        <v>2266</v>
      </c>
      <c r="H174" s="10" t="s">
        <v>2370</v>
      </c>
      <c r="I174" s="12" t="s">
        <v>1029</v>
      </c>
      <c r="J174" s="10" t="s">
        <v>1030</v>
      </c>
      <c r="K174" s="10" t="s">
        <v>1031</v>
      </c>
      <c r="L174" s="10" t="s">
        <v>1032</v>
      </c>
      <c r="M174" s="12" t="s">
        <v>114</v>
      </c>
      <c r="N174" s="14" t="s">
        <v>1035</v>
      </c>
    </row>
    <row r="175" spans="1:14" s="1" customFormat="1" ht="17.100000000000001" customHeight="1" x14ac:dyDescent="0.25">
      <c r="A175" s="9" t="s">
        <v>1290</v>
      </c>
      <c r="B175" s="10" t="s">
        <v>1291</v>
      </c>
      <c r="C175" s="10">
        <v>2017</v>
      </c>
      <c r="D175" s="11" t="s">
        <v>2125</v>
      </c>
      <c r="E175" s="10" t="s">
        <v>1630</v>
      </c>
      <c r="F175" s="11" t="s">
        <v>192</v>
      </c>
      <c r="G175" s="10" t="s">
        <v>1544</v>
      </c>
      <c r="H175" s="10" t="s">
        <v>2371</v>
      </c>
      <c r="I175" s="10" t="s">
        <v>1039</v>
      </c>
      <c r="J175" s="10" t="s">
        <v>1030</v>
      </c>
      <c r="K175" s="10" t="s">
        <v>1031</v>
      </c>
      <c r="L175" s="10" t="s">
        <v>1247</v>
      </c>
      <c r="M175" s="10" t="s">
        <v>1075</v>
      </c>
      <c r="N175" s="13" t="s">
        <v>1035</v>
      </c>
    </row>
    <row r="176" spans="1:14" s="1" customFormat="1" ht="17.100000000000001" customHeight="1" x14ac:dyDescent="0.25">
      <c r="A176" s="9" t="s">
        <v>1303</v>
      </c>
      <c r="B176" s="10" t="s">
        <v>1304</v>
      </c>
      <c r="C176" s="10">
        <v>2014</v>
      </c>
      <c r="D176" s="11" t="s">
        <v>2129</v>
      </c>
      <c r="E176" s="10" t="s">
        <v>1630</v>
      </c>
      <c r="F176" s="11" t="s">
        <v>192</v>
      </c>
      <c r="G176" s="10" t="s">
        <v>2275</v>
      </c>
      <c r="H176" s="10" t="s">
        <v>2371</v>
      </c>
      <c r="I176" s="10" t="s">
        <v>1039</v>
      </c>
      <c r="J176" s="10" t="s">
        <v>1040</v>
      </c>
      <c r="K176" s="12" t="s">
        <v>1037</v>
      </c>
      <c r="L176" s="10" t="s">
        <v>1247</v>
      </c>
      <c r="M176" s="10" t="s">
        <v>114</v>
      </c>
      <c r="N176" s="13" t="s">
        <v>1035</v>
      </c>
    </row>
    <row r="177" spans="1:14" s="1" customFormat="1" ht="17.100000000000001" customHeight="1" x14ac:dyDescent="0.25">
      <c r="A177" s="9" t="s">
        <v>1311</v>
      </c>
      <c r="B177" s="10" t="s">
        <v>1312</v>
      </c>
      <c r="C177" s="10">
        <v>2015</v>
      </c>
      <c r="D177" s="11" t="s">
        <v>2132</v>
      </c>
      <c r="E177" s="10" t="s">
        <v>1630</v>
      </c>
      <c r="F177" s="11" t="s">
        <v>192</v>
      </c>
      <c r="G177" s="10" t="s">
        <v>2275</v>
      </c>
      <c r="H177" s="10" t="s">
        <v>2326</v>
      </c>
      <c r="I177" s="10" t="s">
        <v>1039</v>
      </c>
      <c r="J177" s="10" t="s">
        <v>1030</v>
      </c>
      <c r="K177" s="10" t="s">
        <v>1031</v>
      </c>
      <c r="L177" s="10" t="s">
        <v>1247</v>
      </c>
      <c r="M177" s="10" t="s">
        <v>1307</v>
      </c>
      <c r="N177" s="13" t="s">
        <v>1034</v>
      </c>
    </row>
    <row r="178" spans="1:14" s="1" customFormat="1" ht="17.100000000000001" customHeight="1" x14ac:dyDescent="0.25">
      <c r="A178" s="9" t="s">
        <v>194</v>
      </c>
      <c r="B178" s="10" t="s">
        <v>819</v>
      </c>
      <c r="C178" s="10">
        <v>2017</v>
      </c>
      <c r="D178" s="11" t="s">
        <v>1829</v>
      </c>
      <c r="E178" s="10" t="s">
        <v>1630</v>
      </c>
      <c r="F178" s="11" t="s">
        <v>192</v>
      </c>
      <c r="G178" s="10" t="s">
        <v>1174</v>
      </c>
      <c r="H178" s="10" t="s">
        <v>2326</v>
      </c>
      <c r="I178" s="12" t="s">
        <v>1029</v>
      </c>
      <c r="J178" s="10" t="s">
        <v>1030</v>
      </c>
      <c r="K178" s="10" t="s">
        <v>1031</v>
      </c>
      <c r="L178" s="10" t="s">
        <v>1032</v>
      </c>
      <c r="M178" s="12" t="s">
        <v>114</v>
      </c>
      <c r="N178" s="13" t="s">
        <v>1034</v>
      </c>
    </row>
    <row r="179" spans="1:14" s="1" customFormat="1" ht="17.100000000000001" customHeight="1" x14ac:dyDescent="0.25">
      <c r="A179" s="9" t="s">
        <v>1337</v>
      </c>
      <c r="B179" s="10" t="s">
        <v>1338</v>
      </c>
      <c r="C179" s="10">
        <v>2018</v>
      </c>
      <c r="D179" s="11" t="s">
        <v>2143</v>
      </c>
      <c r="E179" s="10" t="s">
        <v>1630</v>
      </c>
      <c r="F179" s="11" t="s">
        <v>192</v>
      </c>
      <c r="G179" s="10" t="s">
        <v>1094</v>
      </c>
      <c r="H179" s="10" t="s">
        <v>2326</v>
      </c>
      <c r="I179" s="10" t="s">
        <v>1039</v>
      </c>
      <c r="J179" s="10" t="s">
        <v>1030</v>
      </c>
      <c r="K179" s="10" t="s">
        <v>1031</v>
      </c>
      <c r="L179" s="10" t="s">
        <v>1032</v>
      </c>
      <c r="M179" s="10" t="s">
        <v>1339</v>
      </c>
      <c r="N179" s="13" t="s">
        <v>1034</v>
      </c>
    </row>
    <row r="180" spans="1:14" s="1" customFormat="1" ht="17.100000000000001" customHeight="1" x14ac:dyDescent="0.25">
      <c r="A180" s="9" t="s">
        <v>480</v>
      </c>
      <c r="B180" s="10" t="s">
        <v>852</v>
      </c>
      <c r="C180" s="10">
        <v>2019</v>
      </c>
      <c r="D180" s="11" t="s">
        <v>1658</v>
      </c>
      <c r="E180" s="10" t="s">
        <v>1630</v>
      </c>
      <c r="F180" s="11" t="s">
        <v>192</v>
      </c>
      <c r="G180" s="10" t="s">
        <v>2266</v>
      </c>
      <c r="H180" s="10" t="s">
        <v>2326</v>
      </c>
      <c r="I180" s="12" t="s">
        <v>1029</v>
      </c>
      <c r="J180" s="10" t="s">
        <v>1693</v>
      </c>
      <c r="K180" s="10" t="s">
        <v>1031</v>
      </c>
      <c r="L180" s="10" t="s">
        <v>1032</v>
      </c>
      <c r="M180" s="12" t="s">
        <v>1055</v>
      </c>
      <c r="N180" s="14" t="s">
        <v>1035</v>
      </c>
    </row>
    <row r="181" spans="1:14" s="1" customFormat="1" ht="17.100000000000001" customHeight="1" x14ac:dyDescent="0.25">
      <c r="A181" s="9" t="s">
        <v>1334</v>
      </c>
      <c r="B181" s="10" t="s">
        <v>1335</v>
      </c>
      <c r="C181" s="10">
        <v>2019</v>
      </c>
      <c r="D181" s="11" t="s">
        <v>2142</v>
      </c>
      <c r="E181" s="10" t="s">
        <v>1630</v>
      </c>
      <c r="F181" s="11" t="s">
        <v>192</v>
      </c>
      <c r="G181" s="10" t="s">
        <v>1094</v>
      </c>
      <c r="H181" s="10" t="s">
        <v>2326</v>
      </c>
      <c r="I181" s="10" t="s">
        <v>1039</v>
      </c>
      <c r="J181" s="10" t="s">
        <v>1040</v>
      </c>
      <c r="K181" s="10" t="s">
        <v>1031</v>
      </c>
      <c r="L181" s="10" t="s">
        <v>1032</v>
      </c>
      <c r="M181" s="10" t="s">
        <v>1336</v>
      </c>
      <c r="N181" s="13" t="s">
        <v>1034</v>
      </c>
    </row>
    <row r="182" spans="1:14" s="1" customFormat="1" ht="17.100000000000001" customHeight="1" x14ac:dyDescent="0.25">
      <c r="A182" s="9" t="s">
        <v>561</v>
      </c>
      <c r="B182" s="10" t="s">
        <v>886</v>
      </c>
      <c r="C182" s="10">
        <v>2022</v>
      </c>
      <c r="D182" s="11" t="s">
        <v>1855</v>
      </c>
      <c r="E182" s="10" t="s">
        <v>1630</v>
      </c>
      <c r="F182" s="11" t="s">
        <v>192</v>
      </c>
      <c r="G182" s="10" t="s">
        <v>1054</v>
      </c>
      <c r="H182" s="10" t="s">
        <v>2326</v>
      </c>
      <c r="I182" s="12" t="s">
        <v>1039</v>
      </c>
      <c r="J182" s="10" t="s">
        <v>1030</v>
      </c>
      <c r="K182" s="12" t="s">
        <v>1037</v>
      </c>
      <c r="L182" s="10" t="s">
        <v>2399</v>
      </c>
      <c r="M182" s="10" t="s">
        <v>1153</v>
      </c>
      <c r="N182" s="14" t="s">
        <v>1035</v>
      </c>
    </row>
    <row r="183" spans="1:14" s="1" customFormat="1" ht="17.100000000000001" customHeight="1" x14ac:dyDescent="0.25">
      <c r="A183" s="9" t="s">
        <v>1305</v>
      </c>
      <c r="B183" s="10" t="s">
        <v>1306</v>
      </c>
      <c r="C183" s="10">
        <v>2018</v>
      </c>
      <c r="D183" s="11" t="s">
        <v>2130</v>
      </c>
      <c r="E183" s="10" t="s">
        <v>1630</v>
      </c>
      <c r="F183" s="11" t="s">
        <v>192</v>
      </c>
      <c r="G183" s="10" t="s">
        <v>2266</v>
      </c>
      <c r="H183" s="10" t="s">
        <v>2350</v>
      </c>
      <c r="I183" s="10" t="s">
        <v>1039</v>
      </c>
      <c r="J183" s="10" t="s">
        <v>1030</v>
      </c>
      <c r="K183" s="10" t="s">
        <v>1031</v>
      </c>
      <c r="L183" s="10" t="s">
        <v>1247</v>
      </c>
      <c r="M183" s="10" t="s">
        <v>1307</v>
      </c>
      <c r="N183" s="13" t="s">
        <v>1034</v>
      </c>
    </row>
    <row r="184" spans="1:14" s="1" customFormat="1" ht="17.100000000000001" customHeight="1" x14ac:dyDescent="0.25">
      <c r="A184" s="9" t="s">
        <v>563</v>
      </c>
      <c r="B184" s="10" t="s">
        <v>891</v>
      </c>
      <c r="C184" s="10">
        <v>2021</v>
      </c>
      <c r="D184" s="11" t="s">
        <v>1875</v>
      </c>
      <c r="E184" s="10" t="s">
        <v>1630</v>
      </c>
      <c r="F184" s="11" t="s">
        <v>192</v>
      </c>
      <c r="G184" s="10" t="s">
        <v>2275</v>
      </c>
      <c r="H184" s="10" t="s">
        <v>1161</v>
      </c>
      <c r="I184" s="12" t="s">
        <v>1039</v>
      </c>
      <c r="J184" s="10" t="s">
        <v>1030</v>
      </c>
      <c r="K184" s="10" t="s">
        <v>1031</v>
      </c>
      <c r="L184" s="10" t="s">
        <v>1042</v>
      </c>
      <c r="M184" s="12" t="s">
        <v>114</v>
      </c>
      <c r="N184" s="14" t="s">
        <v>1035</v>
      </c>
    </row>
    <row r="185" spans="1:14" s="1" customFormat="1" ht="17.100000000000001" customHeight="1" x14ac:dyDescent="0.25">
      <c r="A185" s="9" t="s">
        <v>775</v>
      </c>
      <c r="B185" s="10" t="s">
        <v>903</v>
      </c>
      <c r="C185" s="10">
        <v>2022</v>
      </c>
      <c r="D185" s="11" t="s">
        <v>1877</v>
      </c>
      <c r="E185" s="10" t="s">
        <v>1630</v>
      </c>
      <c r="F185" s="11" t="s">
        <v>192</v>
      </c>
      <c r="G185" s="10" t="s">
        <v>1028</v>
      </c>
      <c r="H185" s="10" t="s">
        <v>1161</v>
      </c>
      <c r="I185" s="12" t="s">
        <v>1029</v>
      </c>
      <c r="J185" s="12" t="s">
        <v>1040</v>
      </c>
      <c r="K185" s="10" t="s">
        <v>1031</v>
      </c>
      <c r="L185" s="10" t="s">
        <v>1032</v>
      </c>
      <c r="M185" s="12" t="s">
        <v>114</v>
      </c>
      <c r="N185" s="13" t="s">
        <v>1041</v>
      </c>
    </row>
    <row r="186" spans="1:14" s="1" customFormat="1" ht="17.100000000000001" customHeight="1" x14ac:dyDescent="0.25">
      <c r="A186" s="9" t="s">
        <v>191</v>
      </c>
      <c r="B186" s="10" t="s">
        <v>817</v>
      </c>
      <c r="C186" s="10">
        <v>2017</v>
      </c>
      <c r="D186" s="11" t="s">
        <v>2000</v>
      </c>
      <c r="E186" s="10" t="s">
        <v>1630</v>
      </c>
      <c r="F186" s="11" t="s">
        <v>192</v>
      </c>
      <c r="G186" s="10" t="s">
        <v>1066</v>
      </c>
      <c r="H186" s="10" t="s">
        <v>1161</v>
      </c>
      <c r="I186" s="12" t="s">
        <v>1029</v>
      </c>
      <c r="J186" s="10" t="s">
        <v>1052</v>
      </c>
      <c r="K186" s="12" t="s">
        <v>1037</v>
      </c>
      <c r="L186" s="10" t="s">
        <v>1032</v>
      </c>
      <c r="M186" s="12" t="s">
        <v>114</v>
      </c>
      <c r="N186" s="14" t="s">
        <v>1035</v>
      </c>
    </row>
    <row r="187" spans="1:14" s="1" customFormat="1" ht="17.100000000000001" customHeight="1" x14ac:dyDescent="0.25">
      <c r="A187" s="9" t="s">
        <v>195</v>
      </c>
      <c r="B187" s="10" t="s">
        <v>820</v>
      </c>
      <c r="C187" s="10">
        <v>2018</v>
      </c>
      <c r="D187" s="11" t="s">
        <v>1960</v>
      </c>
      <c r="E187" s="10" t="s">
        <v>1630</v>
      </c>
      <c r="F187" s="11" t="s">
        <v>192</v>
      </c>
      <c r="G187" s="10" t="s">
        <v>1054</v>
      </c>
      <c r="H187" s="10" t="s">
        <v>1057</v>
      </c>
      <c r="I187" s="12" t="s">
        <v>1039</v>
      </c>
      <c r="J187" s="10" t="s">
        <v>1030</v>
      </c>
      <c r="K187" s="10" t="s">
        <v>1031</v>
      </c>
      <c r="L187" s="10" t="s">
        <v>1247</v>
      </c>
      <c r="M187" s="12" t="s">
        <v>114</v>
      </c>
      <c r="N187" s="14" t="s">
        <v>1035</v>
      </c>
    </row>
    <row r="188" spans="1:14" s="1" customFormat="1" ht="17.100000000000001" customHeight="1" x14ac:dyDescent="0.25">
      <c r="A188" s="9" t="s">
        <v>1340</v>
      </c>
      <c r="B188" s="10" t="s">
        <v>1341</v>
      </c>
      <c r="C188" s="10">
        <v>2022</v>
      </c>
      <c r="D188" s="11" t="s">
        <v>2144</v>
      </c>
      <c r="E188" s="10" t="s">
        <v>1630</v>
      </c>
      <c r="F188" s="11" t="s">
        <v>192</v>
      </c>
      <c r="G188" s="10" t="s">
        <v>2266</v>
      </c>
      <c r="H188" s="10" t="s">
        <v>1057</v>
      </c>
      <c r="I188" s="10" t="s">
        <v>1039</v>
      </c>
      <c r="J188" s="10" t="s">
        <v>1030</v>
      </c>
      <c r="K188" s="10" t="s">
        <v>1031</v>
      </c>
      <c r="L188" s="10" t="s">
        <v>1247</v>
      </c>
      <c r="M188" s="10" t="s">
        <v>1049</v>
      </c>
      <c r="N188" s="13" t="s">
        <v>1035</v>
      </c>
    </row>
    <row r="189" spans="1:14" s="1" customFormat="1" ht="17.100000000000001" customHeight="1" x14ac:dyDescent="0.25">
      <c r="A189" s="9" t="s">
        <v>1283</v>
      </c>
      <c r="B189" s="10" t="s">
        <v>1284</v>
      </c>
      <c r="C189" s="10">
        <v>2022</v>
      </c>
      <c r="D189" s="11" t="s">
        <v>1874</v>
      </c>
      <c r="E189" s="10" t="s">
        <v>1630</v>
      </c>
      <c r="F189" s="11" t="s">
        <v>192</v>
      </c>
      <c r="G189" s="10" t="s">
        <v>2275</v>
      </c>
      <c r="H189" s="10" t="s">
        <v>1057</v>
      </c>
      <c r="I189" s="10" t="s">
        <v>1039</v>
      </c>
      <c r="J189" s="10" t="s">
        <v>1030</v>
      </c>
      <c r="K189" s="10" t="s">
        <v>1031</v>
      </c>
      <c r="L189" s="10" t="s">
        <v>1247</v>
      </c>
      <c r="M189" s="10" t="s">
        <v>1088</v>
      </c>
      <c r="N189" s="13" t="s">
        <v>1035</v>
      </c>
    </row>
    <row r="190" spans="1:14" s="1" customFormat="1" ht="17.100000000000001" customHeight="1" x14ac:dyDescent="0.25">
      <c r="A190" s="9" t="s">
        <v>1330</v>
      </c>
      <c r="B190" s="10" t="s">
        <v>1331</v>
      </c>
      <c r="C190" s="10">
        <v>2015</v>
      </c>
      <c r="D190" s="11" t="s">
        <v>2140</v>
      </c>
      <c r="E190" s="10" t="s">
        <v>1630</v>
      </c>
      <c r="F190" s="11" t="s">
        <v>192</v>
      </c>
      <c r="G190" s="10" t="s">
        <v>2272</v>
      </c>
      <c r="H190" s="10" t="s">
        <v>1057</v>
      </c>
      <c r="I190" s="10" t="s">
        <v>1039</v>
      </c>
      <c r="J190" s="10" t="s">
        <v>1030</v>
      </c>
      <c r="K190" s="10" t="s">
        <v>1031</v>
      </c>
      <c r="L190" s="10" t="s">
        <v>1247</v>
      </c>
      <c r="M190" s="10" t="s">
        <v>114</v>
      </c>
      <c r="N190" s="13" t="s">
        <v>1035</v>
      </c>
    </row>
    <row r="191" spans="1:14" s="1" customFormat="1" ht="17.100000000000001" customHeight="1" x14ac:dyDescent="0.25">
      <c r="A191" s="9" t="s">
        <v>484</v>
      </c>
      <c r="B191" s="10" t="s">
        <v>485</v>
      </c>
      <c r="C191" s="10">
        <v>2019</v>
      </c>
      <c r="D191" s="11" t="s">
        <v>1667</v>
      </c>
      <c r="E191" s="10" t="s">
        <v>1630</v>
      </c>
      <c r="F191" s="11" t="s">
        <v>192</v>
      </c>
      <c r="G191" s="10" t="s">
        <v>2266</v>
      </c>
      <c r="H191" s="10" t="s">
        <v>1057</v>
      </c>
      <c r="I191" s="10" t="s">
        <v>1493</v>
      </c>
      <c r="J191" s="10" t="s">
        <v>1030</v>
      </c>
      <c r="K191" s="10" t="s">
        <v>1031</v>
      </c>
      <c r="L191" s="10" t="s">
        <v>1032</v>
      </c>
      <c r="M191" s="12" t="s">
        <v>1055</v>
      </c>
      <c r="N191" s="14" t="s">
        <v>1035</v>
      </c>
    </row>
    <row r="192" spans="1:14" s="1" customFormat="1" ht="17.100000000000001" customHeight="1" x14ac:dyDescent="0.25">
      <c r="A192" s="9" t="s">
        <v>482</v>
      </c>
      <c r="B192" s="10" t="s">
        <v>854</v>
      </c>
      <c r="C192" s="10">
        <v>2019</v>
      </c>
      <c r="D192" s="11" t="s">
        <v>1670</v>
      </c>
      <c r="E192" s="10" t="s">
        <v>1630</v>
      </c>
      <c r="F192" s="11" t="s">
        <v>192</v>
      </c>
      <c r="G192" s="10" t="s">
        <v>2275</v>
      </c>
      <c r="H192" s="10" t="s">
        <v>1057</v>
      </c>
      <c r="I192" s="12" t="s">
        <v>1039</v>
      </c>
      <c r="J192" s="10" t="s">
        <v>1030</v>
      </c>
      <c r="K192" s="10" t="s">
        <v>1031</v>
      </c>
      <c r="L192" s="10" t="s">
        <v>1032</v>
      </c>
      <c r="M192" s="12" t="s">
        <v>114</v>
      </c>
      <c r="N192" s="14" t="s">
        <v>1035</v>
      </c>
    </row>
    <row r="193" spans="1:14" s="1" customFormat="1" ht="17.100000000000001" customHeight="1" x14ac:dyDescent="0.25">
      <c r="A193" s="9" t="s">
        <v>562</v>
      </c>
      <c r="B193" s="10" t="s">
        <v>890</v>
      </c>
      <c r="C193" s="10">
        <v>2019</v>
      </c>
      <c r="D193" s="11" t="s">
        <v>1856</v>
      </c>
      <c r="E193" s="10" t="s">
        <v>1630</v>
      </c>
      <c r="F193" s="11" t="s">
        <v>192</v>
      </c>
      <c r="G193" s="10" t="s">
        <v>1028</v>
      </c>
      <c r="H193" s="10" t="s">
        <v>1057</v>
      </c>
      <c r="I193" s="12" t="s">
        <v>1039</v>
      </c>
      <c r="J193" s="12" t="s">
        <v>1040</v>
      </c>
      <c r="K193" s="10" t="s">
        <v>1031</v>
      </c>
      <c r="L193" s="10" t="s">
        <v>1247</v>
      </c>
      <c r="M193" s="12" t="s">
        <v>114</v>
      </c>
      <c r="N193" s="14" t="s">
        <v>1035</v>
      </c>
    </row>
    <row r="194" spans="1:14" s="1" customFormat="1" ht="17.100000000000001" customHeight="1" x14ac:dyDescent="0.25">
      <c r="A194" s="9" t="s">
        <v>200</v>
      </c>
      <c r="B194" s="10" t="s">
        <v>824</v>
      </c>
      <c r="C194" s="10">
        <v>2018</v>
      </c>
      <c r="D194" s="11" t="s">
        <v>1961</v>
      </c>
      <c r="E194" s="10" t="s">
        <v>1630</v>
      </c>
      <c r="F194" s="11" t="s">
        <v>192</v>
      </c>
      <c r="G194" s="10" t="s">
        <v>1054</v>
      </c>
      <c r="H194" s="10" t="s">
        <v>1057</v>
      </c>
      <c r="I194" s="12" t="s">
        <v>1039</v>
      </c>
      <c r="J194" s="10" t="s">
        <v>1036</v>
      </c>
      <c r="K194" s="10" t="s">
        <v>1031</v>
      </c>
      <c r="L194" s="10" t="s">
        <v>1247</v>
      </c>
      <c r="M194" s="10" t="s">
        <v>1195</v>
      </c>
      <c r="N194" s="14" t="s">
        <v>1035</v>
      </c>
    </row>
    <row r="195" spans="1:14" s="1" customFormat="1" ht="17.100000000000001" customHeight="1" x14ac:dyDescent="0.25">
      <c r="A195" s="9" t="s">
        <v>884</v>
      </c>
      <c r="B195" s="10" t="s">
        <v>885</v>
      </c>
      <c r="C195" s="10">
        <v>2021</v>
      </c>
      <c r="D195" s="11" t="s">
        <v>1968</v>
      </c>
      <c r="E195" s="10" t="s">
        <v>1630</v>
      </c>
      <c r="F195" s="11" t="s">
        <v>192</v>
      </c>
      <c r="G195" s="10" t="s">
        <v>2266</v>
      </c>
      <c r="H195" s="10" t="s">
        <v>1057</v>
      </c>
      <c r="I195" s="12" t="s">
        <v>1039</v>
      </c>
      <c r="J195" s="10" t="s">
        <v>1030</v>
      </c>
      <c r="K195" s="12" t="s">
        <v>1037</v>
      </c>
      <c r="L195" s="10" t="s">
        <v>1247</v>
      </c>
      <c r="M195" s="12" t="s">
        <v>114</v>
      </c>
      <c r="N195" s="13" t="s">
        <v>1041</v>
      </c>
    </row>
    <row r="196" spans="1:14" s="1" customFormat="1" ht="17.100000000000001" customHeight="1" x14ac:dyDescent="0.25">
      <c r="A196" s="9" t="s">
        <v>198</v>
      </c>
      <c r="B196" s="10" t="s">
        <v>887</v>
      </c>
      <c r="C196" s="10">
        <v>2021</v>
      </c>
      <c r="D196" s="11" t="s">
        <v>2032</v>
      </c>
      <c r="E196" s="10" t="s">
        <v>1630</v>
      </c>
      <c r="F196" s="11" t="s">
        <v>192</v>
      </c>
      <c r="G196" s="12" t="s">
        <v>1028</v>
      </c>
      <c r="H196" s="10" t="s">
        <v>1217</v>
      </c>
      <c r="I196" s="10" t="s">
        <v>1493</v>
      </c>
      <c r="J196" s="10" t="s">
        <v>1030</v>
      </c>
      <c r="K196" s="12" t="s">
        <v>1037</v>
      </c>
      <c r="L196" s="10" t="s">
        <v>1247</v>
      </c>
      <c r="M196" s="12" t="s">
        <v>1055</v>
      </c>
      <c r="N196" s="14" t="s">
        <v>1035</v>
      </c>
    </row>
    <row r="197" spans="1:14" s="1" customFormat="1" ht="17.100000000000001" customHeight="1" x14ac:dyDescent="0.25">
      <c r="A197" s="9" t="s">
        <v>475</v>
      </c>
      <c r="B197" s="10" t="s">
        <v>849</v>
      </c>
      <c r="C197" s="10">
        <v>2019</v>
      </c>
      <c r="D197" s="11" t="s">
        <v>2050</v>
      </c>
      <c r="E197" s="10" t="s">
        <v>1630</v>
      </c>
      <c r="F197" s="11" t="s">
        <v>192</v>
      </c>
      <c r="G197" s="10" t="s">
        <v>2266</v>
      </c>
      <c r="H197" s="10" t="s">
        <v>1168</v>
      </c>
      <c r="I197" s="12" t="s">
        <v>1039</v>
      </c>
      <c r="J197" s="10" t="s">
        <v>1030</v>
      </c>
      <c r="K197" s="10" t="s">
        <v>1031</v>
      </c>
      <c r="L197" s="10" t="s">
        <v>1247</v>
      </c>
      <c r="M197" s="10" t="s">
        <v>1091</v>
      </c>
      <c r="N197" s="14" t="s">
        <v>1035</v>
      </c>
    </row>
    <row r="198" spans="1:14" s="1" customFormat="1" ht="17.100000000000001" customHeight="1" x14ac:dyDescent="0.25">
      <c r="A198" s="9" t="s">
        <v>474</v>
      </c>
      <c r="B198" s="10" t="s">
        <v>848</v>
      </c>
      <c r="C198" s="10">
        <v>2019</v>
      </c>
      <c r="D198" s="11" t="s">
        <v>1651</v>
      </c>
      <c r="E198" s="10" t="s">
        <v>1630</v>
      </c>
      <c r="F198" s="11" t="s">
        <v>192</v>
      </c>
      <c r="G198" s="10" t="s">
        <v>1028</v>
      </c>
      <c r="H198" s="10" t="s">
        <v>2423</v>
      </c>
      <c r="I198" s="12" t="s">
        <v>1029</v>
      </c>
      <c r="J198" s="10" t="s">
        <v>1030</v>
      </c>
      <c r="K198" s="10" t="s">
        <v>1031</v>
      </c>
      <c r="L198" s="10" t="s">
        <v>1032</v>
      </c>
      <c r="M198" s="12" t="s">
        <v>114</v>
      </c>
      <c r="N198" s="14" t="s">
        <v>1035</v>
      </c>
    </row>
    <row r="199" spans="1:14" s="1" customFormat="1" ht="17.100000000000001" customHeight="1" x14ac:dyDescent="0.25">
      <c r="A199" s="9" t="s">
        <v>1273</v>
      </c>
      <c r="B199" s="10" t="s">
        <v>1274</v>
      </c>
      <c r="C199" s="10">
        <v>2015</v>
      </c>
      <c r="D199" s="11" t="s">
        <v>2118</v>
      </c>
      <c r="E199" s="10" t="s">
        <v>1630</v>
      </c>
      <c r="F199" s="11" t="s">
        <v>192</v>
      </c>
      <c r="G199" s="10" t="s">
        <v>1538</v>
      </c>
      <c r="H199" s="10" t="s">
        <v>1230</v>
      </c>
      <c r="I199" s="10" t="s">
        <v>1039</v>
      </c>
      <c r="J199" s="10" t="s">
        <v>1030</v>
      </c>
      <c r="K199" s="10" t="s">
        <v>1031</v>
      </c>
      <c r="L199" s="10" t="s">
        <v>1247</v>
      </c>
      <c r="M199" s="10" t="s">
        <v>1049</v>
      </c>
      <c r="N199" s="13" t="s">
        <v>1035</v>
      </c>
    </row>
    <row r="200" spans="1:14" s="1" customFormat="1" ht="17.100000000000001" customHeight="1" x14ac:dyDescent="0.25">
      <c r="A200" s="9" t="s">
        <v>1279</v>
      </c>
      <c r="B200" s="10" t="s">
        <v>1280</v>
      </c>
      <c r="C200" s="10">
        <v>2021</v>
      </c>
      <c r="D200" s="11" t="s">
        <v>2121</v>
      </c>
      <c r="E200" s="10" t="s">
        <v>1630</v>
      </c>
      <c r="F200" s="11" t="s">
        <v>192</v>
      </c>
      <c r="G200" s="10" t="s">
        <v>1538</v>
      </c>
      <c r="H200" s="10" t="s">
        <v>1230</v>
      </c>
      <c r="I200" s="10" t="s">
        <v>1039</v>
      </c>
      <c r="J200" s="10" t="s">
        <v>1030</v>
      </c>
      <c r="K200" s="10" t="s">
        <v>1031</v>
      </c>
      <c r="L200" s="10" t="s">
        <v>1247</v>
      </c>
      <c r="M200" s="10" t="s">
        <v>114</v>
      </c>
      <c r="N200" s="13" t="s">
        <v>1035</v>
      </c>
    </row>
    <row r="201" spans="1:14" s="1" customFormat="1" ht="17.100000000000001" customHeight="1" x14ac:dyDescent="0.25">
      <c r="A201" s="9" t="s">
        <v>193</v>
      </c>
      <c r="B201" s="10" t="s">
        <v>818</v>
      </c>
      <c r="C201" s="10">
        <v>2018</v>
      </c>
      <c r="D201" s="11" t="s">
        <v>2057</v>
      </c>
      <c r="E201" s="10" t="s">
        <v>1630</v>
      </c>
      <c r="F201" s="11" t="s">
        <v>192</v>
      </c>
      <c r="G201" s="10" t="s">
        <v>1538</v>
      </c>
      <c r="H201" s="10" t="s">
        <v>1230</v>
      </c>
      <c r="I201" s="10" t="s">
        <v>1493</v>
      </c>
      <c r="J201" s="12" t="s">
        <v>1030</v>
      </c>
      <c r="K201" s="10" t="s">
        <v>1031</v>
      </c>
      <c r="L201" s="10" t="s">
        <v>1032</v>
      </c>
      <c r="M201" s="12" t="s">
        <v>114</v>
      </c>
      <c r="N201" s="14" t="s">
        <v>1035</v>
      </c>
    </row>
    <row r="202" spans="1:14" s="1" customFormat="1" ht="17.100000000000001" customHeight="1" x14ac:dyDescent="0.25">
      <c r="A202" s="9" t="s">
        <v>483</v>
      </c>
      <c r="B202" s="10" t="s">
        <v>855</v>
      </c>
      <c r="C202" s="10">
        <v>2019</v>
      </c>
      <c r="D202" s="11" t="s">
        <v>1673</v>
      </c>
      <c r="E202" s="10" t="s">
        <v>1630</v>
      </c>
      <c r="F202" s="11" t="s">
        <v>192</v>
      </c>
      <c r="G202" s="10" t="s">
        <v>1538</v>
      </c>
      <c r="H202" s="10" t="s">
        <v>1230</v>
      </c>
      <c r="I202" s="12" t="s">
        <v>1039</v>
      </c>
      <c r="J202" s="10" t="s">
        <v>1030</v>
      </c>
      <c r="K202" s="12" t="s">
        <v>1037</v>
      </c>
      <c r="L202" s="10" t="s">
        <v>1032</v>
      </c>
      <c r="M202" s="12" t="s">
        <v>114</v>
      </c>
      <c r="N202" s="14" t="s">
        <v>1035</v>
      </c>
    </row>
    <row r="203" spans="1:14" s="1" customFormat="1" ht="17.100000000000001" customHeight="1" x14ac:dyDescent="0.25">
      <c r="A203" s="9" t="s">
        <v>197</v>
      </c>
      <c r="B203" s="10" t="s">
        <v>822</v>
      </c>
      <c r="C203" s="10">
        <v>2016</v>
      </c>
      <c r="D203" s="11" t="s">
        <v>1736</v>
      </c>
      <c r="E203" s="10" t="s">
        <v>1630</v>
      </c>
      <c r="F203" s="11" t="s">
        <v>192</v>
      </c>
      <c r="G203" s="10" t="s">
        <v>1054</v>
      </c>
      <c r="H203" s="10" t="s">
        <v>2377</v>
      </c>
      <c r="I203" s="12" t="s">
        <v>1039</v>
      </c>
      <c r="J203" s="10" t="s">
        <v>1036</v>
      </c>
      <c r="K203" s="10" t="s">
        <v>1031</v>
      </c>
      <c r="L203" s="10" t="s">
        <v>1247</v>
      </c>
      <c r="M203" s="10" t="s">
        <v>1106</v>
      </c>
      <c r="N203" s="14" t="s">
        <v>1035</v>
      </c>
    </row>
    <row r="204" spans="1:14" s="1" customFormat="1" ht="17.100000000000001" customHeight="1" x14ac:dyDescent="0.25">
      <c r="A204" s="9" t="s">
        <v>1287</v>
      </c>
      <c r="B204" s="10" t="s">
        <v>1288</v>
      </c>
      <c r="C204" s="10">
        <v>2015</v>
      </c>
      <c r="D204" s="11" t="s">
        <v>2124</v>
      </c>
      <c r="E204" s="10" t="s">
        <v>1630</v>
      </c>
      <c r="F204" s="11" t="s">
        <v>192</v>
      </c>
      <c r="G204" s="10" t="s">
        <v>2275</v>
      </c>
      <c r="H204" s="10" t="s">
        <v>1289</v>
      </c>
      <c r="I204" s="10" t="s">
        <v>1039</v>
      </c>
      <c r="J204" s="10" t="s">
        <v>1030</v>
      </c>
      <c r="K204" s="10" t="s">
        <v>1031</v>
      </c>
      <c r="L204" s="10" t="s">
        <v>1247</v>
      </c>
      <c r="M204" s="10" t="s">
        <v>114</v>
      </c>
      <c r="N204" s="13" t="s">
        <v>1035</v>
      </c>
    </row>
    <row r="205" spans="1:14" s="1" customFormat="1" ht="17.100000000000001" customHeight="1" x14ac:dyDescent="0.25">
      <c r="A205" s="9" t="s">
        <v>1292</v>
      </c>
      <c r="B205" s="10" t="s">
        <v>1293</v>
      </c>
      <c r="C205" s="10">
        <v>2021</v>
      </c>
      <c r="D205" s="11" t="s">
        <v>2124</v>
      </c>
      <c r="E205" s="10" t="s">
        <v>1630</v>
      </c>
      <c r="F205" s="11" t="s">
        <v>192</v>
      </c>
      <c r="G205" s="10" t="s">
        <v>2275</v>
      </c>
      <c r="H205" s="10" t="s">
        <v>1289</v>
      </c>
      <c r="I205" s="10" t="s">
        <v>1039</v>
      </c>
      <c r="J205" s="10" t="s">
        <v>1030</v>
      </c>
      <c r="K205" s="10" t="s">
        <v>1031</v>
      </c>
      <c r="L205" s="10" t="s">
        <v>1247</v>
      </c>
      <c r="M205" s="10" t="s">
        <v>114</v>
      </c>
      <c r="N205" s="13" t="s">
        <v>1035</v>
      </c>
    </row>
    <row r="206" spans="1:14" s="1" customFormat="1" ht="17.100000000000001" customHeight="1" x14ac:dyDescent="0.25">
      <c r="A206" s="9" t="s">
        <v>905</v>
      </c>
      <c r="B206" s="10" t="s">
        <v>906</v>
      </c>
      <c r="C206" s="10">
        <v>2021</v>
      </c>
      <c r="D206" s="11" t="s">
        <v>2254</v>
      </c>
      <c r="E206" s="10" t="s">
        <v>1630</v>
      </c>
      <c r="F206" s="11" t="s">
        <v>192</v>
      </c>
      <c r="G206" s="10" t="s">
        <v>2266</v>
      </c>
      <c r="H206" s="10" t="s">
        <v>1180</v>
      </c>
      <c r="I206" s="10" t="s">
        <v>1039</v>
      </c>
      <c r="J206" s="10" t="s">
        <v>1030</v>
      </c>
      <c r="K206" s="10" t="s">
        <v>1031</v>
      </c>
      <c r="L206" s="10" t="s">
        <v>1247</v>
      </c>
      <c r="M206" s="10" t="s">
        <v>114</v>
      </c>
      <c r="N206" s="13" t="s">
        <v>1035</v>
      </c>
    </row>
    <row r="207" spans="1:14" s="1" customFormat="1" ht="17.100000000000001" customHeight="1" x14ac:dyDescent="0.25">
      <c r="A207" s="9" t="s">
        <v>202</v>
      </c>
      <c r="B207" s="10" t="s">
        <v>826</v>
      </c>
      <c r="C207" s="10">
        <v>2014</v>
      </c>
      <c r="D207" s="11" t="s">
        <v>2087</v>
      </c>
      <c r="E207" s="10" t="s">
        <v>1630</v>
      </c>
      <c r="F207" s="11" t="s">
        <v>192</v>
      </c>
      <c r="G207" s="10" t="s">
        <v>1054</v>
      </c>
      <c r="H207" s="10" t="s">
        <v>2382</v>
      </c>
      <c r="I207" s="12" t="s">
        <v>1039</v>
      </c>
      <c r="J207" s="10" t="s">
        <v>1030</v>
      </c>
      <c r="K207" s="10" t="s">
        <v>1031</v>
      </c>
      <c r="L207" s="10" t="s">
        <v>1247</v>
      </c>
      <c r="M207" s="12" t="s">
        <v>114</v>
      </c>
      <c r="N207" s="14" t="s">
        <v>1035</v>
      </c>
    </row>
    <row r="208" spans="1:14" s="1" customFormat="1" ht="17.100000000000001" customHeight="1" x14ac:dyDescent="0.25">
      <c r="A208" s="9" t="s">
        <v>776</v>
      </c>
      <c r="B208" s="10" t="s">
        <v>904</v>
      </c>
      <c r="C208" s="10">
        <v>2021</v>
      </c>
      <c r="D208" s="11" t="s">
        <v>2106</v>
      </c>
      <c r="E208" s="10" t="s">
        <v>1630</v>
      </c>
      <c r="F208" s="11" t="s">
        <v>192</v>
      </c>
      <c r="G208" s="10" t="s">
        <v>2266</v>
      </c>
      <c r="H208" s="10" t="s">
        <v>2380</v>
      </c>
      <c r="I208" s="12" t="s">
        <v>1039</v>
      </c>
      <c r="J208" s="10" t="s">
        <v>1030</v>
      </c>
      <c r="K208" s="10" t="s">
        <v>1031</v>
      </c>
      <c r="L208" s="10" t="s">
        <v>1247</v>
      </c>
      <c r="M208" s="10" t="s">
        <v>1244</v>
      </c>
      <c r="N208" s="13" t="s">
        <v>1035</v>
      </c>
    </row>
    <row r="209" spans="1:14" s="1" customFormat="1" ht="17.100000000000001" customHeight="1" x14ac:dyDescent="0.25">
      <c r="A209" s="9" t="s">
        <v>1308</v>
      </c>
      <c r="B209" s="10" t="s">
        <v>1309</v>
      </c>
      <c r="C209" s="10">
        <v>2020</v>
      </c>
      <c r="D209" s="11" t="s">
        <v>2131</v>
      </c>
      <c r="E209" s="10" t="s">
        <v>1630</v>
      </c>
      <c r="F209" s="11" t="s">
        <v>192</v>
      </c>
      <c r="G209" s="10" t="s">
        <v>2266</v>
      </c>
      <c r="H209" s="10" t="s">
        <v>1310</v>
      </c>
      <c r="I209" s="10" t="s">
        <v>1039</v>
      </c>
      <c r="J209" s="10" t="s">
        <v>1030</v>
      </c>
      <c r="K209" s="10" t="s">
        <v>1031</v>
      </c>
      <c r="L209" s="10" t="s">
        <v>1247</v>
      </c>
      <c r="M209" s="10" t="s">
        <v>1049</v>
      </c>
      <c r="N209" s="13" t="s">
        <v>1645</v>
      </c>
    </row>
    <row r="210" spans="1:14" s="1" customFormat="1" ht="17.100000000000001" customHeight="1" x14ac:dyDescent="0.25">
      <c r="A210" s="9" t="s">
        <v>473</v>
      </c>
      <c r="B210" s="10" t="s">
        <v>847</v>
      </c>
      <c r="C210" s="10">
        <v>2019</v>
      </c>
      <c r="D210" s="11" t="s">
        <v>1665</v>
      </c>
      <c r="E210" s="10" t="s">
        <v>1630</v>
      </c>
      <c r="F210" s="11" t="s">
        <v>192</v>
      </c>
      <c r="G210" s="10" t="s">
        <v>1028</v>
      </c>
      <c r="H210" s="10" t="s">
        <v>2320</v>
      </c>
      <c r="I210" s="12" t="s">
        <v>1039</v>
      </c>
      <c r="J210" s="10" t="s">
        <v>1036</v>
      </c>
      <c r="K210" s="10" t="s">
        <v>1031</v>
      </c>
      <c r="L210" s="10" t="s">
        <v>1032</v>
      </c>
      <c r="M210" s="12" t="s">
        <v>114</v>
      </c>
      <c r="N210" s="14" t="s">
        <v>1035</v>
      </c>
    </row>
    <row r="211" spans="1:14" s="1" customFormat="1" ht="17.100000000000001" customHeight="1" x14ac:dyDescent="0.25">
      <c r="A211" s="9" t="s">
        <v>888</v>
      </c>
      <c r="B211" s="10" t="s">
        <v>889</v>
      </c>
      <c r="C211" s="10">
        <v>2021</v>
      </c>
      <c r="D211" s="11" t="s">
        <v>2255</v>
      </c>
      <c r="E211" s="10" t="s">
        <v>1630</v>
      </c>
      <c r="F211" s="11" t="s">
        <v>192</v>
      </c>
      <c r="G211" s="10" t="s">
        <v>1094</v>
      </c>
      <c r="H211" s="10" t="s">
        <v>1594</v>
      </c>
      <c r="I211" s="10" t="s">
        <v>1039</v>
      </c>
      <c r="J211" s="10" t="s">
        <v>1030</v>
      </c>
      <c r="K211" s="10" t="s">
        <v>1031</v>
      </c>
      <c r="L211" s="10" t="s">
        <v>1032</v>
      </c>
      <c r="M211" s="10" t="s">
        <v>1595</v>
      </c>
      <c r="N211" s="13" t="s">
        <v>1034</v>
      </c>
    </row>
    <row r="212" spans="1:14" s="1" customFormat="1" ht="17.100000000000001" customHeight="1" x14ac:dyDescent="0.25">
      <c r="A212" s="9" t="s">
        <v>199</v>
      </c>
      <c r="B212" s="10" t="s">
        <v>823</v>
      </c>
      <c r="C212" s="10">
        <v>2015</v>
      </c>
      <c r="D212" s="11" t="s">
        <v>1976</v>
      </c>
      <c r="E212" s="10" t="s">
        <v>1630</v>
      </c>
      <c r="F212" s="11" t="s">
        <v>192</v>
      </c>
      <c r="G212" s="12" t="s">
        <v>2280</v>
      </c>
      <c r="H212" s="10" t="s">
        <v>2375</v>
      </c>
      <c r="I212" s="12" t="s">
        <v>1039</v>
      </c>
      <c r="J212" s="10" t="s">
        <v>1036</v>
      </c>
      <c r="K212" s="10" t="s">
        <v>1031</v>
      </c>
      <c r="L212" s="10" t="s">
        <v>1032</v>
      </c>
      <c r="M212" s="12" t="s">
        <v>114</v>
      </c>
      <c r="N212" s="14" t="s">
        <v>1035</v>
      </c>
    </row>
    <row r="213" spans="1:14" s="1" customFormat="1" ht="17.100000000000001" customHeight="1" x14ac:dyDescent="0.25">
      <c r="A213" s="9" t="s">
        <v>196</v>
      </c>
      <c r="B213" s="10" t="s">
        <v>821</v>
      </c>
      <c r="C213" s="10">
        <v>2017</v>
      </c>
      <c r="D213" s="11" t="s">
        <v>1917</v>
      </c>
      <c r="E213" s="10" t="s">
        <v>1630</v>
      </c>
      <c r="F213" s="11" t="s">
        <v>192</v>
      </c>
      <c r="G213" s="10" t="s">
        <v>1182</v>
      </c>
      <c r="H213" s="10" t="s">
        <v>2331</v>
      </c>
      <c r="I213" s="12" t="s">
        <v>1039</v>
      </c>
      <c r="J213" s="10" t="s">
        <v>1036</v>
      </c>
      <c r="K213" s="10" t="s">
        <v>1031</v>
      </c>
      <c r="L213" s="10" t="s">
        <v>2400</v>
      </c>
      <c r="M213" s="10" t="s">
        <v>1108</v>
      </c>
      <c r="N213" s="14" t="s">
        <v>1035</v>
      </c>
    </row>
    <row r="214" spans="1:14" s="1" customFormat="1" ht="17.100000000000001" customHeight="1" x14ac:dyDescent="0.25">
      <c r="A214" s="9" t="s">
        <v>568</v>
      </c>
      <c r="B214" s="10" t="s">
        <v>851</v>
      </c>
      <c r="C214" s="10">
        <v>2021</v>
      </c>
      <c r="D214" s="11" t="s">
        <v>1898</v>
      </c>
      <c r="E214" s="10" t="s">
        <v>1630</v>
      </c>
      <c r="F214" s="11" t="s">
        <v>289</v>
      </c>
      <c r="G214" s="10" t="s">
        <v>2266</v>
      </c>
      <c r="H214" s="10" t="s">
        <v>2337</v>
      </c>
      <c r="I214" s="12" t="s">
        <v>1039</v>
      </c>
      <c r="J214" s="10" t="s">
        <v>1030</v>
      </c>
      <c r="K214" s="10" t="s">
        <v>1031</v>
      </c>
      <c r="L214" s="10" t="s">
        <v>1042</v>
      </c>
      <c r="M214" s="12" t="s">
        <v>114</v>
      </c>
      <c r="N214" s="13" t="s">
        <v>1041</v>
      </c>
    </row>
    <row r="215" spans="1:14" s="1" customFormat="1" ht="17.100000000000001" customHeight="1" x14ac:dyDescent="0.25">
      <c r="A215" s="9" t="s">
        <v>567</v>
      </c>
      <c r="B215" s="10" t="s">
        <v>895</v>
      </c>
      <c r="C215" s="10">
        <v>2019</v>
      </c>
      <c r="D215" s="11" t="s">
        <v>1897</v>
      </c>
      <c r="E215" s="10" t="s">
        <v>1630</v>
      </c>
      <c r="F215" s="11" t="s">
        <v>289</v>
      </c>
      <c r="G215" s="10" t="s">
        <v>2266</v>
      </c>
      <c r="H215" s="10" t="s">
        <v>2326</v>
      </c>
      <c r="I215" s="12" t="s">
        <v>1029</v>
      </c>
      <c r="J215" s="12" t="s">
        <v>1040</v>
      </c>
      <c r="K215" s="10" t="s">
        <v>1031</v>
      </c>
      <c r="L215" s="10" t="s">
        <v>1032</v>
      </c>
      <c r="M215" s="12" t="s">
        <v>114</v>
      </c>
      <c r="N215" s="13" t="s">
        <v>1035</v>
      </c>
    </row>
    <row r="216" spans="1:14" s="1" customFormat="1" ht="17.100000000000001" customHeight="1" x14ac:dyDescent="0.25">
      <c r="A216" s="9" t="s">
        <v>287</v>
      </c>
      <c r="B216" s="10" t="s">
        <v>288</v>
      </c>
      <c r="C216" s="12">
        <v>2017</v>
      </c>
      <c r="D216" s="11" t="s">
        <v>1880</v>
      </c>
      <c r="E216" s="10" t="s">
        <v>1630</v>
      </c>
      <c r="F216" s="11" t="s">
        <v>289</v>
      </c>
      <c r="G216" s="12" t="s">
        <v>1028</v>
      </c>
      <c r="H216" s="10" t="s">
        <v>2358</v>
      </c>
      <c r="I216" s="12" t="s">
        <v>1029</v>
      </c>
      <c r="J216" s="12" t="s">
        <v>1040</v>
      </c>
      <c r="K216" s="10" t="s">
        <v>1031</v>
      </c>
      <c r="L216" s="12" t="s">
        <v>1042</v>
      </c>
      <c r="M216" s="12" t="s">
        <v>1053</v>
      </c>
      <c r="N216" s="14" t="s">
        <v>1035</v>
      </c>
    </row>
    <row r="217" spans="1:14" s="1" customFormat="1" ht="17.100000000000001" customHeight="1" x14ac:dyDescent="0.25">
      <c r="A217" s="9" t="s">
        <v>491</v>
      </c>
      <c r="B217" s="10" t="s">
        <v>492</v>
      </c>
      <c r="C217" s="10">
        <v>2019</v>
      </c>
      <c r="D217" s="11" t="s">
        <v>1661</v>
      </c>
      <c r="E217" s="10" t="s">
        <v>1630</v>
      </c>
      <c r="F217" s="11" t="s">
        <v>291</v>
      </c>
      <c r="G217" s="10" t="s">
        <v>2289</v>
      </c>
      <c r="H217" s="10" t="s">
        <v>2326</v>
      </c>
      <c r="I217" s="12" t="s">
        <v>1029</v>
      </c>
      <c r="J217" s="12" t="s">
        <v>1040</v>
      </c>
      <c r="K217" s="12" t="s">
        <v>1037</v>
      </c>
      <c r="L217" s="10" t="s">
        <v>1032</v>
      </c>
      <c r="M217" s="12" t="s">
        <v>1055</v>
      </c>
      <c r="N217" s="14" t="s">
        <v>1035</v>
      </c>
    </row>
    <row r="218" spans="1:14" s="1" customFormat="1" ht="17.100000000000001" customHeight="1" x14ac:dyDescent="0.25">
      <c r="A218" s="9" t="s">
        <v>1264</v>
      </c>
      <c r="B218" s="10" t="s">
        <v>1265</v>
      </c>
      <c r="C218" s="10">
        <v>2014</v>
      </c>
      <c r="D218" s="11" t="s">
        <v>2114</v>
      </c>
      <c r="E218" s="10" t="s">
        <v>1630</v>
      </c>
      <c r="F218" s="11" t="s">
        <v>291</v>
      </c>
      <c r="G218" s="10" t="s">
        <v>1263</v>
      </c>
      <c r="H218" s="10" t="s">
        <v>1161</v>
      </c>
      <c r="I218" s="12" t="s">
        <v>1029</v>
      </c>
      <c r="J218" s="10" t="s">
        <v>1040</v>
      </c>
      <c r="K218" s="10" t="s">
        <v>1031</v>
      </c>
      <c r="L218" s="10" t="s">
        <v>1247</v>
      </c>
      <c r="M218" s="10" t="s">
        <v>1055</v>
      </c>
      <c r="N218" s="13" t="s">
        <v>1035</v>
      </c>
    </row>
    <row r="219" spans="1:14" s="1" customFormat="1" ht="17.100000000000001" customHeight="1" x14ac:dyDescent="0.25">
      <c r="A219" s="9" t="s">
        <v>566</v>
      </c>
      <c r="B219" s="10" t="s">
        <v>894</v>
      </c>
      <c r="C219" s="10">
        <v>2022</v>
      </c>
      <c r="D219" s="11" t="s">
        <v>1876</v>
      </c>
      <c r="E219" s="10" t="s">
        <v>1630</v>
      </c>
      <c r="F219" s="11" t="s">
        <v>291</v>
      </c>
      <c r="G219" s="10" t="s">
        <v>2275</v>
      </c>
      <c r="H219" s="10" t="s">
        <v>1161</v>
      </c>
      <c r="I219" s="10" t="s">
        <v>1039</v>
      </c>
      <c r="J219" s="12" t="s">
        <v>1040</v>
      </c>
      <c r="K219" s="12" t="s">
        <v>1037</v>
      </c>
      <c r="L219" s="10" t="s">
        <v>1032</v>
      </c>
      <c r="M219" s="10" t="s">
        <v>1154</v>
      </c>
      <c r="N219" s="13" t="s">
        <v>1035</v>
      </c>
    </row>
    <row r="220" spans="1:14" s="1" customFormat="1" ht="17.100000000000001" customHeight="1" x14ac:dyDescent="0.25">
      <c r="A220" s="9" t="s">
        <v>867</v>
      </c>
      <c r="B220" s="10" t="s">
        <v>909</v>
      </c>
      <c r="C220" s="10">
        <v>2022</v>
      </c>
      <c r="D220" s="11" t="s">
        <v>2248</v>
      </c>
      <c r="E220" s="10" t="s">
        <v>1630</v>
      </c>
      <c r="F220" s="11" t="s">
        <v>291</v>
      </c>
      <c r="G220" s="10" t="s">
        <v>1054</v>
      </c>
      <c r="H220" s="10" t="s">
        <v>1057</v>
      </c>
      <c r="I220" s="10" t="s">
        <v>1039</v>
      </c>
      <c r="J220" s="10" t="s">
        <v>1040</v>
      </c>
      <c r="K220" s="10" t="s">
        <v>1031</v>
      </c>
      <c r="L220" s="10" t="s">
        <v>1247</v>
      </c>
      <c r="M220" s="10" t="s">
        <v>1067</v>
      </c>
      <c r="N220" s="13" t="s">
        <v>1035</v>
      </c>
    </row>
    <row r="221" spans="1:14" s="1" customFormat="1" ht="17.100000000000001" customHeight="1" x14ac:dyDescent="0.25">
      <c r="A221" s="9" t="s">
        <v>523</v>
      </c>
      <c r="B221" s="10" t="s">
        <v>908</v>
      </c>
      <c r="C221" s="10">
        <v>2022</v>
      </c>
      <c r="D221" s="11" t="s">
        <v>1725</v>
      </c>
      <c r="E221" s="10" t="s">
        <v>1630</v>
      </c>
      <c r="F221" s="11" t="s">
        <v>291</v>
      </c>
      <c r="G221" s="10" t="s">
        <v>1028</v>
      </c>
      <c r="H221" s="10" t="s">
        <v>2340</v>
      </c>
      <c r="I221" s="12" t="s">
        <v>1029</v>
      </c>
      <c r="J221" s="12" t="s">
        <v>1040</v>
      </c>
      <c r="K221" s="10" t="s">
        <v>1031</v>
      </c>
      <c r="L221" s="10" t="s">
        <v>1042</v>
      </c>
      <c r="M221" s="10" t="s">
        <v>1147</v>
      </c>
      <c r="N221" s="14" t="s">
        <v>1035</v>
      </c>
    </row>
    <row r="222" spans="1:14" s="1" customFormat="1" ht="17.100000000000001" customHeight="1" x14ac:dyDescent="0.25">
      <c r="A222" s="9" t="s">
        <v>290</v>
      </c>
      <c r="B222" s="10" t="s">
        <v>834</v>
      </c>
      <c r="C222" s="12">
        <v>2013</v>
      </c>
      <c r="D222" s="11" t="s">
        <v>2065</v>
      </c>
      <c r="E222" s="10" t="s">
        <v>1630</v>
      </c>
      <c r="F222" s="11" t="s">
        <v>291</v>
      </c>
      <c r="G222" s="12" t="s">
        <v>1054</v>
      </c>
      <c r="H222" s="10" t="s">
        <v>2340</v>
      </c>
      <c r="I222" s="12" t="s">
        <v>1029</v>
      </c>
      <c r="J222" s="12" t="s">
        <v>1040</v>
      </c>
      <c r="K222" s="10" t="s">
        <v>1031</v>
      </c>
      <c r="L222" s="12" t="s">
        <v>1042</v>
      </c>
      <c r="M222" s="12" t="s">
        <v>114</v>
      </c>
      <c r="N222" s="14" t="s">
        <v>1035</v>
      </c>
    </row>
    <row r="223" spans="1:14" s="1" customFormat="1" ht="17.100000000000001" customHeight="1" x14ac:dyDescent="0.25">
      <c r="A223" s="9" t="s">
        <v>778</v>
      </c>
      <c r="B223" s="10" t="s">
        <v>910</v>
      </c>
      <c r="C223" s="10">
        <v>2022</v>
      </c>
      <c r="D223" s="11" t="s">
        <v>2045</v>
      </c>
      <c r="E223" s="10" t="s">
        <v>1630</v>
      </c>
      <c r="F223" s="11" t="s">
        <v>291</v>
      </c>
      <c r="G223" s="10" t="s">
        <v>2266</v>
      </c>
      <c r="H223" s="10" t="s">
        <v>2340</v>
      </c>
      <c r="I223" s="12" t="s">
        <v>1029</v>
      </c>
      <c r="J223" s="10" t="s">
        <v>1030</v>
      </c>
      <c r="K223" s="12" t="s">
        <v>1037</v>
      </c>
      <c r="L223" s="10" t="s">
        <v>1032</v>
      </c>
      <c r="M223" s="12" t="s">
        <v>114</v>
      </c>
      <c r="N223" s="13" t="s">
        <v>1035</v>
      </c>
    </row>
    <row r="224" spans="1:14" s="1" customFormat="1" ht="17.100000000000001" customHeight="1" x14ac:dyDescent="0.25">
      <c r="A224" s="9" t="s">
        <v>790</v>
      </c>
      <c r="B224" s="10" t="s">
        <v>791</v>
      </c>
      <c r="C224" s="10">
        <v>2022</v>
      </c>
      <c r="D224" s="11" t="s">
        <v>1881</v>
      </c>
      <c r="E224" s="10" t="s">
        <v>1630</v>
      </c>
      <c r="F224" s="11" t="s">
        <v>1163</v>
      </c>
      <c r="G224" s="10" t="s">
        <v>1028</v>
      </c>
      <c r="H224" s="10" t="s">
        <v>2363</v>
      </c>
      <c r="I224" s="10" t="s">
        <v>1039</v>
      </c>
      <c r="J224" s="10" t="s">
        <v>1030</v>
      </c>
      <c r="K224" s="10" t="s">
        <v>1031</v>
      </c>
      <c r="L224" s="10" t="s">
        <v>1247</v>
      </c>
      <c r="M224" s="10" t="s">
        <v>114</v>
      </c>
      <c r="N224" s="13" t="s">
        <v>1035</v>
      </c>
    </row>
    <row r="225" spans="1:14" s="1" customFormat="1" ht="17.100000000000001" customHeight="1" x14ac:dyDescent="0.25">
      <c r="A225" s="9" t="s">
        <v>1298</v>
      </c>
      <c r="B225" s="10" t="s">
        <v>1299</v>
      </c>
      <c r="C225" s="10">
        <v>2018</v>
      </c>
      <c r="D225" s="11" t="s">
        <v>2127</v>
      </c>
      <c r="E225" s="10" t="s">
        <v>1630</v>
      </c>
      <c r="F225" s="11" t="s">
        <v>570</v>
      </c>
      <c r="G225" s="10" t="s">
        <v>2266</v>
      </c>
      <c r="H225" s="10" t="s">
        <v>2364</v>
      </c>
      <c r="I225" s="10" t="s">
        <v>1039</v>
      </c>
      <c r="J225" s="10" t="s">
        <v>1030</v>
      </c>
      <c r="K225" s="10" t="s">
        <v>1031</v>
      </c>
      <c r="L225" s="10" t="s">
        <v>1247</v>
      </c>
      <c r="M225" s="10" t="s">
        <v>114</v>
      </c>
      <c r="N225" s="13" t="s">
        <v>1035</v>
      </c>
    </row>
    <row r="226" spans="1:14" s="1" customFormat="1" ht="17.100000000000001" customHeight="1" x14ac:dyDescent="0.25">
      <c r="A226" s="9" t="s">
        <v>1322</v>
      </c>
      <c r="B226" s="10" t="s">
        <v>1323</v>
      </c>
      <c r="C226" s="10">
        <v>2022</v>
      </c>
      <c r="D226" s="11" t="s">
        <v>2136</v>
      </c>
      <c r="E226" s="10" t="s">
        <v>1630</v>
      </c>
      <c r="F226" s="11" t="s">
        <v>570</v>
      </c>
      <c r="G226" s="10" t="s">
        <v>2266</v>
      </c>
      <c r="H226" s="10" t="s">
        <v>1057</v>
      </c>
      <c r="I226" s="10" t="s">
        <v>1039</v>
      </c>
      <c r="J226" s="10" t="s">
        <v>1562</v>
      </c>
      <c r="K226" s="10" t="s">
        <v>1031</v>
      </c>
      <c r="L226" s="10" t="s">
        <v>1247</v>
      </c>
      <c r="M226" s="10" t="s">
        <v>1250</v>
      </c>
      <c r="N226" s="13" t="s">
        <v>1034</v>
      </c>
    </row>
    <row r="227" spans="1:14" s="1" customFormat="1" ht="17.100000000000001" customHeight="1" x14ac:dyDescent="0.25">
      <c r="A227" s="9" t="s">
        <v>792</v>
      </c>
      <c r="B227" s="10" t="s">
        <v>793</v>
      </c>
      <c r="C227" s="10">
        <v>2022</v>
      </c>
      <c r="D227" s="11" t="s">
        <v>1676</v>
      </c>
      <c r="E227" s="10" t="s">
        <v>1630</v>
      </c>
      <c r="F227" s="11" t="s">
        <v>1163</v>
      </c>
      <c r="G227" s="10" t="s">
        <v>2266</v>
      </c>
      <c r="H227" s="10" t="s">
        <v>2340</v>
      </c>
      <c r="I227" s="12" t="s">
        <v>1029</v>
      </c>
      <c r="J227" s="10" t="s">
        <v>1030</v>
      </c>
      <c r="K227" s="12" t="s">
        <v>1037</v>
      </c>
      <c r="L227" s="10" t="s">
        <v>1042</v>
      </c>
      <c r="M227" s="10" t="s">
        <v>1067</v>
      </c>
      <c r="N227" s="13" t="s">
        <v>1035</v>
      </c>
    </row>
    <row r="228" spans="1:14" s="1" customFormat="1" ht="17.100000000000001" customHeight="1" x14ac:dyDescent="0.25">
      <c r="A228" s="9" t="s">
        <v>564</v>
      </c>
      <c r="B228" s="10" t="s">
        <v>892</v>
      </c>
      <c r="C228" s="10">
        <v>2020</v>
      </c>
      <c r="D228" s="11" t="s">
        <v>1734</v>
      </c>
      <c r="E228" s="10" t="s">
        <v>1630</v>
      </c>
      <c r="F228" s="11" t="s">
        <v>118</v>
      </c>
      <c r="G228" s="10" t="s">
        <v>1054</v>
      </c>
      <c r="H228" s="10" t="s">
        <v>2341</v>
      </c>
      <c r="I228" s="12" t="s">
        <v>1029</v>
      </c>
      <c r="J228" s="10" t="s">
        <v>1040</v>
      </c>
      <c r="K228" s="10" t="s">
        <v>1031</v>
      </c>
      <c r="L228" s="10" t="s">
        <v>1042</v>
      </c>
      <c r="M228" s="12" t="s">
        <v>114</v>
      </c>
      <c r="N228" s="13" t="s">
        <v>1644</v>
      </c>
    </row>
    <row r="229" spans="1:14" s="1" customFormat="1" ht="17.100000000000001" customHeight="1" x14ac:dyDescent="0.25">
      <c r="A229" s="9" t="s">
        <v>124</v>
      </c>
      <c r="B229" s="10" t="s">
        <v>125</v>
      </c>
      <c r="C229" s="12">
        <v>2015</v>
      </c>
      <c r="D229" s="11" t="s">
        <v>1697</v>
      </c>
      <c r="E229" s="10" t="s">
        <v>1630</v>
      </c>
      <c r="F229" s="11" t="s">
        <v>118</v>
      </c>
      <c r="G229" s="10" t="s">
        <v>2266</v>
      </c>
      <c r="H229" s="10" t="s">
        <v>2343</v>
      </c>
      <c r="I229" s="12" t="s">
        <v>1029</v>
      </c>
      <c r="J229" s="12" t="s">
        <v>1030</v>
      </c>
      <c r="K229" s="10" t="s">
        <v>1031</v>
      </c>
      <c r="L229" s="10" t="s">
        <v>1032</v>
      </c>
      <c r="M229" s="12" t="s">
        <v>1055</v>
      </c>
      <c r="N229" s="14" t="s">
        <v>1035</v>
      </c>
    </row>
    <row r="230" spans="1:14" s="1" customFormat="1" ht="17.100000000000001" customHeight="1" x14ac:dyDescent="0.25">
      <c r="A230" s="9" t="s">
        <v>133</v>
      </c>
      <c r="B230" s="10" t="s">
        <v>134</v>
      </c>
      <c r="C230" s="10">
        <v>2018</v>
      </c>
      <c r="D230" s="11" t="s">
        <v>2019</v>
      </c>
      <c r="E230" s="10" t="s">
        <v>1630</v>
      </c>
      <c r="F230" s="11" t="s">
        <v>118</v>
      </c>
      <c r="G230" s="10" t="s">
        <v>1054</v>
      </c>
      <c r="H230" s="10" t="s">
        <v>2364</v>
      </c>
      <c r="I230" s="10" t="s">
        <v>1493</v>
      </c>
      <c r="J230" s="10" t="s">
        <v>1040</v>
      </c>
      <c r="K230" s="10" t="s">
        <v>1031</v>
      </c>
      <c r="L230" s="10" t="s">
        <v>1247</v>
      </c>
      <c r="M230" s="10" t="s">
        <v>1210</v>
      </c>
      <c r="N230" s="14" t="s">
        <v>1035</v>
      </c>
    </row>
    <row r="231" spans="1:14" s="1" customFormat="1" ht="17.100000000000001" customHeight="1" x14ac:dyDescent="0.25">
      <c r="A231" s="9" t="s">
        <v>1342</v>
      </c>
      <c r="B231" s="10" t="s">
        <v>1343</v>
      </c>
      <c r="C231" s="10">
        <v>2022</v>
      </c>
      <c r="D231" s="11" t="s">
        <v>2141</v>
      </c>
      <c r="E231" s="10" t="s">
        <v>1630</v>
      </c>
      <c r="F231" s="11" t="s">
        <v>118</v>
      </c>
      <c r="G231" s="10" t="s">
        <v>2266</v>
      </c>
      <c r="H231" s="10" t="s">
        <v>2367</v>
      </c>
      <c r="I231" s="10" t="s">
        <v>1039</v>
      </c>
      <c r="J231" s="10" t="s">
        <v>1030</v>
      </c>
      <c r="K231" s="10" t="s">
        <v>1031</v>
      </c>
      <c r="L231" s="10" t="s">
        <v>1247</v>
      </c>
      <c r="M231" s="10" t="s">
        <v>114</v>
      </c>
      <c r="N231" s="13" t="s">
        <v>1035</v>
      </c>
    </row>
    <row r="232" spans="1:14" s="1" customFormat="1" ht="17.100000000000001" customHeight="1" x14ac:dyDescent="0.25">
      <c r="A232" s="9" t="s">
        <v>120</v>
      </c>
      <c r="B232" s="10" t="s">
        <v>805</v>
      </c>
      <c r="C232" s="10">
        <v>2015</v>
      </c>
      <c r="D232" s="11" t="s">
        <v>2054</v>
      </c>
      <c r="E232" s="10" t="s">
        <v>1630</v>
      </c>
      <c r="F232" s="11" t="s">
        <v>118</v>
      </c>
      <c r="G232" s="10" t="s">
        <v>1028</v>
      </c>
      <c r="H232" s="10" t="s">
        <v>2326</v>
      </c>
      <c r="I232" s="12" t="s">
        <v>1039</v>
      </c>
      <c r="J232" s="10" t="s">
        <v>1030</v>
      </c>
      <c r="K232" s="10" t="s">
        <v>1031</v>
      </c>
      <c r="L232" s="10" t="s">
        <v>1032</v>
      </c>
      <c r="M232" s="10" t="s">
        <v>1047</v>
      </c>
      <c r="N232" s="13" t="s">
        <v>1034</v>
      </c>
    </row>
    <row r="233" spans="1:14" s="1" customFormat="1" ht="17.100000000000001" customHeight="1" x14ac:dyDescent="0.25">
      <c r="A233" s="9" t="s">
        <v>1248</v>
      </c>
      <c r="B233" s="10" t="s">
        <v>1249</v>
      </c>
      <c r="C233" s="10">
        <v>2018</v>
      </c>
      <c r="D233" s="11" t="s">
        <v>2110</v>
      </c>
      <c r="E233" s="10" t="s">
        <v>1630</v>
      </c>
      <c r="F233" s="11" t="s">
        <v>118</v>
      </c>
      <c r="G233" s="10" t="s">
        <v>2266</v>
      </c>
      <c r="H233" s="10" t="s">
        <v>2326</v>
      </c>
      <c r="I233" s="10" t="s">
        <v>1039</v>
      </c>
      <c r="J233" s="10" t="s">
        <v>1036</v>
      </c>
      <c r="K233" s="10" t="s">
        <v>1031</v>
      </c>
      <c r="L233" s="10" t="s">
        <v>1247</v>
      </c>
      <c r="M233" s="10" t="s">
        <v>1250</v>
      </c>
      <c r="N233" s="13" t="s">
        <v>1034</v>
      </c>
    </row>
    <row r="234" spans="1:14" s="1" customFormat="1" ht="17.100000000000001" customHeight="1" x14ac:dyDescent="0.25">
      <c r="A234" s="9" t="s">
        <v>406</v>
      </c>
      <c r="B234" s="10" t="s">
        <v>844</v>
      </c>
      <c r="C234" s="10">
        <v>2019</v>
      </c>
      <c r="D234" s="11" t="s">
        <v>1846</v>
      </c>
      <c r="E234" s="10" t="s">
        <v>1630</v>
      </c>
      <c r="F234" s="11" t="s">
        <v>118</v>
      </c>
      <c r="G234" s="10" t="s">
        <v>1028</v>
      </c>
      <c r="H234" s="10" t="s">
        <v>2326</v>
      </c>
      <c r="I234" s="12" t="s">
        <v>1029</v>
      </c>
      <c r="J234" s="10" t="s">
        <v>1040</v>
      </c>
      <c r="K234" s="10" t="s">
        <v>1031</v>
      </c>
      <c r="L234" s="10" t="s">
        <v>1042</v>
      </c>
      <c r="M234" s="12" t="s">
        <v>114</v>
      </c>
      <c r="N234" s="14" t="s">
        <v>1035</v>
      </c>
    </row>
    <row r="235" spans="1:14" s="1" customFormat="1" ht="17.100000000000001" customHeight="1" x14ac:dyDescent="0.25">
      <c r="A235" s="9" t="s">
        <v>802</v>
      </c>
      <c r="B235" s="10" t="s">
        <v>803</v>
      </c>
      <c r="C235" s="10">
        <v>2014</v>
      </c>
      <c r="D235" s="11" t="s">
        <v>2234</v>
      </c>
      <c r="E235" s="10" t="s">
        <v>1630</v>
      </c>
      <c r="F235" s="11" t="s">
        <v>118</v>
      </c>
      <c r="G235" s="10" t="s">
        <v>2275</v>
      </c>
      <c r="H235" s="10" t="s">
        <v>1161</v>
      </c>
      <c r="I235" s="10" t="s">
        <v>1493</v>
      </c>
      <c r="J235" s="10" t="s">
        <v>1030</v>
      </c>
      <c r="K235" s="10" t="s">
        <v>1031</v>
      </c>
      <c r="L235" s="10" t="s">
        <v>1247</v>
      </c>
      <c r="M235" s="10" t="s">
        <v>114</v>
      </c>
      <c r="N235" s="13" t="s">
        <v>1035</v>
      </c>
    </row>
    <row r="236" spans="1:14" s="1" customFormat="1" ht="17.100000000000001" customHeight="1" x14ac:dyDescent="0.25">
      <c r="A236" s="9" t="s">
        <v>128</v>
      </c>
      <c r="B236" s="10" t="s">
        <v>129</v>
      </c>
      <c r="C236" s="10">
        <v>2017</v>
      </c>
      <c r="D236" s="11" t="s">
        <v>2007</v>
      </c>
      <c r="E236" s="10" t="s">
        <v>1630</v>
      </c>
      <c r="F236" s="11" t="s">
        <v>118</v>
      </c>
      <c r="G236" s="10" t="s">
        <v>2266</v>
      </c>
      <c r="H236" s="10" t="s">
        <v>1166</v>
      </c>
      <c r="I236" s="10" t="s">
        <v>1493</v>
      </c>
      <c r="J236" s="10" t="s">
        <v>1036</v>
      </c>
      <c r="K236" s="10" t="s">
        <v>1031</v>
      </c>
      <c r="L236" s="10" t="s">
        <v>1032</v>
      </c>
      <c r="M236" s="12" t="s">
        <v>114</v>
      </c>
      <c r="N236" s="14" t="s">
        <v>1035</v>
      </c>
    </row>
    <row r="237" spans="1:14" s="1" customFormat="1" ht="17.100000000000001" customHeight="1" x14ac:dyDescent="0.25">
      <c r="A237" s="9" t="s">
        <v>122</v>
      </c>
      <c r="B237" s="10" t="s">
        <v>123</v>
      </c>
      <c r="C237" s="10">
        <v>2016</v>
      </c>
      <c r="D237" s="11" t="s">
        <v>1939</v>
      </c>
      <c r="E237" s="10" t="s">
        <v>1630</v>
      </c>
      <c r="F237" s="11" t="s">
        <v>118</v>
      </c>
      <c r="G237" s="10" t="s">
        <v>1538</v>
      </c>
      <c r="H237" s="10" t="s">
        <v>1057</v>
      </c>
      <c r="I237" s="12" t="s">
        <v>1039</v>
      </c>
      <c r="J237" s="10" t="s">
        <v>1030</v>
      </c>
      <c r="K237" s="10" t="s">
        <v>1031</v>
      </c>
      <c r="L237" s="10" t="s">
        <v>1032</v>
      </c>
      <c r="M237" s="10" t="s">
        <v>1075</v>
      </c>
      <c r="N237" s="14" t="s">
        <v>1035</v>
      </c>
    </row>
    <row r="238" spans="1:14" s="1" customFormat="1" ht="17.100000000000001" customHeight="1" x14ac:dyDescent="0.25">
      <c r="A238" s="9" t="s">
        <v>119</v>
      </c>
      <c r="B238" s="10" t="s">
        <v>804</v>
      </c>
      <c r="C238" s="10">
        <v>2016</v>
      </c>
      <c r="D238" s="11" t="s">
        <v>1798</v>
      </c>
      <c r="E238" s="10" t="s">
        <v>1630</v>
      </c>
      <c r="F238" s="11" t="s">
        <v>118</v>
      </c>
      <c r="G238" s="10" t="s">
        <v>1066</v>
      </c>
      <c r="H238" s="10" t="s">
        <v>1057</v>
      </c>
      <c r="I238" s="12" t="s">
        <v>1039</v>
      </c>
      <c r="J238" s="10" t="s">
        <v>1069</v>
      </c>
      <c r="K238" s="10" t="s">
        <v>1031</v>
      </c>
      <c r="L238" s="10" t="s">
        <v>1247</v>
      </c>
      <c r="M238" s="10" t="s">
        <v>1049</v>
      </c>
      <c r="N238" s="13" t="s">
        <v>1072</v>
      </c>
    </row>
    <row r="239" spans="1:14" s="1" customFormat="1" ht="17.100000000000001" customHeight="1" x14ac:dyDescent="0.25">
      <c r="A239" s="9" t="s">
        <v>116</v>
      </c>
      <c r="B239" s="10" t="s">
        <v>117</v>
      </c>
      <c r="C239" s="10">
        <v>2019</v>
      </c>
      <c r="D239" s="11" t="s">
        <v>1733</v>
      </c>
      <c r="E239" s="10" t="s">
        <v>1630</v>
      </c>
      <c r="F239" s="11" t="s">
        <v>118</v>
      </c>
      <c r="G239" s="10" t="s">
        <v>1066</v>
      </c>
      <c r="H239" s="10" t="s">
        <v>1057</v>
      </c>
      <c r="I239" s="12" t="s">
        <v>1029</v>
      </c>
      <c r="J239" s="10" t="s">
        <v>1030</v>
      </c>
      <c r="K239" s="12" t="s">
        <v>1037</v>
      </c>
      <c r="L239" s="10" t="s">
        <v>1032</v>
      </c>
      <c r="M239" s="12" t="s">
        <v>114</v>
      </c>
      <c r="N239" s="13" t="s">
        <v>1041</v>
      </c>
    </row>
    <row r="240" spans="1:14" s="1" customFormat="1" ht="17.100000000000001" customHeight="1" x14ac:dyDescent="0.25">
      <c r="A240" s="9" t="s">
        <v>121</v>
      </c>
      <c r="B240" s="10" t="s">
        <v>806</v>
      </c>
      <c r="C240" s="10">
        <v>2017</v>
      </c>
      <c r="D240" s="11" t="s">
        <v>1946</v>
      </c>
      <c r="E240" s="10" t="s">
        <v>1630</v>
      </c>
      <c r="F240" s="11" t="s">
        <v>118</v>
      </c>
      <c r="G240" s="10" t="s">
        <v>2275</v>
      </c>
      <c r="H240" s="10" t="s">
        <v>1057</v>
      </c>
      <c r="I240" s="10" t="s">
        <v>1039</v>
      </c>
      <c r="J240" s="10" t="s">
        <v>1030</v>
      </c>
      <c r="K240" s="12" t="s">
        <v>1037</v>
      </c>
      <c r="L240" s="10" t="s">
        <v>1032</v>
      </c>
      <c r="M240" s="10" t="s">
        <v>1189</v>
      </c>
      <c r="N240" s="14" t="s">
        <v>1035</v>
      </c>
    </row>
    <row r="241" spans="1:14" s="1" customFormat="1" ht="17.100000000000001" customHeight="1" x14ac:dyDescent="0.25">
      <c r="A241" s="9" t="s">
        <v>135</v>
      </c>
      <c r="B241" s="10" t="s">
        <v>136</v>
      </c>
      <c r="C241" s="10">
        <v>2013</v>
      </c>
      <c r="D241" s="11" t="s">
        <v>1903</v>
      </c>
      <c r="E241" s="10" t="s">
        <v>1630</v>
      </c>
      <c r="F241" s="11" t="s">
        <v>118</v>
      </c>
      <c r="G241" s="10" t="s">
        <v>1028</v>
      </c>
      <c r="H241" s="10" t="s">
        <v>1217</v>
      </c>
      <c r="I241" s="12" t="s">
        <v>1029</v>
      </c>
      <c r="J241" s="10" t="s">
        <v>1036</v>
      </c>
      <c r="K241" s="10" t="s">
        <v>1031</v>
      </c>
      <c r="L241" s="10" t="s">
        <v>1032</v>
      </c>
      <c r="M241" s="10" t="s">
        <v>1103</v>
      </c>
      <c r="N241" s="13" t="s">
        <v>1072</v>
      </c>
    </row>
    <row r="242" spans="1:14" s="1" customFormat="1" ht="17.100000000000001" customHeight="1" x14ac:dyDescent="0.25">
      <c r="A242" s="9" t="s">
        <v>130</v>
      </c>
      <c r="B242" s="10" t="s">
        <v>807</v>
      </c>
      <c r="C242" s="10">
        <v>2015</v>
      </c>
      <c r="D242" s="11" t="s">
        <v>2037</v>
      </c>
      <c r="E242" s="10" t="s">
        <v>1630</v>
      </c>
      <c r="F242" s="11" t="s">
        <v>118</v>
      </c>
      <c r="G242" s="10" t="s">
        <v>1613</v>
      </c>
      <c r="H242" s="10" t="s">
        <v>1168</v>
      </c>
      <c r="I242" s="10" t="s">
        <v>1039</v>
      </c>
      <c r="J242" s="10" t="s">
        <v>1040</v>
      </c>
      <c r="K242" s="10" t="s">
        <v>1031</v>
      </c>
      <c r="L242" s="10" t="s">
        <v>1247</v>
      </c>
      <c r="M242" s="12" t="s">
        <v>114</v>
      </c>
      <c r="N242" s="14" t="s">
        <v>1035</v>
      </c>
    </row>
    <row r="243" spans="1:14" s="1" customFormat="1" ht="17.100000000000001" customHeight="1" x14ac:dyDescent="0.25">
      <c r="A243" s="9" t="s">
        <v>137</v>
      </c>
      <c r="B243" s="10" t="s">
        <v>808</v>
      </c>
      <c r="C243" s="10">
        <v>2018</v>
      </c>
      <c r="D243" s="11" t="s">
        <v>1785</v>
      </c>
      <c r="E243" s="10" t="s">
        <v>1630</v>
      </c>
      <c r="F243" s="11" t="s">
        <v>118</v>
      </c>
      <c r="G243" s="10" t="s">
        <v>1062</v>
      </c>
      <c r="H243" s="10" t="s">
        <v>1168</v>
      </c>
      <c r="I243" s="12" t="s">
        <v>1029</v>
      </c>
      <c r="J243" s="10" t="s">
        <v>1040</v>
      </c>
      <c r="K243" s="12" t="s">
        <v>1037</v>
      </c>
      <c r="L243" s="10" t="s">
        <v>1032</v>
      </c>
      <c r="M243" s="12" t="s">
        <v>114</v>
      </c>
      <c r="N243" s="14" t="s">
        <v>1035</v>
      </c>
    </row>
    <row r="244" spans="1:14" s="1" customFormat="1" ht="17.100000000000001" customHeight="1" x14ac:dyDescent="0.25">
      <c r="A244" s="9" t="s">
        <v>131</v>
      </c>
      <c r="B244" s="10" t="s">
        <v>132</v>
      </c>
      <c r="C244" s="10">
        <v>2018</v>
      </c>
      <c r="D244" s="11" t="s">
        <v>1791</v>
      </c>
      <c r="E244" s="10" t="s">
        <v>1630</v>
      </c>
      <c r="F244" s="11" t="s">
        <v>118</v>
      </c>
      <c r="G244" s="10" t="s">
        <v>2266</v>
      </c>
      <c r="H244" s="10" t="s">
        <v>1172</v>
      </c>
      <c r="I244" s="12" t="s">
        <v>1029</v>
      </c>
      <c r="J244" s="10" t="s">
        <v>1030</v>
      </c>
      <c r="K244" s="10" t="s">
        <v>1031</v>
      </c>
      <c r="L244" s="10" t="s">
        <v>1032</v>
      </c>
      <c r="M244" s="10" t="s">
        <v>1059</v>
      </c>
      <c r="N244" s="14" t="s">
        <v>1035</v>
      </c>
    </row>
    <row r="245" spans="1:14" s="1" customFormat="1" ht="17.100000000000001" customHeight="1" x14ac:dyDescent="0.25">
      <c r="A245" s="9" t="s">
        <v>1277</v>
      </c>
      <c r="B245" s="10" t="s">
        <v>1278</v>
      </c>
      <c r="C245" s="10">
        <v>2016</v>
      </c>
      <c r="D245" s="11" t="s">
        <v>2120</v>
      </c>
      <c r="E245" s="10" t="s">
        <v>1630</v>
      </c>
      <c r="F245" s="11" t="s">
        <v>118</v>
      </c>
      <c r="G245" s="10" t="s">
        <v>1538</v>
      </c>
      <c r="H245" s="10" t="s">
        <v>1230</v>
      </c>
      <c r="I245" s="10" t="s">
        <v>1039</v>
      </c>
      <c r="J245" s="10" t="s">
        <v>1030</v>
      </c>
      <c r="K245" s="10" t="s">
        <v>1031</v>
      </c>
      <c r="L245" s="10" t="s">
        <v>1247</v>
      </c>
      <c r="M245" s="10" t="s">
        <v>114</v>
      </c>
      <c r="N245" s="13" t="s">
        <v>1035</v>
      </c>
    </row>
    <row r="246" spans="1:14" s="1" customFormat="1" ht="17.100000000000001" customHeight="1" x14ac:dyDescent="0.25">
      <c r="A246" s="9" t="s">
        <v>1275</v>
      </c>
      <c r="B246" s="10" t="s">
        <v>1276</v>
      </c>
      <c r="C246" s="10">
        <v>2017</v>
      </c>
      <c r="D246" s="11" t="s">
        <v>2119</v>
      </c>
      <c r="E246" s="10" t="s">
        <v>1630</v>
      </c>
      <c r="F246" s="11" t="s">
        <v>118</v>
      </c>
      <c r="G246" s="10" t="s">
        <v>1538</v>
      </c>
      <c r="H246" s="10" t="s">
        <v>1230</v>
      </c>
      <c r="I246" s="10" t="s">
        <v>1039</v>
      </c>
      <c r="J246" s="10" t="s">
        <v>1030</v>
      </c>
      <c r="K246" s="10" t="s">
        <v>1031</v>
      </c>
      <c r="L246" s="10" t="s">
        <v>1247</v>
      </c>
      <c r="M246" s="10" t="s">
        <v>114</v>
      </c>
      <c r="N246" s="13" t="s">
        <v>1035</v>
      </c>
    </row>
    <row r="247" spans="1:14" s="1" customFormat="1" ht="17.100000000000001" customHeight="1" x14ac:dyDescent="0.25">
      <c r="A247" s="9" t="s">
        <v>2429</v>
      </c>
      <c r="B247" s="10" t="s">
        <v>1267</v>
      </c>
      <c r="C247" s="10">
        <v>2018</v>
      </c>
      <c r="D247" s="11" t="s">
        <v>2115</v>
      </c>
      <c r="E247" s="10" t="s">
        <v>1630</v>
      </c>
      <c r="F247" s="11" t="s">
        <v>118</v>
      </c>
      <c r="G247" s="10" t="s">
        <v>1538</v>
      </c>
      <c r="H247" s="10" t="s">
        <v>1230</v>
      </c>
      <c r="I247" s="10" t="s">
        <v>1039</v>
      </c>
      <c r="J247" s="10" t="s">
        <v>1030</v>
      </c>
      <c r="K247" s="10" t="s">
        <v>1031</v>
      </c>
      <c r="L247" s="10" t="s">
        <v>1247</v>
      </c>
      <c r="M247" s="10" t="s">
        <v>114</v>
      </c>
      <c r="N247" s="13" t="s">
        <v>1035</v>
      </c>
    </row>
    <row r="248" spans="1:14" s="1" customFormat="1" ht="17.100000000000001" customHeight="1" x14ac:dyDescent="0.25">
      <c r="A248" s="9" t="s">
        <v>565</v>
      </c>
      <c r="B248" s="10" t="s">
        <v>893</v>
      </c>
      <c r="C248" s="10">
        <v>2020</v>
      </c>
      <c r="D248" s="11" t="s">
        <v>2044</v>
      </c>
      <c r="E248" s="10" t="s">
        <v>1630</v>
      </c>
      <c r="F248" s="11" t="s">
        <v>118</v>
      </c>
      <c r="G248" s="10" t="s">
        <v>1054</v>
      </c>
      <c r="H248" s="10" t="s">
        <v>1180</v>
      </c>
      <c r="I248" s="12" t="s">
        <v>1039</v>
      </c>
      <c r="J248" s="10" t="s">
        <v>1030</v>
      </c>
      <c r="K248" s="10" t="s">
        <v>1031</v>
      </c>
      <c r="L248" s="10" t="s">
        <v>1042</v>
      </c>
      <c r="M248" s="12" t="s">
        <v>114</v>
      </c>
      <c r="N248" s="13" t="s">
        <v>1041</v>
      </c>
    </row>
    <row r="249" spans="1:14" s="1" customFormat="1" ht="17.100000000000001" customHeight="1" x14ac:dyDescent="0.25">
      <c r="A249" s="9" t="s">
        <v>1332</v>
      </c>
      <c r="B249" s="10" t="s">
        <v>1333</v>
      </c>
      <c r="C249" s="10">
        <v>2020</v>
      </c>
      <c r="D249" s="11" t="s">
        <v>2141</v>
      </c>
      <c r="E249" s="10" t="s">
        <v>1630</v>
      </c>
      <c r="F249" s="11" t="s">
        <v>118</v>
      </c>
      <c r="G249" s="10" t="s">
        <v>2287</v>
      </c>
      <c r="H249" s="10" t="s">
        <v>1180</v>
      </c>
      <c r="I249" s="10" t="s">
        <v>1039</v>
      </c>
      <c r="J249" s="10" t="s">
        <v>1030</v>
      </c>
      <c r="K249" s="10" t="s">
        <v>1031</v>
      </c>
      <c r="L249" s="10" t="s">
        <v>1247</v>
      </c>
      <c r="M249" s="10" t="s">
        <v>114</v>
      </c>
      <c r="N249" s="13" t="s">
        <v>1035</v>
      </c>
    </row>
    <row r="250" spans="1:14" s="1" customFormat="1" ht="17.100000000000001" customHeight="1" x14ac:dyDescent="0.25">
      <c r="A250" s="9" t="s">
        <v>126</v>
      </c>
      <c r="B250" s="10" t="s">
        <v>127</v>
      </c>
      <c r="C250" s="12">
        <v>2017</v>
      </c>
      <c r="D250" s="11" t="s">
        <v>2091</v>
      </c>
      <c r="E250" s="10" t="s">
        <v>1630</v>
      </c>
      <c r="F250" s="11" t="s">
        <v>118</v>
      </c>
      <c r="G250" s="10" t="s">
        <v>1640</v>
      </c>
      <c r="H250" s="10" t="s">
        <v>2340</v>
      </c>
      <c r="I250" s="12" t="s">
        <v>1039</v>
      </c>
      <c r="J250" s="10" t="s">
        <v>1040</v>
      </c>
      <c r="K250" s="10" t="s">
        <v>1031</v>
      </c>
      <c r="L250" s="10" t="s">
        <v>1247</v>
      </c>
      <c r="M250" s="12" t="s">
        <v>114</v>
      </c>
      <c r="N250" s="13" t="s">
        <v>1034</v>
      </c>
    </row>
    <row r="251" spans="1:14" s="1" customFormat="1" ht="17.100000000000001" customHeight="1" x14ac:dyDescent="0.25">
      <c r="A251" s="9" t="s">
        <v>138</v>
      </c>
      <c r="B251" s="10" t="s">
        <v>809</v>
      </c>
      <c r="C251" s="10">
        <v>2016</v>
      </c>
      <c r="D251" s="11" t="s">
        <v>2083</v>
      </c>
      <c r="E251" s="10" t="s">
        <v>1630</v>
      </c>
      <c r="F251" s="11" t="s">
        <v>118</v>
      </c>
      <c r="G251" s="10" t="s">
        <v>1054</v>
      </c>
      <c r="H251" s="10" t="s">
        <v>2340</v>
      </c>
      <c r="I251" s="12" t="s">
        <v>1039</v>
      </c>
      <c r="J251" s="10" t="s">
        <v>1040</v>
      </c>
      <c r="K251" s="10" t="s">
        <v>1031</v>
      </c>
      <c r="L251" s="10" t="s">
        <v>1247</v>
      </c>
      <c r="M251" s="10" t="s">
        <v>1104</v>
      </c>
      <c r="N251" s="14" t="s">
        <v>1035</v>
      </c>
    </row>
    <row r="252" spans="1:14" s="1" customFormat="1" ht="17.100000000000001" customHeight="1" x14ac:dyDescent="0.25">
      <c r="A252" s="9" t="s">
        <v>161</v>
      </c>
      <c r="B252" s="10" t="s">
        <v>162</v>
      </c>
      <c r="C252" s="10">
        <v>2018</v>
      </c>
      <c r="D252" s="11" t="s">
        <v>1794</v>
      </c>
      <c r="E252" s="10" t="s">
        <v>1630</v>
      </c>
      <c r="F252" s="11" t="s">
        <v>149</v>
      </c>
      <c r="G252" s="10" t="s">
        <v>1608</v>
      </c>
      <c r="H252" s="10" t="s">
        <v>2374</v>
      </c>
      <c r="I252" s="12" t="s">
        <v>1029</v>
      </c>
      <c r="J252" s="10" t="s">
        <v>1036</v>
      </c>
      <c r="K252" s="10" t="s">
        <v>1031</v>
      </c>
      <c r="L252" s="10" t="s">
        <v>1032</v>
      </c>
      <c r="M252" s="10" t="s">
        <v>1107</v>
      </c>
      <c r="N252" s="14" t="s">
        <v>1035</v>
      </c>
    </row>
    <row r="253" spans="1:14" s="1" customFormat="1" ht="17.100000000000001" customHeight="1" x14ac:dyDescent="0.25">
      <c r="A253" s="9" t="s">
        <v>478</v>
      </c>
      <c r="B253" s="10" t="s">
        <v>850</v>
      </c>
      <c r="C253" s="10">
        <v>2019</v>
      </c>
      <c r="D253" s="11" t="s">
        <v>1883</v>
      </c>
      <c r="E253" s="10" t="s">
        <v>1630</v>
      </c>
      <c r="F253" s="11" t="s">
        <v>149</v>
      </c>
      <c r="G253" s="10" t="s">
        <v>1054</v>
      </c>
      <c r="H253" s="10" t="s">
        <v>2338</v>
      </c>
      <c r="I253" s="12" t="s">
        <v>1029</v>
      </c>
      <c r="J253" s="10" t="s">
        <v>1030</v>
      </c>
      <c r="K253" s="10" t="s">
        <v>1031</v>
      </c>
      <c r="L253" s="10" t="s">
        <v>1247</v>
      </c>
      <c r="M253" s="10" t="s">
        <v>1143</v>
      </c>
      <c r="N253" s="13" t="s">
        <v>1645</v>
      </c>
    </row>
    <row r="254" spans="1:14" s="1" customFormat="1" ht="17.100000000000001" customHeight="1" x14ac:dyDescent="0.25">
      <c r="A254" s="9" t="s">
        <v>157</v>
      </c>
      <c r="B254" s="10" t="s">
        <v>158</v>
      </c>
      <c r="C254" s="10">
        <v>2021</v>
      </c>
      <c r="D254" s="11" t="s">
        <v>1732</v>
      </c>
      <c r="E254" s="10" t="s">
        <v>1630</v>
      </c>
      <c r="F254" s="11" t="s">
        <v>149</v>
      </c>
      <c r="G254" s="10" t="s">
        <v>1054</v>
      </c>
      <c r="H254" s="10" t="s">
        <v>2368</v>
      </c>
      <c r="I254" s="12" t="s">
        <v>1029</v>
      </c>
      <c r="J254" s="10" t="s">
        <v>1030</v>
      </c>
      <c r="K254" s="12" t="s">
        <v>1037</v>
      </c>
      <c r="L254" s="10" t="s">
        <v>1042</v>
      </c>
      <c r="M254" s="10" t="s">
        <v>1106</v>
      </c>
      <c r="N254" s="14" t="s">
        <v>1035</v>
      </c>
    </row>
    <row r="255" spans="1:14" s="1" customFormat="1" ht="17.100000000000001" customHeight="1" x14ac:dyDescent="0.25">
      <c r="A255" s="9" t="s">
        <v>490</v>
      </c>
      <c r="B255" s="10" t="s">
        <v>860</v>
      </c>
      <c r="C255" s="10">
        <v>2019</v>
      </c>
      <c r="D255" s="11" t="s">
        <v>1660</v>
      </c>
      <c r="E255" s="10" t="s">
        <v>1630</v>
      </c>
      <c r="F255" s="11" t="s">
        <v>149</v>
      </c>
      <c r="G255" s="10" t="s">
        <v>2266</v>
      </c>
      <c r="H255" s="10" t="s">
        <v>2326</v>
      </c>
      <c r="I255" s="12" t="s">
        <v>1039</v>
      </c>
      <c r="J255" s="10" t="s">
        <v>1030</v>
      </c>
      <c r="K255" s="10" t="s">
        <v>1031</v>
      </c>
      <c r="L255" s="10" t="s">
        <v>1032</v>
      </c>
      <c r="M255" s="10" t="s">
        <v>1139</v>
      </c>
      <c r="N255" s="14" t="s">
        <v>1035</v>
      </c>
    </row>
    <row r="256" spans="1:14" s="1" customFormat="1" ht="17.100000000000001" customHeight="1" x14ac:dyDescent="0.25">
      <c r="A256" s="9" t="s">
        <v>151</v>
      </c>
      <c r="B256" s="10" t="s">
        <v>152</v>
      </c>
      <c r="C256" s="10">
        <v>2014</v>
      </c>
      <c r="D256" s="11" t="s">
        <v>1793</v>
      </c>
      <c r="E256" s="10" t="s">
        <v>1630</v>
      </c>
      <c r="F256" s="11" t="s">
        <v>149</v>
      </c>
      <c r="G256" s="10" t="s">
        <v>1560</v>
      </c>
      <c r="H256" s="10" t="s">
        <v>2326</v>
      </c>
      <c r="I256" s="12" t="s">
        <v>1029</v>
      </c>
      <c r="J256" s="10" t="s">
        <v>1036</v>
      </c>
      <c r="K256" s="10" t="s">
        <v>1031</v>
      </c>
      <c r="L256" s="10" t="s">
        <v>1042</v>
      </c>
      <c r="M256" s="10" t="s">
        <v>1105</v>
      </c>
      <c r="N256" s="14" t="s">
        <v>1035</v>
      </c>
    </row>
    <row r="257" spans="1:14" s="1" customFormat="1" ht="17.100000000000001" customHeight="1" x14ac:dyDescent="0.25">
      <c r="A257" s="9" t="s">
        <v>879</v>
      </c>
      <c r="B257" s="10" t="s">
        <v>880</v>
      </c>
      <c r="C257" s="10">
        <v>2019</v>
      </c>
      <c r="D257" s="11" t="s">
        <v>1854</v>
      </c>
      <c r="E257" s="10" t="s">
        <v>1630</v>
      </c>
      <c r="F257" s="11" t="s">
        <v>149</v>
      </c>
      <c r="G257" s="10" t="s">
        <v>1054</v>
      </c>
      <c r="H257" s="10" t="s">
        <v>2326</v>
      </c>
      <c r="I257" s="12" t="s">
        <v>1029</v>
      </c>
      <c r="J257" s="10" t="s">
        <v>1036</v>
      </c>
      <c r="K257" s="10" t="s">
        <v>1031</v>
      </c>
      <c r="L257" s="10" t="s">
        <v>1032</v>
      </c>
      <c r="M257" s="10" t="s">
        <v>1067</v>
      </c>
      <c r="N257" s="13" t="s">
        <v>1034</v>
      </c>
    </row>
    <row r="258" spans="1:14" s="1" customFormat="1" ht="17.100000000000001" customHeight="1" x14ac:dyDescent="0.25">
      <c r="A258" s="9" t="s">
        <v>560</v>
      </c>
      <c r="B258" s="10" t="s">
        <v>876</v>
      </c>
      <c r="C258" s="10">
        <v>2022</v>
      </c>
      <c r="D258" s="11" t="s">
        <v>1853</v>
      </c>
      <c r="E258" s="10" t="s">
        <v>1630</v>
      </c>
      <c r="F258" s="11" t="s">
        <v>149</v>
      </c>
      <c r="G258" s="10" t="s">
        <v>1177</v>
      </c>
      <c r="H258" s="10" t="s">
        <v>2326</v>
      </c>
      <c r="I258" s="12" t="s">
        <v>1039</v>
      </c>
      <c r="J258" s="10" t="s">
        <v>1036</v>
      </c>
      <c r="K258" s="10" t="s">
        <v>1031</v>
      </c>
      <c r="L258" s="10" t="s">
        <v>1247</v>
      </c>
      <c r="M258" s="10" t="s">
        <v>1150</v>
      </c>
      <c r="N258" s="13" t="s">
        <v>1034</v>
      </c>
    </row>
    <row r="259" spans="1:14" s="1" customFormat="1" ht="17.100000000000001" customHeight="1" x14ac:dyDescent="0.25">
      <c r="A259" s="9" t="s">
        <v>1255</v>
      </c>
      <c r="B259" s="10" t="s">
        <v>1256</v>
      </c>
      <c r="C259" s="10">
        <v>2018</v>
      </c>
      <c r="D259" s="11" t="s">
        <v>2112</v>
      </c>
      <c r="E259" s="10" t="s">
        <v>1630</v>
      </c>
      <c r="F259" s="11" t="s">
        <v>149</v>
      </c>
      <c r="G259" s="10" t="s">
        <v>2266</v>
      </c>
      <c r="H259" s="10" t="s">
        <v>2326</v>
      </c>
      <c r="I259" s="10" t="s">
        <v>1039</v>
      </c>
      <c r="J259" s="10" t="s">
        <v>1030</v>
      </c>
      <c r="K259" s="12" t="s">
        <v>1037</v>
      </c>
      <c r="L259" s="10" t="s">
        <v>1247</v>
      </c>
      <c r="M259" s="12" t="s">
        <v>1055</v>
      </c>
      <c r="N259" s="13" t="s">
        <v>1035</v>
      </c>
    </row>
    <row r="260" spans="1:14" s="1" customFormat="1" ht="17.100000000000001" customHeight="1" x14ac:dyDescent="0.25">
      <c r="A260" s="9" t="s">
        <v>147</v>
      </c>
      <c r="B260" s="10" t="s">
        <v>148</v>
      </c>
      <c r="C260" s="10">
        <v>2012</v>
      </c>
      <c r="D260" s="11" t="s">
        <v>1792</v>
      </c>
      <c r="E260" s="10" t="s">
        <v>1630</v>
      </c>
      <c r="F260" s="11" t="s">
        <v>149</v>
      </c>
      <c r="G260" s="10" t="s">
        <v>1182</v>
      </c>
      <c r="H260" s="10" t="s">
        <v>2326</v>
      </c>
      <c r="I260" s="12" t="s">
        <v>1039</v>
      </c>
      <c r="J260" s="10" t="s">
        <v>1036</v>
      </c>
      <c r="K260" s="12" t="s">
        <v>1037</v>
      </c>
      <c r="L260" s="10" t="s">
        <v>1247</v>
      </c>
      <c r="M260" s="12" t="s">
        <v>1055</v>
      </c>
      <c r="N260" s="14" t="s">
        <v>1035</v>
      </c>
    </row>
    <row r="261" spans="1:14" s="1" customFormat="1" ht="17.100000000000001" customHeight="1" x14ac:dyDescent="0.25">
      <c r="A261" s="27" t="s">
        <v>1614</v>
      </c>
      <c r="B261" s="28" t="s">
        <v>1615</v>
      </c>
      <c r="C261" s="29">
        <v>2018</v>
      </c>
      <c r="D261" s="11" t="s">
        <v>1680</v>
      </c>
      <c r="E261" s="28" t="s">
        <v>1630</v>
      </c>
      <c r="F261" s="30" t="s">
        <v>149</v>
      </c>
      <c r="G261" s="29" t="s">
        <v>2266</v>
      </c>
      <c r="H261" s="29" t="s">
        <v>2334</v>
      </c>
      <c r="I261" s="29" t="s">
        <v>1493</v>
      </c>
      <c r="J261" s="29" t="s">
        <v>1040</v>
      </c>
      <c r="K261" s="12" t="s">
        <v>1037</v>
      </c>
      <c r="L261" s="10" t="s">
        <v>1247</v>
      </c>
      <c r="M261" s="29" t="s">
        <v>1627</v>
      </c>
      <c r="N261" s="43" t="s">
        <v>1035</v>
      </c>
    </row>
    <row r="262" spans="1:14" s="1" customFormat="1" ht="17.100000000000001" customHeight="1" x14ac:dyDescent="0.25">
      <c r="A262" s="9" t="s">
        <v>150</v>
      </c>
      <c r="B262" s="10" t="s">
        <v>873</v>
      </c>
      <c r="C262" s="10">
        <v>2021</v>
      </c>
      <c r="D262" s="11" t="s">
        <v>1874</v>
      </c>
      <c r="E262" s="10" t="s">
        <v>1630</v>
      </c>
      <c r="F262" s="11" t="s">
        <v>149</v>
      </c>
      <c r="G262" s="10" t="s">
        <v>2275</v>
      </c>
      <c r="H262" s="10" t="s">
        <v>1161</v>
      </c>
      <c r="I262" s="12" t="s">
        <v>1039</v>
      </c>
      <c r="J262" s="10" t="s">
        <v>1030</v>
      </c>
      <c r="K262" s="10" t="s">
        <v>1031</v>
      </c>
      <c r="L262" s="10" t="s">
        <v>1247</v>
      </c>
      <c r="M262" s="10" t="s">
        <v>1067</v>
      </c>
      <c r="N262" s="14" t="s">
        <v>1035</v>
      </c>
    </row>
    <row r="263" spans="1:14" s="1" customFormat="1" ht="17.100000000000001" customHeight="1" x14ac:dyDescent="0.25">
      <c r="A263" s="9" t="s">
        <v>1328</v>
      </c>
      <c r="B263" s="10" t="s">
        <v>1329</v>
      </c>
      <c r="C263" s="10">
        <v>2017</v>
      </c>
      <c r="D263" s="11" t="s">
        <v>2139</v>
      </c>
      <c r="E263" s="10" t="s">
        <v>1630</v>
      </c>
      <c r="F263" s="11" t="s">
        <v>149</v>
      </c>
      <c r="G263" s="10" t="s">
        <v>2283</v>
      </c>
      <c r="H263" s="10" t="s">
        <v>1161</v>
      </c>
      <c r="I263" s="10" t="s">
        <v>1039</v>
      </c>
      <c r="J263" s="10" t="s">
        <v>1030</v>
      </c>
      <c r="K263" s="12" t="s">
        <v>1037</v>
      </c>
      <c r="L263" s="10" t="s">
        <v>1247</v>
      </c>
      <c r="M263" s="10" t="s">
        <v>114</v>
      </c>
      <c r="N263" s="13" t="s">
        <v>1035</v>
      </c>
    </row>
    <row r="264" spans="1:14" s="1" customFormat="1" ht="17.100000000000001" customHeight="1" x14ac:dyDescent="0.25">
      <c r="A264" s="9" t="s">
        <v>1326</v>
      </c>
      <c r="B264" s="10" t="s">
        <v>1327</v>
      </c>
      <c r="C264" s="10">
        <v>2018</v>
      </c>
      <c r="D264" s="11" t="s">
        <v>2138</v>
      </c>
      <c r="E264" s="10" t="s">
        <v>1630</v>
      </c>
      <c r="F264" s="11" t="s">
        <v>149</v>
      </c>
      <c r="G264" s="10" t="s">
        <v>2284</v>
      </c>
      <c r="H264" s="10" t="s">
        <v>1161</v>
      </c>
      <c r="I264" s="10" t="s">
        <v>1039</v>
      </c>
      <c r="J264" s="10" t="s">
        <v>1040</v>
      </c>
      <c r="K264" s="12" t="s">
        <v>1037</v>
      </c>
      <c r="L264" s="10" t="s">
        <v>1247</v>
      </c>
      <c r="M264" s="10" t="s">
        <v>1050</v>
      </c>
      <c r="N264" s="13" t="s">
        <v>1035</v>
      </c>
    </row>
    <row r="265" spans="1:14" s="1" customFormat="1" ht="17.100000000000001" customHeight="1" x14ac:dyDescent="0.25">
      <c r="A265" s="9" t="s">
        <v>326</v>
      </c>
      <c r="B265" s="10" t="s">
        <v>875</v>
      </c>
      <c r="C265" s="10">
        <v>2019</v>
      </c>
      <c r="D265" s="11" t="s">
        <v>2031</v>
      </c>
      <c r="E265" s="10" t="s">
        <v>1630</v>
      </c>
      <c r="F265" s="11" t="s">
        <v>149</v>
      </c>
      <c r="G265" s="12" t="s">
        <v>1028</v>
      </c>
      <c r="H265" s="10" t="s">
        <v>1166</v>
      </c>
      <c r="I265" s="12" t="s">
        <v>1029</v>
      </c>
      <c r="J265" s="10" t="s">
        <v>1040</v>
      </c>
      <c r="K265" s="10" t="s">
        <v>1031</v>
      </c>
      <c r="L265" s="10" t="s">
        <v>1032</v>
      </c>
      <c r="M265" s="10" t="s">
        <v>1216</v>
      </c>
      <c r="N265" s="13" t="s">
        <v>1034</v>
      </c>
    </row>
    <row r="266" spans="1:14" s="1" customFormat="1" ht="17.100000000000001" customHeight="1" x14ac:dyDescent="0.25">
      <c r="A266" s="9" t="s">
        <v>1300</v>
      </c>
      <c r="B266" s="10" t="s">
        <v>1301</v>
      </c>
      <c r="C266" s="10">
        <v>2017</v>
      </c>
      <c r="D266" s="11" t="s">
        <v>2128</v>
      </c>
      <c r="E266" s="10" t="s">
        <v>1630</v>
      </c>
      <c r="F266" s="11" t="s">
        <v>149</v>
      </c>
      <c r="G266" s="10" t="s">
        <v>2266</v>
      </c>
      <c r="H266" s="10" t="s">
        <v>1057</v>
      </c>
      <c r="I266" s="10" t="s">
        <v>1039</v>
      </c>
      <c r="J266" s="10" t="s">
        <v>1030</v>
      </c>
      <c r="K266" s="10" t="s">
        <v>1031</v>
      </c>
      <c r="L266" s="10" t="s">
        <v>1247</v>
      </c>
      <c r="M266" s="10" t="s">
        <v>1302</v>
      </c>
      <c r="N266" s="13" t="s">
        <v>1035</v>
      </c>
    </row>
    <row r="267" spans="1:14" s="1" customFormat="1" ht="17.100000000000001" customHeight="1" x14ac:dyDescent="0.25">
      <c r="A267" s="9" t="s">
        <v>325</v>
      </c>
      <c r="B267" s="10" t="s">
        <v>877</v>
      </c>
      <c r="C267" s="10">
        <v>2021</v>
      </c>
      <c r="D267" s="11" t="s">
        <v>1972</v>
      </c>
      <c r="E267" s="10" t="s">
        <v>1630</v>
      </c>
      <c r="F267" s="11" t="s">
        <v>149</v>
      </c>
      <c r="G267" s="10" t="s">
        <v>2266</v>
      </c>
      <c r="H267" s="10" t="s">
        <v>1057</v>
      </c>
      <c r="I267" s="12" t="s">
        <v>1029</v>
      </c>
      <c r="J267" s="10" t="s">
        <v>1030</v>
      </c>
      <c r="K267" s="10" t="s">
        <v>1031</v>
      </c>
      <c r="L267" s="10" t="s">
        <v>1032</v>
      </c>
      <c r="M267" s="12" t="s">
        <v>114</v>
      </c>
      <c r="N267" s="14" t="s">
        <v>1035</v>
      </c>
    </row>
    <row r="268" spans="1:14" s="1" customFormat="1" ht="17.100000000000001" customHeight="1" x14ac:dyDescent="0.25">
      <c r="A268" s="9" t="s">
        <v>479</v>
      </c>
      <c r="B268" s="10" t="s">
        <v>881</v>
      </c>
      <c r="C268" s="10">
        <v>2019</v>
      </c>
      <c r="D268" s="11" t="s">
        <v>1967</v>
      </c>
      <c r="E268" s="10" t="s">
        <v>1630</v>
      </c>
      <c r="F268" s="11" t="s">
        <v>149</v>
      </c>
      <c r="G268" s="10" t="s">
        <v>1028</v>
      </c>
      <c r="H268" s="10" t="s">
        <v>1057</v>
      </c>
      <c r="I268" s="12" t="s">
        <v>1029</v>
      </c>
      <c r="J268" s="10" t="s">
        <v>1036</v>
      </c>
      <c r="K268" s="10" t="s">
        <v>1031</v>
      </c>
      <c r="L268" s="10" t="s">
        <v>1247</v>
      </c>
      <c r="M268" s="10" t="s">
        <v>1104</v>
      </c>
      <c r="N268" s="14" t="s">
        <v>1035</v>
      </c>
    </row>
    <row r="269" spans="1:14" s="1" customFormat="1" ht="17.100000000000001" customHeight="1" x14ac:dyDescent="0.25">
      <c r="A269" s="9" t="s">
        <v>154</v>
      </c>
      <c r="B269" s="10" t="s">
        <v>811</v>
      </c>
      <c r="C269" s="12">
        <v>2015</v>
      </c>
      <c r="D269" s="11" t="s">
        <v>1748</v>
      </c>
      <c r="E269" s="10" t="s">
        <v>1630</v>
      </c>
      <c r="F269" s="11" t="s">
        <v>149</v>
      </c>
      <c r="G269" s="12" t="s">
        <v>1028</v>
      </c>
      <c r="H269" s="10" t="s">
        <v>1057</v>
      </c>
      <c r="I269" s="12" t="s">
        <v>1029</v>
      </c>
      <c r="J269" s="12" t="s">
        <v>1040</v>
      </c>
      <c r="K269" s="10" t="s">
        <v>1031</v>
      </c>
      <c r="L269" s="12" t="s">
        <v>1042</v>
      </c>
      <c r="M269" s="12" t="s">
        <v>114</v>
      </c>
      <c r="N269" s="14" t="s">
        <v>1035</v>
      </c>
    </row>
    <row r="270" spans="1:14" s="1" customFormat="1" ht="17.100000000000001" customHeight="1" x14ac:dyDescent="0.25">
      <c r="A270" s="9" t="s">
        <v>878</v>
      </c>
      <c r="B270" s="10" t="s">
        <v>540</v>
      </c>
      <c r="C270" s="10">
        <v>2022</v>
      </c>
      <c r="D270" s="11" t="s">
        <v>2256</v>
      </c>
      <c r="E270" s="10" t="s">
        <v>1630</v>
      </c>
      <c r="F270" s="11" t="s">
        <v>149</v>
      </c>
      <c r="G270" s="10" t="s">
        <v>1177</v>
      </c>
      <c r="H270" s="10" t="s">
        <v>1057</v>
      </c>
      <c r="I270" s="10" t="s">
        <v>1039</v>
      </c>
      <c r="J270" s="10" t="s">
        <v>1040</v>
      </c>
      <c r="K270" s="10" t="s">
        <v>1031</v>
      </c>
      <c r="L270" s="10" t="s">
        <v>1247</v>
      </c>
      <c r="M270" s="10" t="s">
        <v>1055</v>
      </c>
      <c r="N270" s="13" t="s">
        <v>1035</v>
      </c>
    </row>
    <row r="271" spans="1:14" s="1" customFormat="1" ht="17.100000000000001" customHeight="1" x14ac:dyDescent="0.25">
      <c r="A271" s="9" t="s">
        <v>472</v>
      </c>
      <c r="B271" s="10" t="s">
        <v>874</v>
      </c>
      <c r="C271" s="10">
        <v>2021</v>
      </c>
      <c r="D271" s="11" t="s">
        <v>1942</v>
      </c>
      <c r="E271" s="10" t="s">
        <v>1630</v>
      </c>
      <c r="F271" s="11" t="s">
        <v>149</v>
      </c>
      <c r="G271" s="12" t="s">
        <v>1028</v>
      </c>
      <c r="H271" s="10" t="s">
        <v>1168</v>
      </c>
      <c r="I271" s="10" t="s">
        <v>1493</v>
      </c>
      <c r="J271" s="10" t="s">
        <v>1030</v>
      </c>
      <c r="K271" s="10" t="s">
        <v>1031</v>
      </c>
      <c r="L271" s="10" t="s">
        <v>1032</v>
      </c>
      <c r="M271" s="10" t="s">
        <v>1221</v>
      </c>
      <c r="N271" s="13" t="s">
        <v>1041</v>
      </c>
    </row>
    <row r="272" spans="1:14" s="1" customFormat="1" ht="17.100000000000001" customHeight="1" x14ac:dyDescent="0.25">
      <c r="A272" s="9" t="s">
        <v>159</v>
      </c>
      <c r="B272" s="10" t="s">
        <v>814</v>
      </c>
      <c r="C272" s="10">
        <v>2018</v>
      </c>
      <c r="D272" s="11" t="s">
        <v>2047</v>
      </c>
      <c r="E272" s="10" t="s">
        <v>1630</v>
      </c>
      <c r="F272" s="11" t="s">
        <v>149</v>
      </c>
      <c r="G272" s="10" t="s">
        <v>1062</v>
      </c>
      <c r="H272" s="10" t="s">
        <v>2419</v>
      </c>
      <c r="I272" s="12" t="s">
        <v>1029</v>
      </c>
      <c r="J272" s="10" t="s">
        <v>1036</v>
      </c>
      <c r="K272" s="10" t="s">
        <v>1031</v>
      </c>
      <c r="L272" s="10" t="s">
        <v>1032</v>
      </c>
      <c r="M272" s="10" t="s">
        <v>1106</v>
      </c>
      <c r="N272" s="14" t="s">
        <v>1035</v>
      </c>
    </row>
    <row r="273" spans="1:14" s="1" customFormat="1" ht="17.100000000000001" customHeight="1" x14ac:dyDescent="0.25">
      <c r="A273" s="9" t="s">
        <v>836</v>
      </c>
      <c r="B273" s="10" t="s">
        <v>837</v>
      </c>
      <c r="C273" s="10">
        <v>2018</v>
      </c>
      <c r="D273" s="11" t="s">
        <v>2235</v>
      </c>
      <c r="E273" s="10" t="s">
        <v>1630</v>
      </c>
      <c r="F273" s="11" t="s">
        <v>149</v>
      </c>
      <c r="G273" s="10" t="s">
        <v>1054</v>
      </c>
      <c r="H273" s="10" t="s">
        <v>1172</v>
      </c>
      <c r="I273" s="12" t="s">
        <v>1029</v>
      </c>
      <c r="J273" s="10" t="s">
        <v>1036</v>
      </c>
      <c r="K273" s="10" t="s">
        <v>1031</v>
      </c>
      <c r="L273" s="10" t="s">
        <v>1247</v>
      </c>
      <c r="M273" s="10" t="s">
        <v>114</v>
      </c>
      <c r="N273" s="13" t="s">
        <v>1035</v>
      </c>
    </row>
    <row r="274" spans="1:14" s="1" customFormat="1" ht="17.100000000000001" customHeight="1" x14ac:dyDescent="0.25">
      <c r="A274" s="9" t="s">
        <v>160</v>
      </c>
      <c r="B274" s="10" t="s">
        <v>815</v>
      </c>
      <c r="C274" s="10">
        <v>2016</v>
      </c>
      <c r="D274" s="11" t="s">
        <v>1927</v>
      </c>
      <c r="E274" s="10" t="s">
        <v>1630</v>
      </c>
      <c r="F274" s="11" t="s">
        <v>149</v>
      </c>
      <c r="G274" s="10" t="s">
        <v>1054</v>
      </c>
      <c r="H274" s="10" t="s">
        <v>1178</v>
      </c>
      <c r="I274" s="12" t="s">
        <v>1039</v>
      </c>
      <c r="J274" s="12" t="s">
        <v>1689</v>
      </c>
      <c r="K274" s="10" t="s">
        <v>1031</v>
      </c>
      <c r="L274" s="10" t="s">
        <v>1247</v>
      </c>
      <c r="M274" s="10" t="s">
        <v>1089</v>
      </c>
      <c r="N274" s="14" t="s">
        <v>1035</v>
      </c>
    </row>
    <row r="275" spans="1:14" s="1" customFormat="1" ht="17.100000000000001" customHeight="1" x14ac:dyDescent="0.25">
      <c r="A275" s="9" t="s">
        <v>1268</v>
      </c>
      <c r="B275" s="10" t="s">
        <v>1269</v>
      </c>
      <c r="C275" s="10">
        <v>2018</v>
      </c>
      <c r="D275" s="11" t="s">
        <v>2116</v>
      </c>
      <c r="E275" s="10" t="s">
        <v>1630</v>
      </c>
      <c r="F275" s="11" t="s">
        <v>149</v>
      </c>
      <c r="G275" s="10" t="s">
        <v>2277</v>
      </c>
      <c r="H275" s="10" t="s">
        <v>1270</v>
      </c>
      <c r="I275" s="10" t="s">
        <v>1039</v>
      </c>
      <c r="J275" s="10" t="s">
        <v>1030</v>
      </c>
      <c r="K275" s="10" t="s">
        <v>1031</v>
      </c>
      <c r="L275" s="10" t="s">
        <v>1247</v>
      </c>
      <c r="M275" s="10" t="s">
        <v>114</v>
      </c>
      <c r="N275" s="13" t="s">
        <v>1035</v>
      </c>
    </row>
    <row r="276" spans="1:14" s="1" customFormat="1" ht="17.100000000000001" customHeight="1" x14ac:dyDescent="0.25">
      <c r="A276" s="9" t="s">
        <v>155</v>
      </c>
      <c r="B276" s="10" t="s">
        <v>812</v>
      </c>
      <c r="C276" s="10">
        <v>2018</v>
      </c>
      <c r="D276" s="11" t="s">
        <v>2084</v>
      </c>
      <c r="E276" s="10" t="s">
        <v>1630</v>
      </c>
      <c r="F276" s="11" t="s">
        <v>149</v>
      </c>
      <c r="G276" s="10" t="s">
        <v>2266</v>
      </c>
      <c r="H276" s="10" t="s">
        <v>2359</v>
      </c>
      <c r="I276" s="12" t="s">
        <v>1029</v>
      </c>
      <c r="J276" s="10" t="s">
        <v>1030</v>
      </c>
      <c r="K276" s="10" t="s">
        <v>1031</v>
      </c>
      <c r="L276" s="10" t="s">
        <v>1032</v>
      </c>
      <c r="M276" s="10" t="s">
        <v>1237</v>
      </c>
      <c r="N276" s="14" t="s">
        <v>1035</v>
      </c>
    </row>
    <row r="277" spans="1:14" s="1" customFormat="1" ht="17.100000000000001" customHeight="1" x14ac:dyDescent="0.25">
      <c r="A277" s="9" t="s">
        <v>1271</v>
      </c>
      <c r="B277" s="10" t="s">
        <v>1272</v>
      </c>
      <c r="C277" s="10">
        <v>2015</v>
      </c>
      <c r="D277" s="11" t="s">
        <v>2117</v>
      </c>
      <c r="E277" s="10" t="s">
        <v>1630</v>
      </c>
      <c r="F277" s="11" t="s">
        <v>149</v>
      </c>
      <c r="G277" s="10" t="s">
        <v>1538</v>
      </c>
      <c r="H277" s="10" t="s">
        <v>1230</v>
      </c>
      <c r="I277" s="10" t="s">
        <v>1039</v>
      </c>
      <c r="J277" s="10" t="s">
        <v>1030</v>
      </c>
      <c r="K277" s="10" t="s">
        <v>1031</v>
      </c>
      <c r="L277" s="10" t="s">
        <v>1247</v>
      </c>
      <c r="M277" s="10" t="s">
        <v>1050</v>
      </c>
      <c r="N277" s="13" t="s">
        <v>1035</v>
      </c>
    </row>
    <row r="278" spans="1:14" s="1" customFormat="1" ht="17.100000000000001" customHeight="1" x14ac:dyDescent="0.25">
      <c r="A278" s="9" t="s">
        <v>1233</v>
      </c>
      <c r="B278" s="10" t="s">
        <v>459</v>
      </c>
      <c r="C278" s="10">
        <v>2022</v>
      </c>
      <c r="D278" s="11" t="s">
        <v>2060</v>
      </c>
      <c r="E278" s="10" t="s">
        <v>1630</v>
      </c>
      <c r="F278" s="11" t="s">
        <v>149</v>
      </c>
      <c r="G278" s="10" t="s">
        <v>1538</v>
      </c>
      <c r="H278" s="10" t="s">
        <v>1230</v>
      </c>
      <c r="I278" s="12" t="s">
        <v>1039</v>
      </c>
      <c r="J278" s="10" t="s">
        <v>1030</v>
      </c>
      <c r="K278" s="10" t="s">
        <v>1031</v>
      </c>
      <c r="L278" s="10" t="s">
        <v>1247</v>
      </c>
      <c r="M278" s="10" t="s">
        <v>1151</v>
      </c>
      <c r="N278" s="14" t="s">
        <v>1035</v>
      </c>
    </row>
    <row r="279" spans="1:14" s="1" customFormat="1" ht="17.100000000000001" customHeight="1" x14ac:dyDescent="0.25">
      <c r="A279" s="9" t="s">
        <v>327</v>
      </c>
      <c r="B279" s="10" t="s">
        <v>835</v>
      </c>
      <c r="C279" s="10">
        <v>2018</v>
      </c>
      <c r="D279" s="11" t="s">
        <v>2035</v>
      </c>
      <c r="E279" s="10" t="s">
        <v>1630</v>
      </c>
      <c r="F279" s="11" t="s">
        <v>149</v>
      </c>
      <c r="G279" s="10" t="s">
        <v>1538</v>
      </c>
      <c r="H279" s="10" t="s">
        <v>1230</v>
      </c>
      <c r="I279" s="12" t="s">
        <v>1039</v>
      </c>
      <c r="J279" s="10" t="s">
        <v>1114</v>
      </c>
      <c r="K279" s="10" t="s">
        <v>1031</v>
      </c>
      <c r="L279" s="10" t="s">
        <v>1247</v>
      </c>
      <c r="M279" s="10" t="s">
        <v>1232</v>
      </c>
      <c r="N279" s="14" t="s">
        <v>1035</v>
      </c>
    </row>
    <row r="280" spans="1:14" s="1" customFormat="1" ht="17.100000000000001" customHeight="1" x14ac:dyDescent="0.25">
      <c r="A280" s="9" t="s">
        <v>487</v>
      </c>
      <c r="B280" s="10" t="s">
        <v>857</v>
      </c>
      <c r="C280" s="10">
        <v>2019</v>
      </c>
      <c r="D280" s="11" t="s">
        <v>1674</v>
      </c>
      <c r="E280" s="10" t="s">
        <v>1630</v>
      </c>
      <c r="F280" s="11" t="s">
        <v>149</v>
      </c>
      <c r="G280" s="10" t="s">
        <v>1538</v>
      </c>
      <c r="H280" s="10" t="s">
        <v>1230</v>
      </c>
      <c r="I280" s="12" t="s">
        <v>1039</v>
      </c>
      <c r="J280" s="10" t="s">
        <v>1040</v>
      </c>
      <c r="K280" s="10" t="s">
        <v>1031</v>
      </c>
      <c r="L280" s="10" t="s">
        <v>1032</v>
      </c>
      <c r="M280" s="10" t="s">
        <v>1093</v>
      </c>
      <c r="N280" s="14" t="s">
        <v>1035</v>
      </c>
    </row>
    <row r="281" spans="1:14" s="1" customFormat="1" ht="17.100000000000001" customHeight="1" x14ac:dyDescent="0.25">
      <c r="A281" s="9" t="s">
        <v>489</v>
      </c>
      <c r="B281" s="10" t="s">
        <v>859</v>
      </c>
      <c r="C281" s="10">
        <v>2019</v>
      </c>
      <c r="D281" s="11" t="s">
        <v>1675</v>
      </c>
      <c r="E281" s="10" t="s">
        <v>1630</v>
      </c>
      <c r="F281" s="11" t="s">
        <v>149</v>
      </c>
      <c r="G281" s="10" t="s">
        <v>1538</v>
      </c>
      <c r="H281" s="10" t="s">
        <v>1230</v>
      </c>
      <c r="I281" s="12" t="s">
        <v>1029</v>
      </c>
      <c r="J281" s="10" t="s">
        <v>1040</v>
      </c>
      <c r="K281" s="10" t="s">
        <v>1031</v>
      </c>
      <c r="L281" s="10" t="s">
        <v>1032</v>
      </c>
      <c r="M281" s="12" t="s">
        <v>114</v>
      </c>
      <c r="N281" s="14" t="s">
        <v>1035</v>
      </c>
    </row>
    <row r="282" spans="1:14" s="1" customFormat="1" ht="17.100000000000001" customHeight="1" x14ac:dyDescent="0.25">
      <c r="A282" s="9" t="s">
        <v>1316</v>
      </c>
      <c r="B282" s="10" t="s">
        <v>1317</v>
      </c>
      <c r="C282" s="10">
        <v>2021</v>
      </c>
      <c r="D282" s="11" t="s">
        <v>2134</v>
      </c>
      <c r="E282" s="10" t="s">
        <v>1630</v>
      </c>
      <c r="F282" s="11" t="s">
        <v>149</v>
      </c>
      <c r="G282" s="10" t="s">
        <v>1544</v>
      </c>
      <c r="H282" s="10" t="s">
        <v>1318</v>
      </c>
      <c r="I282" s="10" t="s">
        <v>1039</v>
      </c>
      <c r="J282" s="10" t="s">
        <v>1030</v>
      </c>
      <c r="K282" s="10" t="s">
        <v>1031</v>
      </c>
      <c r="L282" s="10" t="s">
        <v>1247</v>
      </c>
      <c r="M282" s="10" t="s">
        <v>1055</v>
      </c>
      <c r="N282" s="13" t="s">
        <v>1035</v>
      </c>
    </row>
    <row r="283" spans="1:14" s="1" customFormat="1" ht="17.100000000000001" customHeight="1" x14ac:dyDescent="0.25">
      <c r="A283" s="9" t="s">
        <v>163</v>
      </c>
      <c r="B283" s="10" t="s">
        <v>164</v>
      </c>
      <c r="C283" s="10">
        <v>2018</v>
      </c>
      <c r="D283" s="11" t="s">
        <v>1887</v>
      </c>
      <c r="E283" s="10" t="s">
        <v>1630</v>
      </c>
      <c r="F283" s="11" t="s">
        <v>149</v>
      </c>
      <c r="G283" s="10" t="s">
        <v>1054</v>
      </c>
      <c r="H283" s="10" t="s">
        <v>2340</v>
      </c>
      <c r="I283" s="12" t="s">
        <v>1029</v>
      </c>
      <c r="J283" s="10" t="s">
        <v>1030</v>
      </c>
      <c r="K283" s="10" t="s">
        <v>1031</v>
      </c>
      <c r="L283" s="10" t="s">
        <v>1247</v>
      </c>
      <c r="M283" s="12" t="s">
        <v>1055</v>
      </c>
      <c r="N283" s="14" t="s">
        <v>1035</v>
      </c>
    </row>
    <row r="284" spans="1:14" s="1" customFormat="1" ht="17.100000000000001" customHeight="1" x14ac:dyDescent="0.25">
      <c r="A284" s="9" t="s">
        <v>156</v>
      </c>
      <c r="B284" s="10" t="s">
        <v>813</v>
      </c>
      <c r="C284" s="10">
        <v>2014</v>
      </c>
      <c r="D284" s="11" t="s">
        <v>2085</v>
      </c>
      <c r="E284" s="10" t="s">
        <v>1630</v>
      </c>
      <c r="F284" s="11" t="s">
        <v>149</v>
      </c>
      <c r="G284" s="10" t="s">
        <v>1054</v>
      </c>
      <c r="H284" s="10" t="s">
        <v>2340</v>
      </c>
      <c r="I284" s="12" t="s">
        <v>1039</v>
      </c>
      <c r="J284" s="10" t="s">
        <v>1040</v>
      </c>
      <c r="K284" s="10" t="s">
        <v>1031</v>
      </c>
      <c r="L284" s="10" t="s">
        <v>1247</v>
      </c>
      <c r="M284" s="12" t="s">
        <v>114</v>
      </c>
      <c r="N284" s="14" t="s">
        <v>1035</v>
      </c>
    </row>
    <row r="285" spans="1:14" s="1" customFormat="1" ht="17.100000000000001" customHeight="1" x14ac:dyDescent="0.25">
      <c r="A285" s="9" t="s">
        <v>488</v>
      </c>
      <c r="B285" s="10" t="s">
        <v>858</v>
      </c>
      <c r="C285" s="10">
        <v>2019</v>
      </c>
      <c r="D285" s="11" t="s">
        <v>1671</v>
      </c>
      <c r="E285" s="10" t="s">
        <v>1630</v>
      </c>
      <c r="F285" s="11" t="s">
        <v>149</v>
      </c>
      <c r="G285" s="10" t="s">
        <v>2275</v>
      </c>
      <c r="H285" s="10" t="s">
        <v>1648</v>
      </c>
      <c r="I285" s="12" t="s">
        <v>1029</v>
      </c>
      <c r="J285" s="10" t="s">
        <v>1030</v>
      </c>
      <c r="K285" s="10" t="s">
        <v>1031</v>
      </c>
      <c r="L285" s="10" t="s">
        <v>1032</v>
      </c>
      <c r="M285" s="12" t="s">
        <v>1055</v>
      </c>
      <c r="N285" s="14" t="s">
        <v>1035</v>
      </c>
    </row>
    <row r="286" spans="1:14" s="1" customFormat="1" ht="17.100000000000001" customHeight="1" x14ac:dyDescent="0.25">
      <c r="A286" s="9" t="s">
        <v>774</v>
      </c>
      <c r="B286" s="10" t="s">
        <v>902</v>
      </c>
      <c r="C286" s="10">
        <v>2021</v>
      </c>
      <c r="D286" s="11" t="s">
        <v>1926</v>
      </c>
      <c r="E286" s="10" t="s">
        <v>1630</v>
      </c>
      <c r="F286" s="11" t="s">
        <v>149</v>
      </c>
      <c r="G286" s="10" t="s">
        <v>1028</v>
      </c>
      <c r="H286" s="10" t="s">
        <v>2344</v>
      </c>
      <c r="I286" s="12" t="s">
        <v>1029</v>
      </c>
      <c r="J286" s="10" t="s">
        <v>1040</v>
      </c>
      <c r="K286" s="10" t="s">
        <v>1031</v>
      </c>
      <c r="L286" s="10" t="s">
        <v>1042</v>
      </c>
      <c r="M286" s="12" t="s">
        <v>114</v>
      </c>
      <c r="N286" s="13" t="s">
        <v>1041</v>
      </c>
    </row>
    <row r="287" spans="1:14" s="1" customFormat="1" ht="17.100000000000001" customHeight="1" x14ac:dyDescent="0.25">
      <c r="A287" s="9" t="s">
        <v>476</v>
      </c>
      <c r="B287" s="10" t="s">
        <v>477</v>
      </c>
      <c r="C287" s="10">
        <v>2019</v>
      </c>
      <c r="D287" s="11" t="s">
        <v>1911</v>
      </c>
      <c r="E287" s="10" t="s">
        <v>1630</v>
      </c>
      <c r="F287" s="11" t="s">
        <v>149</v>
      </c>
      <c r="G287" s="10" t="s">
        <v>1028</v>
      </c>
      <c r="H287" s="10" t="s">
        <v>2322</v>
      </c>
      <c r="I287" s="12" t="s">
        <v>1039</v>
      </c>
      <c r="J287" s="10" t="s">
        <v>1040</v>
      </c>
      <c r="K287" s="10" t="s">
        <v>1031</v>
      </c>
      <c r="L287" s="10" t="s">
        <v>1032</v>
      </c>
      <c r="M287" s="12" t="s">
        <v>114</v>
      </c>
      <c r="N287" s="14" t="s">
        <v>1035</v>
      </c>
    </row>
    <row r="288" spans="1:14" s="1" customFormat="1" ht="17.100000000000001" customHeight="1" x14ac:dyDescent="0.25">
      <c r="A288" s="9" t="s">
        <v>153</v>
      </c>
      <c r="B288" s="10" t="s">
        <v>810</v>
      </c>
      <c r="C288" s="10">
        <v>2016</v>
      </c>
      <c r="D288" s="11" t="s">
        <v>1893</v>
      </c>
      <c r="E288" s="10" t="s">
        <v>1630</v>
      </c>
      <c r="F288" s="11" t="s">
        <v>149</v>
      </c>
      <c r="G288" s="31" t="s">
        <v>1184</v>
      </c>
      <c r="H288" s="31" t="s">
        <v>2265</v>
      </c>
      <c r="I288" s="12" t="s">
        <v>1039</v>
      </c>
      <c r="J288" s="10" t="s">
        <v>1040</v>
      </c>
      <c r="K288" s="10" t="s">
        <v>1031</v>
      </c>
      <c r="L288" s="10" t="s">
        <v>1247</v>
      </c>
      <c r="M288" s="10" t="s">
        <v>1104</v>
      </c>
      <c r="N288" s="14" t="s">
        <v>1035</v>
      </c>
    </row>
    <row r="289" spans="1:14" s="1" customFormat="1" ht="17.100000000000001" customHeight="1" x14ac:dyDescent="0.25">
      <c r="A289" s="9" t="s">
        <v>1296</v>
      </c>
      <c r="B289" s="10" t="s">
        <v>1297</v>
      </c>
      <c r="C289" s="10">
        <v>2019</v>
      </c>
      <c r="D289" s="11" t="s">
        <v>1901</v>
      </c>
      <c r="E289" s="10" t="s">
        <v>1630</v>
      </c>
      <c r="F289" s="11" t="s">
        <v>1266</v>
      </c>
      <c r="G289" s="10" t="s">
        <v>2275</v>
      </c>
      <c r="H289" s="10" t="s">
        <v>1161</v>
      </c>
      <c r="I289" s="10" t="s">
        <v>1039</v>
      </c>
      <c r="J289" s="10" t="s">
        <v>1030</v>
      </c>
      <c r="K289" s="10" t="s">
        <v>1031</v>
      </c>
      <c r="L289" s="10" t="s">
        <v>1247</v>
      </c>
      <c r="M289" s="10" t="s">
        <v>114</v>
      </c>
      <c r="N289" s="13" t="s">
        <v>1035</v>
      </c>
    </row>
    <row r="290" spans="1:14" s="1" customFormat="1" ht="17.100000000000001" customHeight="1" x14ac:dyDescent="0.25">
      <c r="A290" s="9" t="s">
        <v>1281</v>
      </c>
      <c r="B290" s="10" t="s">
        <v>1282</v>
      </c>
      <c r="C290" s="10">
        <v>2018</v>
      </c>
      <c r="D290" s="11" t="s">
        <v>2122</v>
      </c>
      <c r="E290" s="10" t="s">
        <v>1630</v>
      </c>
      <c r="F290" s="11" t="s">
        <v>1266</v>
      </c>
      <c r="G290" s="10" t="s">
        <v>1538</v>
      </c>
      <c r="H290" s="10" t="s">
        <v>1230</v>
      </c>
      <c r="I290" s="10" t="s">
        <v>1039</v>
      </c>
      <c r="J290" s="10" t="s">
        <v>1030</v>
      </c>
      <c r="K290" s="10" t="s">
        <v>1031</v>
      </c>
      <c r="L290" s="10" t="s">
        <v>1247</v>
      </c>
      <c r="M290" s="10" t="s">
        <v>1632</v>
      </c>
      <c r="N290" s="13" t="s">
        <v>1035</v>
      </c>
    </row>
    <row r="291" spans="1:14" s="1" customFormat="1" ht="17.100000000000001" customHeight="1" x14ac:dyDescent="0.25">
      <c r="A291" s="9" t="s">
        <v>1294</v>
      </c>
      <c r="B291" s="10" t="s">
        <v>1295</v>
      </c>
      <c r="C291" s="10">
        <v>2016</v>
      </c>
      <c r="D291" s="11" t="s">
        <v>2126</v>
      </c>
      <c r="E291" s="10" t="s">
        <v>1630</v>
      </c>
      <c r="F291" s="11" t="s">
        <v>1266</v>
      </c>
      <c r="G291" s="10" t="s">
        <v>1544</v>
      </c>
      <c r="H291" s="10" t="s">
        <v>2372</v>
      </c>
      <c r="I291" s="10" t="s">
        <v>1039</v>
      </c>
      <c r="J291" s="10" t="s">
        <v>1030</v>
      </c>
      <c r="K291" s="10" t="s">
        <v>1031</v>
      </c>
      <c r="L291" s="10" t="s">
        <v>1247</v>
      </c>
      <c r="M291" s="10" t="s">
        <v>114</v>
      </c>
      <c r="N291" s="13" t="s">
        <v>1035</v>
      </c>
    </row>
    <row r="292" spans="1:14" s="1" customFormat="1" ht="17.100000000000001" customHeight="1" x14ac:dyDescent="0.25">
      <c r="A292" s="9" t="s">
        <v>266</v>
      </c>
      <c r="B292" s="10" t="s">
        <v>267</v>
      </c>
      <c r="C292" s="10">
        <v>2013</v>
      </c>
      <c r="D292" s="11" t="s">
        <v>1830</v>
      </c>
      <c r="E292" s="10" t="s">
        <v>1630</v>
      </c>
      <c r="F292" s="11" t="s">
        <v>1633</v>
      </c>
      <c r="G292" s="10" t="s">
        <v>1636</v>
      </c>
      <c r="H292" s="10" t="s">
        <v>2326</v>
      </c>
      <c r="I292" s="12" t="s">
        <v>1029</v>
      </c>
      <c r="J292" s="10" t="s">
        <v>1040</v>
      </c>
      <c r="K292" s="10" t="s">
        <v>1031</v>
      </c>
      <c r="L292" s="10" t="s">
        <v>1032</v>
      </c>
      <c r="M292" s="12" t="s">
        <v>114</v>
      </c>
      <c r="N292" s="14" t="s">
        <v>1035</v>
      </c>
    </row>
    <row r="293" spans="1:14" s="1" customFormat="1" ht="17.100000000000001" customHeight="1" x14ac:dyDescent="0.25">
      <c r="A293" s="9" t="s">
        <v>270</v>
      </c>
      <c r="B293" s="10" t="s">
        <v>271</v>
      </c>
      <c r="C293" s="10">
        <v>2014</v>
      </c>
      <c r="D293" s="11" t="s">
        <v>1831</v>
      </c>
      <c r="E293" s="10" t="s">
        <v>1630</v>
      </c>
      <c r="F293" s="11" t="s">
        <v>1633</v>
      </c>
      <c r="G293" s="10" t="s">
        <v>1054</v>
      </c>
      <c r="H293" s="10" t="s">
        <v>2326</v>
      </c>
      <c r="I293" s="12" t="s">
        <v>1029</v>
      </c>
      <c r="J293" s="10" t="s">
        <v>1692</v>
      </c>
      <c r="K293" s="12" t="s">
        <v>1037</v>
      </c>
      <c r="L293" s="10" t="s">
        <v>1247</v>
      </c>
      <c r="M293" s="12" t="s">
        <v>114</v>
      </c>
      <c r="N293" s="14" t="s">
        <v>1035</v>
      </c>
    </row>
    <row r="294" spans="1:14" s="1" customFormat="1" ht="17.100000000000001" customHeight="1" x14ac:dyDescent="0.25">
      <c r="A294" s="9" t="s">
        <v>268</v>
      </c>
      <c r="B294" s="10" t="s">
        <v>269</v>
      </c>
      <c r="C294" s="10">
        <v>2016</v>
      </c>
      <c r="D294" s="11" t="s">
        <v>2090</v>
      </c>
      <c r="E294" s="10" t="s">
        <v>1630</v>
      </c>
      <c r="F294" s="11" t="s">
        <v>1633</v>
      </c>
      <c r="G294" s="10" t="s">
        <v>1054</v>
      </c>
      <c r="H294" s="10" t="s">
        <v>2340</v>
      </c>
      <c r="I294" s="12" t="s">
        <v>1029</v>
      </c>
      <c r="J294" s="10" t="s">
        <v>1040</v>
      </c>
      <c r="K294" s="10" t="s">
        <v>1031</v>
      </c>
      <c r="L294" s="10" t="s">
        <v>1247</v>
      </c>
      <c r="M294" s="10" t="s">
        <v>1238</v>
      </c>
      <c r="N294" s="14" t="s">
        <v>1035</v>
      </c>
    </row>
    <row r="295" spans="1:14" s="1" customFormat="1" ht="17.100000000000001" customHeight="1" x14ac:dyDescent="0.25">
      <c r="A295" s="9" t="s">
        <v>520</v>
      </c>
      <c r="B295" s="10" t="s">
        <v>521</v>
      </c>
      <c r="C295" s="10">
        <v>2022</v>
      </c>
      <c r="D295" s="11" t="s">
        <v>1723</v>
      </c>
      <c r="E295" s="10" t="s">
        <v>1630</v>
      </c>
      <c r="F295" s="11" t="s">
        <v>1633</v>
      </c>
      <c r="G295" s="10" t="s">
        <v>1028</v>
      </c>
      <c r="H295" s="10" t="s">
        <v>2320</v>
      </c>
      <c r="I295" s="12" t="s">
        <v>1039</v>
      </c>
      <c r="J295" s="10" t="s">
        <v>1036</v>
      </c>
      <c r="K295" s="10" t="s">
        <v>1031</v>
      </c>
      <c r="L295" s="10" t="s">
        <v>1042</v>
      </c>
      <c r="M295" s="12" t="s">
        <v>114</v>
      </c>
      <c r="N295" s="13" t="s">
        <v>1041</v>
      </c>
    </row>
    <row r="296" spans="1:14" s="1" customFormat="1" ht="17.100000000000001" customHeight="1" x14ac:dyDescent="0.25">
      <c r="A296" s="9" t="s">
        <v>532</v>
      </c>
      <c r="B296" s="10" t="s">
        <v>533</v>
      </c>
      <c r="C296" s="10">
        <v>2021</v>
      </c>
      <c r="D296" s="11" t="s">
        <v>1728</v>
      </c>
      <c r="E296" s="10" t="s">
        <v>1630</v>
      </c>
      <c r="F296" s="11" t="s">
        <v>1633</v>
      </c>
      <c r="G296" s="10" t="s">
        <v>1028</v>
      </c>
      <c r="H296" s="10" t="s">
        <v>2320</v>
      </c>
      <c r="I296" s="12" t="s">
        <v>1039</v>
      </c>
      <c r="J296" s="10" t="s">
        <v>1040</v>
      </c>
      <c r="K296" s="10" t="s">
        <v>1031</v>
      </c>
      <c r="L296" s="10" t="s">
        <v>1032</v>
      </c>
      <c r="M296" s="10" t="s">
        <v>1067</v>
      </c>
      <c r="N296" s="14" t="s">
        <v>1035</v>
      </c>
    </row>
    <row r="297" spans="1:14" s="1" customFormat="1" ht="17.100000000000001" customHeight="1" x14ac:dyDescent="0.25">
      <c r="A297" s="9" t="s">
        <v>456</v>
      </c>
      <c r="B297" s="10" t="s">
        <v>457</v>
      </c>
      <c r="C297" s="10">
        <v>2019</v>
      </c>
      <c r="D297" s="11" t="s">
        <v>1703</v>
      </c>
      <c r="E297" s="10" t="s">
        <v>1630</v>
      </c>
      <c r="F297" s="11" t="s">
        <v>458</v>
      </c>
      <c r="G297" s="10" t="s">
        <v>1054</v>
      </c>
      <c r="H297" s="10" t="s">
        <v>2424</v>
      </c>
      <c r="I297" s="12" t="s">
        <v>1029</v>
      </c>
      <c r="J297" s="10" t="s">
        <v>1036</v>
      </c>
      <c r="K297" s="10" t="s">
        <v>1031</v>
      </c>
      <c r="L297" s="10" t="s">
        <v>1247</v>
      </c>
      <c r="M297" s="10" t="s">
        <v>1059</v>
      </c>
      <c r="N297" s="14" t="s">
        <v>1035</v>
      </c>
    </row>
    <row r="298" spans="1:14" s="1" customFormat="1" ht="17.100000000000001" customHeight="1" x14ac:dyDescent="0.25">
      <c r="A298" s="9" t="s">
        <v>866</v>
      </c>
      <c r="B298" s="10" t="s">
        <v>864</v>
      </c>
      <c r="C298" s="10">
        <v>2022</v>
      </c>
      <c r="D298" s="11" t="s">
        <v>2252</v>
      </c>
      <c r="E298" s="10" t="s">
        <v>1630</v>
      </c>
      <c r="F298" s="11" t="s">
        <v>458</v>
      </c>
      <c r="G298" s="10" t="s">
        <v>1054</v>
      </c>
      <c r="H298" s="10" t="s">
        <v>2387</v>
      </c>
      <c r="I298" s="12" t="s">
        <v>1029</v>
      </c>
      <c r="J298" s="10" t="s">
        <v>1040</v>
      </c>
      <c r="K298" s="10" t="s">
        <v>1031</v>
      </c>
      <c r="L298" s="10" t="s">
        <v>1042</v>
      </c>
      <c r="M298" s="10" t="s">
        <v>1050</v>
      </c>
      <c r="N298" s="13" t="s">
        <v>1035</v>
      </c>
    </row>
    <row r="299" spans="1:14" s="1" customFormat="1" ht="17.100000000000001" customHeight="1" x14ac:dyDescent="0.25">
      <c r="A299" s="9" t="s">
        <v>526</v>
      </c>
      <c r="B299" s="10" t="s">
        <v>527</v>
      </c>
      <c r="C299" s="10">
        <v>2020</v>
      </c>
      <c r="D299" s="11" t="s">
        <v>1851</v>
      </c>
      <c r="E299" s="10" t="s">
        <v>1630</v>
      </c>
      <c r="F299" s="11" t="s">
        <v>458</v>
      </c>
      <c r="G299" s="10" t="s">
        <v>1176</v>
      </c>
      <c r="H299" s="10" t="s">
        <v>2331</v>
      </c>
      <c r="I299" s="12" t="s">
        <v>1039</v>
      </c>
      <c r="J299" s="10" t="s">
        <v>1030</v>
      </c>
      <c r="K299" s="10" t="s">
        <v>1031</v>
      </c>
      <c r="L299" s="10" t="s">
        <v>1032</v>
      </c>
      <c r="M299" s="10" t="s">
        <v>1129</v>
      </c>
      <c r="N299" s="14" t="s">
        <v>1035</v>
      </c>
    </row>
    <row r="300" spans="1:14" s="1" customFormat="1" ht="17.100000000000001" customHeight="1" x14ac:dyDescent="0.25">
      <c r="A300" s="9" t="s">
        <v>506</v>
      </c>
      <c r="B300" s="10" t="s">
        <v>507</v>
      </c>
      <c r="C300" s="10">
        <v>2021</v>
      </c>
      <c r="D300" s="11" t="s">
        <v>1873</v>
      </c>
      <c r="E300" s="10" t="s">
        <v>1630</v>
      </c>
      <c r="F300" s="11" t="s">
        <v>345</v>
      </c>
      <c r="G300" s="10" t="s">
        <v>1054</v>
      </c>
      <c r="H300" s="10" t="s">
        <v>1161</v>
      </c>
      <c r="I300" s="12" t="s">
        <v>1029</v>
      </c>
      <c r="J300" s="12" t="s">
        <v>1040</v>
      </c>
      <c r="K300" s="10" t="s">
        <v>1031</v>
      </c>
      <c r="L300" s="10" t="s">
        <v>1032</v>
      </c>
      <c r="M300" s="12" t="s">
        <v>114</v>
      </c>
      <c r="N300" s="13" t="s">
        <v>1041</v>
      </c>
    </row>
    <row r="301" spans="1:14" s="1" customFormat="1" ht="17.100000000000001" customHeight="1" x14ac:dyDescent="0.25">
      <c r="A301" s="9" t="s">
        <v>346</v>
      </c>
      <c r="B301" s="10" t="s">
        <v>839</v>
      </c>
      <c r="C301" s="12">
        <v>2017</v>
      </c>
      <c r="D301" s="11" t="s">
        <v>1699</v>
      </c>
      <c r="E301" s="10" t="s">
        <v>1630</v>
      </c>
      <c r="F301" s="11" t="s">
        <v>345</v>
      </c>
      <c r="G301" s="12" t="s">
        <v>1054</v>
      </c>
      <c r="H301" s="10" t="s">
        <v>1168</v>
      </c>
      <c r="I301" s="12" t="s">
        <v>1029</v>
      </c>
      <c r="J301" s="12" t="s">
        <v>1036</v>
      </c>
      <c r="K301" s="12" t="s">
        <v>1037</v>
      </c>
      <c r="L301" s="12" t="s">
        <v>1247</v>
      </c>
      <c r="M301" s="12" t="s">
        <v>114</v>
      </c>
      <c r="N301" s="14" t="s">
        <v>1035</v>
      </c>
    </row>
    <row r="302" spans="1:14" s="1" customFormat="1" ht="17.100000000000001" customHeight="1" x14ac:dyDescent="0.25">
      <c r="A302" s="9" t="s">
        <v>347</v>
      </c>
      <c r="B302" s="10" t="s">
        <v>840</v>
      </c>
      <c r="C302" s="12">
        <v>2018</v>
      </c>
      <c r="D302" s="11" t="s">
        <v>1908</v>
      </c>
      <c r="E302" s="10" t="s">
        <v>1630</v>
      </c>
      <c r="F302" s="11" t="s">
        <v>345</v>
      </c>
      <c r="G302" s="12" t="s">
        <v>1054</v>
      </c>
      <c r="H302" s="10" t="s">
        <v>1180</v>
      </c>
      <c r="I302" s="12" t="s">
        <v>1029</v>
      </c>
      <c r="J302" s="10" t="s">
        <v>1691</v>
      </c>
      <c r="K302" s="10" t="s">
        <v>1031</v>
      </c>
      <c r="L302" s="10" t="s">
        <v>1247</v>
      </c>
      <c r="M302" s="12" t="s">
        <v>1059</v>
      </c>
      <c r="N302" s="14" t="s">
        <v>1035</v>
      </c>
    </row>
    <row r="303" spans="1:14" s="1" customFormat="1" ht="17.100000000000001" customHeight="1" x14ac:dyDescent="0.25">
      <c r="A303" s="9" t="s">
        <v>389</v>
      </c>
      <c r="B303" s="10" t="s">
        <v>1243</v>
      </c>
      <c r="C303" s="10">
        <v>2019</v>
      </c>
      <c r="D303" s="11" t="s">
        <v>2105</v>
      </c>
      <c r="E303" s="10" t="s">
        <v>1630</v>
      </c>
      <c r="F303" s="11" t="s">
        <v>345</v>
      </c>
      <c r="G303" s="10" t="s">
        <v>1054</v>
      </c>
      <c r="H303" s="10" t="s">
        <v>2340</v>
      </c>
      <c r="I303" s="12" t="s">
        <v>1029</v>
      </c>
      <c r="J303" s="12" t="s">
        <v>1040</v>
      </c>
      <c r="K303" s="10" t="s">
        <v>1031</v>
      </c>
      <c r="L303" s="10" t="s">
        <v>1042</v>
      </c>
      <c r="M303" s="12" t="s">
        <v>114</v>
      </c>
      <c r="N303" s="14" t="s">
        <v>1035</v>
      </c>
    </row>
    <row r="304" spans="1:14" s="1" customFormat="1" ht="17.100000000000001" customHeight="1" x14ac:dyDescent="0.25">
      <c r="A304" s="9" t="s">
        <v>508</v>
      </c>
      <c r="B304" s="10" t="s">
        <v>1146</v>
      </c>
      <c r="C304" s="10">
        <v>2020</v>
      </c>
      <c r="D304" s="11" t="s">
        <v>1653</v>
      </c>
      <c r="E304" s="10" t="s">
        <v>1630</v>
      </c>
      <c r="F304" s="11" t="s">
        <v>345</v>
      </c>
      <c r="G304" s="10" t="s">
        <v>1165</v>
      </c>
      <c r="H304" s="10" t="s">
        <v>2340</v>
      </c>
      <c r="I304" s="12" t="s">
        <v>1029</v>
      </c>
      <c r="J304" s="12" t="s">
        <v>1040</v>
      </c>
      <c r="K304" s="10" t="s">
        <v>1031</v>
      </c>
      <c r="L304" s="10" t="s">
        <v>1042</v>
      </c>
      <c r="M304" s="10" t="s">
        <v>1050</v>
      </c>
      <c r="N304" s="14" t="s">
        <v>1035</v>
      </c>
    </row>
    <row r="305" spans="1:14" s="1" customFormat="1" ht="17.100000000000001" customHeight="1" x14ac:dyDescent="0.25">
      <c r="A305" s="9" t="s">
        <v>388</v>
      </c>
      <c r="B305" s="10" t="s">
        <v>863</v>
      </c>
      <c r="C305" s="10">
        <v>2020</v>
      </c>
      <c r="D305" s="11" t="s">
        <v>1711</v>
      </c>
      <c r="E305" s="10" t="s">
        <v>1630</v>
      </c>
      <c r="F305" s="11" t="s">
        <v>345</v>
      </c>
      <c r="G305" s="10" t="s">
        <v>1054</v>
      </c>
      <c r="H305" s="10" t="s">
        <v>2340</v>
      </c>
      <c r="I305" s="12" t="s">
        <v>1029</v>
      </c>
      <c r="J305" s="12" t="s">
        <v>1040</v>
      </c>
      <c r="K305" s="12" t="s">
        <v>1037</v>
      </c>
      <c r="L305" s="10" t="s">
        <v>1247</v>
      </c>
      <c r="M305" s="12" t="s">
        <v>114</v>
      </c>
      <c r="N305" s="14" t="s">
        <v>1035</v>
      </c>
    </row>
    <row r="306" spans="1:14" s="1" customFormat="1" ht="17.100000000000001" customHeight="1" x14ac:dyDescent="0.25">
      <c r="A306" s="9" t="s">
        <v>344</v>
      </c>
      <c r="B306" s="10" t="s">
        <v>838</v>
      </c>
      <c r="C306" s="10">
        <v>2017</v>
      </c>
      <c r="D306" s="11" t="s">
        <v>2094</v>
      </c>
      <c r="E306" s="10" t="s">
        <v>1630</v>
      </c>
      <c r="F306" s="11" t="s">
        <v>345</v>
      </c>
      <c r="G306" s="10" t="s">
        <v>2272</v>
      </c>
      <c r="H306" s="10" t="s">
        <v>2381</v>
      </c>
      <c r="I306" s="12" t="s">
        <v>1039</v>
      </c>
      <c r="J306" s="10" t="s">
        <v>1030</v>
      </c>
      <c r="K306" s="10" t="s">
        <v>1031</v>
      </c>
      <c r="L306" s="10" t="s">
        <v>1032</v>
      </c>
      <c r="M306" s="12" t="s">
        <v>114</v>
      </c>
      <c r="N306" s="14" t="s">
        <v>1035</v>
      </c>
    </row>
    <row r="307" spans="1:14" s="1" customFormat="1" ht="17.100000000000001" customHeight="1" x14ac:dyDescent="0.25">
      <c r="A307" s="9" t="s">
        <v>377</v>
      </c>
      <c r="B307" s="10" t="s">
        <v>841</v>
      </c>
      <c r="C307" s="10">
        <v>2017</v>
      </c>
      <c r="D307" s="11" t="s">
        <v>1945</v>
      </c>
      <c r="E307" s="10" t="s">
        <v>1630</v>
      </c>
      <c r="F307" s="11" t="s">
        <v>378</v>
      </c>
      <c r="G307" s="10" t="s">
        <v>2270</v>
      </c>
      <c r="H307" s="10" t="s">
        <v>1057</v>
      </c>
      <c r="I307" s="10" t="s">
        <v>1493</v>
      </c>
      <c r="J307" s="10" t="s">
        <v>1030</v>
      </c>
      <c r="K307" s="10" t="s">
        <v>1031</v>
      </c>
      <c r="L307" s="10" t="s">
        <v>1032</v>
      </c>
      <c r="M307" s="12" t="s">
        <v>114</v>
      </c>
      <c r="N307" s="14" t="s">
        <v>1035</v>
      </c>
    </row>
    <row r="308" spans="1:14" s="1" customFormat="1" ht="17.100000000000001" customHeight="1" x14ac:dyDescent="0.25">
      <c r="A308" s="9" t="s">
        <v>2431</v>
      </c>
      <c r="B308" s="10" t="s">
        <v>496</v>
      </c>
      <c r="C308" s="10">
        <v>2021</v>
      </c>
      <c r="D308" s="11" t="s">
        <v>1720</v>
      </c>
      <c r="E308" s="10" t="s">
        <v>1630</v>
      </c>
      <c r="F308" s="11" t="s">
        <v>497</v>
      </c>
      <c r="G308" s="10" t="s">
        <v>1165</v>
      </c>
      <c r="H308" s="10" t="s">
        <v>2320</v>
      </c>
      <c r="I308" s="12" t="s">
        <v>1039</v>
      </c>
      <c r="J308" s="10" t="s">
        <v>1030</v>
      </c>
      <c r="K308" s="10" t="s">
        <v>1031</v>
      </c>
      <c r="L308" s="10" t="s">
        <v>1032</v>
      </c>
      <c r="M308" s="12" t="s">
        <v>114</v>
      </c>
      <c r="N308" s="14" t="s">
        <v>1035</v>
      </c>
    </row>
    <row r="309" spans="1:14" s="1" customFormat="1" ht="17.100000000000001" customHeight="1" x14ac:dyDescent="0.25">
      <c r="A309" s="9" t="s">
        <v>1494</v>
      </c>
      <c r="B309" s="10" t="s">
        <v>1495</v>
      </c>
      <c r="C309" s="10">
        <v>2022</v>
      </c>
      <c r="D309" s="11" t="s">
        <v>2204</v>
      </c>
      <c r="E309" s="10" t="s">
        <v>1630</v>
      </c>
      <c r="F309" s="11" t="s">
        <v>1496</v>
      </c>
      <c r="G309" s="10" t="s">
        <v>1215</v>
      </c>
      <c r="H309" s="10" t="s">
        <v>1168</v>
      </c>
      <c r="I309" s="10" t="s">
        <v>1493</v>
      </c>
      <c r="J309" s="12" t="s">
        <v>1688</v>
      </c>
      <c r="K309" s="10" t="s">
        <v>1031</v>
      </c>
      <c r="L309" s="10" t="s">
        <v>1247</v>
      </c>
      <c r="M309" s="10" t="s">
        <v>1497</v>
      </c>
      <c r="N309" s="13" t="s">
        <v>1034</v>
      </c>
    </row>
    <row r="310" spans="1:14" s="1" customFormat="1" ht="17.100000000000001" customHeight="1" x14ac:dyDescent="0.25">
      <c r="A310" s="9" t="s">
        <v>400</v>
      </c>
      <c r="B310" s="10" t="s">
        <v>842</v>
      </c>
      <c r="C310" s="12">
        <v>2015</v>
      </c>
      <c r="D310" s="11" t="s">
        <v>2022</v>
      </c>
      <c r="E310" s="10" t="s">
        <v>1630</v>
      </c>
      <c r="F310" s="11" t="s">
        <v>401</v>
      </c>
      <c r="G310" s="12" t="s">
        <v>1054</v>
      </c>
      <c r="H310" s="10" t="s">
        <v>1166</v>
      </c>
      <c r="I310" s="12" t="s">
        <v>1029</v>
      </c>
      <c r="J310" s="12" t="s">
        <v>1040</v>
      </c>
      <c r="K310" s="10" t="s">
        <v>1031</v>
      </c>
      <c r="L310" s="10" t="s">
        <v>1247</v>
      </c>
      <c r="M310" s="12" t="s">
        <v>1211</v>
      </c>
      <c r="N310" s="14" t="s">
        <v>1035</v>
      </c>
    </row>
    <row r="311" spans="1:14" s="1" customFormat="1" ht="17.100000000000001" customHeight="1" x14ac:dyDescent="0.25">
      <c r="A311" s="9" t="s">
        <v>402</v>
      </c>
      <c r="B311" s="10" t="s">
        <v>843</v>
      </c>
      <c r="C311" s="12">
        <v>2018</v>
      </c>
      <c r="D311" s="11" t="s">
        <v>1975</v>
      </c>
      <c r="E311" s="10" t="s">
        <v>1630</v>
      </c>
      <c r="F311" s="11" t="s">
        <v>401</v>
      </c>
      <c r="G311" s="12" t="s">
        <v>1054</v>
      </c>
      <c r="H311" s="10" t="s">
        <v>1180</v>
      </c>
      <c r="I311" s="12" t="s">
        <v>1029</v>
      </c>
      <c r="J311" s="12" t="s">
        <v>1040</v>
      </c>
      <c r="K311" s="10" t="s">
        <v>1031</v>
      </c>
      <c r="L311" s="12" t="s">
        <v>1042</v>
      </c>
      <c r="M311" s="12" t="s">
        <v>114</v>
      </c>
      <c r="N311" s="14" t="s">
        <v>1035</v>
      </c>
    </row>
    <row r="312" spans="1:14" s="1" customFormat="1" ht="17.100000000000001" customHeight="1" x14ac:dyDescent="0.25">
      <c r="A312" s="9" t="s">
        <v>390</v>
      </c>
      <c r="B312" s="10" t="s">
        <v>391</v>
      </c>
      <c r="C312" s="10">
        <v>2019</v>
      </c>
      <c r="D312" s="11" t="s">
        <v>2100</v>
      </c>
      <c r="E312" s="10" t="s">
        <v>1630</v>
      </c>
      <c r="F312" s="11" t="s">
        <v>374</v>
      </c>
      <c r="G312" s="10" t="s">
        <v>1183</v>
      </c>
      <c r="H312" s="10" t="s">
        <v>2361</v>
      </c>
      <c r="I312" s="12" t="s">
        <v>1029</v>
      </c>
      <c r="J312" s="10" t="s">
        <v>1036</v>
      </c>
      <c r="K312" s="10" t="s">
        <v>1031</v>
      </c>
      <c r="L312" s="10" t="s">
        <v>1032</v>
      </c>
      <c r="M312" s="10" t="s">
        <v>1242</v>
      </c>
      <c r="N312" s="14" t="s">
        <v>1035</v>
      </c>
    </row>
    <row r="313" spans="1:14" s="1" customFormat="1" ht="17.100000000000001" customHeight="1" x14ac:dyDescent="0.25">
      <c r="A313" s="9" t="s">
        <v>375</v>
      </c>
      <c r="B313" s="10" t="s">
        <v>376</v>
      </c>
      <c r="C313" s="12">
        <v>2018</v>
      </c>
      <c r="D313" s="11" t="s">
        <v>2072</v>
      </c>
      <c r="E313" s="10" t="s">
        <v>1630</v>
      </c>
      <c r="F313" s="11" t="s">
        <v>374</v>
      </c>
      <c r="G313" s="12" t="s">
        <v>1054</v>
      </c>
      <c r="H313" s="10" t="s">
        <v>2340</v>
      </c>
      <c r="I313" s="12" t="s">
        <v>1029</v>
      </c>
      <c r="J313" s="12" t="s">
        <v>1040</v>
      </c>
      <c r="K313" s="10" t="s">
        <v>1031</v>
      </c>
      <c r="L313" s="10" t="s">
        <v>1247</v>
      </c>
      <c r="M313" s="12" t="s">
        <v>114</v>
      </c>
      <c r="N313" s="14" t="s">
        <v>1035</v>
      </c>
    </row>
    <row r="314" spans="1:14" s="1" customFormat="1" ht="17.100000000000001" customHeight="1" x14ac:dyDescent="0.25">
      <c r="A314" s="9" t="s">
        <v>407</v>
      </c>
      <c r="B314" s="10" t="s">
        <v>408</v>
      </c>
      <c r="C314" s="10">
        <v>2019</v>
      </c>
      <c r="D314" s="11" t="s">
        <v>1743</v>
      </c>
      <c r="E314" s="10" t="s">
        <v>1630</v>
      </c>
      <c r="F314" s="11" t="s">
        <v>374</v>
      </c>
      <c r="G314" s="10" t="s">
        <v>1054</v>
      </c>
      <c r="H314" s="10" t="s">
        <v>2340</v>
      </c>
      <c r="I314" s="12" t="s">
        <v>1039</v>
      </c>
      <c r="J314" s="10" t="s">
        <v>1040</v>
      </c>
      <c r="K314" s="10" t="s">
        <v>1031</v>
      </c>
      <c r="L314" s="10" t="s">
        <v>1247</v>
      </c>
      <c r="M314" s="10" t="s">
        <v>1093</v>
      </c>
      <c r="N314" s="14" t="s">
        <v>1035</v>
      </c>
    </row>
    <row r="315" spans="1:14" s="1" customFormat="1" ht="17.100000000000001" customHeight="1" x14ac:dyDescent="0.25">
      <c r="A315" s="9" t="s">
        <v>372</v>
      </c>
      <c r="B315" s="10" t="s">
        <v>373</v>
      </c>
      <c r="C315" s="10">
        <v>2019</v>
      </c>
      <c r="D315" s="11" t="s">
        <v>2108</v>
      </c>
      <c r="E315" s="10" t="s">
        <v>1630</v>
      </c>
      <c r="F315" s="11" t="s">
        <v>374</v>
      </c>
      <c r="G315" s="10" t="s">
        <v>1054</v>
      </c>
      <c r="H315" s="10" t="s">
        <v>2340</v>
      </c>
      <c r="I315" s="12" t="s">
        <v>1029</v>
      </c>
      <c r="J315" s="10" t="s">
        <v>1040</v>
      </c>
      <c r="K315" s="10" t="s">
        <v>1031</v>
      </c>
      <c r="L315" s="10" t="s">
        <v>1032</v>
      </c>
      <c r="M315" s="10" t="s">
        <v>1050</v>
      </c>
      <c r="N315" s="13" t="s">
        <v>1035</v>
      </c>
    </row>
    <row r="316" spans="1:14" s="1" customFormat="1" ht="17.100000000000001" customHeight="1" x14ac:dyDescent="0.25">
      <c r="A316" s="9" t="s">
        <v>870</v>
      </c>
      <c r="B316" s="10" t="s">
        <v>872</v>
      </c>
      <c r="C316" s="10">
        <v>2021</v>
      </c>
      <c r="D316" s="11" t="s">
        <v>2257</v>
      </c>
      <c r="E316" s="10" t="s">
        <v>1630</v>
      </c>
      <c r="F316" s="11" t="s">
        <v>1466</v>
      </c>
      <c r="G316" s="10" t="s">
        <v>1066</v>
      </c>
      <c r="H316" s="10" t="s">
        <v>1161</v>
      </c>
      <c r="I316" s="10" t="s">
        <v>1039</v>
      </c>
      <c r="J316" s="10" t="s">
        <v>1030</v>
      </c>
      <c r="K316" s="10" t="s">
        <v>1031</v>
      </c>
      <c r="L316" s="10" t="s">
        <v>1247</v>
      </c>
      <c r="M316" s="10" t="s">
        <v>114</v>
      </c>
      <c r="N316" s="13" t="s">
        <v>1035</v>
      </c>
    </row>
    <row r="317" spans="1:14" s="1" customFormat="1" ht="17.100000000000001" customHeight="1" x14ac:dyDescent="0.25">
      <c r="A317" s="9" t="s">
        <v>516</v>
      </c>
      <c r="B317" s="10" t="s">
        <v>517</v>
      </c>
      <c r="C317" s="10">
        <v>2021</v>
      </c>
      <c r="D317" s="11" t="s">
        <v>1987</v>
      </c>
      <c r="E317" s="10" t="s">
        <v>1630</v>
      </c>
      <c r="F317" s="11" t="s">
        <v>1466</v>
      </c>
      <c r="G317" s="10" t="s">
        <v>1028</v>
      </c>
      <c r="H317" s="10" t="s">
        <v>1057</v>
      </c>
      <c r="I317" s="12" t="s">
        <v>1039</v>
      </c>
      <c r="J317" s="10" t="s">
        <v>1040</v>
      </c>
      <c r="K317" s="10" t="s">
        <v>1031</v>
      </c>
      <c r="L317" s="10" t="s">
        <v>1032</v>
      </c>
      <c r="M317" s="10" t="s">
        <v>1093</v>
      </c>
      <c r="N317" s="14" t="s">
        <v>1035</v>
      </c>
    </row>
    <row r="318" spans="1:14" s="1" customFormat="1" ht="17.100000000000001" customHeight="1" x14ac:dyDescent="0.25">
      <c r="A318" s="9" t="s">
        <v>509</v>
      </c>
      <c r="B318" s="10" t="s">
        <v>510</v>
      </c>
      <c r="C318" s="10">
        <v>2022</v>
      </c>
      <c r="D318" s="11" t="s">
        <v>1988</v>
      </c>
      <c r="E318" s="10" t="s">
        <v>1630</v>
      </c>
      <c r="F318" s="11" t="s">
        <v>1466</v>
      </c>
      <c r="G318" s="10" t="s">
        <v>1054</v>
      </c>
      <c r="H318" s="10" t="s">
        <v>1180</v>
      </c>
      <c r="I318" s="12" t="s">
        <v>1029</v>
      </c>
      <c r="J318" s="12" t="s">
        <v>1040</v>
      </c>
      <c r="K318" s="10" t="s">
        <v>1031</v>
      </c>
      <c r="L318" s="10" t="s">
        <v>1042</v>
      </c>
      <c r="M318" s="12" t="s">
        <v>114</v>
      </c>
      <c r="N318" s="14" t="s">
        <v>1035</v>
      </c>
    </row>
    <row r="319" spans="1:14" s="1" customFormat="1" ht="17.100000000000001" customHeight="1" x14ac:dyDescent="0.25">
      <c r="A319" s="9" t="s">
        <v>1464</v>
      </c>
      <c r="B319" s="10" t="s">
        <v>1465</v>
      </c>
      <c r="C319" s="10">
        <v>2014</v>
      </c>
      <c r="D319" s="11" t="s">
        <v>2193</v>
      </c>
      <c r="E319" s="10" t="s">
        <v>1630</v>
      </c>
      <c r="F319" s="11" t="s">
        <v>1466</v>
      </c>
      <c r="G319" s="10" t="s">
        <v>2271</v>
      </c>
      <c r="H319" s="10" t="s">
        <v>2326</v>
      </c>
      <c r="I319" s="10" t="s">
        <v>1039</v>
      </c>
      <c r="J319" s="12" t="s">
        <v>1688</v>
      </c>
      <c r="K319" s="10" t="s">
        <v>1031</v>
      </c>
      <c r="L319" s="10" t="s">
        <v>1247</v>
      </c>
      <c r="M319" s="10" t="s">
        <v>114</v>
      </c>
      <c r="N319" s="13" t="s">
        <v>1034</v>
      </c>
    </row>
    <row r="320" spans="1:14" s="1" customFormat="1" ht="17.100000000000001" customHeight="1" x14ac:dyDescent="0.25">
      <c r="A320" s="9" t="s">
        <v>1469</v>
      </c>
      <c r="B320" s="10" t="s">
        <v>1470</v>
      </c>
      <c r="C320" s="10">
        <v>2012</v>
      </c>
      <c r="D320" s="11" t="s">
        <v>2195</v>
      </c>
      <c r="E320" s="10" t="s">
        <v>1630</v>
      </c>
      <c r="F320" s="11" t="s">
        <v>1466</v>
      </c>
      <c r="G320" s="10" t="s">
        <v>1080</v>
      </c>
      <c r="H320" s="10" t="s">
        <v>1057</v>
      </c>
      <c r="I320" s="10" t="s">
        <v>1039</v>
      </c>
      <c r="J320" s="10" t="s">
        <v>1030</v>
      </c>
      <c r="K320" s="10" t="s">
        <v>1031</v>
      </c>
      <c r="L320" s="10" t="s">
        <v>1032</v>
      </c>
      <c r="M320" s="10" t="s">
        <v>1471</v>
      </c>
      <c r="N320" s="13" t="s">
        <v>1034</v>
      </c>
    </row>
    <row r="321" spans="1:14" s="1" customFormat="1" ht="17.100000000000001" customHeight="1" x14ac:dyDescent="0.25">
      <c r="A321" s="9" t="s">
        <v>1319</v>
      </c>
      <c r="B321" s="10" t="s">
        <v>1320</v>
      </c>
      <c r="C321" s="10">
        <v>2011</v>
      </c>
      <c r="D321" s="11" t="s">
        <v>2135</v>
      </c>
      <c r="E321" s="10" t="s">
        <v>1630</v>
      </c>
      <c r="F321" s="11" t="s">
        <v>1321</v>
      </c>
      <c r="G321" s="10" t="s">
        <v>2275</v>
      </c>
      <c r="H321" s="10" t="s">
        <v>2329</v>
      </c>
      <c r="I321" s="10" t="s">
        <v>1039</v>
      </c>
      <c r="J321" s="10" t="s">
        <v>1030</v>
      </c>
      <c r="K321" s="12" t="s">
        <v>1037</v>
      </c>
      <c r="L321" s="10" t="s">
        <v>1247</v>
      </c>
      <c r="M321" s="10" t="s">
        <v>1055</v>
      </c>
      <c r="N321" s="13" t="s">
        <v>1072</v>
      </c>
    </row>
    <row r="322" spans="1:14" s="1" customFormat="1" ht="17.100000000000001" customHeight="1" x14ac:dyDescent="0.25">
      <c r="A322" s="9" t="s">
        <v>368</v>
      </c>
      <c r="B322" s="10" t="s">
        <v>369</v>
      </c>
      <c r="C322" s="10">
        <v>2012</v>
      </c>
      <c r="D322" s="11" t="s">
        <v>2013</v>
      </c>
      <c r="E322" s="10" t="s">
        <v>1630</v>
      </c>
      <c r="F322" s="11" t="s">
        <v>1079</v>
      </c>
      <c r="G322" s="10" t="s">
        <v>1054</v>
      </c>
      <c r="H322" s="10" t="s">
        <v>2368</v>
      </c>
      <c r="I322" s="12" t="s">
        <v>1029</v>
      </c>
      <c r="J322" s="10" t="s">
        <v>1040</v>
      </c>
      <c r="K322" s="10" t="s">
        <v>1031</v>
      </c>
      <c r="L322" s="10" t="s">
        <v>1042</v>
      </c>
      <c r="M322" s="12" t="s">
        <v>114</v>
      </c>
      <c r="N322" s="14" t="s">
        <v>1035</v>
      </c>
    </row>
    <row r="323" spans="1:14" s="1" customFormat="1" ht="17.100000000000001" customHeight="1" x14ac:dyDescent="0.25">
      <c r="A323" s="9" t="s">
        <v>366</v>
      </c>
      <c r="B323" s="10" t="s">
        <v>367</v>
      </c>
      <c r="C323" s="10">
        <v>2015</v>
      </c>
      <c r="D323" s="11" t="s">
        <v>1835</v>
      </c>
      <c r="E323" s="10" t="s">
        <v>1630</v>
      </c>
      <c r="F323" s="11" t="s">
        <v>1079</v>
      </c>
      <c r="G323" s="10" t="s">
        <v>2266</v>
      </c>
      <c r="H323" s="10" t="s">
        <v>2326</v>
      </c>
      <c r="I323" s="12" t="s">
        <v>1029</v>
      </c>
      <c r="J323" s="10" t="s">
        <v>1030</v>
      </c>
      <c r="K323" s="10" t="s">
        <v>1031</v>
      </c>
      <c r="L323" s="10" t="s">
        <v>1032</v>
      </c>
      <c r="M323" s="10" t="s">
        <v>1086</v>
      </c>
      <c r="N323" s="14" t="s">
        <v>1035</v>
      </c>
    </row>
    <row r="324" spans="1:14" s="1" customFormat="1" ht="17.100000000000001" customHeight="1" x14ac:dyDescent="0.25">
      <c r="A324" s="9" t="s">
        <v>364</v>
      </c>
      <c r="B324" s="10" t="s">
        <v>365</v>
      </c>
      <c r="C324" s="10">
        <v>2012</v>
      </c>
      <c r="D324" s="11" t="s">
        <v>1929</v>
      </c>
      <c r="E324" s="10" t="s">
        <v>1630</v>
      </c>
      <c r="F324" s="11" t="s">
        <v>1079</v>
      </c>
      <c r="G324" s="10" t="s">
        <v>2275</v>
      </c>
      <c r="H324" s="10" t="s">
        <v>2326</v>
      </c>
      <c r="I324" s="12" t="s">
        <v>1039</v>
      </c>
      <c r="J324" s="10" t="s">
        <v>1036</v>
      </c>
      <c r="K324" s="10" t="s">
        <v>1031</v>
      </c>
      <c r="L324" s="10" t="s">
        <v>1247</v>
      </c>
      <c r="M324" s="12" t="s">
        <v>114</v>
      </c>
      <c r="N324" s="14" t="s">
        <v>1035</v>
      </c>
    </row>
    <row r="325" spans="1:14" s="1" customFormat="1" ht="17.100000000000001" customHeight="1" x14ac:dyDescent="0.25">
      <c r="A325" s="9" t="s">
        <v>370</v>
      </c>
      <c r="B325" s="10" t="s">
        <v>371</v>
      </c>
      <c r="C325" s="10">
        <v>2015</v>
      </c>
      <c r="D325" s="11" t="s">
        <v>2074</v>
      </c>
      <c r="E325" s="10" t="s">
        <v>1630</v>
      </c>
      <c r="F325" s="11" t="s">
        <v>1079</v>
      </c>
      <c r="G325" s="10" t="s">
        <v>2266</v>
      </c>
      <c r="H325" s="10" t="s">
        <v>2340</v>
      </c>
      <c r="I325" s="12" t="s">
        <v>1029</v>
      </c>
      <c r="J325" s="10" t="s">
        <v>1040</v>
      </c>
      <c r="K325" s="10" t="s">
        <v>1031</v>
      </c>
      <c r="L325" s="10" t="s">
        <v>1247</v>
      </c>
      <c r="M325" s="12" t="s">
        <v>114</v>
      </c>
      <c r="N325" s="14" t="s">
        <v>1035</v>
      </c>
    </row>
    <row r="326" spans="1:14" s="1" customFormat="1" ht="17.100000000000001" customHeight="1" x14ac:dyDescent="0.25">
      <c r="A326" s="9" t="s">
        <v>1456</v>
      </c>
      <c r="B326" s="10" t="s">
        <v>1457</v>
      </c>
      <c r="C326" s="10">
        <v>2013</v>
      </c>
      <c r="D326" s="11" t="s">
        <v>2189</v>
      </c>
      <c r="E326" s="10" t="s">
        <v>1630</v>
      </c>
      <c r="F326" s="11" t="s">
        <v>248</v>
      </c>
      <c r="G326" s="10" t="s">
        <v>2271</v>
      </c>
      <c r="H326" s="10" t="s">
        <v>2326</v>
      </c>
      <c r="I326" s="10" t="s">
        <v>1039</v>
      </c>
      <c r="J326" s="10" t="s">
        <v>1030</v>
      </c>
      <c r="K326" s="10" t="s">
        <v>1031</v>
      </c>
      <c r="L326" s="10" t="s">
        <v>1247</v>
      </c>
      <c r="M326" s="10" t="s">
        <v>1055</v>
      </c>
      <c r="N326" s="13" t="s">
        <v>1072</v>
      </c>
    </row>
    <row r="327" spans="1:14" s="1" customFormat="1" ht="17.100000000000001" customHeight="1" x14ac:dyDescent="0.25">
      <c r="A327" s="9" t="s">
        <v>260</v>
      </c>
      <c r="B327" s="10" t="s">
        <v>261</v>
      </c>
      <c r="C327" s="10">
        <v>2018</v>
      </c>
      <c r="D327" s="11" t="s">
        <v>1771</v>
      </c>
      <c r="E327" s="10" t="s">
        <v>1630</v>
      </c>
      <c r="F327" s="11" t="s">
        <v>248</v>
      </c>
      <c r="G327" s="10" t="s">
        <v>2266</v>
      </c>
      <c r="H327" s="10" t="s">
        <v>2326</v>
      </c>
      <c r="I327" s="12" t="s">
        <v>1039</v>
      </c>
      <c r="J327" s="10" t="s">
        <v>1030</v>
      </c>
      <c r="K327" s="10" t="s">
        <v>1031</v>
      </c>
      <c r="L327" s="10" t="s">
        <v>1247</v>
      </c>
      <c r="M327" s="10" t="s">
        <v>1084</v>
      </c>
      <c r="N327" s="13" t="s">
        <v>1034</v>
      </c>
    </row>
    <row r="328" spans="1:14" s="1" customFormat="1" ht="17.100000000000001" customHeight="1" x14ac:dyDescent="0.25">
      <c r="A328" s="9" t="s">
        <v>262</v>
      </c>
      <c r="B328" s="10" t="s">
        <v>263</v>
      </c>
      <c r="C328" s="10">
        <v>2013</v>
      </c>
      <c r="D328" s="11" t="s">
        <v>1807</v>
      </c>
      <c r="E328" s="10" t="s">
        <v>1630</v>
      </c>
      <c r="F328" s="11" t="s">
        <v>248</v>
      </c>
      <c r="G328" s="10" t="s">
        <v>1094</v>
      </c>
      <c r="H328" s="10" t="s">
        <v>2326</v>
      </c>
      <c r="I328" s="12" t="s">
        <v>1039</v>
      </c>
      <c r="J328" s="10" t="s">
        <v>1117</v>
      </c>
      <c r="K328" s="10" t="s">
        <v>1031</v>
      </c>
      <c r="L328" s="10" t="s">
        <v>1032</v>
      </c>
      <c r="M328" s="10" t="s">
        <v>1118</v>
      </c>
      <c r="N328" s="13" t="s">
        <v>1072</v>
      </c>
    </row>
    <row r="329" spans="1:14" s="1" customFormat="1" ht="17.100000000000001" customHeight="1" x14ac:dyDescent="0.25">
      <c r="A329" s="9" t="s">
        <v>247</v>
      </c>
      <c r="B329" s="10" t="s">
        <v>833</v>
      </c>
      <c r="C329" s="10">
        <v>2014</v>
      </c>
      <c r="D329" s="11" t="s">
        <v>1781</v>
      </c>
      <c r="E329" s="10" t="s">
        <v>1630</v>
      </c>
      <c r="F329" s="11" t="s">
        <v>248</v>
      </c>
      <c r="G329" s="10" t="s">
        <v>2266</v>
      </c>
      <c r="H329" s="10" t="s">
        <v>2326</v>
      </c>
      <c r="I329" s="10" t="s">
        <v>1687</v>
      </c>
      <c r="J329" s="12" t="s">
        <v>1688</v>
      </c>
      <c r="K329" s="10" t="s">
        <v>1031</v>
      </c>
      <c r="L329" s="10" t="s">
        <v>2400</v>
      </c>
      <c r="M329" s="12" t="s">
        <v>114</v>
      </c>
      <c r="N329" s="13" t="s">
        <v>1034</v>
      </c>
    </row>
    <row r="330" spans="1:14" s="1" customFormat="1" ht="17.100000000000001" customHeight="1" x14ac:dyDescent="0.25">
      <c r="A330" s="9" t="s">
        <v>264</v>
      </c>
      <c r="B330" s="10" t="s">
        <v>265</v>
      </c>
      <c r="C330" s="10">
        <v>2018</v>
      </c>
      <c r="D330" s="11" t="s">
        <v>1708</v>
      </c>
      <c r="E330" s="10" t="s">
        <v>1630</v>
      </c>
      <c r="F330" s="11" t="s">
        <v>248</v>
      </c>
      <c r="G330" s="10" t="s">
        <v>2275</v>
      </c>
      <c r="H330" s="10" t="s">
        <v>2326</v>
      </c>
      <c r="I330" s="12" t="s">
        <v>1039</v>
      </c>
      <c r="J330" s="10" t="s">
        <v>1036</v>
      </c>
      <c r="K330" s="10" t="s">
        <v>1031</v>
      </c>
      <c r="L330" s="10" t="s">
        <v>1247</v>
      </c>
      <c r="M330" s="10" t="s">
        <v>1085</v>
      </c>
      <c r="N330" s="14" t="s">
        <v>1035</v>
      </c>
    </row>
    <row r="331" spans="1:14" s="1" customFormat="1" ht="17.100000000000001" customHeight="1" x14ac:dyDescent="0.25">
      <c r="A331" s="9" t="s">
        <v>1462</v>
      </c>
      <c r="B331" s="10" t="s">
        <v>1463</v>
      </c>
      <c r="C331" s="10">
        <v>2021</v>
      </c>
      <c r="D331" s="11" t="s">
        <v>2192</v>
      </c>
      <c r="E331" s="10" t="s">
        <v>1630</v>
      </c>
      <c r="F331" s="11" t="s">
        <v>248</v>
      </c>
      <c r="G331" s="10" t="s">
        <v>2303</v>
      </c>
      <c r="H331" s="10" t="s">
        <v>2326</v>
      </c>
      <c r="I331" s="10" t="s">
        <v>1039</v>
      </c>
      <c r="J331" s="10" t="s">
        <v>1069</v>
      </c>
      <c r="K331" s="10" t="s">
        <v>1031</v>
      </c>
      <c r="L331" s="10" t="s">
        <v>1247</v>
      </c>
      <c r="M331" s="10" t="s">
        <v>1086</v>
      </c>
      <c r="N331" s="13" t="s">
        <v>1072</v>
      </c>
    </row>
    <row r="332" spans="1:14" s="1" customFormat="1" ht="17.100000000000001" customHeight="1" x14ac:dyDescent="0.25">
      <c r="A332" s="9" t="s">
        <v>1222</v>
      </c>
      <c r="B332" s="10" t="s">
        <v>249</v>
      </c>
      <c r="C332" s="10">
        <v>2019</v>
      </c>
      <c r="D332" s="11" t="s">
        <v>2046</v>
      </c>
      <c r="E332" s="10" t="s">
        <v>1630</v>
      </c>
      <c r="F332" s="11" t="s">
        <v>248</v>
      </c>
      <c r="G332" s="12" t="s">
        <v>1223</v>
      </c>
      <c r="H332" s="10" t="s">
        <v>2326</v>
      </c>
      <c r="I332" s="12" t="s">
        <v>1029</v>
      </c>
      <c r="J332" s="10" t="s">
        <v>1040</v>
      </c>
      <c r="K332" s="10" t="s">
        <v>1031</v>
      </c>
      <c r="L332" s="10" t="s">
        <v>1032</v>
      </c>
      <c r="M332" s="10" t="s">
        <v>114</v>
      </c>
      <c r="N332" s="13" t="s">
        <v>1034</v>
      </c>
    </row>
    <row r="333" spans="1:14" s="1" customFormat="1" ht="17.100000000000001" customHeight="1" x14ac:dyDescent="0.25">
      <c r="A333" s="9" t="s">
        <v>254</v>
      </c>
      <c r="B333" s="10" t="s">
        <v>255</v>
      </c>
      <c r="C333" s="10">
        <v>2016</v>
      </c>
      <c r="D333" s="11" t="s">
        <v>1763</v>
      </c>
      <c r="E333" s="10" t="s">
        <v>1630</v>
      </c>
      <c r="F333" s="11" t="s">
        <v>248</v>
      </c>
      <c r="G333" s="10" t="s">
        <v>2266</v>
      </c>
      <c r="H333" s="10" t="s">
        <v>2326</v>
      </c>
      <c r="I333" s="12" t="s">
        <v>1039</v>
      </c>
      <c r="J333" s="10" t="s">
        <v>1036</v>
      </c>
      <c r="K333" s="12" t="s">
        <v>1037</v>
      </c>
      <c r="L333" s="10" t="s">
        <v>1042</v>
      </c>
      <c r="M333" s="10" t="s">
        <v>1076</v>
      </c>
      <c r="N333" s="14" t="s">
        <v>1035</v>
      </c>
    </row>
    <row r="334" spans="1:14" s="1" customFormat="1" ht="17.100000000000001" customHeight="1" x14ac:dyDescent="0.25">
      <c r="A334" s="9" t="s">
        <v>256</v>
      </c>
      <c r="B334" s="10" t="s">
        <v>257</v>
      </c>
      <c r="C334" s="10">
        <v>2016</v>
      </c>
      <c r="D334" s="11" t="s">
        <v>1944</v>
      </c>
      <c r="E334" s="10" t="s">
        <v>1630</v>
      </c>
      <c r="F334" s="11" t="s">
        <v>248</v>
      </c>
      <c r="G334" s="10" t="s">
        <v>2274</v>
      </c>
      <c r="H334" s="10" t="s">
        <v>1057</v>
      </c>
      <c r="I334" s="12" t="s">
        <v>1039</v>
      </c>
      <c r="J334" s="10" t="s">
        <v>1036</v>
      </c>
      <c r="K334" s="10" t="s">
        <v>1031</v>
      </c>
      <c r="L334" s="10" t="s">
        <v>1042</v>
      </c>
      <c r="M334" s="10" t="s">
        <v>1188</v>
      </c>
      <c r="N334" s="14" t="s">
        <v>1035</v>
      </c>
    </row>
    <row r="335" spans="1:14" s="1" customFormat="1" ht="17.100000000000001" customHeight="1" x14ac:dyDescent="0.25">
      <c r="A335" s="9" t="s">
        <v>258</v>
      </c>
      <c r="B335" s="10" t="s">
        <v>259</v>
      </c>
      <c r="C335" s="10">
        <v>2018</v>
      </c>
      <c r="D335" s="11" t="s">
        <v>1977</v>
      </c>
      <c r="E335" s="10" t="s">
        <v>1630</v>
      </c>
      <c r="F335" s="11" t="s">
        <v>248</v>
      </c>
      <c r="G335" s="10" t="s">
        <v>2266</v>
      </c>
      <c r="H335" s="10" t="s">
        <v>1057</v>
      </c>
      <c r="I335" s="12" t="s">
        <v>1039</v>
      </c>
      <c r="J335" s="10" t="s">
        <v>1040</v>
      </c>
      <c r="K335" s="10" t="s">
        <v>1031</v>
      </c>
      <c r="L335" s="10" t="s">
        <v>1247</v>
      </c>
      <c r="M335" s="12" t="s">
        <v>114</v>
      </c>
      <c r="N335" s="14" t="s">
        <v>1035</v>
      </c>
    </row>
    <row r="336" spans="1:14" s="1" customFormat="1" ht="17.100000000000001" customHeight="1" x14ac:dyDescent="0.25">
      <c r="A336" s="9" t="s">
        <v>1477</v>
      </c>
      <c r="B336" s="10" t="s">
        <v>1478</v>
      </c>
      <c r="C336" s="10">
        <v>2011</v>
      </c>
      <c r="D336" s="11" t="s">
        <v>2198</v>
      </c>
      <c r="E336" s="10" t="s">
        <v>1630</v>
      </c>
      <c r="F336" s="11" t="s">
        <v>248</v>
      </c>
      <c r="G336" s="10" t="s">
        <v>1544</v>
      </c>
      <c r="H336" s="10" t="s">
        <v>1230</v>
      </c>
      <c r="I336" s="10" t="s">
        <v>1039</v>
      </c>
      <c r="J336" s="10" t="s">
        <v>1030</v>
      </c>
      <c r="K336" s="10" t="s">
        <v>1031</v>
      </c>
      <c r="L336" s="10" t="s">
        <v>1247</v>
      </c>
      <c r="M336" s="10" t="s">
        <v>1479</v>
      </c>
      <c r="N336" s="13" t="s">
        <v>1035</v>
      </c>
    </row>
    <row r="337" spans="1:14" s="1" customFormat="1" ht="17.100000000000001" customHeight="1" x14ac:dyDescent="0.25">
      <c r="A337" s="9" t="s">
        <v>250</v>
      </c>
      <c r="B337" s="10" t="s">
        <v>251</v>
      </c>
      <c r="C337" s="10">
        <v>2017</v>
      </c>
      <c r="D337" s="11" t="s">
        <v>1717</v>
      </c>
      <c r="E337" s="10" t="s">
        <v>1630</v>
      </c>
      <c r="F337" s="11" t="s">
        <v>248</v>
      </c>
      <c r="G337" s="10" t="s">
        <v>1028</v>
      </c>
      <c r="H337" s="10" t="s">
        <v>2320</v>
      </c>
      <c r="I337" s="12" t="s">
        <v>1029</v>
      </c>
      <c r="J337" s="10" t="s">
        <v>1040</v>
      </c>
      <c r="K337" s="10" t="s">
        <v>1031</v>
      </c>
      <c r="L337" s="10" t="s">
        <v>1032</v>
      </c>
      <c r="M337" s="12" t="s">
        <v>114</v>
      </c>
      <c r="N337" s="14" t="s">
        <v>1035</v>
      </c>
    </row>
    <row r="338" spans="1:14" s="1" customFormat="1" ht="17.100000000000001" customHeight="1" x14ac:dyDescent="0.25">
      <c r="A338" s="9" t="s">
        <v>252</v>
      </c>
      <c r="B338" s="10" t="s">
        <v>253</v>
      </c>
      <c r="C338" s="10">
        <v>2017</v>
      </c>
      <c r="D338" s="11" t="s">
        <v>1717</v>
      </c>
      <c r="E338" s="10" t="s">
        <v>1630</v>
      </c>
      <c r="F338" s="11" t="s">
        <v>248</v>
      </c>
      <c r="G338" s="10" t="s">
        <v>1028</v>
      </c>
      <c r="H338" s="10" t="s">
        <v>2320</v>
      </c>
      <c r="I338" s="12" t="s">
        <v>1029</v>
      </c>
      <c r="J338" s="10" t="s">
        <v>1040</v>
      </c>
      <c r="K338" s="12" t="s">
        <v>1037</v>
      </c>
      <c r="L338" s="10" t="s">
        <v>1032</v>
      </c>
      <c r="M338" s="12" t="s">
        <v>114</v>
      </c>
      <c r="N338" s="14" t="s">
        <v>1035</v>
      </c>
    </row>
    <row r="339" spans="1:14" s="1" customFormat="1" ht="17.100000000000001" customHeight="1" x14ac:dyDescent="0.25">
      <c r="A339" s="9" t="s">
        <v>555</v>
      </c>
      <c r="B339" s="10" t="s">
        <v>556</v>
      </c>
      <c r="C339" s="10">
        <v>2019</v>
      </c>
      <c r="D339" s="11" t="s">
        <v>1863</v>
      </c>
      <c r="E339" s="10" t="s">
        <v>1630</v>
      </c>
      <c r="F339" s="11" t="s">
        <v>557</v>
      </c>
      <c r="G339" s="10" t="s">
        <v>1028</v>
      </c>
      <c r="H339" s="10" t="s">
        <v>2334</v>
      </c>
      <c r="I339" s="12" t="s">
        <v>1029</v>
      </c>
      <c r="J339" s="10" t="s">
        <v>1030</v>
      </c>
      <c r="K339" s="10" t="s">
        <v>1031</v>
      </c>
      <c r="L339" s="10" t="s">
        <v>1032</v>
      </c>
      <c r="M339" s="10" t="s">
        <v>1149</v>
      </c>
      <c r="N339" s="14" t="s">
        <v>1035</v>
      </c>
    </row>
    <row r="340" spans="1:14" s="1" customFormat="1" ht="17.100000000000001" customHeight="1" x14ac:dyDescent="0.25">
      <c r="A340" s="9" t="s">
        <v>558</v>
      </c>
      <c r="B340" s="10" t="s">
        <v>559</v>
      </c>
      <c r="C340" s="10">
        <v>2022</v>
      </c>
      <c r="D340" s="11" t="s">
        <v>1989</v>
      </c>
      <c r="E340" s="10" t="s">
        <v>1630</v>
      </c>
      <c r="F340" s="11" t="s">
        <v>557</v>
      </c>
      <c r="G340" s="10" t="s">
        <v>1203</v>
      </c>
      <c r="H340" s="10" t="s">
        <v>1057</v>
      </c>
      <c r="I340" s="12" t="s">
        <v>1039</v>
      </c>
      <c r="J340" s="10" t="s">
        <v>1030</v>
      </c>
      <c r="K340" s="10" t="s">
        <v>1031</v>
      </c>
      <c r="L340" s="10" t="s">
        <v>1042</v>
      </c>
      <c r="M340" s="10" t="s">
        <v>1050</v>
      </c>
      <c r="N340" s="14" t="s">
        <v>1035</v>
      </c>
    </row>
    <row r="341" spans="1:14" s="1" customFormat="1" ht="17.100000000000001" customHeight="1" x14ac:dyDescent="0.25">
      <c r="A341" s="9" t="s">
        <v>356</v>
      </c>
      <c r="B341" s="10" t="s">
        <v>357</v>
      </c>
      <c r="C341" s="10">
        <v>2017</v>
      </c>
      <c r="D341" s="11" t="s">
        <v>1819</v>
      </c>
      <c r="E341" s="10" t="s">
        <v>1630</v>
      </c>
      <c r="F341" s="11" t="s">
        <v>358</v>
      </c>
      <c r="G341" s="10" t="s">
        <v>1610</v>
      </c>
      <c r="H341" s="10" t="s">
        <v>2326</v>
      </c>
      <c r="I341" s="12" t="s">
        <v>1029</v>
      </c>
      <c r="J341" s="10" t="s">
        <v>1036</v>
      </c>
      <c r="K341" s="12" t="s">
        <v>1037</v>
      </c>
      <c r="L341" s="10" t="s">
        <v>1032</v>
      </c>
      <c r="M341" s="12" t="s">
        <v>114</v>
      </c>
      <c r="N341" s="13" t="s">
        <v>1072</v>
      </c>
    </row>
    <row r="342" spans="1:14" s="1" customFormat="1" ht="17.100000000000001" customHeight="1" x14ac:dyDescent="0.25">
      <c r="A342" s="9" t="s">
        <v>359</v>
      </c>
      <c r="B342" s="10" t="s">
        <v>360</v>
      </c>
      <c r="C342" s="10">
        <v>2017</v>
      </c>
      <c r="D342" s="11" t="s">
        <v>1752</v>
      </c>
      <c r="E342" s="10" t="s">
        <v>1630</v>
      </c>
      <c r="F342" s="11" t="s">
        <v>358</v>
      </c>
      <c r="G342" s="12" t="s">
        <v>1201</v>
      </c>
      <c r="H342" s="10" t="s">
        <v>2331</v>
      </c>
      <c r="I342" s="12" t="s">
        <v>1029</v>
      </c>
      <c r="J342" s="12" t="s">
        <v>1040</v>
      </c>
      <c r="K342" s="10" t="s">
        <v>1031</v>
      </c>
      <c r="L342" s="10" t="s">
        <v>1247</v>
      </c>
      <c r="M342" s="12" t="s">
        <v>114</v>
      </c>
      <c r="N342" s="13" t="s">
        <v>1072</v>
      </c>
    </row>
    <row r="343" spans="1:14" s="1" customFormat="1" ht="17.100000000000001" customHeight="1" x14ac:dyDescent="0.25">
      <c r="A343" s="9" t="s">
        <v>181</v>
      </c>
      <c r="B343" s="10" t="s">
        <v>182</v>
      </c>
      <c r="C343" s="10">
        <v>2016</v>
      </c>
      <c r="D343" s="11" t="s">
        <v>1841</v>
      </c>
      <c r="E343" s="10" t="s">
        <v>1630</v>
      </c>
      <c r="F343" s="11" t="s">
        <v>167</v>
      </c>
      <c r="G343" s="10" t="s">
        <v>2269</v>
      </c>
      <c r="H343" s="10" t="s">
        <v>2336</v>
      </c>
      <c r="I343" s="12" t="s">
        <v>1029</v>
      </c>
      <c r="J343" s="10" t="s">
        <v>1040</v>
      </c>
      <c r="K343" s="10" t="s">
        <v>1031</v>
      </c>
      <c r="L343" s="10" t="s">
        <v>1032</v>
      </c>
      <c r="M343" s="12" t="s">
        <v>114</v>
      </c>
      <c r="N343" s="14" t="s">
        <v>1035</v>
      </c>
    </row>
    <row r="344" spans="1:14" s="1" customFormat="1" ht="17.100000000000001" customHeight="1" x14ac:dyDescent="0.25">
      <c r="A344" s="9" t="s">
        <v>171</v>
      </c>
      <c r="B344" s="10" t="s">
        <v>172</v>
      </c>
      <c r="C344" s="10">
        <v>2012</v>
      </c>
      <c r="D344" s="11" t="s">
        <v>1827</v>
      </c>
      <c r="E344" s="10" t="s">
        <v>1630</v>
      </c>
      <c r="F344" s="11" t="s">
        <v>167</v>
      </c>
      <c r="G344" s="10" t="s">
        <v>2266</v>
      </c>
      <c r="H344" s="10" t="s">
        <v>2326</v>
      </c>
      <c r="I344" s="12" t="s">
        <v>1029</v>
      </c>
      <c r="J344" s="10" t="s">
        <v>1040</v>
      </c>
      <c r="K344" s="10" t="s">
        <v>1031</v>
      </c>
      <c r="L344" s="12" t="s">
        <v>1042</v>
      </c>
      <c r="M344" s="12" t="s">
        <v>114</v>
      </c>
      <c r="N344" s="14" t="s">
        <v>1035</v>
      </c>
    </row>
    <row r="345" spans="1:14" s="1" customFormat="1" ht="17.100000000000001" customHeight="1" x14ac:dyDescent="0.25">
      <c r="A345" s="9" t="s">
        <v>179</v>
      </c>
      <c r="B345" s="10" t="s">
        <v>180</v>
      </c>
      <c r="C345" s="10">
        <v>2009</v>
      </c>
      <c r="D345" s="11" t="s">
        <v>1828</v>
      </c>
      <c r="E345" s="10" t="s">
        <v>1630</v>
      </c>
      <c r="F345" s="11" t="s">
        <v>167</v>
      </c>
      <c r="G345" s="10" t="s">
        <v>1028</v>
      </c>
      <c r="H345" s="10" t="s">
        <v>2326</v>
      </c>
      <c r="I345" s="12" t="s">
        <v>1029</v>
      </c>
      <c r="J345" s="10" t="s">
        <v>1040</v>
      </c>
      <c r="K345" s="10" t="s">
        <v>1031</v>
      </c>
      <c r="L345" s="10" t="s">
        <v>1247</v>
      </c>
      <c r="M345" s="12" t="s">
        <v>114</v>
      </c>
      <c r="N345" s="14" t="s">
        <v>1035</v>
      </c>
    </row>
    <row r="346" spans="1:14" s="1" customFormat="1" ht="17.100000000000001" customHeight="1" x14ac:dyDescent="0.25">
      <c r="A346" s="9" t="s">
        <v>187</v>
      </c>
      <c r="B346" s="10" t="s">
        <v>188</v>
      </c>
      <c r="C346" s="10">
        <v>2014</v>
      </c>
      <c r="D346" s="11" t="s">
        <v>2086</v>
      </c>
      <c r="E346" s="10" t="s">
        <v>1630</v>
      </c>
      <c r="F346" s="11" t="s">
        <v>167</v>
      </c>
      <c r="G346" s="10" t="s">
        <v>1080</v>
      </c>
      <c r="H346" s="10" t="s">
        <v>2326</v>
      </c>
      <c r="I346" s="12" t="s">
        <v>1029</v>
      </c>
      <c r="J346" s="10" t="s">
        <v>1040</v>
      </c>
      <c r="K346" s="12" t="s">
        <v>1037</v>
      </c>
      <c r="L346" s="10" t="s">
        <v>1032</v>
      </c>
      <c r="M346" s="12" t="s">
        <v>114</v>
      </c>
      <c r="N346" s="14" t="s">
        <v>1035</v>
      </c>
    </row>
    <row r="347" spans="1:14" s="1" customFormat="1" ht="17.100000000000001" customHeight="1" x14ac:dyDescent="0.25">
      <c r="A347" s="9" t="s">
        <v>177</v>
      </c>
      <c r="B347" s="10" t="s">
        <v>178</v>
      </c>
      <c r="C347" s="32">
        <v>2016</v>
      </c>
      <c r="D347" s="11" t="s">
        <v>1841</v>
      </c>
      <c r="E347" s="10" t="s">
        <v>1630</v>
      </c>
      <c r="F347" s="33" t="s">
        <v>167</v>
      </c>
      <c r="G347" s="10" t="s">
        <v>1164</v>
      </c>
      <c r="H347" s="10" t="s">
        <v>2352</v>
      </c>
      <c r="I347" s="12" t="s">
        <v>1029</v>
      </c>
      <c r="J347" s="12" t="s">
        <v>1040</v>
      </c>
      <c r="K347" s="12" t="s">
        <v>1037</v>
      </c>
      <c r="L347" s="10" t="s">
        <v>1032</v>
      </c>
      <c r="M347" s="10" t="s">
        <v>1130</v>
      </c>
      <c r="N347" s="14" t="s">
        <v>1035</v>
      </c>
    </row>
    <row r="348" spans="1:14" s="1" customFormat="1" ht="17.100000000000001" customHeight="1" x14ac:dyDescent="0.25">
      <c r="A348" s="9" t="s">
        <v>173</v>
      </c>
      <c r="B348" s="10" t="s">
        <v>174</v>
      </c>
      <c r="C348" s="32">
        <v>2016</v>
      </c>
      <c r="D348" s="11" t="s">
        <v>1840</v>
      </c>
      <c r="E348" s="10" t="s">
        <v>1630</v>
      </c>
      <c r="F348" s="33" t="s">
        <v>167</v>
      </c>
      <c r="G348" s="10" t="s">
        <v>1054</v>
      </c>
      <c r="H348" s="10" t="s">
        <v>2329</v>
      </c>
      <c r="I348" s="12" t="s">
        <v>1029</v>
      </c>
      <c r="J348" s="10" t="s">
        <v>1030</v>
      </c>
      <c r="K348" s="10" t="s">
        <v>1031</v>
      </c>
      <c r="L348" s="10" t="s">
        <v>1042</v>
      </c>
      <c r="M348" s="12" t="s">
        <v>114</v>
      </c>
      <c r="N348" s="14" t="s">
        <v>1035</v>
      </c>
    </row>
    <row r="349" spans="1:14" s="1" customFormat="1" ht="17.100000000000001" customHeight="1" x14ac:dyDescent="0.25">
      <c r="A349" s="9" t="s">
        <v>168</v>
      </c>
      <c r="B349" s="10" t="s">
        <v>816</v>
      </c>
      <c r="C349" s="10">
        <v>2016</v>
      </c>
      <c r="D349" s="11" t="s">
        <v>1866</v>
      </c>
      <c r="E349" s="10" t="s">
        <v>1630</v>
      </c>
      <c r="F349" s="11" t="s">
        <v>167</v>
      </c>
      <c r="G349" s="12" t="s">
        <v>1028</v>
      </c>
      <c r="H349" s="10" t="s">
        <v>2357</v>
      </c>
      <c r="I349" s="12" t="s">
        <v>1039</v>
      </c>
      <c r="J349" s="12" t="s">
        <v>1030</v>
      </c>
      <c r="K349" s="10" t="s">
        <v>1031</v>
      </c>
      <c r="L349" s="10" t="s">
        <v>1032</v>
      </c>
      <c r="M349" s="12" t="s">
        <v>1050</v>
      </c>
      <c r="N349" s="14" t="s">
        <v>1035</v>
      </c>
    </row>
    <row r="350" spans="1:14" s="1" customFormat="1" ht="17.100000000000001" customHeight="1" x14ac:dyDescent="0.25">
      <c r="A350" s="9" t="s">
        <v>169</v>
      </c>
      <c r="B350" s="10" t="s">
        <v>170</v>
      </c>
      <c r="C350" s="10">
        <v>2016</v>
      </c>
      <c r="D350" s="11" t="s">
        <v>2003</v>
      </c>
      <c r="E350" s="10" t="s">
        <v>1630</v>
      </c>
      <c r="F350" s="11" t="s">
        <v>167</v>
      </c>
      <c r="G350" s="10" t="s">
        <v>2266</v>
      </c>
      <c r="H350" s="10" t="s">
        <v>1057</v>
      </c>
      <c r="I350" s="12" t="s">
        <v>1039</v>
      </c>
      <c r="J350" s="10" t="s">
        <v>1030</v>
      </c>
      <c r="K350" s="10" t="s">
        <v>1031</v>
      </c>
      <c r="L350" s="10" t="s">
        <v>1247</v>
      </c>
      <c r="M350" s="10" t="s">
        <v>1049</v>
      </c>
      <c r="N350" s="14" t="s">
        <v>1035</v>
      </c>
    </row>
    <row r="351" spans="1:14" s="1" customFormat="1" ht="17.100000000000001" customHeight="1" x14ac:dyDescent="0.25">
      <c r="A351" s="9" t="s">
        <v>183</v>
      </c>
      <c r="B351" s="10" t="s">
        <v>184</v>
      </c>
      <c r="C351" s="10">
        <v>2017</v>
      </c>
      <c r="D351" s="11" t="s">
        <v>1958</v>
      </c>
      <c r="E351" s="10" t="s">
        <v>1630</v>
      </c>
      <c r="F351" s="11" t="s">
        <v>167</v>
      </c>
      <c r="G351" s="10" t="s">
        <v>2300</v>
      </c>
      <c r="H351" s="10" t="s">
        <v>1057</v>
      </c>
      <c r="I351" s="12" t="s">
        <v>1039</v>
      </c>
      <c r="J351" s="10" t="s">
        <v>1036</v>
      </c>
      <c r="K351" s="10" t="s">
        <v>1031</v>
      </c>
      <c r="L351" s="10" t="s">
        <v>1247</v>
      </c>
      <c r="M351" s="12" t="s">
        <v>114</v>
      </c>
      <c r="N351" s="14" t="s">
        <v>1035</v>
      </c>
    </row>
    <row r="352" spans="1:14" s="1" customFormat="1" ht="17.100000000000001" customHeight="1" x14ac:dyDescent="0.25">
      <c r="A352" s="9" t="s">
        <v>185</v>
      </c>
      <c r="B352" s="10" t="s">
        <v>186</v>
      </c>
      <c r="C352" s="10">
        <v>2012</v>
      </c>
      <c r="D352" s="11" t="s">
        <v>1959</v>
      </c>
      <c r="E352" s="10" t="s">
        <v>1630</v>
      </c>
      <c r="F352" s="11" t="s">
        <v>167</v>
      </c>
      <c r="G352" s="10" t="s">
        <v>1028</v>
      </c>
      <c r="H352" s="10" t="s">
        <v>1057</v>
      </c>
      <c r="I352" s="12" t="s">
        <v>1039</v>
      </c>
      <c r="J352" s="10" t="s">
        <v>1040</v>
      </c>
      <c r="K352" s="10" t="s">
        <v>1031</v>
      </c>
      <c r="L352" s="10" t="s">
        <v>1032</v>
      </c>
      <c r="M352" s="12" t="s">
        <v>114</v>
      </c>
      <c r="N352" s="14" t="s">
        <v>1035</v>
      </c>
    </row>
    <row r="353" spans="1:14" s="1" customFormat="1" ht="17.100000000000001" customHeight="1" x14ac:dyDescent="0.25">
      <c r="A353" s="9" t="s">
        <v>165</v>
      </c>
      <c r="B353" s="10" t="s">
        <v>166</v>
      </c>
      <c r="C353" s="10">
        <v>2017</v>
      </c>
      <c r="D353" s="11" t="s">
        <v>1933</v>
      </c>
      <c r="E353" s="10" t="s">
        <v>1630</v>
      </c>
      <c r="F353" s="11" t="s">
        <v>167</v>
      </c>
      <c r="G353" s="12" t="s">
        <v>1028</v>
      </c>
      <c r="H353" s="10" t="s">
        <v>1646</v>
      </c>
      <c r="I353" s="12" t="s">
        <v>1039</v>
      </c>
      <c r="J353" s="12" t="s">
        <v>1030</v>
      </c>
      <c r="K353" s="10" t="s">
        <v>1031</v>
      </c>
      <c r="L353" s="10" t="s">
        <v>1247</v>
      </c>
      <c r="M353" s="12" t="s">
        <v>1049</v>
      </c>
      <c r="N353" s="14" t="s">
        <v>1035</v>
      </c>
    </row>
    <row r="354" spans="1:14" s="1" customFormat="1" ht="17.100000000000001" customHeight="1" x14ac:dyDescent="0.25">
      <c r="A354" s="9" t="s">
        <v>175</v>
      </c>
      <c r="B354" s="10" t="s">
        <v>176</v>
      </c>
      <c r="C354" s="10">
        <v>2014</v>
      </c>
      <c r="D354" s="11" t="s">
        <v>1700</v>
      </c>
      <c r="E354" s="10" t="s">
        <v>1630</v>
      </c>
      <c r="F354" s="11" t="s">
        <v>167</v>
      </c>
      <c r="G354" s="10" t="s">
        <v>2275</v>
      </c>
      <c r="H354" s="10" t="s">
        <v>2420</v>
      </c>
      <c r="I354" s="12" t="s">
        <v>1029</v>
      </c>
      <c r="J354" s="10" t="s">
        <v>1040</v>
      </c>
      <c r="K354" s="10" t="s">
        <v>1031</v>
      </c>
      <c r="L354" s="10" t="s">
        <v>1042</v>
      </c>
      <c r="M354" s="12" t="s">
        <v>114</v>
      </c>
      <c r="N354" s="13" t="s">
        <v>1072</v>
      </c>
    </row>
    <row r="355" spans="1:14" s="1" customFormat="1" ht="17.100000000000001" customHeight="1" x14ac:dyDescent="0.25">
      <c r="A355" s="9" t="s">
        <v>1553</v>
      </c>
      <c r="B355" s="10" t="s">
        <v>1554</v>
      </c>
      <c r="C355" s="10">
        <v>2020</v>
      </c>
      <c r="D355" s="11" t="s">
        <v>2223</v>
      </c>
      <c r="E355" s="10" t="s">
        <v>1630</v>
      </c>
      <c r="F355" s="11" t="s">
        <v>167</v>
      </c>
      <c r="G355" s="10" t="s">
        <v>2282</v>
      </c>
      <c r="H355" s="10" t="s">
        <v>1229</v>
      </c>
      <c r="I355" s="10" t="s">
        <v>1493</v>
      </c>
      <c r="J355" s="10" t="s">
        <v>1030</v>
      </c>
      <c r="K355" s="10" t="s">
        <v>1031</v>
      </c>
      <c r="L355" s="10" t="s">
        <v>1247</v>
      </c>
      <c r="M355" s="10" t="s">
        <v>1067</v>
      </c>
      <c r="N355" s="13" t="s">
        <v>1072</v>
      </c>
    </row>
    <row r="356" spans="1:14" s="1" customFormat="1" ht="17.100000000000001" customHeight="1" x14ac:dyDescent="0.25">
      <c r="A356" s="9" t="s">
        <v>189</v>
      </c>
      <c r="B356" s="10" t="s">
        <v>190</v>
      </c>
      <c r="C356" s="39">
        <v>2013</v>
      </c>
      <c r="D356" s="11" t="s">
        <v>1749</v>
      </c>
      <c r="E356" s="10" t="s">
        <v>1630</v>
      </c>
      <c r="F356" s="33" t="s">
        <v>167</v>
      </c>
      <c r="G356" s="12" t="s">
        <v>1028</v>
      </c>
      <c r="H356" s="10" t="s">
        <v>2340</v>
      </c>
      <c r="I356" s="12" t="s">
        <v>1029</v>
      </c>
      <c r="J356" s="12" t="s">
        <v>1036</v>
      </c>
      <c r="K356" s="10" t="s">
        <v>1031</v>
      </c>
      <c r="L356" s="10" t="s">
        <v>1032</v>
      </c>
      <c r="M356" s="12" t="s">
        <v>114</v>
      </c>
      <c r="N356" s="14" t="s">
        <v>1035</v>
      </c>
    </row>
    <row r="357" spans="1:14" s="1" customFormat="1" ht="17.100000000000001" customHeight="1" x14ac:dyDescent="0.25">
      <c r="A357" s="9" t="s">
        <v>409</v>
      </c>
      <c r="B357" s="10" t="s">
        <v>410</v>
      </c>
      <c r="C357" s="10">
        <v>2019</v>
      </c>
      <c r="D357" s="11" t="s">
        <v>1848</v>
      </c>
      <c r="E357" s="10" t="s">
        <v>1630</v>
      </c>
      <c r="F357" s="11" t="s">
        <v>411</v>
      </c>
      <c r="G357" s="10" t="s">
        <v>1028</v>
      </c>
      <c r="H357" s="10" t="s">
        <v>1057</v>
      </c>
      <c r="I357" s="12" t="s">
        <v>1039</v>
      </c>
      <c r="J357" s="10" t="s">
        <v>1040</v>
      </c>
      <c r="K357" s="10" t="s">
        <v>1031</v>
      </c>
      <c r="L357" s="10" t="s">
        <v>1032</v>
      </c>
      <c r="M357" s="12" t="s">
        <v>114</v>
      </c>
      <c r="N357" s="14" t="s">
        <v>1035</v>
      </c>
    </row>
    <row r="358" spans="1:14" s="1" customFormat="1" ht="17.100000000000001" customHeight="1" x14ac:dyDescent="0.25">
      <c r="A358" s="9" t="s">
        <v>553</v>
      </c>
      <c r="B358" s="10" t="s">
        <v>554</v>
      </c>
      <c r="C358" s="10">
        <v>2021</v>
      </c>
      <c r="D358" s="11" t="s">
        <v>1986</v>
      </c>
      <c r="E358" s="10" t="s">
        <v>1630</v>
      </c>
      <c r="F358" s="11" t="s">
        <v>411</v>
      </c>
      <c r="G358" s="10" t="s">
        <v>2278</v>
      </c>
      <c r="H358" s="10" t="s">
        <v>1057</v>
      </c>
      <c r="I358" s="12" t="s">
        <v>1039</v>
      </c>
      <c r="J358" s="10" t="s">
        <v>1030</v>
      </c>
      <c r="K358" s="12" t="s">
        <v>1037</v>
      </c>
      <c r="L358" s="10" t="s">
        <v>1247</v>
      </c>
      <c r="M358" s="12" t="s">
        <v>114</v>
      </c>
      <c r="N358" s="14" t="s">
        <v>1035</v>
      </c>
    </row>
    <row r="359" spans="1:14" s="1" customFormat="1" ht="17.100000000000001" customHeight="1" x14ac:dyDescent="0.25">
      <c r="A359" s="9" t="s">
        <v>414</v>
      </c>
      <c r="B359" s="10" t="s">
        <v>415</v>
      </c>
      <c r="C359" s="10">
        <v>2019</v>
      </c>
      <c r="D359" s="11" t="s">
        <v>1925</v>
      </c>
      <c r="E359" s="10" t="s">
        <v>1630</v>
      </c>
      <c r="F359" s="11" t="s">
        <v>411</v>
      </c>
      <c r="G359" s="10" t="s">
        <v>1080</v>
      </c>
      <c r="H359" s="10" t="s">
        <v>2331</v>
      </c>
      <c r="I359" s="12" t="s">
        <v>1039</v>
      </c>
      <c r="J359" s="10" t="s">
        <v>1040</v>
      </c>
      <c r="K359" s="12" t="s">
        <v>1037</v>
      </c>
      <c r="L359" s="10" t="s">
        <v>1032</v>
      </c>
      <c r="M359" s="10" t="s">
        <v>1136</v>
      </c>
      <c r="N359" s="14" t="s">
        <v>1035</v>
      </c>
    </row>
    <row r="360" spans="1:14" s="1" customFormat="1" ht="17.100000000000001" customHeight="1" x14ac:dyDescent="0.25">
      <c r="A360" s="9" t="s">
        <v>1533</v>
      </c>
      <c r="B360" s="10" t="s">
        <v>1534</v>
      </c>
      <c r="C360" s="10">
        <v>2021</v>
      </c>
      <c r="D360" s="11" t="s">
        <v>2217</v>
      </c>
      <c r="E360" s="10" t="s">
        <v>1630</v>
      </c>
      <c r="F360" s="11" t="s">
        <v>203</v>
      </c>
      <c r="G360" s="10" t="s">
        <v>2266</v>
      </c>
      <c r="H360" s="10" t="s">
        <v>1057</v>
      </c>
      <c r="I360" s="10" t="s">
        <v>1493</v>
      </c>
      <c r="J360" s="10" t="s">
        <v>1030</v>
      </c>
      <c r="K360" s="10" t="s">
        <v>1031</v>
      </c>
      <c r="L360" s="10" t="s">
        <v>1247</v>
      </c>
      <c r="M360" s="10" t="s">
        <v>114</v>
      </c>
      <c r="N360" s="13" t="s">
        <v>1035</v>
      </c>
    </row>
    <row r="361" spans="1:14" s="1" customFormat="1" ht="17.100000000000001" customHeight="1" x14ac:dyDescent="0.25">
      <c r="A361" s="9" t="s">
        <v>204</v>
      </c>
      <c r="B361" s="10" t="s">
        <v>205</v>
      </c>
      <c r="C361" s="10">
        <v>2018</v>
      </c>
      <c r="D361" s="11" t="s">
        <v>2005</v>
      </c>
      <c r="E361" s="10" t="s">
        <v>1630</v>
      </c>
      <c r="F361" s="11" t="s">
        <v>203</v>
      </c>
      <c r="G361" s="10" t="s">
        <v>2266</v>
      </c>
      <c r="H361" s="10" t="s">
        <v>1057</v>
      </c>
      <c r="I361" s="12" t="s">
        <v>1039</v>
      </c>
      <c r="J361" s="10" t="s">
        <v>1030</v>
      </c>
      <c r="K361" s="10" t="s">
        <v>1031</v>
      </c>
      <c r="L361" s="10" t="s">
        <v>1247</v>
      </c>
      <c r="M361" s="12" t="s">
        <v>114</v>
      </c>
      <c r="N361" s="14" t="s">
        <v>1035</v>
      </c>
    </row>
    <row r="362" spans="1:14" s="1" customFormat="1" ht="17.100000000000001" customHeight="1" x14ac:dyDescent="0.25">
      <c r="A362" s="9" t="s">
        <v>869</v>
      </c>
      <c r="B362" s="10" t="s">
        <v>871</v>
      </c>
      <c r="C362" s="10">
        <v>2021</v>
      </c>
      <c r="D362" s="11" t="s">
        <v>2247</v>
      </c>
      <c r="E362" s="10" t="s">
        <v>1630</v>
      </c>
      <c r="F362" s="11" t="s">
        <v>230</v>
      </c>
      <c r="G362" s="10" t="s">
        <v>1094</v>
      </c>
      <c r="H362" s="10" t="s">
        <v>2326</v>
      </c>
      <c r="I362" s="10" t="s">
        <v>1039</v>
      </c>
      <c r="J362" s="10" t="s">
        <v>1040</v>
      </c>
      <c r="K362" s="10" t="s">
        <v>1031</v>
      </c>
      <c r="L362" s="10" t="s">
        <v>1032</v>
      </c>
      <c r="M362" s="10" t="s">
        <v>1086</v>
      </c>
      <c r="N362" s="13" t="s">
        <v>1072</v>
      </c>
    </row>
    <row r="363" spans="1:14" s="1" customFormat="1" ht="17.100000000000001" customHeight="1" x14ac:dyDescent="0.25">
      <c r="A363" s="9" t="s">
        <v>283</v>
      </c>
      <c r="B363" s="10" t="s">
        <v>284</v>
      </c>
      <c r="C363" s="10">
        <v>2017</v>
      </c>
      <c r="D363" s="11" t="s">
        <v>2064</v>
      </c>
      <c r="E363" s="10" t="s">
        <v>1630</v>
      </c>
      <c r="F363" s="11" t="s">
        <v>274</v>
      </c>
      <c r="G363" s="10" t="s">
        <v>2266</v>
      </c>
      <c r="H363" s="10" t="s">
        <v>2366</v>
      </c>
      <c r="I363" s="12" t="s">
        <v>1039</v>
      </c>
      <c r="J363" s="12" t="s">
        <v>1030</v>
      </c>
      <c r="K363" s="10" t="s">
        <v>1031</v>
      </c>
      <c r="L363" s="10" t="s">
        <v>1247</v>
      </c>
      <c r="M363" s="12" t="s">
        <v>114</v>
      </c>
      <c r="N363" s="14" t="s">
        <v>1035</v>
      </c>
    </row>
    <row r="364" spans="1:14" s="1" customFormat="1" ht="17.100000000000001" customHeight="1" x14ac:dyDescent="0.25">
      <c r="A364" s="9" t="s">
        <v>279</v>
      </c>
      <c r="B364" s="10" t="s">
        <v>280</v>
      </c>
      <c r="C364" s="32">
        <v>2013</v>
      </c>
      <c r="D364" s="11" t="s">
        <v>1838</v>
      </c>
      <c r="E364" s="10" t="s">
        <v>1630</v>
      </c>
      <c r="F364" s="33" t="s">
        <v>274</v>
      </c>
      <c r="G364" s="10" t="s">
        <v>2266</v>
      </c>
      <c r="H364" s="10" t="s">
        <v>2326</v>
      </c>
      <c r="I364" s="10" t="s">
        <v>1039</v>
      </c>
      <c r="J364" s="12" t="s">
        <v>1688</v>
      </c>
      <c r="K364" s="10" t="s">
        <v>1031</v>
      </c>
      <c r="L364" s="10" t="s">
        <v>1247</v>
      </c>
      <c r="M364" s="12" t="s">
        <v>1055</v>
      </c>
      <c r="N364" s="13" t="s">
        <v>1072</v>
      </c>
    </row>
    <row r="365" spans="1:14" s="1" customFormat="1" ht="17.100000000000001" customHeight="1" x14ac:dyDescent="0.25">
      <c r="A365" s="9" t="s">
        <v>281</v>
      </c>
      <c r="B365" s="10" t="s">
        <v>282</v>
      </c>
      <c r="C365" s="10">
        <v>2016</v>
      </c>
      <c r="D365" s="11" t="s">
        <v>2023</v>
      </c>
      <c r="E365" s="10" t="s">
        <v>1630</v>
      </c>
      <c r="F365" s="11" t="s">
        <v>274</v>
      </c>
      <c r="G365" s="10" t="s">
        <v>2275</v>
      </c>
      <c r="H365" s="10" t="s">
        <v>1166</v>
      </c>
      <c r="I365" s="12" t="s">
        <v>1039</v>
      </c>
      <c r="J365" s="12" t="s">
        <v>1030</v>
      </c>
      <c r="K365" s="12" t="s">
        <v>1037</v>
      </c>
      <c r="L365" s="10" t="s">
        <v>1247</v>
      </c>
      <c r="M365" s="12" t="s">
        <v>1049</v>
      </c>
      <c r="N365" s="14" t="s">
        <v>1035</v>
      </c>
    </row>
    <row r="366" spans="1:14" s="1" customFormat="1" ht="17.100000000000001" customHeight="1" x14ac:dyDescent="0.25">
      <c r="A366" s="9" t="s">
        <v>275</v>
      </c>
      <c r="B366" s="10" t="s">
        <v>276</v>
      </c>
      <c r="C366" s="10">
        <v>2015</v>
      </c>
      <c r="D366" s="11" t="s">
        <v>2035</v>
      </c>
      <c r="E366" s="10" t="s">
        <v>1630</v>
      </c>
      <c r="F366" s="11" t="s">
        <v>274</v>
      </c>
      <c r="G366" s="12" t="s">
        <v>1028</v>
      </c>
      <c r="H366" s="10" t="s">
        <v>1168</v>
      </c>
      <c r="I366" s="12" t="s">
        <v>1039</v>
      </c>
      <c r="J366" s="12" t="s">
        <v>1040</v>
      </c>
      <c r="K366" s="10" t="s">
        <v>1031</v>
      </c>
      <c r="L366" s="10" t="s">
        <v>1247</v>
      </c>
      <c r="M366" s="12" t="s">
        <v>1219</v>
      </c>
      <c r="N366" s="14" t="s">
        <v>1035</v>
      </c>
    </row>
    <row r="367" spans="1:14" s="1" customFormat="1" ht="17.100000000000001" customHeight="1" x14ac:dyDescent="0.25">
      <c r="A367" s="9" t="s">
        <v>272</v>
      </c>
      <c r="B367" s="10" t="s">
        <v>273</v>
      </c>
      <c r="C367" s="10">
        <v>2018</v>
      </c>
      <c r="D367" s="11" t="s">
        <v>2058</v>
      </c>
      <c r="E367" s="10" t="s">
        <v>1630</v>
      </c>
      <c r="F367" s="11" t="s">
        <v>274</v>
      </c>
      <c r="G367" s="10" t="s">
        <v>1538</v>
      </c>
      <c r="H367" s="10" t="s">
        <v>1230</v>
      </c>
      <c r="I367" s="12" t="s">
        <v>1039</v>
      </c>
      <c r="J367" s="12" t="s">
        <v>1030</v>
      </c>
      <c r="K367" s="10" t="s">
        <v>1031</v>
      </c>
      <c r="L367" s="10" t="s">
        <v>1247</v>
      </c>
      <c r="M367" s="12" t="s">
        <v>1049</v>
      </c>
      <c r="N367" s="14" t="s">
        <v>1035</v>
      </c>
    </row>
    <row r="368" spans="1:14" s="1" customFormat="1" ht="17.100000000000001" customHeight="1" x14ac:dyDescent="0.25">
      <c r="A368" s="9" t="s">
        <v>1535</v>
      </c>
      <c r="B368" s="10" t="s">
        <v>1536</v>
      </c>
      <c r="C368" s="10">
        <v>2015</v>
      </c>
      <c r="D368" s="11" t="s">
        <v>2218</v>
      </c>
      <c r="E368" s="10" t="s">
        <v>1630</v>
      </c>
      <c r="F368" s="11" t="s">
        <v>1537</v>
      </c>
      <c r="G368" s="10" t="s">
        <v>1538</v>
      </c>
      <c r="H368" s="10" t="s">
        <v>1230</v>
      </c>
      <c r="I368" s="10" t="s">
        <v>1493</v>
      </c>
      <c r="J368" s="10" t="s">
        <v>1030</v>
      </c>
      <c r="K368" s="12" t="s">
        <v>1037</v>
      </c>
      <c r="L368" s="10" t="s">
        <v>1247</v>
      </c>
      <c r="M368" s="10" t="s">
        <v>1539</v>
      </c>
      <c r="N368" s="13" t="s">
        <v>1035</v>
      </c>
    </row>
    <row r="369" spans="1:14" s="1" customFormat="1" ht="17.100000000000001" customHeight="1" x14ac:dyDescent="0.25">
      <c r="A369" s="9" t="s">
        <v>277</v>
      </c>
      <c r="B369" s="10" t="s">
        <v>278</v>
      </c>
      <c r="C369" s="10">
        <v>2018</v>
      </c>
      <c r="D369" s="11" t="s">
        <v>1750</v>
      </c>
      <c r="E369" s="10" t="s">
        <v>1630</v>
      </c>
      <c r="F369" s="11" t="s">
        <v>274</v>
      </c>
      <c r="G369" s="12" t="s">
        <v>1028</v>
      </c>
      <c r="H369" s="10" t="s">
        <v>2320</v>
      </c>
      <c r="I369" s="12" t="s">
        <v>1029</v>
      </c>
      <c r="J369" s="12" t="s">
        <v>1040</v>
      </c>
      <c r="K369" s="10" t="s">
        <v>1031</v>
      </c>
      <c r="L369" s="10" t="s">
        <v>1032</v>
      </c>
      <c r="M369" s="12" t="s">
        <v>114</v>
      </c>
      <c r="N369" s="14" t="s">
        <v>1035</v>
      </c>
    </row>
    <row r="370" spans="1:14" s="1" customFormat="1" ht="17.100000000000001" customHeight="1" x14ac:dyDescent="0.25">
      <c r="A370" s="9" t="s">
        <v>285</v>
      </c>
      <c r="B370" s="10" t="s">
        <v>286</v>
      </c>
      <c r="C370" s="10">
        <v>2017</v>
      </c>
      <c r="D370" s="11" t="s">
        <v>1912</v>
      </c>
      <c r="E370" s="10" t="s">
        <v>1630</v>
      </c>
      <c r="F370" s="11" t="s">
        <v>274</v>
      </c>
      <c r="G370" s="12" t="s">
        <v>1054</v>
      </c>
      <c r="H370" s="10" t="s">
        <v>2434</v>
      </c>
      <c r="I370" s="12" t="s">
        <v>1039</v>
      </c>
      <c r="J370" s="12" t="s">
        <v>1040</v>
      </c>
      <c r="K370" s="10" t="s">
        <v>1031</v>
      </c>
      <c r="L370" s="10" t="s">
        <v>1247</v>
      </c>
      <c r="M370" s="12" t="s">
        <v>1055</v>
      </c>
      <c r="N370" s="14" t="s">
        <v>1035</v>
      </c>
    </row>
    <row r="371" spans="1:14" s="1" customFormat="1" ht="17.100000000000001" customHeight="1" x14ac:dyDescent="0.25">
      <c r="A371" s="9" t="s">
        <v>434</v>
      </c>
      <c r="B371" s="10" t="s">
        <v>435</v>
      </c>
      <c r="C371" s="10">
        <v>2019</v>
      </c>
      <c r="D371" s="11" t="s">
        <v>1990</v>
      </c>
      <c r="E371" s="10" t="s">
        <v>1630</v>
      </c>
      <c r="F371" s="11" t="s">
        <v>436</v>
      </c>
      <c r="G371" s="10" t="s">
        <v>2266</v>
      </c>
      <c r="H371" s="10" t="s">
        <v>1647</v>
      </c>
      <c r="I371" s="12" t="s">
        <v>1039</v>
      </c>
      <c r="J371" s="10" t="s">
        <v>1030</v>
      </c>
      <c r="K371" s="12" t="s">
        <v>1037</v>
      </c>
      <c r="L371" s="10" t="s">
        <v>1247</v>
      </c>
      <c r="M371" s="12" t="s">
        <v>114</v>
      </c>
      <c r="N371" s="14" t="s">
        <v>1035</v>
      </c>
    </row>
    <row r="372" spans="1:14" s="1" customFormat="1" ht="17.100000000000001" customHeight="1" x14ac:dyDescent="0.25">
      <c r="A372" s="9" t="s">
        <v>311</v>
      </c>
      <c r="B372" s="10" t="s">
        <v>312</v>
      </c>
      <c r="C372" s="12">
        <v>2015</v>
      </c>
      <c r="D372" s="11" t="s">
        <v>2021</v>
      </c>
      <c r="E372" s="10" t="s">
        <v>1630</v>
      </c>
      <c r="F372" s="11" t="s">
        <v>304</v>
      </c>
      <c r="G372" s="12" t="s">
        <v>1054</v>
      </c>
      <c r="H372" s="10" t="s">
        <v>1166</v>
      </c>
      <c r="I372" s="12" t="s">
        <v>1039</v>
      </c>
      <c r="J372" s="12" t="s">
        <v>1036</v>
      </c>
      <c r="K372" s="10" t="s">
        <v>1031</v>
      </c>
      <c r="L372" s="10" t="s">
        <v>1247</v>
      </c>
      <c r="M372" s="12" t="s">
        <v>114</v>
      </c>
      <c r="N372" s="14" t="s">
        <v>1035</v>
      </c>
    </row>
    <row r="373" spans="1:14" s="1" customFormat="1" ht="17.100000000000001" customHeight="1" x14ac:dyDescent="0.25">
      <c r="A373" s="9" t="s">
        <v>313</v>
      </c>
      <c r="B373" s="10" t="s">
        <v>314</v>
      </c>
      <c r="C373" s="12">
        <v>2015</v>
      </c>
      <c r="D373" s="11" t="s">
        <v>1935</v>
      </c>
      <c r="E373" s="10" t="s">
        <v>1630</v>
      </c>
      <c r="F373" s="11" t="s">
        <v>304</v>
      </c>
      <c r="G373" s="12" t="s">
        <v>1182</v>
      </c>
      <c r="H373" s="10" t="s">
        <v>1166</v>
      </c>
      <c r="I373" s="12" t="s">
        <v>1029</v>
      </c>
      <c r="J373" s="12" t="s">
        <v>1040</v>
      </c>
      <c r="K373" s="10" t="s">
        <v>1031</v>
      </c>
      <c r="L373" s="10" t="s">
        <v>1032</v>
      </c>
      <c r="M373" s="12" t="s">
        <v>1185</v>
      </c>
      <c r="N373" s="14" t="s">
        <v>1035</v>
      </c>
    </row>
    <row r="374" spans="1:14" s="1" customFormat="1" ht="17.100000000000001" customHeight="1" x14ac:dyDescent="0.25">
      <c r="A374" s="9" t="s">
        <v>302</v>
      </c>
      <c r="B374" s="10" t="s">
        <v>303</v>
      </c>
      <c r="C374" s="10">
        <v>2016</v>
      </c>
      <c r="D374" s="11" t="s">
        <v>2008</v>
      </c>
      <c r="E374" s="10" t="s">
        <v>1630</v>
      </c>
      <c r="F374" s="11" t="s">
        <v>304</v>
      </c>
      <c r="G374" s="10" t="s">
        <v>2266</v>
      </c>
      <c r="H374" s="10" t="s">
        <v>1057</v>
      </c>
      <c r="I374" s="12" t="s">
        <v>1039</v>
      </c>
      <c r="J374" s="10" t="s">
        <v>1030</v>
      </c>
      <c r="K374" s="12" t="s">
        <v>1037</v>
      </c>
      <c r="L374" s="10" t="s">
        <v>1247</v>
      </c>
      <c r="M374" s="12" t="s">
        <v>114</v>
      </c>
      <c r="N374" s="14" t="s">
        <v>1035</v>
      </c>
    </row>
    <row r="375" spans="1:14" s="1" customFormat="1" ht="17.100000000000001" customHeight="1" x14ac:dyDescent="0.25">
      <c r="A375" s="9" t="s">
        <v>305</v>
      </c>
      <c r="B375" s="10" t="s">
        <v>306</v>
      </c>
      <c r="C375" s="12">
        <v>2015</v>
      </c>
      <c r="D375" s="11" t="s">
        <v>2052</v>
      </c>
      <c r="E375" s="10" t="s">
        <v>1630</v>
      </c>
      <c r="F375" s="11" t="s">
        <v>304</v>
      </c>
      <c r="G375" s="12" t="s">
        <v>1215</v>
      </c>
      <c r="H375" s="10" t="s">
        <v>1226</v>
      </c>
      <c r="I375" s="12" t="s">
        <v>1039</v>
      </c>
      <c r="J375" s="12" t="s">
        <v>1030</v>
      </c>
      <c r="K375" s="10" t="s">
        <v>1031</v>
      </c>
      <c r="L375" s="10" t="s">
        <v>1247</v>
      </c>
      <c r="M375" s="12" t="s">
        <v>114</v>
      </c>
      <c r="N375" s="14" t="s">
        <v>1035</v>
      </c>
    </row>
    <row r="376" spans="1:14" s="1" customFormat="1" ht="17.100000000000001" customHeight="1" x14ac:dyDescent="0.25">
      <c r="A376" s="9" t="s">
        <v>315</v>
      </c>
      <c r="B376" s="10" t="s">
        <v>316</v>
      </c>
      <c r="C376" s="12">
        <v>2016</v>
      </c>
      <c r="D376" s="11" t="s">
        <v>2069</v>
      </c>
      <c r="E376" s="10" t="s">
        <v>1630</v>
      </c>
      <c r="F376" s="11" t="s">
        <v>304</v>
      </c>
      <c r="G376" s="12" t="s">
        <v>1054</v>
      </c>
      <c r="H376" s="10" t="s">
        <v>2340</v>
      </c>
      <c r="I376" s="12" t="s">
        <v>1029</v>
      </c>
      <c r="J376" s="12" t="s">
        <v>1036</v>
      </c>
      <c r="K376" s="10" t="s">
        <v>1031</v>
      </c>
      <c r="L376" s="10" t="s">
        <v>1247</v>
      </c>
      <c r="M376" s="12" t="s">
        <v>1234</v>
      </c>
      <c r="N376" s="14" t="s">
        <v>1035</v>
      </c>
    </row>
    <row r="377" spans="1:14" s="1" customFormat="1" ht="17.100000000000001" customHeight="1" x14ac:dyDescent="0.25">
      <c r="A377" s="9" t="s">
        <v>307</v>
      </c>
      <c r="B377" s="10" t="s">
        <v>308</v>
      </c>
      <c r="C377" s="12">
        <v>2018</v>
      </c>
      <c r="D377" s="11" t="s">
        <v>2067</v>
      </c>
      <c r="E377" s="10" t="s">
        <v>1630</v>
      </c>
      <c r="F377" s="11" t="s">
        <v>304</v>
      </c>
      <c r="G377" s="12" t="s">
        <v>1054</v>
      </c>
      <c r="H377" s="10" t="s">
        <v>2340</v>
      </c>
      <c r="I377" s="12" t="s">
        <v>1039</v>
      </c>
      <c r="J377" s="12" t="s">
        <v>1040</v>
      </c>
      <c r="K377" s="10" t="s">
        <v>1031</v>
      </c>
      <c r="L377" s="10" t="s">
        <v>1247</v>
      </c>
      <c r="M377" s="12" t="s">
        <v>114</v>
      </c>
      <c r="N377" s="14" t="s">
        <v>1035</v>
      </c>
    </row>
    <row r="378" spans="1:14" s="1" customFormat="1" ht="17.100000000000001" customHeight="1" x14ac:dyDescent="0.25">
      <c r="A378" s="9" t="s">
        <v>309</v>
      </c>
      <c r="B378" s="10" t="s">
        <v>310</v>
      </c>
      <c r="C378" s="12">
        <v>2015</v>
      </c>
      <c r="D378" s="11" t="s">
        <v>2068</v>
      </c>
      <c r="E378" s="10" t="s">
        <v>1630</v>
      </c>
      <c r="F378" s="11" t="s">
        <v>304</v>
      </c>
      <c r="G378" s="12" t="s">
        <v>1054</v>
      </c>
      <c r="H378" s="10" t="s">
        <v>2378</v>
      </c>
      <c r="I378" s="12" t="s">
        <v>1039</v>
      </c>
      <c r="J378" s="12" t="s">
        <v>1040</v>
      </c>
      <c r="K378" s="10" t="s">
        <v>1031</v>
      </c>
      <c r="L378" s="10" t="s">
        <v>1247</v>
      </c>
      <c r="M378" s="12" t="s">
        <v>114</v>
      </c>
      <c r="N378" s="14" t="s">
        <v>1035</v>
      </c>
    </row>
    <row r="379" spans="1:14" s="1" customFormat="1" ht="17.100000000000001" customHeight="1" x14ac:dyDescent="0.25">
      <c r="A379" s="9" t="s">
        <v>384</v>
      </c>
      <c r="B379" s="10" t="s">
        <v>385</v>
      </c>
      <c r="C379" s="12">
        <v>2018</v>
      </c>
      <c r="D379" s="11" t="s">
        <v>1913</v>
      </c>
      <c r="E379" s="10" t="s">
        <v>1630</v>
      </c>
      <c r="F379" s="11" t="s">
        <v>386</v>
      </c>
      <c r="G379" s="12" t="s">
        <v>1054</v>
      </c>
      <c r="H379" s="10" t="s">
        <v>2331</v>
      </c>
      <c r="I379" s="12" t="s">
        <v>1029</v>
      </c>
      <c r="J379" s="12" t="s">
        <v>1036</v>
      </c>
      <c r="K379" s="10" t="s">
        <v>1031</v>
      </c>
      <c r="L379" s="12" t="s">
        <v>1042</v>
      </c>
      <c r="M379" s="12" t="s">
        <v>1061</v>
      </c>
      <c r="N379" s="14" t="s">
        <v>1035</v>
      </c>
    </row>
    <row r="380" spans="1:14" s="1" customFormat="1" ht="17.100000000000001" customHeight="1" x14ac:dyDescent="0.25">
      <c r="A380" s="9" t="s">
        <v>392</v>
      </c>
      <c r="B380" s="10" t="s">
        <v>393</v>
      </c>
      <c r="C380" s="40">
        <v>2015</v>
      </c>
      <c r="D380" s="11" t="s">
        <v>1909</v>
      </c>
      <c r="E380" s="10" t="s">
        <v>1630</v>
      </c>
      <c r="F380" s="41" t="s">
        <v>387</v>
      </c>
      <c r="G380" s="12" t="s">
        <v>1612</v>
      </c>
      <c r="H380" s="10" t="s">
        <v>2326</v>
      </c>
      <c r="I380" s="12" t="s">
        <v>1029</v>
      </c>
      <c r="J380" s="12" t="s">
        <v>1040</v>
      </c>
      <c r="K380" s="10" t="s">
        <v>1031</v>
      </c>
      <c r="L380" s="10" t="s">
        <v>1032</v>
      </c>
      <c r="M380" s="12" t="s">
        <v>1063</v>
      </c>
      <c r="N380" s="13" t="s">
        <v>1072</v>
      </c>
    </row>
    <row r="381" spans="1:14" s="1" customFormat="1" ht="17.100000000000001" customHeight="1" x14ac:dyDescent="0.25">
      <c r="A381" s="9" t="s">
        <v>224</v>
      </c>
      <c r="B381" s="10" t="s">
        <v>225</v>
      </c>
      <c r="C381" s="10">
        <v>2015</v>
      </c>
      <c r="D381" s="11" t="s">
        <v>1762</v>
      </c>
      <c r="E381" s="10" t="s">
        <v>1630</v>
      </c>
      <c r="F381" s="11" t="s">
        <v>223</v>
      </c>
      <c r="G381" s="10" t="s">
        <v>2266</v>
      </c>
      <c r="H381" s="10" t="s">
        <v>2326</v>
      </c>
      <c r="I381" s="12" t="s">
        <v>1029</v>
      </c>
      <c r="J381" s="10" t="s">
        <v>1030</v>
      </c>
      <c r="K381" s="10" t="s">
        <v>1031</v>
      </c>
      <c r="L381" s="10" t="s">
        <v>1032</v>
      </c>
      <c r="M381" s="12" t="s">
        <v>114</v>
      </c>
      <c r="N381" s="14" t="s">
        <v>1035</v>
      </c>
    </row>
    <row r="382" spans="1:14" s="1" customFormat="1" ht="17.100000000000001" customHeight="1" x14ac:dyDescent="0.25">
      <c r="A382" s="9" t="s">
        <v>221</v>
      </c>
      <c r="B382" s="10" t="s">
        <v>222</v>
      </c>
      <c r="C382" s="10">
        <v>2013</v>
      </c>
      <c r="D382" s="11" t="s">
        <v>1775</v>
      </c>
      <c r="E382" s="10" t="s">
        <v>1630</v>
      </c>
      <c r="F382" s="11" t="s">
        <v>223</v>
      </c>
      <c r="G382" s="10" t="s">
        <v>1635</v>
      </c>
      <c r="H382" s="10" t="s">
        <v>2326</v>
      </c>
      <c r="I382" s="12" t="s">
        <v>1039</v>
      </c>
      <c r="J382" s="10" t="s">
        <v>1030</v>
      </c>
      <c r="K382" s="12" t="s">
        <v>1037</v>
      </c>
      <c r="L382" s="10" t="s">
        <v>1032</v>
      </c>
      <c r="M382" s="10" t="s">
        <v>1088</v>
      </c>
      <c r="N382" s="14" t="s">
        <v>1035</v>
      </c>
    </row>
    <row r="383" spans="1:14" s="1" customFormat="1" ht="17.100000000000001" customHeight="1" x14ac:dyDescent="0.25">
      <c r="A383" s="9" t="s">
        <v>226</v>
      </c>
      <c r="B383" s="10" t="s">
        <v>227</v>
      </c>
      <c r="C383" s="10">
        <v>2013</v>
      </c>
      <c r="D383" s="11" t="s">
        <v>1962</v>
      </c>
      <c r="E383" s="10" t="s">
        <v>1630</v>
      </c>
      <c r="F383" s="11" t="s">
        <v>223</v>
      </c>
      <c r="G383" s="10" t="s">
        <v>2268</v>
      </c>
      <c r="H383" s="10" t="s">
        <v>1057</v>
      </c>
      <c r="I383" s="10" t="s">
        <v>1493</v>
      </c>
      <c r="J383" s="10" t="s">
        <v>1030</v>
      </c>
      <c r="K383" s="10" t="s">
        <v>1031</v>
      </c>
      <c r="L383" s="10" t="s">
        <v>1032</v>
      </c>
      <c r="M383" s="12" t="s">
        <v>114</v>
      </c>
      <c r="N383" s="14" t="s">
        <v>1035</v>
      </c>
    </row>
    <row r="384" spans="1:14" s="1" customFormat="1" ht="17.100000000000001" customHeight="1" x14ac:dyDescent="0.25">
      <c r="A384" s="9" t="s">
        <v>534</v>
      </c>
      <c r="B384" s="10" t="s">
        <v>535</v>
      </c>
      <c r="C384" s="10">
        <v>2021</v>
      </c>
      <c r="D384" s="11" t="s">
        <v>1738</v>
      </c>
      <c r="E384" s="10" t="s">
        <v>1630</v>
      </c>
      <c r="F384" s="11" t="s">
        <v>223</v>
      </c>
      <c r="G384" s="10" t="s">
        <v>1054</v>
      </c>
      <c r="H384" s="10" t="s">
        <v>2340</v>
      </c>
      <c r="I384" s="12" t="s">
        <v>1039</v>
      </c>
      <c r="J384" s="12" t="s">
        <v>1040</v>
      </c>
      <c r="K384" s="10" t="s">
        <v>1031</v>
      </c>
      <c r="L384" s="10" t="s">
        <v>1042</v>
      </c>
      <c r="M384" s="10" t="s">
        <v>1050</v>
      </c>
      <c r="N384" s="14" t="s">
        <v>1035</v>
      </c>
    </row>
    <row r="385" spans="1:14" s="1" customFormat="1" ht="17.100000000000001" customHeight="1" x14ac:dyDescent="0.25">
      <c r="A385" s="9" t="s">
        <v>538</v>
      </c>
      <c r="B385" s="10" t="s">
        <v>539</v>
      </c>
      <c r="C385" s="10">
        <v>2020</v>
      </c>
      <c r="D385" s="11" t="s">
        <v>1739</v>
      </c>
      <c r="E385" s="10" t="s">
        <v>1630</v>
      </c>
      <c r="F385" s="11" t="s">
        <v>223</v>
      </c>
      <c r="G385" s="10" t="s">
        <v>1054</v>
      </c>
      <c r="H385" s="10" t="s">
        <v>2340</v>
      </c>
      <c r="I385" s="12" t="s">
        <v>1029</v>
      </c>
      <c r="J385" s="10" t="s">
        <v>1040</v>
      </c>
      <c r="K385" s="10" t="s">
        <v>1031</v>
      </c>
      <c r="L385" s="10" t="s">
        <v>1042</v>
      </c>
      <c r="M385" s="10" t="s">
        <v>1050</v>
      </c>
      <c r="N385" s="14" t="s">
        <v>1035</v>
      </c>
    </row>
    <row r="386" spans="1:14" s="1" customFormat="1" ht="17.100000000000001" customHeight="1" x14ac:dyDescent="0.25">
      <c r="A386" s="9" t="s">
        <v>536</v>
      </c>
      <c r="B386" s="10" t="s">
        <v>537</v>
      </c>
      <c r="C386" s="10">
        <v>2020</v>
      </c>
      <c r="D386" s="11" t="s">
        <v>1729</v>
      </c>
      <c r="E386" s="10" t="s">
        <v>1630</v>
      </c>
      <c r="F386" s="11" t="s">
        <v>223</v>
      </c>
      <c r="G386" s="10" t="s">
        <v>1028</v>
      </c>
      <c r="H386" s="10" t="s">
        <v>2320</v>
      </c>
      <c r="I386" s="12" t="s">
        <v>1039</v>
      </c>
      <c r="J386" s="10" t="s">
        <v>1040</v>
      </c>
      <c r="K386" s="10" t="s">
        <v>1031</v>
      </c>
      <c r="L386" s="10" t="s">
        <v>1032</v>
      </c>
      <c r="M386" s="12" t="s">
        <v>114</v>
      </c>
      <c r="N386" s="14" t="s">
        <v>1035</v>
      </c>
    </row>
    <row r="387" spans="1:14" s="1" customFormat="1" ht="17.100000000000001" customHeight="1" x14ac:dyDescent="0.25">
      <c r="A387" s="9" t="s">
        <v>2401</v>
      </c>
      <c r="B387" s="10" t="s">
        <v>0</v>
      </c>
      <c r="C387" s="10">
        <v>2012</v>
      </c>
      <c r="D387" s="11" t="s">
        <v>1870</v>
      </c>
      <c r="E387" s="10" t="s">
        <v>1630</v>
      </c>
      <c r="F387" s="11" t="s">
        <v>1</v>
      </c>
      <c r="G387" s="10" t="s">
        <v>1054</v>
      </c>
      <c r="H387" s="10" t="s">
        <v>1161</v>
      </c>
      <c r="I387" s="12" t="s">
        <v>1029</v>
      </c>
      <c r="J387" s="10" t="s">
        <v>1040</v>
      </c>
      <c r="K387" s="10" t="s">
        <v>1031</v>
      </c>
      <c r="L387" s="10" t="s">
        <v>1042</v>
      </c>
      <c r="M387" s="12" t="s">
        <v>114</v>
      </c>
      <c r="N387" s="13" t="s">
        <v>1041</v>
      </c>
    </row>
    <row r="388" spans="1:14" s="1" customFormat="1" ht="17.100000000000001" customHeight="1" x14ac:dyDescent="0.25">
      <c r="A388" s="9" t="s">
        <v>500</v>
      </c>
      <c r="B388" s="10" t="s">
        <v>501</v>
      </c>
      <c r="C388" s="10">
        <v>2020</v>
      </c>
      <c r="D388" s="11" t="s">
        <v>2102</v>
      </c>
      <c r="E388" s="10" t="s">
        <v>1630</v>
      </c>
      <c r="F388" s="11" t="s">
        <v>1</v>
      </c>
      <c r="G388" s="10" t="s">
        <v>1028</v>
      </c>
      <c r="H388" s="10" t="s">
        <v>2378</v>
      </c>
      <c r="I388" s="12" t="s">
        <v>1039</v>
      </c>
      <c r="J388" s="10" t="s">
        <v>1030</v>
      </c>
      <c r="K388" s="10" t="s">
        <v>1031</v>
      </c>
      <c r="L388" s="10" t="s">
        <v>1032</v>
      </c>
      <c r="M388" s="12" t="s">
        <v>114</v>
      </c>
      <c r="N388" s="14" t="s">
        <v>1035</v>
      </c>
    </row>
    <row r="389" spans="1:14" s="1" customFormat="1" ht="17.100000000000001" customHeight="1" x14ac:dyDescent="0.25">
      <c r="A389" s="9" t="s">
        <v>460</v>
      </c>
      <c r="B389" s="10" t="s">
        <v>461</v>
      </c>
      <c r="C389" s="10">
        <v>2019</v>
      </c>
      <c r="D389" s="11" t="s">
        <v>1719</v>
      </c>
      <c r="E389" s="10" t="s">
        <v>1630</v>
      </c>
      <c r="F389" s="11" t="s">
        <v>1</v>
      </c>
      <c r="G389" s="10" t="s">
        <v>1028</v>
      </c>
      <c r="H389" s="10" t="s">
        <v>2320</v>
      </c>
      <c r="I389" s="12" t="s">
        <v>1039</v>
      </c>
      <c r="J389" s="10" t="s">
        <v>1030</v>
      </c>
      <c r="K389" s="10" t="s">
        <v>1031</v>
      </c>
      <c r="L389" s="10" t="s">
        <v>1247</v>
      </c>
      <c r="M389" s="10" t="s">
        <v>1134</v>
      </c>
      <c r="N389" s="13" t="s">
        <v>1072</v>
      </c>
    </row>
    <row r="390" spans="1:14" s="1" customFormat="1" ht="17.100000000000001" customHeight="1" x14ac:dyDescent="0.25">
      <c r="A390" s="9" t="s">
        <v>353</v>
      </c>
      <c r="B390" s="10" t="s">
        <v>354</v>
      </c>
      <c r="C390" s="10">
        <v>2018</v>
      </c>
      <c r="D390" s="11" t="s">
        <v>1971</v>
      </c>
      <c r="E390" s="10" t="s">
        <v>1630</v>
      </c>
      <c r="F390" s="11" t="s">
        <v>355</v>
      </c>
      <c r="G390" s="12" t="s">
        <v>1054</v>
      </c>
      <c r="H390" s="10" t="s">
        <v>1057</v>
      </c>
      <c r="I390" s="12" t="s">
        <v>1039</v>
      </c>
      <c r="J390" s="12" t="s">
        <v>1030</v>
      </c>
      <c r="K390" s="10" t="s">
        <v>1031</v>
      </c>
      <c r="L390" s="10" t="s">
        <v>1247</v>
      </c>
      <c r="M390" s="12" t="s">
        <v>1197</v>
      </c>
      <c r="N390" s="14" t="s">
        <v>1035</v>
      </c>
    </row>
    <row r="391" spans="1:14" s="1" customFormat="1" ht="17.100000000000001" customHeight="1" x14ac:dyDescent="0.25">
      <c r="A391" s="9" t="s">
        <v>514</v>
      </c>
      <c r="B391" s="10" t="s">
        <v>515</v>
      </c>
      <c r="C391" s="10">
        <v>2021</v>
      </c>
      <c r="D391" s="11" t="s">
        <v>1987</v>
      </c>
      <c r="E391" s="10" t="s">
        <v>1630</v>
      </c>
      <c r="F391" s="11" t="s">
        <v>355</v>
      </c>
      <c r="G391" s="10" t="s">
        <v>2275</v>
      </c>
      <c r="H391" s="10" t="s">
        <v>1180</v>
      </c>
      <c r="I391" s="12" t="s">
        <v>1039</v>
      </c>
      <c r="J391" s="10" t="s">
        <v>1030</v>
      </c>
      <c r="K391" s="10" t="s">
        <v>1031</v>
      </c>
      <c r="L391" s="10" t="s">
        <v>1247</v>
      </c>
      <c r="M391" s="10" t="s">
        <v>1075</v>
      </c>
      <c r="N391" s="14" t="s">
        <v>1035</v>
      </c>
    </row>
    <row r="392" spans="1:14" s="1" customFormat="1" ht="17.100000000000001" customHeight="1" x14ac:dyDescent="0.25">
      <c r="A392" s="9" t="s">
        <v>323</v>
      </c>
      <c r="B392" s="10" t="s">
        <v>324</v>
      </c>
      <c r="C392" s="12">
        <v>2016</v>
      </c>
      <c r="D392" s="11" t="s">
        <v>1751</v>
      </c>
      <c r="E392" s="10" t="s">
        <v>1630</v>
      </c>
      <c r="F392" s="11" t="s">
        <v>322</v>
      </c>
      <c r="G392" s="12" t="s">
        <v>1054</v>
      </c>
      <c r="H392" s="10" t="s">
        <v>2326</v>
      </c>
      <c r="I392" s="12" t="s">
        <v>1029</v>
      </c>
      <c r="J392" s="12" t="s">
        <v>1036</v>
      </c>
      <c r="K392" s="10" t="s">
        <v>1031</v>
      </c>
      <c r="L392" s="10" t="s">
        <v>1247</v>
      </c>
      <c r="M392" s="12" t="s">
        <v>114</v>
      </c>
      <c r="N392" s="13" t="s">
        <v>2397</v>
      </c>
    </row>
    <row r="393" spans="1:14" s="1" customFormat="1" ht="17.100000000000001" customHeight="1" x14ac:dyDescent="0.25">
      <c r="A393" s="9" t="s">
        <v>1475</v>
      </c>
      <c r="B393" s="10" t="s">
        <v>1476</v>
      </c>
      <c r="C393" s="10">
        <v>2020</v>
      </c>
      <c r="D393" s="11" t="s">
        <v>2197</v>
      </c>
      <c r="E393" s="10" t="s">
        <v>1630</v>
      </c>
      <c r="F393" s="11" t="s">
        <v>322</v>
      </c>
      <c r="G393" s="10" t="s">
        <v>1544</v>
      </c>
      <c r="H393" s="10" t="s">
        <v>1230</v>
      </c>
      <c r="I393" s="10" t="s">
        <v>1039</v>
      </c>
      <c r="J393" s="10" t="s">
        <v>1030</v>
      </c>
      <c r="K393" s="10" t="s">
        <v>1031</v>
      </c>
      <c r="L393" s="10" t="s">
        <v>1247</v>
      </c>
      <c r="M393" s="10" t="s">
        <v>114</v>
      </c>
      <c r="N393" s="13" t="s">
        <v>1035</v>
      </c>
    </row>
    <row r="394" spans="1:14" s="1" customFormat="1" ht="17.100000000000001" customHeight="1" x14ac:dyDescent="0.25">
      <c r="A394" s="9" t="s">
        <v>1261</v>
      </c>
      <c r="B394" s="10" t="s">
        <v>1262</v>
      </c>
      <c r="C394" s="10">
        <v>2015</v>
      </c>
      <c r="D394" s="11" t="s">
        <v>2087</v>
      </c>
      <c r="E394" s="10" t="s">
        <v>1630</v>
      </c>
      <c r="F394" s="11" t="s">
        <v>1259</v>
      </c>
      <c r="G394" s="10" t="s">
        <v>1263</v>
      </c>
      <c r="H394" s="10" t="s">
        <v>2326</v>
      </c>
      <c r="I394" s="12" t="s">
        <v>1029</v>
      </c>
      <c r="J394" s="10" t="s">
        <v>1040</v>
      </c>
      <c r="K394" s="10" t="s">
        <v>1031</v>
      </c>
      <c r="L394" s="10" t="s">
        <v>1247</v>
      </c>
      <c r="M394" s="10" t="s">
        <v>1049</v>
      </c>
      <c r="N394" s="13" t="s">
        <v>1035</v>
      </c>
    </row>
    <row r="395" spans="1:14" s="1" customFormat="1" ht="17.100000000000001" customHeight="1" x14ac:dyDescent="0.25">
      <c r="A395" s="9" t="s">
        <v>1257</v>
      </c>
      <c r="B395" s="10" t="s">
        <v>1258</v>
      </c>
      <c r="C395" s="10">
        <v>2020</v>
      </c>
      <c r="D395" s="11" t="s">
        <v>2113</v>
      </c>
      <c r="E395" s="10" t="s">
        <v>1630</v>
      </c>
      <c r="F395" s="11" t="s">
        <v>1259</v>
      </c>
      <c r="G395" s="10" t="s">
        <v>1260</v>
      </c>
      <c r="H395" s="10" t="s">
        <v>2326</v>
      </c>
      <c r="I395" s="12" t="s">
        <v>1029</v>
      </c>
      <c r="J395" s="10" t="s">
        <v>1040</v>
      </c>
      <c r="K395" s="10" t="s">
        <v>1031</v>
      </c>
      <c r="L395" s="10" t="s">
        <v>1032</v>
      </c>
      <c r="M395" s="12" t="s">
        <v>1055</v>
      </c>
      <c r="N395" s="13" t="s">
        <v>1035</v>
      </c>
    </row>
    <row r="396" spans="1:14" s="1" customFormat="1" ht="17.100000000000001" customHeight="1" x14ac:dyDescent="0.25">
      <c r="A396" s="9" t="s">
        <v>1486</v>
      </c>
      <c r="B396" s="10" t="s">
        <v>1487</v>
      </c>
      <c r="C396" s="10">
        <v>2019</v>
      </c>
      <c r="D396" s="11" t="s">
        <v>1874</v>
      </c>
      <c r="E396" s="10" t="s">
        <v>1630</v>
      </c>
      <c r="F396" s="11" t="s">
        <v>230</v>
      </c>
      <c r="G396" s="10" t="s">
        <v>2275</v>
      </c>
      <c r="H396" s="10" t="s">
        <v>2337</v>
      </c>
      <c r="I396" s="10" t="s">
        <v>1039</v>
      </c>
      <c r="J396" s="10" t="s">
        <v>1030</v>
      </c>
      <c r="K396" s="10" t="s">
        <v>1031</v>
      </c>
      <c r="L396" s="10" t="s">
        <v>1247</v>
      </c>
      <c r="M396" s="10" t="s">
        <v>1067</v>
      </c>
      <c r="N396" s="13" t="s">
        <v>1035</v>
      </c>
    </row>
    <row r="397" spans="1:14" s="1" customFormat="1" ht="17.100000000000001" customHeight="1" x14ac:dyDescent="0.25">
      <c r="A397" s="9" t="s">
        <v>422</v>
      </c>
      <c r="B397" s="10" t="s">
        <v>423</v>
      </c>
      <c r="C397" s="10">
        <v>2019</v>
      </c>
      <c r="D397" s="11" t="s">
        <v>1888</v>
      </c>
      <c r="E397" s="10" t="s">
        <v>1630</v>
      </c>
      <c r="F397" s="11" t="s">
        <v>230</v>
      </c>
      <c r="G397" s="10" t="s">
        <v>2266</v>
      </c>
      <c r="H397" s="10" t="s">
        <v>2338</v>
      </c>
      <c r="I397" s="12" t="s">
        <v>1039</v>
      </c>
      <c r="J397" s="10" t="s">
        <v>1030</v>
      </c>
      <c r="K397" s="10" t="s">
        <v>1031</v>
      </c>
      <c r="L397" s="10" t="s">
        <v>1247</v>
      </c>
      <c r="M397" s="10" t="s">
        <v>1137</v>
      </c>
      <c r="N397" s="13" t="s">
        <v>1034</v>
      </c>
    </row>
    <row r="398" spans="1:14" s="1" customFormat="1" ht="17.100000000000001" customHeight="1" x14ac:dyDescent="0.25">
      <c r="A398" s="9" t="s">
        <v>245</v>
      </c>
      <c r="B398" s="10" t="s">
        <v>246</v>
      </c>
      <c r="C398" s="10">
        <v>2019</v>
      </c>
      <c r="D398" s="11" t="s">
        <v>1882</v>
      </c>
      <c r="E398" s="10" t="s">
        <v>1630</v>
      </c>
      <c r="F398" s="11" t="s">
        <v>230</v>
      </c>
      <c r="G398" s="10" t="s">
        <v>1054</v>
      </c>
      <c r="H398" s="10" t="s">
        <v>2338</v>
      </c>
      <c r="I398" s="12" t="s">
        <v>1039</v>
      </c>
      <c r="J398" s="10" t="s">
        <v>1036</v>
      </c>
      <c r="K398" s="12" t="s">
        <v>1037</v>
      </c>
      <c r="L398" s="10" t="s">
        <v>1042</v>
      </c>
      <c r="M398" s="12" t="s">
        <v>114</v>
      </c>
      <c r="N398" s="14" t="s">
        <v>1035</v>
      </c>
    </row>
    <row r="399" spans="1:14" s="1" customFormat="1" ht="17.100000000000001" customHeight="1" x14ac:dyDescent="0.25">
      <c r="A399" s="9" t="s">
        <v>571</v>
      </c>
      <c r="B399" s="10" t="s">
        <v>572</v>
      </c>
      <c r="C399" s="10">
        <v>2022</v>
      </c>
      <c r="D399" s="11" t="s">
        <v>1889</v>
      </c>
      <c r="E399" s="10" t="s">
        <v>1630</v>
      </c>
      <c r="F399" s="11" t="s">
        <v>230</v>
      </c>
      <c r="G399" s="10" t="s">
        <v>1544</v>
      </c>
      <c r="H399" s="10" t="s">
        <v>2365</v>
      </c>
      <c r="I399" s="12" t="s">
        <v>1039</v>
      </c>
      <c r="J399" s="10" t="s">
        <v>1030</v>
      </c>
      <c r="K399" s="10" t="s">
        <v>1031</v>
      </c>
      <c r="L399" s="10" t="s">
        <v>1247</v>
      </c>
      <c r="M399" s="12" t="s">
        <v>114</v>
      </c>
      <c r="N399" s="13" t="s">
        <v>1034</v>
      </c>
    </row>
    <row r="400" spans="1:14" s="1" customFormat="1" ht="17.100000000000001" customHeight="1" x14ac:dyDescent="0.25">
      <c r="A400" s="9" t="s">
        <v>231</v>
      </c>
      <c r="B400" s="10" t="s">
        <v>232</v>
      </c>
      <c r="C400" s="10">
        <v>2016</v>
      </c>
      <c r="D400" s="11" t="s">
        <v>1806</v>
      </c>
      <c r="E400" s="10" t="s">
        <v>1630</v>
      </c>
      <c r="F400" s="11" t="s">
        <v>230</v>
      </c>
      <c r="G400" s="12" t="s">
        <v>1028</v>
      </c>
      <c r="H400" s="10" t="s">
        <v>2326</v>
      </c>
      <c r="I400" s="12" t="s">
        <v>1029</v>
      </c>
      <c r="J400" s="10" t="s">
        <v>1040</v>
      </c>
      <c r="K400" s="10" t="s">
        <v>1031</v>
      </c>
      <c r="L400" s="10" t="s">
        <v>1032</v>
      </c>
      <c r="M400" s="12" t="s">
        <v>114</v>
      </c>
      <c r="N400" s="13" t="s">
        <v>1041</v>
      </c>
    </row>
    <row r="401" spans="1:14" s="1" customFormat="1" ht="17.100000000000001" customHeight="1" x14ac:dyDescent="0.25">
      <c r="A401" s="9" t="s">
        <v>831</v>
      </c>
      <c r="B401" s="10" t="s">
        <v>832</v>
      </c>
      <c r="C401" s="10">
        <v>2018</v>
      </c>
      <c r="D401" s="11" t="s">
        <v>1897</v>
      </c>
      <c r="E401" s="10" t="s">
        <v>1630</v>
      </c>
      <c r="F401" s="11" t="s">
        <v>230</v>
      </c>
      <c r="G401" s="10" t="s">
        <v>2266</v>
      </c>
      <c r="H401" s="10" t="s">
        <v>2326</v>
      </c>
      <c r="I401" s="12" t="s">
        <v>1029</v>
      </c>
      <c r="J401" s="10" t="s">
        <v>1040</v>
      </c>
      <c r="K401" s="10" t="s">
        <v>1031</v>
      </c>
      <c r="L401" s="10" t="s">
        <v>1032</v>
      </c>
      <c r="M401" s="10" t="s">
        <v>1575</v>
      </c>
      <c r="N401" s="13" t="s">
        <v>1035</v>
      </c>
    </row>
    <row r="402" spans="1:14" s="1" customFormat="1" ht="17.100000000000001" customHeight="1" x14ac:dyDescent="0.25">
      <c r="A402" s="9" t="s">
        <v>549</v>
      </c>
      <c r="B402" s="10" t="s">
        <v>550</v>
      </c>
      <c r="C402" s="10">
        <v>2022</v>
      </c>
      <c r="D402" s="11" t="s">
        <v>1852</v>
      </c>
      <c r="E402" s="10" t="s">
        <v>1630</v>
      </c>
      <c r="F402" s="11" t="s">
        <v>230</v>
      </c>
      <c r="G402" s="10" t="s">
        <v>1215</v>
      </c>
      <c r="H402" s="10" t="s">
        <v>2326</v>
      </c>
      <c r="I402" s="12" t="s">
        <v>1039</v>
      </c>
      <c r="J402" s="10" t="s">
        <v>1030</v>
      </c>
      <c r="K402" s="12" t="s">
        <v>1037</v>
      </c>
      <c r="L402" s="10" t="s">
        <v>1032</v>
      </c>
      <c r="M402" s="12" t="s">
        <v>114</v>
      </c>
      <c r="N402" s="13" t="s">
        <v>1072</v>
      </c>
    </row>
    <row r="403" spans="1:14" s="1" customFormat="1" ht="17.100000000000001" customHeight="1" x14ac:dyDescent="0.25">
      <c r="A403" s="9" t="s">
        <v>1620</v>
      </c>
      <c r="B403" s="10" t="s">
        <v>1621</v>
      </c>
      <c r="C403" s="10">
        <v>2021</v>
      </c>
      <c r="D403" s="11" t="s">
        <v>1682</v>
      </c>
      <c r="E403" s="10" t="s">
        <v>1630</v>
      </c>
      <c r="F403" s="11" t="s">
        <v>230</v>
      </c>
      <c r="G403" s="10" t="s">
        <v>1215</v>
      </c>
      <c r="H403" s="10" t="s">
        <v>2326</v>
      </c>
      <c r="I403" s="12" t="s">
        <v>1029</v>
      </c>
      <c r="J403" s="10" t="s">
        <v>1691</v>
      </c>
      <c r="K403" s="12" t="s">
        <v>1037</v>
      </c>
      <c r="L403" s="10" t="s">
        <v>1032</v>
      </c>
      <c r="M403" s="10" t="s">
        <v>1093</v>
      </c>
      <c r="N403" s="13" t="s">
        <v>1035</v>
      </c>
    </row>
    <row r="404" spans="1:14" s="1" customFormat="1" ht="17.100000000000001" customHeight="1" x14ac:dyDescent="0.25">
      <c r="A404" s="9" t="s">
        <v>228</v>
      </c>
      <c r="B404" s="10" t="s">
        <v>229</v>
      </c>
      <c r="C404" s="10">
        <v>2017</v>
      </c>
      <c r="D404" s="11" t="s">
        <v>2004</v>
      </c>
      <c r="E404" s="10" t="s">
        <v>1630</v>
      </c>
      <c r="F404" s="11" t="s">
        <v>230</v>
      </c>
      <c r="G404" s="12" t="s">
        <v>1028</v>
      </c>
      <c r="H404" s="10" t="s">
        <v>1166</v>
      </c>
      <c r="I404" s="12" t="s">
        <v>1029</v>
      </c>
      <c r="J404" s="10" t="s">
        <v>1040</v>
      </c>
      <c r="K404" s="10" t="s">
        <v>1031</v>
      </c>
      <c r="L404" s="10" t="s">
        <v>1032</v>
      </c>
      <c r="M404" s="10" t="s">
        <v>1116</v>
      </c>
      <c r="N404" s="14" t="s">
        <v>1035</v>
      </c>
    </row>
    <row r="405" spans="1:14" s="1" customFormat="1" ht="17.100000000000001" customHeight="1" x14ac:dyDescent="0.25">
      <c r="A405" s="9" t="s">
        <v>1472</v>
      </c>
      <c r="B405" s="10" t="s">
        <v>1473</v>
      </c>
      <c r="C405" s="10">
        <v>2015</v>
      </c>
      <c r="D405" s="11" t="s">
        <v>2196</v>
      </c>
      <c r="E405" s="10" t="s">
        <v>1630</v>
      </c>
      <c r="F405" s="11" t="s">
        <v>230</v>
      </c>
      <c r="G405" s="10" t="s">
        <v>2266</v>
      </c>
      <c r="H405" s="10" t="s">
        <v>1057</v>
      </c>
      <c r="I405" s="10" t="s">
        <v>1039</v>
      </c>
      <c r="J405" s="10" t="s">
        <v>1030</v>
      </c>
      <c r="K405" s="10" t="s">
        <v>1031</v>
      </c>
      <c r="L405" s="10" t="s">
        <v>1247</v>
      </c>
      <c r="M405" s="10" t="s">
        <v>1474</v>
      </c>
      <c r="N405" s="13" t="s">
        <v>1035</v>
      </c>
    </row>
    <row r="406" spans="1:14" s="1" customFormat="1" ht="17.100000000000001" customHeight="1" x14ac:dyDescent="0.25">
      <c r="A406" s="9" t="s">
        <v>1467</v>
      </c>
      <c r="B406" s="10" t="s">
        <v>1468</v>
      </c>
      <c r="C406" s="10">
        <v>2020</v>
      </c>
      <c r="D406" s="11" t="s">
        <v>2194</v>
      </c>
      <c r="E406" s="10" t="s">
        <v>1630</v>
      </c>
      <c r="F406" s="11" t="s">
        <v>230</v>
      </c>
      <c r="G406" s="10" t="s">
        <v>2266</v>
      </c>
      <c r="H406" s="10" t="s">
        <v>1057</v>
      </c>
      <c r="I406" s="10" t="s">
        <v>1039</v>
      </c>
      <c r="J406" s="10" t="s">
        <v>1030</v>
      </c>
      <c r="K406" s="10" t="s">
        <v>1031</v>
      </c>
      <c r="L406" s="10" t="s">
        <v>1247</v>
      </c>
      <c r="M406" s="10" t="s">
        <v>1240</v>
      </c>
      <c r="N406" s="13" t="s">
        <v>1035</v>
      </c>
    </row>
    <row r="407" spans="1:14" s="1" customFormat="1" ht="17.100000000000001" customHeight="1" x14ac:dyDescent="0.25">
      <c r="A407" s="9" t="s">
        <v>416</v>
      </c>
      <c r="B407" s="10" t="s">
        <v>417</v>
      </c>
      <c r="C407" s="10">
        <v>2019</v>
      </c>
      <c r="D407" s="11" t="s">
        <v>2015</v>
      </c>
      <c r="E407" s="10" t="s">
        <v>1630</v>
      </c>
      <c r="F407" s="11" t="s">
        <v>230</v>
      </c>
      <c r="G407" s="10" t="s">
        <v>2275</v>
      </c>
      <c r="H407" s="10" t="s">
        <v>1057</v>
      </c>
      <c r="I407" s="10" t="s">
        <v>1039</v>
      </c>
      <c r="J407" s="12" t="s">
        <v>1030</v>
      </c>
      <c r="K407" s="10" t="s">
        <v>1031</v>
      </c>
      <c r="L407" s="10" t="s">
        <v>1032</v>
      </c>
      <c r="M407" s="12" t="s">
        <v>114</v>
      </c>
      <c r="N407" s="14" t="s">
        <v>1035</v>
      </c>
    </row>
    <row r="408" spans="1:14" s="1" customFormat="1" ht="17.100000000000001" customHeight="1" x14ac:dyDescent="0.25">
      <c r="A408" s="9" t="s">
        <v>426</v>
      </c>
      <c r="B408" s="10" t="s">
        <v>427</v>
      </c>
      <c r="C408" s="10">
        <v>2019</v>
      </c>
      <c r="D408" s="11" t="s">
        <v>1965</v>
      </c>
      <c r="E408" s="10" t="s">
        <v>1630</v>
      </c>
      <c r="F408" s="11" t="s">
        <v>230</v>
      </c>
      <c r="G408" s="10" t="s">
        <v>2266</v>
      </c>
      <c r="H408" s="10" t="s">
        <v>1057</v>
      </c>
      <c r="I408" s="12" t="s">
        <v>1039</v>
      </c>
      <c r="J408" s="10" t="s">
        <v>1048</v>
      </c>
      <c r="K408" s="10" t="s">
        <v>1031</v>
      </c>
      <c r="L408" s="10" t="s">
        <v>1247</v>
      </c>
      <c r="M408" s="12" t="s">
        <v>114</v>
      </c>
      <c r="N408" s="13" t="s">
        <v>1034</v>
      </c>
    </row>
    <row r="409" spans="1:14" s="1" customFormat="1" ht="17.100000000000001" customHeight="1" x14ac:dyDescent="0.25">
      <c r="A409" s="9" t="s">
        <v>240</v>
      </c>
      <c r="B409" s="10" t="s">
        <v>830</v>
      </c>
      <c r="C409" s="10">
        <v>2017</v>
      </c>
      <c r="D409" s="11" t="s">
        <v>2006</v>
      </c>
      <c r="E409" s="10" t="s">
        <v>1630</v>
      </c>
      <c r="F409" s="11" t="s">
        <v>230</v>
      </c>
      <c r="G409" s="10" t="s">
        <v>2271</v>
      </c>
      <c r="H409" s="10" t="s">
        <v>1057</v>
      </c>
      <c r="I409" s="12" t="s">
        <v>1039</v>
      </c>
      <c r="J409" s="10" t="s">
        <v>1693</v>
      </c>
      <c r="K409" s="10" t="s">
        <v>1031</v>
      </c>
      <c r="L409" s="10" t="s">
        <v>1247</v>
      </c>
      <c r="M409" s="10" t="s">
        <v>1050</v>
      </c>
      <c r="N409" s="14" t="s">
        <v>1035</v>
      </c>
    </row>
    <row r="410" spans="1:14" s="1" customFormat="1" ht="17.100000000000001" customHeight="1" x14ac:dyDescent="0.25">
      <c r="A410" s="9" t="s">
        <v>547</v>
      </c>
      <c r="B410" s="10" t="s">
        <v>548</v>
      </c>
      <c r="C410" s="10">
        <v>2021</v>
      </c>
      <c r="D410" s="11" t="s">
        <v>2030</v>
      </c>
      <c r="E410" s="10" t="s">
        <v>1630</v>
      </c>
      <c r="F410" s="11" t="s">
        <v>230</v>
      </c>
      <c r="G410" s="10" t="s">
        <v>2266</v>
      </c>
      <c r="H410" s="10" t="s">
        <v>1057</v>
      </c>
      <c r="I410" s="12" t="s">
        <v>1039</v>
      </c>
      <c r="J410" s="10" t="s">
        <v>1030</v>
      </c>
      <c r="K410" s="12" t="s">
        <v>1037</v>
      </c>
      <c r="L410" s="10" t="s">
        <v>1247</v>
      </c>
      <c r="M410" s="12" t="s">
        <v>114</v>
      </c>
      <c r="N410" s="14" t="s">
        <v>1035</v>
      </c>
    </row>
    <row r="411" spans="1:14" s="1" customFormat="1" ht="17.100000000000001" customHeight="1" x14ac:dyDescent="0.25">
      <c r="A411" s="9" t="s">
        <v>243</v>
      </c>
      <c r="B411" s="10" t="s">
        <v>244</v>
      </c>
      <c r="C411" s="10">
        <v>2017</v>
      </c>
      <c r="D411" s="11" t="s">
        <v>2049</v>
      </c>
      <c r="E411" s="10" t="s">
        <v>1630</v>
      </c>
      <c r="F411" s="11" t="s">
        <v>230</v>
      </c>
      <c r="G411" s="10" t="s">
        <v>1054</v>
      </c>
      <c r="H411" s="10" t="s">
        <v>2359</v>
      </c>
      <c r="I411" s="12" t="s">
        <v>1039</v>
      </c>
      <c r="J411" s="10" t="s">
        <v>1036</v>
      </c>
      <c r="K411" s="10" t="s">
        <v>1031</v>
      </c>
      <c r="L411" s="10" t="s">
        <v>1247</v>
      </c>
      <c r="M411" s="10" t="s">
        <v>1050</v>
      </c>
      <c r="N411" s="14" t="s">
        <v>1035</v>
      </c>
    </row>
    <row r="412" spans="1:14" s="1" customFormat="1" ht="17.100000000000001" customHeight="1" x14ac:dyDescent="0.25">
      <c r="A412" s="9" t="s">
        <v>1480</v>
      </c>
      <c r="B412" s="10" t="s">
        <v>1481</v>
      </c>
      <c r="C412" s="10">
        <v>2022</v>
      </c>
      <c r="D412" s="11" t="s">
        <v>2199</v>
      </c>
      <c r="E412" s="10" t="s">
        <v>1630</v>
      </c>
      <c r="F412" s="11" t="s">
        <v>230</v>
      </c>
      <c r="G412" s="10" t="s">
        <v>2266</v>
      </c>
      <c r="H412" s="10" t="s">
        <v>1230</v>
      </c>
      <c r="I412" s="10" t="s">
        <v>1039</v>
      </c>
      <c r="J412" s="10" t="s">
        <v>1030</v>
      </c>
      <c r="K412" s="10" t="s">
        <v>1031</v>
      </c>
      <c r="L412" s="10" t="s">
        <v>1032</v>
      </c>
      <c r="M412" s="10" t="s">
        <v>1049</v>
      </c>
      <c r="N412" s="13" t="s">
        <v>1035</v>
      </c>
    </row>
    <row r="413" spans="1:14" s="1" customFormat="1" ht="17.100000000000001" customHeight="1" x14ac:dyDescent="0.25">
      <c r="A413" s="9" t="s">
        <v>1458</v>
      </c>
      <c r="B413" s="10" t="s">
        <v>1459</v>
      </c>
      <c r="C413" s="10">
        <v>2018</v>
      </c>
      <c r="D413" s="11" t="s">
        <v>2190</v>
      </c>
      <c r="E413" s="10" t="s">
        <v>1630</v>
      </c>
      <c r="F413" s="11" t="s">
        <v>230</v>
      </c>
      <c r="G413" s="10" t="s">
        <v>2266</v>
      </c>
      <c r="H413" s="10" t="s">
        <v>1180</v>
      </c>
      <c r="I413" s="10" t="s">
        <v>1039</v>
      </c>
      <c r="J413" s="10" t="s">
        <v>1030</v>
      </c>
      <c r="K413" s="10" t="s">
        <v>1031</v>
      </c>
      <c r="L413" s="10" t="s">
        <v>1247</v>
      </c>
      <c r="M413" s="10" t="s">
        <v>1067</v>
      </c>
      <c r="N413" s="13" t="s">
        <v>1035</v>
      </c>
    </row>
    <row r="414" spans="1:14" s="1" customFormat="1" ht="17.100000000000001" customHeight="1" x14ac:dyDescent="0.25">
      <c r="A414" s="9" t="s">
        <v>233</v>
      </c>
      <c r="B414" s="10" t="s">
        <v>234</v>
      </c>
      <c r="C414" s="10">
        <v>2018</v>
      </c>
      <c r="D414" s="11" t="s">
        <v>2088</v>
      </c>
      <c r="E414" s="10" t="s">
        <v>1630</v>
      </c>
      <c r="F414" s="11" t="s">
        <v>230</v>
      </c>
      <c r="G414" s="10" t="s">
        <v>1165</v>
      </c>
      <c r="H414" s="10" t="s">
        <v>2340</v>
      </c>
      <c r="I414" s="12" t="s">
        <v>1225</v>
      </c>
      <c r="J414" s="10" t="s">
        <v>1030</v>
      </c>
      <c r="K414" s="10" t="s">
        <v>1031</v>
      </c>
      <c r="L414" s="10" t="s">
        <v>1247</v>
      </c>
      <c r="M414" s="10" t="s">
        <v>1050</v>
      </c>
      <c r="N414" s="14" t="s">
        <v>1035</v>
      </c>
    </row>
    <row r="415" spans="1:14" s="1" customFormat="1" ht="17.100000000000001" customHeight="1" x14ac:dyDescent="0.25">
      <c r="A415" s="9" t="s">
        <v>238</v>
      </c>
      <c r="B415" s="10" t="s">
        <v>239</v>
      </c>
      <c r="C415" s="10">
        <v>2018</v>
      </c>
      <c r="D415" s="11" t="s">
        <v>2077</v>
      </c>
      <c r="E415" s="10" t="s">
        <v>1630</v>
      </c>
      <c r="F415" s="11" t="s">
        <v>230</v>
      </c>
      <c r="G415" s="10" t="s">
        <v>1068</v>
      </c>
      <c r="H415" s="10" t="s">
        <v>2340</v>
      </c>
      <c r="I415" s="12" t="s">
        <v>1029</v>
      </c>
      <c r="J415" s="10" t="s">
        <v>1030</v>
      </c>
      <c r="K415" s="10" t="s">
        <v>1031</v>
      </c>
      <c r="L415" s="10" t="s">
        <v>1032</v>
      </c>
      <c r="M415" s="10" t="s">
        <v>1091</v>
      </c>
      <c r="N415" s="14" t="s">
        <v>1035</v>
      </c>
    </row>
    <row r="416" spans="1:14" s="1" customFormat="1" ht="17.100000000000001" customHeight="1" x14ac:dyDescent="0.25">
      <c r="A416" s="9" t="s">
        <v>573</v>
      </c>
      <c r="B416" s="10" t="s">
        <v>574</v>
      </c>
      <c r="C416" s="10">
        <v>2022</v>
      </c>
      <c r="D416" s="11" t="s">
        <v>2107</v>
      </c>
      <c r="E416" s="10" t="s">
        <v>1630</v>
      </c>
      <c r="F416" s="11" t="s">
        <v>230</v>
      </c>
      <c r="G416" s="10" t="s">
        <v>2266</v>
      </c>
      <c r="H416" s="10" t="s">
        <v>2340</v>
      </c>
      <c r="I416" s="12" t="s">
        <v>1039</v>
      </c>
      <c r="J416" s="10" t="s">
        <v>1036</v>
      </c>
      <c r="K416" s="10" t="s">
        <v>1031</v>
      </c>
      <c r="L416" s="10" t="s">
        <v>1247</v>
      </c>
      <c r="M416" s="10" t="s">
        <v>1049</v>
      </c>
      <c r="N416" s="13" t="s">
        <v>1034</v>
      </c>
    </row>
    <row r="417" spans="1:14" s="1" customFormat="1" ht="17.100000000000001" customHeight="1" x14ac:dyDescent="0.25">
      <c r="A417" s="9" t="s">
        <v>235</v>
      </c>
      <c r="B417" s="10" t="s">
        <v>829</v>
      </c>
      <c r="C417" s="10">
        <v>2016</v>
      </c>
      <c r="D417" s="11" t="s">
        <v>2089</v>
      </c>
      <c r="E417" s="10" t="s">
        <v>1630</v>
      </c>
      <c r="F417" s="11" t="s">
        <v>230</v>
      </c>
      <c r="G417" s="10" t="s">
        <v>1028</v>
      </c>
      <c r="H417" s="10" t="s">
        <v>2340</v>
      </c>
      <c r="I417" s="12" t="s">
        <v>1039</v>
      </c>
      <c r="J417" s="10" t="s">
        <v>1040</v>
      </c>
      <c r="K417" s="10" t="s">
        <v>1031</v>
      </c>
      <c r="L417" s="10" t="s">
        <v>1032</v>
      </c>
      <c r="M417" s="12" t="s">
        <v>114</v>
      </c>
      <c r="N417" s="14" t="s">
        <v>1035</v>
      </c>
    </row>
    <row r="418" spans="1:14" s="1" customFormat="1" ht="17.100000000000001" customHeight="1" x14ac:dyDescent="0.25">
      <c r="A418" s="9" t="s">
        <v>528</v>
      </c>
      <c r="B418" s="10" t="s">
        <v>529</v>
      </c>
      <c r="C418" s="10">
        <v>2021</v>
      </c>
      <c r="D418" s="11" t="s">
        <v>1726</v>
      </c>
      <c r="E418" s="10" t="s">
        <v>1630</v>
      </c>
      <c r="F418" s="11" t="s">
        <v>230</v>
      </c>
      <c r="G418" s="10" t="s">
        <v>1028</v>
      </c>
      <c r="H418" s="10" t="s">
        <v>2320</v>
      </c>
      <c r="I418" s="12" t="s">
        <v>1039</v>
      </c>
      <c r="J418" s="10" t="s">
        <v>1040</v>
      </c>
      <c r="K418" s="10" t="s">
        <v>1031</v>
      </c>
      <c r="L418" s="10" t="s">
        <v>1032</v>
      </c>
      <c r="M418" s="12" t="s">
        <v>114</v>
      </c>
      <c r="N418" s="14" t="s">
        <v>1035</v>
      </c>
    </row>
    <row r="419" spans="1:14" s="1" customFormat="1" ht="17.100000000000001" customHeight="1" x14ac:dyDescent="0.25">
      <c r="A419" s="9" t="s">
        <v>236</v>
      </c>
      <c r="B419" s="10" t="s">
        <v>237</v>
      </c>
      <c r="C419" s="10">
        <v>2017</v>
      </c>
      <c r="D419" s="11" t="s">
        <v>1860</v>
      </c>
      <c r="E419" s="10" t="s">
        <v>1630</v>
      </c>
      <c r="F419" s="11" t="s">
        <v>230</v>
      </c>
      <c r="G419" s="10" t="s">
        <v>1028</v>
      </c>
      <c r="H419" s="10" t="s">
        <v>2348</v>
      </c>
      <c r="I419" s="12" t="s">
        <v>1039</v>
      </c>
      <c r="J419" s="10" t="s">
        <v>1030</v>
      </c>
      <c r="K419" s="10" t="s">
        <v>1031</v>
      </c>
      <c r="L419" s="10" t="s">
        <v>1032</v>
      </c>
      <c r="M419" s="10" t="s">
        <v>1050</v>
      </c>
      <c r="N419" s="14" t="s">
        <v>1035</v>
      </c>
    </row>
    <row r="420" spans="1:14" s="1" customFormat="1" ht="17.100000000000001" customHeight="1" x14ac:dyDescent="0.25">
      <c r="A420" s="9" t="s">
        <v>512</v>
      </c>
      <c r="B420" s="10" t="s">
        <v>513</v>
      </c>
      <c r="C420" s="10">
        <v>2020</v>
      </c>
      <c r="D420" s="11" t="s">
        <v>2103</v>
      </c>
      <c r="E420" s="10" t="s">
        <v>1630</v>
      </c>
      <c r="F420" s="11" t="s">
        <v>230</v>
      </c>
      <c r="G420" s="10" t="s">
        <v>1054</v>
      </c>
      <c r="H420" s="10" t="s">
        <v>2362</v>
      </c>
      <c r="I420" s="12" t="s">
        <v>1039</v>
      </c>
      <c r="J420" s="12" t="s">
        <v>1040</v>
      </c>
      <c r="K420" s="10" t="s">
        <v>1031</v>
      </c>
      <c r="L420" s="10" t="s">
        <v>1042</v>
      </c>
      <c r="M420" s="12" t="s">
        <v>114</v>
      </c>
      <c r="N420" s="13" t="s">
        <v>1041</v>
      </c>
    </row>
    <row r="421" spans="1:14" s="1" customFormat="1" ht="17.100000000000001" customHeight="1" x14ac:dyDescent="0.25">
      <c r="A421" s="9" t="s">
        <v>241</v>
      </c>
      <c r="B421" s="10" t="s">
        <v>242</v>
      </c>
      <c r="C421" s="10">
        <v>2014</v>
      </c>
      <c r="D421" s="11" t="s">
        <v>1922</v>
      </c>
      <c r="E421" s="10" t="s">
        <v>1630</v>
      </c>
      <c r="F421" s="11" t="s">
        <v>230</v>
      </c>
      <c r="G421" s="10" t="s">
        <v>2273</v>
      </c>
      <c r="H421" s="10" t="s">
        <v>2331</v>
      </c>
      <c r="I421" s="12" t="s">
        <v>1029</v>
      </c>
      <c r="J421" s="10" t="s">
        <v>1030</v>
      </c>
      <c r="K421" s="10" t="s">
        <v>1031</v>
      </c>
      <c r="L421" s="10" t="s">
        <v>1032</v>
      </c>
      <c r="M421" s="12" t="s">
        <v>114</v>
      </c>
      <c r="N421" s="14" t="s">
        <v>1035</v>
      </c>
    </row>
    <row r="422" spans="1:14" s="1" customFormat="1" ht="17.100000000000001" customHeight="1" x14ac:dyDescent="0.25">
      <c r="A422" s="9" t="s">
        <v>1545</v>
      </c>
      <c r="B422" s="10" t="s">
        <v>1546</v>
      </c>
      <c r="C422" s="10">
        <v>2018</v>
      </c>
      <c r="D422" s="11" t="s">
        <v>2220</v>
      </c>
      <c r="E422" s="10" t="s">
        <v>1630</v>
      </c>
      <c r="F422" s="11" t="s">
        <v>274</v>
      </c>
      <c r="G422" s="10" t="s">
        <v>1538</v>
      </c>
      <c r="H422" s="10" t="s">
        <v>2373</v>
      </c>
      <c r="I422" s="10" t="s">
        <v>1493</v>
      </c>
      <c r="J422" s="10" t="s">
        <v>1030</v>
      </c>
      <c r="K422" s="10" t="s">
        <v>1031</v>
      </c>
      <c r="L422" s="10" t="s">
        <v>1247</v>
      </c>
      <c r="M422" s="10" t="s">
        <v>1050</v>
      </c>
      <c r="N422" s="13" t="s">
        <v>1035</v>
      </c>
    </row>
    <row r="423" spans="1:14" s="1" customFormat="1" ht="17.100000000000001" customHeight="1" x14ac:dyDescent="0.25">
      <c r="A423" s="9" t="s">
        <v>545</v>
      </c>
      <c r="B423" s="10" t="s">
        <v>546</v>
      </c>
      <c r="C423" s="10">
        <v>2019</v>
      </c>
      <c r="D423" s="11" t="s">
        <v>1985</v>
      </c>
      <c r="E423" s="10" t="s">
        <v>1630</v>
      </c>
      <c r="F423" s="11" t="s">
        <v>141</v>
      </c>
      <c r="G423" s="10" t="s">
        <v>1054</v>
      </c>
      <c r="H423" s="10" t="s">
        <v>2366</v>
      </c>
      <c r="I423" s="12" t="s">
        <v>1039</v>
      </c>
      <c r="J423" s="10" t="s">
        <v>1036</v>
      </c>
      <c r="K423" s="10" t="s">
        <v>1031</v>
      </c>
      <c r="L423" s="10" t="s">
        <v>1042</v>
      </c>
      <c r="M423" s="10" t="s">
        <v>1050</v>
      </c>
      <c r="N423" s="13" t="s">
        <v>1041</v>
      </c>
    </row>
    <row r="424" spans="1:14" s="1" customFormat="1" ht="17.100000000000001" customHeight="1" x14ac:dyDescent="0.25">
      <c r="A424" s="9" t="s">
        <v>139</v>
      </c>
      <c r="B424" s="10" t="s">
        <v>140</v>
      </c>
      <c r="C424" s="10">
        <v>2017</v>
      </c>
      <c r="D424" s="11" t="s">
        <v>1999</v>
      </c>
      <c r="E424" s="10" t="s">
        <v>1630</v>
      </c>
      <c r="F424" s="11" t="s">
        <v>141</v>
      </c>
      <c r="G424" s="10" t="s">
        <v>2266</v>
      </c>
      <c r="H424" s="10" t="s">
        <v>2350</v>
      </c>
      <c r="I424" s="12" t="s">
        <v>1039</v>
      </c>
      <c r="J424" s="10" t="s">
        <v>1052</v>
      </c>
      <c r="K424" s="10" t="s">
        <v>1031</v>
      </c>
      <c r="L424" s="10" t="s">
        <v>1032</v>
      </c>
      <c r="M424" s="10" t="s">
        <v>1093</v>
      </c>
      <c r="N424" s="13" t="s">
        <v>1072</v>
      </c>
    </row>
    <row r="425" spans="1:14" s="1" customFormat="1" ht="17.100000000000001" customHeight="1" x14ac:dyDescent="0.25">
      <c r="A425" s="9" t="s">
        <v>1507</v>
      </c>
      <c r="B425" s="10" t="s">
        <v>1508</v>
      </c>
      <c r="C425" s="10">
        <v>2022</v>
      </c>
      <c r="D425" s="11" t="s">
        <v>2208</v>
      </c>
      <c r="E425" s="10" t="s">
        <v>1630</v>
      </c>
      <c r="F425" s="11" t="s">
        <v>141</v>
      </c>
      <c r="G425" s="10" t="s">
        <v>2285</v>
      </c>
      <c r="H425" s="10" t="s">
        <v>1509</v>
      </c>
      <c r="I425" s="10" t="s">
        <v>1493</v>
      </c>
      <c r="J425" s="10" t="s">
        <v>1030</v>
      </c>
      <c r="K425" s="10" t="s">
        <v>1031</v>
      </c>
      <c r="L425" s="10" t="s">
        <v>1247</v>
      </c>
      <c r="M425" s="10" t="s">
        <v>1510</v>
      </c>
      <c r="N425" s="13" t="s">
        <v>1034</v>
      </c>
    </row>
    <row r="426" spans="1:14" s="1" customFormat="1" ht="17.100000000000001" customHeight="1" x14ac:dyDescent="0.25">
      <c r="A426" s="9" t="s">
        <v>1520</v>
      </c>
      <c r="B426" s="10" t="s">
        <v>1521</v>
      </c>
      <c r="C426" s="10">
        <v>2022</v>
      </c>
      <c r="D426" s="11" t="s">
        <v>2212</v>
      </c>
      <c r="E426" s="10" t="s">
        <v>1630</v>
      </c>
      <c r="F426" s="11" t="s">
        <v>141</v>
      </c>
      <c r="G426" s="10" t="s">
        <v>1028</v>
      </c>
      <c r="H426" s="10" t="s">
        <v>1180</v>
      </c>
      <c r="I426" s="10" t="s">
        <v>1493</v>
      </c>
      <c r="J426" s="10" t="s">
        <v>1691</v>
      </c>
      <c r="K426" s="10" t="s">
        <v>1031</v>
      </c>
      <c r="L426" s="10" t="s">
        <v>1247</v>
      </c>
      <c r="M426" s="10" t="s">
        <v>1050</v>
      </c>
      <c r="N426" s="13" t="s">
        <v>1034</v>
      </c>
    </row>
    <row r="427" spans="1:14" s="1" customFormat="1" ht="17.100000000000001" customHeight="1" x14ac:dyDescent="0.25">
      <c r="A427" s="19" t="s">
        <v>551</v>
      </c>
      <c r="B427" s="15" t="s">
        <v>552</v>
      </c>
      <c r="C427" s="15">
        <v>2022</v>
      </c>
      <c r="D427" s="16" t="s">
        <v>1741</v>
      </c>
      <c r="E427" s="15" t="s">
        <v>1630</v>
      </c>
      <c r="F427" s="16" t="s">
        <v>141</v>
      </c>
      <c r="G427" s="15" t="s">
        <v>1054</v>
      </c>
      <c r="H427" s="15" t="s">
        <v>2340</v>
      </c>
      <c r="I427" s="17" t="s">
        <v>1029</v>
      </c>
      <c r="J427" s="15" t="s">
        <v>1030</v>
      </c>
      <c r="K427" s="15" t="s">
        <v>1031</v>
      </c>
      <c r="L427" s="15" t="s">
        <v>1032</v>
      </c>
      <c r="M427" s="15" t="s">
        <v>1050</v>
      </c>
      <c r="N427" s="18" t="s">
        <v>1035</v>
      </c>
    </row>
  </sheetData>
  <sortState xmlns:xlrd2="http://schemas.microsoft.com/office/spreadsheetml/2017/richdata2" ref="A2:N427">
    <sortCondition ref="F2:F427"/>
  </sortState>
  <conditionalFormatting sqref="B1:B1048576">
    <cfRule type="duplicateValues" dxfId="40" priority="1"/>
    <cfRule type="duplicateValues" dxfId="39" priority="2"/>
  </conditionalFormatting>
  <conditionalFormatting sqref="B98">
    <cfRule type="duplicateValues" dxfId="38" priority="8"/>
  </conditionalFormatting>
  <conditionalFormatting sqref="B99">
    <cfRule type="duplicateValues" dxfId="37" priority="7"/>
  </conditionalFormatting>
  <conditionalFormatting sqref="B103">
    <cfRule type="duplicateValues" dxfId="36" priority="6"/>
  </conditionalFormatting>
  <conditionalFormatting sqref="B425">
    <cfRule type="duplicateValues" dxfId="35" priority="4"/>
  </conditionalFormatting>
  <conditionalFormatting sqref="B426 B104:B424 B100:B102 B1:B97">
    <cfRule type="duplicateValues" dxfId="34" priority="10"/>
  </conditionalFormatting>
  <conditionalFormatting sqref="B426">
    <cfRule type="duplicateValues" dxfId="33" priority="5"/>
  </conditionalFormatting>
  <conditionalFormatting sqref="B427">
    <cfRule type="duplicateValues" dxfId="32" priority="3"/>
  </conditionalFormatting>
  <conditionalFormatting sqref="A1:A427">
    <cfRule type="duplicateValues" dxfId="31" priority="159"/>
  </conditionalFormatting>
  <conditionalFormatting sqref="B104:B423 B100:B102 B1:B97">
    <cfRule type="duplicateValues" dxfId="30" priority="167"/>
  </conditionalFormatting>
  <hyperlinks>
    <hyperlink ref="B119" r:id="rId1" display="https://doi.org/10.1016/j.future.2019.05.030" xr:uid="{1D834F9B-EF49-42FD-B2C0-9CCD8DDCF4CB}"/>
  </hyperlinks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C18A-6174-4891-A02F-60B53D375167}">
  <dimension ref="A1:O14"/>
  <sheetViews>
    <sheetView workbookViewId="0">
      <selection activeCell="F15" sqref="F15"/>
    </sheetView>
  </sheetViews>
  <sheetFormatPr defaultRowHeight="15" x14ac:dyDescent="0.25"/>
  <cols>
    <col min="1" max="1" width="27.85546875" customWidth="1"/>
    <col min="2" max="3" width="9.140625" customWidth="1"/>
  </cols>
  <sheetData>
    <row r="1" spans="1:15" x14ac:dyDescent="0.25">
      <c r="A1" s="53" t="s">
        <v>2390</v>
      </c>
      <c r="B1" s="54" t="s">
        <v>4393</v>
      </c>
      <c r="C1" s="51" t="s">
        <v>4394</v>
      </c>
      <c r="D1" s="52" t="s">
        <v>4395</v>
      </c>
      <c r="E1" s="52" t="s">
        <v>4396</v>
      </c>
      <c r="F1" s="52" t="s">
        <v>4397</v>
      </c>
      <c r="G1" s="52" t="s">
        <v>4392</v>
      </c>
      <c r="H1" s="52" t="s">
        <v>4398</v>
      </c>
      <c r="I1" s="52" t="s">
        <v>4399</v>
      </c>
      <c r="J1" s="52" t="s">
        <v>4400</v>
      </c>
      <c r="K1" s="52" t="s">
        <v>4401</v>
      </c>
      <c r="L1" s="52" t="s">
        <v>4402</v>
      </c>
      <c r="M1" s="52" t="s">
        <v>4403</v>
      </c>
      <c r="N1" s="52" t="s">
        <v>4404</v>
      </c>
      <c r="O1" s="52" t="s">
        <v>4405</v>
      </c>
    </row>
    <row r="2" spans="1:15" x14ac:dyDescent="0.25">
      <c r="A2" s="44"/>
      <c r="B2" s="44"/>
      <c r="C2" s="44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ht="25.5" x14ac:dyDescent="0.25">
      <c r="A3" s="55" t="s">
        <v>1054</v>
      </c>
      <c r="B3" s="56">
        <f>COUNTIFS('All Papers'!G:G, "*Composition*", 'All Papers'!C:C,2009)</f>
        <v>2</v>
      </c>
      <c r="C3" s="56">
        <f>COUNTIFS('All Papers'!G:G, "*Composition*", 'All Papers'!C:C,2010)</f>
        <v>4</v>
      </c>
      <c r="D3" s="52">
        <f>COUNTIFS('All Papers'!G:G, "*Composition*", 'All Papers'!C:C,2011)</f>
        <v>1</v>
      </c>
      <c r="E3" s="52">
        <f>COUNTIFS('All Papers'!G:G, "*Composition*", 'All Papers'!C:C,2012)</f>
        <v>10</v>
      </c>
      <c r="F3" s="52">
        <f>COUNTIFS('All Papers'!G:G, "*Composition*", 'All Papers'!C:C,2013)</f>
        <v>6</v>
      </c>
      <c r="G3" s="52">
        <f>COUNTIFS('All Papers'!G:G, "*Composition*", 'All Papers'!C:C,2014)</f>
        <v>12</v>
      </c>
      <c r="H3" s="52">
        <f>COUNTIFS('All Papers'!G:G, "*Composition*", 'All Papers'!C:C,2015)</f>
        <v>16</v>
      </c>
      <c r="I3" s="52">
        <f>COUNTIFS('All Papers'!G:G, "*Composition*", 'All Papers'!C:C,2016)</f>
        <v>16</v>
      </c>
      <c r="J3" s="52">
        <f>COUNTIFS('All Papers'!G:G, "*Composition*", 'All Papers'!C:C,2017)</f>
        <v>13</v>
      </c>
      <c r="K3" s="52">
        <f>COUNTIFS('All Papers'!G:G, "*Composition*", 'All Papers'!C:C,2018)</f>
        <v>20</v>
      </c>
      <c r="L3" s="52">
        <f>COUNTIFS('All Papers'!G:G, "*Composition*", 'All Papers'!C:C,2019)</f>
        <v>19</v>
      </c>
      <c r="M3" s="52">
        <f>COUNTIFS('All Papers'!G:G, "*Composition*", 'All Papers'!C:C,2020)</f>
        <v>10</v>
      </c>
      <c r="N3" s="52">
        <f>COUNTIFS('All Papers'!G:G, "*Composition*", 'All Papers'!C:C,2021)</f>
        <v>7</v>
      </c>
      <c r="O3" s="52">
        <f>COUNTIFS('All Papers'!G:G, "*Composition*", 'All Papers'!C:C,2022)</f>
        <v>11</v>
      </c>
    </row>
    <row r="4" spans="1:15" x14ac:dyDescent="0.25">
      <c r="A4" s="55" t="s">
        <v>1080</v>
      </c>
      <c r="B4" s="56">
        <f>COUNTIFS('All Papers'!G:G, "*Discovery*", 'All Papers'!C:C,2009)</f>
        <v>0</v>
      </c>
      <c r="C4" s="56">
        <f>COUNTIFS('All Papers'!G:G, "*Discovery*", 'All Papers'!C:C,2010)</f>
        <v>2</v>
      </c>
      <c r="D4" s="52">
        <f>COUNTIFS('All Papers'!G:G, "*Discovery*", 'All Papers'!C:C,2011)</f>
        <v>0</v>
      </c>
      <c r="E4" s="52">
        <f>COUNTIFS('All Papers'!G:G, "*Discovery*", 'All Papers'!C:C,2012)</f>
        <v>4</v>
      </c>
      <c r="F4" s="52">
        <f>COUNTIFS('All Papers'!G:G, "*Discovery*", 'All Papers'!C:C,2013)</f>
        <v>3</v>
      </c>
      <c r="G4" s="52">
        <f>COUNTIFS('All Papers'!G:G, "*Discovery*", 'All Papers'!C:C,2014)</f>
        <v>9</v>
      </c>
      <c r="H4" s="52">
        <f>COUNTIFS('All Papers'!G:G, "*Discovery*", 'All Papers'!C:C,2015)</f>
        <v>4</v>
      </c>
      <c r="I4" s="52">
        <f>COUNTIFS('All Papers'!G:G, "*Discovery*", 'All Papers'!C:C,2016)</f>
        <v>3</v>
      </c>
      <c r="J4" s="52">
        <f>COUNTIFS('All Papers'!G:G, "*Discovery*", 'All Papers'!C:C,2017)</f>
        <v>4</v>
      </c>
      <c r="K4" s="52">
        <f>COUNTIFS('All Papers'!G:G, "*Discovery*", 'All Papers'!C:C,2018)</f>
        <v>6</v>
      </c>
      <c r="L4" s="52">
        <f>COUNTIFS('All Papers'!G:G, "*Discovery*", 'All Papers'!C:C,2019)</f>
        <v>4</v>
      </c>
      <c r="M4" s="52">
        <f>COUNTIFS('All Papers'!G:G, "*Discovery*", 'All Papers'!C:C,2020)</f>
        <v>2</v>
      </c>
      <c r="N4" s="52">
        <f>COUNTIFS('All Papers'!G:G, "*Discovery*", 'All Papers'!C:C,2021)</f>
        <v>2</v>
      </c>
      <c r="O4" s="52">
        <f>COUNTIFS('All Papers'!G:G, "*Discovery*", 'All Papers'!C:C,2022)</f>
        <v>0</v>
      </c>
    </row>
    <row r="5" spans="1:15" x14ac:dyDescent="0.25">
      <c r="A5" s="50" t="s">
        <v>1028</v>
      </c>
      <c r="B5" s="56">
        <f>COUNTIFS('All Papers'!G:G, "*Selection*", 'All Papers'!C:C,2009)</f>
        <v>1</v>
      </c>
      <c r="C5" s="56">
        <f>COUNTIFS('All Papers'!G:G, "*Selection*", 'All Papers'!C:C,2010)</f>
        <v>2</v>
      </c>
      <c r="D5" s="52">
        <f>COUNTIFS('All Papers'!G:G, "*Selection*", 'All Papers'!C:C,2011)</f>
        <v>2</v>
      </c>
      <c r="E5" s="52">
        <f>COUNTIFS('All Papers'!G:G, "*Selection*", 'All Papers'!C:C,2012)</f>
        <v>5</v>
      </c>
      <c r="F5" s="52">
        <f>COUNTIFS('All Papers'!G:G, "*Selection*", 'All Papers'!C:C,2013)</f>
        <v>11</v>
      </c>
      <c r="G5" s="52">
        <f>COUNTIFS('All Papers'!G:G, "*Selection*", 'All Papers'!C:C,2014)</f>
        <v>12</v>
      </c>
      <c r="H5" s="52">
        <f>COUNTIFS('All Papers'!G:G, "*Selection*", 'All Papers'!C:C,2015)</f>
        <v>10</v>
      </c>
      <c r="I5" s="52">
        <f>COUNTIFS('All Papers'!G:G, "*Selection*", 'All Papers'!C:C,2016)</f>
        <v>9</v>
      </c>
      <c r="J5" s="52">
        <f>COUNTIFS('All Papers'!G:G, "*Selection*", 'All Papers'!C:C,2017)</f>
        <v>19</v>
      </c>
      <c r="K5" s="52">
        <f>COUNTIFS('All Papers'!G:G, "*Selection*", 'All Papers'!C:C,2018)</f>
        <v>13</v>
      </c>
      <c r="L5" s="52">
        <f>COUNTIFS('All Papers'!G:G, "*Selection*", 'All Papers'!C:C,2019)</f>
        <v>24</v>
      </c>
      <c r="M5" s="52">
        <f>COUNTIFS('All Papers'!G:G, "*Selection*", 'All Papers'!C:C,2020)</f>
        <v>9</v>
      </c>
      <c r="N5" s="52">
        <f>COUNTIFS('All Papers'!G:G, "*Selection*", 'All Papers'!C:C,2021)</f>
        <v>12</v>
      </c>
      <c r="O5" s="52">
        <f>COUNTIFS('All Papers'!G:G, "*Selection*", 'All Papers'!C:C,2022)</f>
        <v>14</v>
      </c>
    </row>
    <row r="6" spans="1:15" x14ac:dyDescent="0.25">
      <c r="A6" s="50" t="s">
        <v>1062</v>
      </c>
      <c r="B6" s="56">
        <f>COUNTIFS('All Papers'!G:G, "*Recommendation*", 'All Papers'!C:C,2009)</f>
        <v>0</v>
      </c>
      <c r="C6" s="56">
        <f>COUNTIFS('All Papers'!G:G, "*Recommendation*", 'All Papers'!C:C,2010)</f>
        <v>0</v>
      </c>
      <c r="D6" s="52">
        <f>COUNTIFS('All Papers'!G:G, "*Recommendation*", 'All Papers'!C:C,2011)</f>
        <v>0</v>
      </c>
      <c r="E6" s="52">
        <f>COUNTIFS('All Papers'!G:G, "*Recommendation*", 'All Papers'!C:C,2012)</f>
        <v>0</v>
      </c>
      <c r="F6" s="52">
        <f>COUNTIFS('All Papers'!G:G, "*Recommendation*", 'All Papers'!C:C,2013)</f>
        <v>0</v>
      </c>
      <c r="G6" s="52">
        <f>COUNTIFS('All Papers'!G:G, "*Recommendation*", 'All Papers'!C:C,2014)</f>
        <v>1</v>
      </c>
      <c r="H6" s="52">
        <f>COUNTIFS('All Papers'!G:G, "*Recommendation*", 'All Papers'!C:C,2015)</f>
        <v>2</v>
      </c>
      <c r="I6" s="52">
        <f>COUNTIFS('All Papers'!G:G, "*Recommendation*", 'All Papers'!C:C,2016)</f>
        <v>2</v>
      </c>
      <c r="J6" s="52">
        <f>COUNTIFS('All Papers'!G:G, "*Recommendation*", 'All Papers'!C:C,2017)</f>
        <v>2</v>
      </c>
      <c r="K6" s="52">
        <f>COUNTIFS('All Papers'!G:G, "*Recommendation*", 'All Papers'!C:C,2018)</f>
        <v>6</v>
      </c>
      <c r="L6" s="52">
        <f>COUNTIFS('All Papers'!G:G, "*Recommendation*", 'All Papers'!C:C,2019)</f>
        <v>3</v>
      </c>
      <c r="M6" s="52">
        <f>COUNTIFS('All Papers'!G:G, "*Recommendation*", 'All Papers'!C:C,2020)</f>
        <v>1</v>
      </c>
      <c r="N6" s="52">
        <f>COUNTIFS('All Papers'!G:G, "*Recommendation*", 'All Papers'!C:C,2021)</f>
        <v>0</v>
      </c>
      <c r="O6" s="52">
        <f>COUNTIFS('All Papers'!G:G, "*Recommendation*", 'All Papers'!C:C,2022)</f>
        <v>1</v>
      </c>
    </row>
    <row r="7" spans="1:15" x14ac:dyDescent="0.25">
      <c r="A7" s="50" t="s">
        <v>2266</v>
      </c>
      <c r="B7" s="56">
        <f>COUNTIFS('All Papers'!G:G, "*Resource Management-CS*", 'All Papers'!C:C,2009)</f>
        <v>0</v>
      </c>
      <c r="C7" s="56">
        <f>COUNTIFS('All Papers'!G:G, "*Resource Management-CS*", 'All Papers'!C:C,2010)</f>
        <v>2</v>
      </c>
      <c r="D7" s="52">
        <f>COUNTIFS('All Papers'!G:G, "*Resource Management-CS*", 'All Papers'!C:C,2011)</f>
        <v>4</v>
      </c>
      <c r="E7" s="52">
        <f>COUNTIFS('All Papers'!G:G, "*Resource Management-CS*", 'All Papers'!C:C,2012)</f>
        <v>9</v>
      </c>
      <c r="F7" s="52">
        <f>COUNTIFS('All Papers'!G:G, "*Resource Management-CS*", 'All Papers'!C:C,2013)</f>
        <v>21</v>
      </c>
      <c r="G7" s="52">
        <f>COUNTIFS('All Papers'!G:G, "*Resource Management-CS*", 'All Papers'!C:C,2014)</f>
        <v>15</v>
      </c>
      <c r="H7" s="52">
        <f>COUNTIFS('All Papers'!G:G, "*Resource Management-CS*", 'All Papers'!C:C,2015)</f>
        <v>22</v>
      </c>
      <c r="I7" s="52">
        <f>COUNTIFS('All Papers'!G:G, "*Resource Management-CS*", 'All Papers'!C:C,2016)</f>
        <v>15</v>
      </c>
      <c r="J7" s="52">
        <f>COUNTIFS('All Papers'!G:G, "*Resource Management-CS*", 'All Papers'!C:C,2017)</f>
        <v>20</v>
      </c>
      <c r="K7" s="52">
        <f>COUNTIFS('All Papers'!G:G, "*Resource Management-CS*", 'All Papers'!C:C,2018)</f>
        <v>28</v>
      </c>
      <c r="L7" s="52">
        <f>COUNTIFS('All Papers'!G:G, "*Resource Management-CS*", 'All Papers'!C:C,2019)</f>
        <v>27</v>
      </c>
      <c r="M7" s="52">
        <f>COUNTIFS('All Papers'!G:G, "*Resource Management-CS*", 'All Papers'!C:C,2020)</f>
        <v>9</v>
      </c>
      <c r="N7" s="52">
        <f>COUNTIFS('All Papers'!G:G, "*Resource Management-CS*", 'All Papers'!C:C,2021)</f>
        <v>11</v>
      </c>
      <c r="O7" s="52">
        <f>COUNTIFS('All Papers'!G:G, "*Resource Management-CS*", 'All Papers'!C:C,2022)</f>
        <v>10</v>
      </c>
    </row>
    <row r="8" spans="1:15" x14ac:dyDescent="0.25">
      <c r="A8" s="44"/>
      <c r="B8" s="56"/>
      <c r="C8" s="56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15" x14ac:dyDescent="0.25">
      <c r="A9" s="50" t="s">
        <v>2275</v>
      </c>
      <c r="B9" s="56">
        <f>COUNTIFS('All Papers'!G:G, "*Resource Management-PS*", 'All Papers'!C:C,2009)</f>
        <v>1</v>
      </c>
      <c r="C9" s="56">
        <f>COUNTIFS('All Papers'!G:G, "*Resource Management-PS*", 'All Papers'!C:C,2010)</f>
        <v>0</v>
      </c>
      <c r="D9" s="52">
        <f>COUNTIFS('All Papers'!G:G, "*Resource Management-PS*", 'All Papers'!C:C,2011)</f>
        <v>3</v>
      </c>
      <c r="E9" s="52">
        <f>COUNTIFS('All Papers'!G:G, "*Resource Management-PS*", 'All Papers'!C:C,2012)</f>
        <v>7</v>
      </c>
      <c r="F9" s="52">
        <f>COUNTIFS('All Papers'!G:G, "*Resource Management-PS*", 'All Papers'!C:C,2013)</f>
        <v>1</v>
      </c>
      <c r="G9" s="52">
        <f>COUNTIFS('All Papers'!G:G, "*Resource Management-PS*", 'All Papers'!C:C,2014)</f>
        <v>13</v>
      </c>
      <c r="H9" s="52">
        <f>COUNTIFS('All Papers'!G:G, "*Resource Management-PS*", 'All Papers'!C:C,2015)</f>
        <v>10</v>
      </c>
      <c r="I9" s="52">
        <f>COUNTIFS('All Papers'!G:G, "*Resource Management-PS*", 'All Papers'!C:C,2016)</f>
        <v>11</v>
      </c>
      <c r="J9" s="52">
        <f>COUNTIFS('All Papers'!G:G, "*Resource Management-PS*", 'All Papers'!C:C,2017)</f>
        <v>9</v>
      </c>
      <c r="K9" s="52">
        <f>COUNTIFS('All Papers'!G:G, "*Resource Management-PS*", 'All Papers'!C:C,2018)</f>
        <v>11</v>
      </c>
      <c r="L9" s="52">
        <f>COUNTIFS('All Papers'!G:G, "*Resource Management-PS*", 'All Papers'!C:C,2019)</f>
        <v>9</v>
      </c>
      <c r="M9" s="52">
        <f>COUNTIFS('All Papers'!G:G, "*Resource Management-PS*", 'All Papers'!C:C,2020)</f>
        <v>4</v>
      </c>
      <c r="N9" s="52">
        <f>COUNTIFS('All Papers'!G:G, "*Resource Management-PS*", 'All Papers'!C:C,2021)</f>
        <v>9</v>
      </c>
      <c r="O9" s="52">
        <f>COUNTIFS('All Papers'!G:G, "*Resource Management-PS*", 'All Papers'!C:C,2022)</f>
        <v>7</v>
      </c>
    </row>
    <row r="10" spans="1:15" x14ac:dyDescent="0.25">
      <c r="A10" s="50" t="s">
        <v>1215</v>
      </c>
      <c r="B10" s="56">
        <f>COUNTIFS('All Papers'!G:G, "*SLA Management*", 'All Papers'!C:C,2009)</f>
        <v>0</v>
      </c>
      <c r="C10" s="56">
        <f>COUNTIFS('All Papers'!G:G, "*SLA Management*", 'All Papers'!C:C,2010)</f>
        <v>0</v>
      </c>
      <c r="D10" s="52">
        <f>COUNTIFS('All Papers'!G:G, "*SLA Management*", 'All Papers'!C:C,2011)</f>
        <v>1</v>
      </c>
      <c r="E10" s="52">
        <f>COUNTIFS('All Papers'!G:G, "*SLA Management*", 'All Papers'!C:C,2012)</f>
        <v>1</v>
      </c>
      <c r="F10" s="52">
        <f>COUNTIFS('All Papers'!G:G, "*SLA Management*", 'All Papers'!C:C,2013)</f>
        <v>6</v>
      </c>
      <c r="G10" s="52">
        <f>COUNTIFS('All Papers'!G:G, "*SLA Management*", 'All Papers'!C:C,2014)</f>
        <v>4</v>
      </c>
      <c r="H10" s="52">
        <f>COUNTIFS('All Papers'!G:G, "*SLA Management*", 'All Papers'!C:C,2015)</f>
        <v>4</v>
      </c>
      <c r="I10" s="52">
        <f>COUNTIFS('All Papers'!G:G, "*SLA Management*", 'All Papers'!C:C,2016)</f>
        <v>2</v>
      </c>
      <c r="J10" s="52">
        <f>COUNTIFS('All Papers'!G:G, "*SLA Management*", 'All Papers'!C:C,2017)</f>
        <v>2</v>
      </c>
      <c r="K10" s="52">
        <f>COUNTIFS('All Papers'!G:G, "*SLA Management*", 'All Papers'!C:C,2018)</f>
        <v>3</v>
      </c>
      <c r="L10" s="52">
        <f>COUNTIFS('All Papers'!G:G, "*SLA Management*", 'All Papers'!C:C,2019)</f>
        <v>4</v>
      </c>
      <c r="M10" s="52">
        <f>COUNTIFS('All Papers'!G:G, "*SLA Management*", 'All Papers'!C:C,2020)</f>
        <v>3</v>
      </c>
      <c r="N10" s="52">
        <f>COUNTIFS('All Papers'!G:G, "*SLA Management*", 'All Papers'!C:C,2021)</f>
        <v>2</v>
      </c>
      <c r="O10" s="52">
        <f>COUNTIFS('All Papers'!G:G, "*SLA Management*", 'All Papers'!C:C,2022)</f>
        <v>3</v>
      </c>
    </row>
    <row r="11" spans="1:15" x14ac:dyDescent="0.25">
      <c r="A11" s="57" t="s">
        <v>1174</v>
      </c>
      <c r="B11" s="56">
        <f>COUNTIFS('All Papers'!G:G, "*Big Data*", 'All Papers'!C:C,2009)</f>
        <v>0</v>
      </c>
      <c r="C11" s="56">
        <f>COUNTIFS('All Papers'!G:G, "*Big Data*", 'All Papers'!C:C,2010)</f>
        <v>0</v>
      </c>
      <c r="D11" s="52">
        <f>COUNTIFS('All Papers'!G:G, "*Big Data*", 'All Papers'!C:C,2011)</f>
        <v>0</v>
      </c>
      <c r="E11" s="52">
        <f>COUNTIFS('All Papers'!G:G, "*Big Data*", 'All Papers'!C:C,2012)</f>
        <v>1</v>
      </c>
      <c r="F11" s="52">
        <f>COUNTIFS('All Papers'!G:G, "*Big Data*", 'All Papers'!C:C,2013)</f>
        <v>0</v>
      </c>
      <c r="G11" s="52">
        <f>COUNTIFS('All Papers'!G:G, "*Big Data*", 'All Papers'!C:C,2014)</f>
        <v>0</v>
      </c>
      <c r="H11" s="52">
        <f>COUNTIFS('All Papers'!G:G, "*Big Data*", 'All Papers'!C:C,2015)</f>
        <v>1</v>
      </c>
      <c r="I11" s="52">
        <f>COUNTIFS('All Papers'!G:G, "*Big Data*", 'All Papers'!C:C,2016)</f>
        <v>0</v>
      </c>
      <c r="J11" s="52">
        <f>COUNTIFS('All Papers'!G:G, "*Big Data*", 'All Papers'!C:C,2017)</f>
        <v>1</v>
      </c>
      <c r="K11" s="52">
        <f>COUNTIFS('All Papers'!G:G, "*Big Data*", 'All Papers'!C:C,2018)</f>
        <v>3</v>
      </c>
      <c r="L11" s="52">
        <f>COUNTIFS('All Papers'!G:G, "*Big Data*", 'All Papers'!C:C,2019)</f>
        <v>2</v>
      </c>
      <c r="M11" s="52">
        <f>COUNTIFS('All Papers'!G:G, "*Big Data*", 'All Papers'!C:C,2020)</f>
        <v>1</v>
      </c>
      <c r="N11" s="52">
        <f>COUNTIFS('All Papers'!G:G, "*Big Data*", 'All Papers'!C:C,2021)</f>
        <v>0</v>
      </c>
      <c r="O11" s="52">
        <f>COUNTIFS('All Papers'!G:G, "*Big Data*", 'All Papers'!C:C,2022)</f>
        <v>0</v>
      </c>
    </row>
    <row r="12" spans="1:15" x14ac:dyDescent="0.25">
      <c r="A12" s="50" t="s">
        <v>1164</v>
      </c>
      <c r="B12" s="56">
        <f>COUNTIFS('All Papers'!G:G, "*Energy Management*", 'All Papers'!C:C,2009)</f>
        <v>0</v>
      </c>
      <c r="C12" s="56">
        <f>COUNTIFS('All Papers'!G:G, "*Energy Management*", 'All Papers'!C:C,2010)</f>
        <v>0</v>
      </c>
      <c r="D12" s="52">
        <f>COUNTIFS('All Papers'!G:G, "*Energy Management*", 'All Papers'!C:C,2011)</f>
        <v>0</v>
      </c>
      <c r="E12" s="52">
        <f>COUNTIFS('All Papers'!G:G, "*Energy Management*", 'All Papers'!C:C,2012)</f>
        <v>0</v>
      </c>
      <c r="F12" s="52">
        <f>COUNTIFS('All Papers'!G:G, "*Energy Management*", 'All Papers'!C:C,2013)</f>
        <v>2</v>
      </c>
      <c r="G12" s="52">
        <f>COUNTIFS('All Papers'!G:G, "*Energy Management*", 'All Papers'!C:C,2014)</f>
        <v>0</v>
      </c>
      <c r="H12" s="52">
        <f>COUNTIFS('All Papers'!G:G, "*Energy Management*", 'All Papers'!C:C,2015)</f>
        <v>0</v>
      </c>
      <c r="I12" s="52">
        <f>COUNTIFS('All Papers'!G:G, "*Energy Management*", 'All Papers'!C:C,2016)</f>
        <v>7</v>
      </c>
      <c r="J12" s="52">
        <f>COUNTIFS('All Papers'!G:G, "*Energy Management*", 'All Papers'!C:C,2017)</f>
        <v>2</v>
      </c>
      <c r="K12" s="52">
        <f>COUNTIFS('All Papers'!G:G, "*Energy Management*", 'All Papers'!C:C,2018)</f>
        <v>0</v>
      </c>
      <c r="L12" s="52">
        <f>COUNTIFS('All Papers'!G:G, "*Energy Management*", 'All Papers'!C:C,2019)</f>
        <v>3</v>
      </c>
      <c r="M12" s="52">
        <f>COUNTIFS('All Papers'!G:G, "*Energy Management*", 'All Papers'!C:C,2020)</f>
        <v>0</v>
      </c>
      <c r="N12" s="52">
        <f>COUNTIFS('All Papers'!G:G, "*Energy Management*", 'All Papers'!C:C,2021)</f>
        <v>1</v>
      </c>
      <c r="O12" s="52">
        <f>COUNTIFS('All Papers'!G:G, "*Energy Management*", 'All Papers'!C:C,2022)</f>
        <v>1</v>
      </c>
    </row>
    <row r="13" spans="1:15" x14ac:dyDescent="0.25">
      <c r="A13" s="50" t="s">
        <v>1094</v>
      </c>
      <c r="B13" s="56">
        <f>COUNTIFS('All Papers'!G:G, "*Monitoring*", 'All Papers'!C:C,2009)</f>
        <v>0</v>
      </c>
      <c r="C13" s="56">
        <f>COUNTIFS('All Papers'!G:G, "*Monitoring*", 'All Papers'!C:C,2010)</f>
        <v>0</v>
      </c>
      <c r="D13" s="52">
        <f>COUNTIFS('All Papers'!G:G, "*Monitoring*", 'All Papers'!C:C,2011)</f>
        <v>0</v>
      </c>
      <c r="E13" s="52">
        <f>COUNTIFS('All Papers'!G:G, "*Monitoring*", 'All Papers'!C:C,2012)</f>
        <v>4</v>
      </c>
      <c r="F13" s="52">
        <f>COUNTIFS('All Papers'!G:G, "*Monitoring*", 'All Papers'!C:C,2013)</f>
        <v>2</v>
      </c>
      <c r="G13" s="52">
        <f>COUNTIFS('All Papers'!G:G, "*Monitoring*", 'All Papers'!C:C,2014)</f>
        <v>6</v>
      </c>
      <c r="H13" s="52">
        <f>COUNTIFS('All Papers'!G:G, "*Monitoring*", 'All Papers'!C:C,2015)</f>
        <v>4</v>
      </c>
      <c r="I13" s="52">
        <f>COUNTIFS('All Papers'!G:G, "*Monitoring*", 'All Papers'!C:C,2016)</f>
        <v>2</v>
      </c>
      <c r="J13" s="52">
        <f>COUNTIFS('All Papers'!G:G, "*Monitoring*", 'All Papers'!C:C,2017)</f>
        <v>3</v>
      </c>
      <c r="K13" s="52">
        <f>COUNTIFS('All Papers'!G:G, "*Monitoring*", 'All Papers'!C:C,2018)</f>
        <v>5</v>
      </c>
      <c r="L13" s="52">
        <f>COUNTIFS('All Papers'!G:G, "*Monitoring*", 'All Papers'!C:C,2019)</f>
        <v>4</v>
      </c>
      <c r="M13" s="52">
        <f>COUNTIFS('All Papers'!G:G, "*Monitoring*", 'All Papers'!C:C,2020)</f>
        <v>2</v>
      </c>
      <c r="N13" s="52">
        <f>COUNTIFS('All Papers'!G:G, "*Monitoring*", 'All Papers'!C:C,2021)</f>
        <v>3</v>
      </c>
      <c r="O13" s="52">
        <f>COUNTIFS('All Papers'!G:G, "*Monitoring*", 'All Papers'!C:C,2022)</f>
        <v>2</v>
      </c>
    </row>
    <row r="14" spans="1:15" x14ac:dyDescent="0.25">
      <c r="A14" s="57" t="s">
        <v>1066</v>
      </c>
      <c r="B14" s="56">
        <f>COUNTIFS('All Papers'!G:G, "*Pricing*", 'All Papers'!C:C,2009)</f>
        <v>0</v>
      </c>
      <c r="C14" s="56">
        <f>COUNTIFS('All Papers'!G:G, "*Pricing*", 'All Papers'!C:C,2010)</f>
        <v>0</v>
      </c>
      <c r="D14" s="52">
        <f>COUNTIFS('All Papers'!G:G, "*Pricing*", 'All Papers'!C:C,2011)</f>
        <v>1</v>
      </c>
      <c r="E14" s="52">
        <f>COUNTIFS('All Papers'!G:G, "*Pricing*", 'All Papers'!C:C,2012)</f>
        <v>1</v>
      </c>
      <c r="F14" s="52">
        <f>COUNTIFS('All Papers'!G:G, "*Pricing*", 'All Papers'!C:C,2013)</f>
        <v>1</v>
      </c>
      <c r="G14" s="52">
        <f>COUNTIFS('All Papers'!G:G, "*Pricing*", 'All Papers'!C:C,2014)</f>
        <v>2</v>
      </c>
      <c r="H14" s="52">
        <f>COUNTIFS('All Papers'!G:G, "*Pricing*", 'All Papers'!C:C,2015)</f>
        <v>4</v>
      </c>
      <c r="I14" s="52">
        <f>COUNTIFS('All Papers'!G:G, "*Pricing*", 'All Papers'!C:C,2016)</f>
        <v>10</v>
      </c>
      <c r="J14" s="52">
        <f>COUNTIFS('All Papers'!G:G, "*Pricing*", 'All Papers'!C:C,2017)</f>
        <v>8</v>
      </c>
      <c r="K14" s="52">
        <f>COUNTIFS('All Papers'!G:G, "*Pricing*", 'All Papers'!C:C,2018)</f>
        <v>10</v>
      </c>
      <c r="L14" s="52">
        <f>COUNTIFS('All Papers'!G:G, "*Pricing*", 'All Papers'!C:C,2019)</f>
        <v>5</v>
      </c>
      <c r="M14" s="52">
        <f>COUNTIFS('All Papers'!G:G, "*Pricing*", 'All Papers'!C:C,2020)</f>
        <v>2</v>
      </c>
      <c r="N14" s="52">
        <f>COUNTIFS('All Papers'!G:G, "*Pricing*", 'All Papers'!C:C,2021)</f>
        <v>4</v>
      </c>
      <c r="O14" s="52">
        <f>COUNTIFS('All Papers'!G:G, "*Pricing*", 'All Papers'!C:C,2022)</f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5BBB-6EA3-4F38-9666-E7E20A8D242D}">
  <dimension ref="A1:B6"/>
  <sheetViews>
    <sheetView workbookViewId="0">
      <selection activeCell="N5" sqref="N5"/>
    </sheetView>
  </sheetViews>
  <sheetFormatPr defaultRowHeight="15" x14ac:dyDescent="0.25"/>
  <cols>
    <col min="1" max="1" width="28.5703125" customWidth="1"/>
    <col min="2" max="2" width="14.5703125" customWidth="1"/>
  </cols>
  <sheetData>
    <row r="1" spans="1:2" x14ac:dyDescent="0.25">
      <c r="A1" s="59" t="s">
        <v>2409</v>
      </c>
      <c r="B1" s="58" t="s">
        <v>2391</v>
      </c>
    </row>
    <row r="2" spans="1:2" x14ac:dyDescent="0.25">
      <c r="A2" s="44"/>
      <c r="B2" s="44"/>
    </row>
    <row r="3" spans="1:2" x14ac:dyDescent="0.25">
      <c r="A3" s="50" t="s">
        <v>1035</v>
      </c>
      <c r="B3" s="56">
        <f>COUNTIF('All Papers'!N:N, "*Simulation*")</f>
        <v>437</v>
      </c>
    </row>
    <row r="4" spans="1:2" x14ac:dyDescent="0.25">
      <c r="A4" s="50" t="s">
        <v>1072</v>
      </c>
      <c r="B4" s="56">
        <f>COUNTIF('All Papers'!N:N, "*Testbed*")</f>
        <v>63</v>
      </c>
    </row>
    <row r="5" spans="1:2" x14ac:dyDescent="0.25">
      <c r="A5" s="50" t="s">
        <v>1034</v>
      </c>
      <c r="B5" s="56">
        <f>COUNTIF('All Papers'!N:N, "*Real World*")</f>
        <v>66</v>
      </c>
    </row>
    <row r="6" spans="1:2" x14ac:dyDescent="0.25">
      <c r="A6" s="50" t="s">
        <v>1041</v>
      </c>
      <c r="B6" s="56">
        <f>COUNTIF('All Papers'!N:N, "*No Evaluation*")</f>
        <v>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C8C9-45A0-4A0F-AD85-77A70F812C70}">
  <dimension ref="A1:B16"/>
  <sheetViews>
    <sheetView workbookViewId="0">
      <selection activeCell="B3" sqref="B3"/>
    </sheetView>
  </sheetViews>
  <sheetFormatPr defaultRowHeight="15" x14ac:dyDescent="0.25"/>
  <cols>
    <col min="1" max="1" width="28.140625" customWidth="1"/>
  </cols>
  <sheetData>
    <row r="1" spans="1:2" x14ac:dyDescent="0.25">
      <c r="A1" s="56" t="s">
        <v>2410</v>
      </c>
      <c r="B1" s="56" t="s">
        <v>2391</v>
      </c>
    </row>
    <row r="2" spans="1:2" x14ac:dyDescent="0.25">
      <c r="A2" s="56"/>
      <c r="B2" s="56"/>
    </row>
    <row r="3" spans="1:2" x14ac:dyDescent="0.25">
      <c r="A3" s="59" t="s">
        <v>1057</v>
      </c>
      <c r="B3" s="56">
        <f>COUNTIF('All Papers'!H:H, "*Heuristic*")</f>
        <v>209</v>
      </c>
    </row>
    <row r="4" spans="1:2" x14ac:dyDescent="0.25">
      <c r="A4" s="59" t="s">
        <v>2326</v>
      </c>
      <c r="B4" s="56">
        <f>COUNTIF('All Papers'!H:H, "*Framework*")</f>
        <v>194</v>
      </c>
    </row>
    <row r="5" spans="1:2" x14ac:dyDescent="0.25">
      <c r="A5" s="59" t="s">
        <v>1180</v>
      </c>
      <c r="B5" s="56">
        <f>COUNTIF('All Papers'!H:H, "*Metaheuristic*")</f>
        <v>85</v>
      </c>
    </row>
    <row r="6" spans="1:2" x14ac:dyDescent="0.25">
      <c r="A6" s="59" t="s">
        <v>1168</v>
      </c>
      <c r="B6" s="56">
        <f>COUNTIF('All Papers'!H:H, "*Learning*")</f>
        <v>50</v>
      </c>
    </row>
    <row r="7" spans="1:2" x14ac:dyDescent="0.25">
      <c r="A7" s="59" t="s">
        <v>1229</v>
      </c>
      <c r="B7" s="56">
        <f>COUNTIF('All Papers'!H:H, "*Mechanism Design*")</f>
        <v>44</v>
      </c>
    </row>
    <row r="8" spans="1:2" x14ac:dyDescent="0.25">
      <c r="A8" s="59" t="s">
        <v>2336</v>
      </c>
      <c r="B8" s="56">
        <f>COUNTIF('All Papers'!H:H, "*Constrained Optimization*")</f>
        <v>40</v>
      </c>
    </row>
    <row r="9" spans="1:2" x14ac:dyDescent="0.25">
      <c r="A9" s="59" t="s">
        <v>2320</v>
      </c>
      <c r="B9" s="56">
        <f>COUNTIF('All Papers'!H:H, "*Decision Making*")</f>
        <v>39</v>
      </c>
    </row>
    <row r="10" spans="1:2" x14ac:dyDescent="0.25">
      <c r="A10" s="59" t="s">
        <v>2331</v>
      </c>
      <c r="B10" s="56">
        <f>COUNTIF('All Papers'!H:H, "*Semantic*")</f>
        <v>34</v>
      </c>
    </row>
    <row r="11" spans="1:2" x14ac:dyDescent="0.25">
      <c r="A11" s="59" t="s">
        <v>1161</v>
      </c>
      <c r="B11" s="56">
        <f>COUNTIF('All Papers'!H:H, "*Game Theory*")</f>
        <v>30</v>
      </c>
    </row>
    <row r="12" spans="1:2" x14ac:dyDescent="0.25">
      <c r="A12" s="59" t="s">
        <v>1166</v>
      </c>
      <c r="B12" s="56">
        <f>COUNTIF('All Papers'!H:H, "*Graph Theory*")</f>
        <v>21</v>
      </c>
    </row>
    <row r="13" spans="1:2" x14ac:dyDescent="0.25">
      <c r="A13" s="59" t="s">
        <v>2334</v>
      </c>
      <c r="B13" s="56">
        <f>COUNTIF('All Papers'!H:H, "*Fuzzy*")</f>
        <v>15</v>
      </c>
    </row>
    <row r="14" spans="1:2" x14ac:dyDescent="0.25">
      <c r="A14" s="59" t="s">
        <v>2319</v>
      </c>
      <c r="B14" s="56">
        <f>COUNTIF('All Papers'!H:H, "*Approximation Algorithm*")</f>
        <v>9</v>
      </c>
    </row>
    <row r="15" spans="1:2" x14ac:dyDescent="0.25">
      <c r="A15" s="59" t="s">
        <v>2324</v>
      </c>
      <c r="B15" s="56">
        <f>COUNTIF('All Papers'!H:H, "*Dynamic Programming*")</f>
        <v>7</v>
      </c>
    </row>
    <row r="16" spans="1:2" x14ac:dyDescent="0.25">
      <c r="A16" s="59" t="s">
        <v>2412</v>
      </c>
      <c r="B16" s="56">
        <f>COUNTIF('All Papers'!H:H, "*Other*")</f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D709-1B2C-4B89-86F2-0F7132B6A41B}">
  <dimension ref="A1:B5"/>
  <sheetViews>
    <sheetView workbookViewId="0">
      <selection activeCell="B19" sqref="B19"/>
    </sheetView>
  </sheetViews>
  <sheetFormatPr defaultRowHeight="15" x14ac:dyDescent="0.25"/>
  <cols>
    <col min="1" max="1" width="18.140625" customWidth="1"/>
    <col min="2" max="2" width="13.5703125" customWidth="1"/>
  </cols>
  <sheetData>
    <row r="1" spans="1:2" x14ac:dyDescent="0.25">
      <c r="A1" s="56" t="s">
        <v>2413</v>
      </c>
      <c r="B1" s="56" t="s">
        <v>2391</v>
      </c>
    </row>
    <row r="2" spans="1:2" x14ac:dyDescent="0.25">
      <c r="A2" s="56"/>
      <c r="B2" s="56"/>
    </row>
    <row r="3" spans="1:2" x14ac:dyDescent="0.25">
      <c r="A3" s="59" t="s">
        <v>1247</v>
      </c>
      <c r="B3" s="56">
        <f>COUNTIF('All Papers'!L:L, "*Arbitration*")</f>
        <v>291</v>
      </c>
    </row>
    <row r="4" spans="1:2" x14ac:dyDescent="0.25">
      <c r="A4" s="59" t="s">
        <v>1032</v>
      </c>
      <c r="B4" s="56">
        <f>COUNTIF('All Papers'!L:L, "*Intermediation*")</f>
        <v>268</v>
      </c>
    </row>
    <row r="5" spans="1:2" x14ac:dyDescent="0.25">
      <c r="A5" s="59" t="s">
        <v>1042</v>
      </c>
      <c r="B5" s="56">
        <f>COUNTIF('All Papers'!L:L, "*Aggregation*")</f>
        <v>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5AD2-D17E-4C19-B1C0-DD3DC8BA2704}">
  <dimension ref="A1:D14"/>
  <sheetViews>
    <sheetView tabSelected="1" workbookViewId="0">
      <selection activeCell="B17" sqref="B17"/>
    </sheetView>
  </sheetViews>
  <sheetFormatPr defaultRowHeight="15" x14ac:dyDescent="0.25"/>
  <cols>
    <col min="1" max="1" width="40.42578125" customWidth="1"/>
    <col min="2" max="2" width="14.140625" customWidth="1"/>
    <col min="3" max="3" width="14.7109375" customWidth="1"/>
    <col min="4" max="4" width="15" customWidth="1"/>
  </cols>
  <sheetData>
    <row r="1" spans="1:4" x14ac:dyDescent="0.25">
      <c r="A1" s="58" t="s">
        <v>2390</v>
      </c>
      <c r="B1" s="58" t="s">
        <v>1247</v>
      </c>
      <c r="C1" s="58" t="s">
        <v>1032</v>
      </c>
      <c r="D1" s="58" t="s">
        <v>1042</v>
      </c>
    </row>
    <row r="2" spans="1:4" x14ac:dyDescent="0.25">
      <c r="A2" s="44"/>
      <c r="B2" s="58"/>
      <c r="C2" s="44"/>
      <c r="D2" s="58"/>
    </row>
    <row r="3" spans="1:4" x14ac:dyDescent="0.25">
      <c r="A3" s="55" t="s">
        <v>1054</v>
      </c>
      <c r="B3" s="56">
        <f>COUNTIFS('All Papers'!G:G, "*Composition*",'All Papers'!L:L, "*Arbitration*")</f>
        <v>82</v>
      </c>
      <c r="C3" s="56">
        <f>COUNTIFS('All Papers'!G:G, "*Composition*",'All Papers'!L:L, "*Intermediation*")</f>
        <v>21</v>
      </c>
      <c r="D3" s="56">
        <f>COUNTIFS('All Papers'!G:G, "*Composition*",'All Papers'!L:L, "*Aggregation*")</f>
        <v>47</v>
      </c>
    </row>
    <row r="4" spans="1:4" x14ac:dyDescent="0.25">
      <c r="A4" s="55" t="s">
        <v>1080</v>
      </c>
      <c r="B4" s="56">
        <f>COUNTIFS('All Papers'!G:G, "*Discovery*",'All Papers'!L:L, "*Arbitration*")</f>
        <v>15</v>
      </c>
      <c r="C4" s="56">
        <f>COUNTIFS('All Papers'!G:G, "*Discovery*",'All Papers'!L:L, "*Intermediation*")</f>
        <v>25</v>
      </c>
      <c r="D4" s="56">
        <f>COUNTIFS('All Papers'!G:G, "*Discovery*",'All Papers'!L:L, "*Aggregation*")</f>
        <v>5</v>
      </c>
    </row>
    <row r="5" spans="1:4" x14ac:dyDescent="0.25">
      <c r="A5" s="50" t="s">
        <v>1028</v>
      </c>
      <c r="B5" s="56">
        <f>COUNTIFS('All Papers'!G:G, "*Selection*",'All Papers'!L:L, "*Arbitration*")</f>
        <v>38</v>
      </c>
      <c r="C5" s="56">
        <f>COUNTIFS('All Papers'!G:G, "*Selection*",'All Papers'!L:L, "*Intermediation*")</f>
        <v>90</v>
      </c>
      <c r="D5" s="56">
        <f>COUNTIFS('All Papers'!G:G, "*Selection*",'All Papers'!L:L, "*Aggregation*")</f>
        <v>16</v>
      </c>
    </row>
    <row r="6" spans="1:4" x14ac:dyDescent="0.25">
      <c r="A6" s="50" t="s">
        <v>1062</v>
      </c>
      <c r="B6" s="56">
        <f>COUNTIFS('All Papers'!G:G, "*Recommendation*",'All Papers'!L:L, "*Arbitration*")</f>
        <v>3</v>
      </c>
      <c r="C6" s="56">
        <f>COUNTIFS('All Papers'!G:G, "*Recommendation*",'All Papers'!L:L, "*Intermediation*")</f>
        <v>16</v>
      </c>
      <c r="D6" s="56">
        <f>COUNTIFS('All Papers'!G:G, "*Recommendation*",'All Papers'!L:L, "*Aggregation*")</f>
        <v>0</v>
      </c>
    </row>
    <row r="7" spans="1:4" x14ac:dyDescent="0.25">
      <c r="A7" s="50" t="s">
        <v>2414</v>
      </c>
      <c r="B7" s="56">
        <f>COUNTIFS('All Papers'!G:G, "*Resource Management-CS*",'All Papers'!L:L, "*Arbitration*")</f>
        <v>97</v>
      </c>
      <c r="C7" s="56">
        <f>COUNTIFS('All Papers'!G:G, "*Resource Management-CS*",'All Papers'!L:L, "*Intermediation*")</f>
        <v>82</v>
      </c>
      <c r="D7" s="56">
        <f>COUNTIFS('All Papers'!G:G, "*Resource Management-CS*",'All Papers'!L:L, "*Aggregation*")</f>
        <v>18</v>
      </c>
    </row>
    <row r="8" spans="1:4" x14ac:dyDescent="0.25">
      <c r="A8" s="44"/>
      <c r="B8" s="56"/>
      <c r="C8" s="44"/>
      <c r="D8" s="56"/>
    </row>
    <row r="9" spans="1:4" x14ac:dyDescent="0.25">
      <c r="A9" s="50" t="s">
        <v>1164</v>
      </c>
      <c r="B9" s="56">
        <f>COUNTIFS('All Papers'!G:G, "*Energy Management*",'All Papers'!L:L, "*Arbitration*")</f>
        <v>4</v>
      </c>
      <c r="C9" s="56">
        <f>COUNTIFS('All Papers'!G:G, "*Energy Management*",'All Papers'!L:L, "*Intermediation*")</f>
        <v>8</v>
      </c>
      <c r="D9" s="56">
        <f>COUNTIFS('All Papers'!G:G, "*Energy Management*",'All Papers'!L:L, "*Aggregation*")</f>
        <v>4</v>
      </c>
    </row>
    <row r="10" spans="1:4" x14ac:dyDescent="0.25">
      <c r="A10" s="50" t="s">
        <v>2415</v>
      </c>
      <c r="B10" s="56">
        <f>COUNTIFS('All Papers'!G:G, "*Resource Management-PS*",'All Papers'!L:L, "*Arbitration*")</f>
        <v>70</v>
      </c>
      <c r="C10" s="56">
        <f>COUNTIFS('All Papers'!G:G, "*Resource Management-PS*",'All Papers'!L:L, "*Intermediation*")</f>
        <v>20</v>
      </c>
      <c r="D10" s="56">
        <f>COUNTIFS('All Papers'!G:G, "*Resource Management-PS*",'All Papers'!L:L, "*Aggregation*")</f>
        <v>6</v>
      </c>
    </row>
    <row r="11" spans="1:4" x14ac:dyDescent="0.25">
      <c r="A11" s="57" t="s">
        <v>1174</v>
      </c>
      <c r="B11" s="56">
        <f>COUNTIFS('All Papers'!G:G, "*Big Data*",'All Papers'!L:L, "*Arbitration*")</f>
        <v>5</v>
      </c>
      <c r="C11" s="56">
        <f>COUNTIFS('All Papers'!G:G, "*Big Data*",'All Papers'!L:L, "*Intermediation*")</f>
        <v>4</v>
      </c>
      <c r="D11" s="56">
        <f>COUNTIFS('All Papers'!G:G, "*Big Data*",'All Papers'!L:L, "*Aggregation*")</f>
        <v>0</v>
      </c>
    </row>
    <row r="12" spans="1:4" x14ac:dyDescent="0.25">
      <c r="A12" s="50" t="s">
        <v>1215</v>
      </c>
      <c r="B12" s="56">
        <f>COUNTIFS('All Papers'!G:G, "*SLA Management*",'All Papers'!L:L, "*Arbitration*")</f>
        <v>15</v>
      </c>
      <c r="C12" s="56">
        <f>COUNTIFS('All Papers'!G:G, "*SLA Management*",'All Papers'!L:L, "*Intermediation*")</f>
        <v>19</v>
      </c>
      <c r="D12" s="56">
        <f>COUNTIFS('All Papers'!G:G, "*SLA Management*",'All Papers'!L:L, "*Aggregation*")</f>
        <v>1</v>
      </c>
    </row>
    <row r="13" spans="1:4" x14ac:dyDescent="0.25">
      <c r="A13" s="50" t="s">
        <v>1094</v>
      </c>
      <c r="B13" s="56">
        <f>COUNTIFS('All Papers'!G:G, "*Monitoring*",'All Papers'!L:L, "*Arbitration*")</f>
        <v>10</v>
      </c>
      <c r="C13" s="56">
        <f>COUNTIFS('All Papers'!G:G, "*Monitoring*",'All Papers'!L:L, "*Intermediation*")</f>
        <v>24</v>
      </c>
      <c r="D13" s="56">
        <f>COUNTIFS('All Papers'!G:G, "*Monitoring*",'All Papers'!L:L, "*Aggregation*")</f>
        <v>4</v>
      </c>
    </row>
    <row r="14" spans="1:4" x14ac:dyDescent="0.25">
      <c r="A14" s="57" t="s">
        <v>1066</v>
      </c>
      <c r="B14" s="56">
        <f>COUNTIFS('All Papers'!G:G, "*Pricing*",'All Papers'!L:L, "*Arbitration*")</f>
        <v>32</v>
      </c>
      <c r="C14" s="56">
        <f>COUNTIFS('All Papers'!G:G, "*Pricing*",'All Papers'!L:L, "*Intermediation*")</f>
        <v>18</v>
      </c>
      <c r="D14" s="56">
        <f>COUNTIFS('All Papers'!G:G, "*Pricing*",'All Papers'!L:L, "*Aggregation*")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1F7D-0F43-4A23-88F6-B15EAF446EC6}">
  <dimension ref="A1:B6"/>
  <sheetViews>
    <sheetView workbookViewId="0">
      <selection activeCell="A16" sqref="A16"/>
    </sheetView>
  </sheetViews>
  <sheetFormatPr defaultRowHeight="15" x14ac:dyDescent="0.25"/>
  <cols>
    <col min="1" max="1" width="27.5703125" customWidth="1"/>
    <col min="2" max="2" width="13.140625" customWidth="1"/>
  </cols>
  <sheetData>
    <row r="1" spans="1:2" x14ac:dyDescent="0.25">
      <c r="A1" s="58" t="s">
        <v>2416</v>
      </c>
      <c r="B1" s="58" t="s">
        <v>2391</v>
      </c>
    </row>
    <row r="2" spans="1:2" x14ac:dyDescent="0.25">
      <c r="A2" s="44"/>
      <c r="B2" s="44"/>
    </row>
    <row r="3" spans="1:2" x14ac:dyDescent="0.25">
      <c r="A3" s="55" t="s">
        <v>1030</v>
      </c>
      <c r="B3" s="56">
        <f>COUNTIF('All Papers'!J:J, "*IaaS*")</f>
        <v>336</v>
      </c>
    </row>
    <row r="4" spans="1:2" x14ac:dyDescent="0.25">
      <c r="A4" s="55" t="s">
        <v>1040</v>
      </c>
      <c r="B4" s="56">
        <f>COUNTIF('All Papers'!J:J, "*XaaS*")</f>
        <v>187</v>
      </c>
    </row>
    <row r="5" spans="1:2" x14ac:dyDescent="0.25">
      <c r="A5" s="50" t="s">
        <v>1036</v>
      </c>
      <c r="B5" s="56">
        <f>COUNTIF('All Papers'!J:J, "*SaaS*")</f>
        <v>103</v>
      </c>
    </row>
    <row r="6" spans="1:2" x14ac:dyDescent="0.25">
      <c r="A6" s="50" t="s">
        <v>1048</v>
      </c>
      <c r="B6" s="56">
        <f>COUNTIF('All Papers'!J:J, "*PaaS*")</f>
        <v>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03E5-EAB9-4896-B6D4-9B14A8037549}">
  <dimension ref="A1:B4"/>
  <sheetViews>
    <sheetView workbookViewId="0">
      <selection activeCell="A15" sqref="A15"/>
    </sheetView>
  </sheetViews>
  <sheetFormatPr defaultRowHeight="15" x14ac:dyDescent="0.25"/>
  <cols>
    <col min="1" max="1" width="27.28515625" customWidth="1"/>
    <col min="2" max="2" width="12.140625" customWidth="1"/>
  </cols>
  <sheetData>
    <row r="1" spans="1:2" x14ac:dyDescent="0.25">
      <c r="A1" s="58" t="s">
        <v>2417</v>
      </c>
      <c r="B1" s="58" t="s">
        <v>2391</v>
      </c>
    </row>
    <row r="2" spans="1:2" x14ac:dyDescent="0.25">
      <c r="A2" s="44"/>
      <c r="B2" s="44"/>
    </row>
    <row r="3" spans="1:2" x14ac:dyDescent="0.25">
      <c r="A3" s="55" t="s">
        <v>1031</v>
      </c>
      <c r="B3" s="56">
        <f>COUNTIF('All Papers'!K:K, "*Centralized*")</f>
        <v>525</v>
      </c>
    </row>
    <row r="4" spans="1:2" x14ac:dyDescent="0.25">
      <c r="A4" s="55" t="s">
        <v>1037</v>
      </c>
      <c r="B4" s="56">
        <f>COUNTIF('All Papers'!K:K, "*Distributed*")</f>
        <v>111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2FCF-D09F-4561-976D-B8F42239B58C}">
  <dimension ref="A1:B58"/>
  <sheetViews>
    <sheetView workbookViewId="0">
      <selection activeCell="A23" sqref="A23"/>
    </sheetView>
  </sheetViews>
  <sheetFormatPr defaultRowHeight="15" x14ac:dyDescent="0.25"/>
  <cols>
    <col min="1" max="1" width="82.140625" customWidth="1"/>
    <col min="2" max="2" width="14.42578125" customWidth="1"/>
  </cols>
  <sheetData>
    <row r="1" spans="1:2" x14ac:dyDescent="0.25">
      <c r="A1" s="60" t="s">
        <v>4299</v>
      </c>
      <c r="B1" s="61" t="s">
        <v>2391</v>
      </c>
    </row>
    <row r="2" spans="1:2" x14ac:dyDescent="0.25">
      <c r="A2" s="50" t="s">
        <v>1492</v>
      </c>
      <c r="B2" s="62">
        <f>COUNTIF('Journal Papers'!F:F,"*"&amp;A2&amp;"*")</f>
        <v>4</v>
      </c>
    </row>
    <row r="3" spans="1:2" x14ac:dyDescent="0.25">
      <c r="A3" s="44" t="s">
        <v>4369</v>
      </c>
      <c r="B3" s="62">
        <f>COUNTIF('Journal Papers'!F:F,"*"&amp;A3&amp;"*")</f>
        <v>1</v>
      </c>
    </row>
    <row r="4" spans="1:2" x14ac:dyDescent="0.25">
      <c r="A4" s="50" t="s">
        <v>294</v>
      </c>
      <c r="B4" s="62">
        <f>COUNTIF('Journal Papers'!F:F,"*"&amp;A4&amp;"*")</f>
        <v>6</v>
      </c>
    </row>
    <row r="5" spans="1:2" x14ac:dyDescent="0.25">
      <c r="A5" s="50" t="s">
        <v>330</v>
      </c>
      <c r="B5" s="62">
        <f>COUNTIF('Journal Papers'!F:F,"*"&amp;A5&amp;"*")</f>
        <v>25</v>
      </c>
    </row>
    <row r="6" spans="1:2" x14ac:dyDescent="0.25">
      <c r="A6" s="50" t="s">
        <v>1158</v>
      </c>
      <c r="B6" s="62">
        <f>COUNTIF('Journal Papers'!F:F,"*"&amp;A6&amp;"*")</f>
        <v>1</v>
      </c>
    </row>
    <row r="7" spans="1:2" x14ac:dyDescent="0.25">
      <c r="A7" s="50" t="s">
        <v>319</v>
      </c>
      <c r="B7" s="62">
        <f>COUNTIF('Journal Papers'!F:F,"*"&amp;A7&amp;"*")</f>
        <v>4</v>
      </c>
    </row>
    <row r="8" spans="1:2" x14ac:dyDescent="0.25">
      <c r="A8" s="63" t="s">
        <v>144</v>
      </c>
      <c r="B8" s="62">
        <f>COUNTIF('Journal Papers'!F:F,"*"&amp;A8&amp;"*")</f>
        <v>2</v>
      </c>
    </row>
    <row r="9" spans="1:2" x14ac:dyDescent="0.25">
      <c r="A9" s="50" t="s">
        <v>443</v>
      </c>
      <c r="B9" s="62">
        <f>COUNTIF('Journal Papers'!F:F,"*"&amp;A9&amp;"*")</f>
        <v>1</v>
      </c>
    </row>
    <row r="10" spans="1:2" x14ac:dyDescent="0.25">
      <c r="A10" s="50" t="s">
        <v>404</v>
      </c>
      <c r="B10" s="62">
        <f>COUNTIF('Journal Papers'!F:F,"*"&amp;A10&amp;"*")</f>
        <v>2</v>
      </c>
    </row>
    <row r="11" spans="1:2" x14ac:dyDescent="0.25">
      <c r="A11" s="50" t="s">
        <v>495</v>
      </c>
      <c r="B11" s="62">
        <f>COUNTIF('Journal Papers'!F:F,"*"&amp;A11&amp;"*")</f>
        <v>3</v>
      </c>
    </row>
    <row r="12" spans="1:2" x14ac:dyDescent="0.25">
      <c r="A12" s="50" t="s">
        <v>208</v>
      </c>
      <c r="B12" s="62">
        <f>COUNTIF('Journal Papers'!F:F,"*"&amp;A12&amp;"*")</f>
        <v>24</v>
      </c>
    </row>
    <row r="13" spans="1:2" x14ac:dyDescent="0.25">
      <c r="A13" s="50" t="s">
        <v>542</v>
      </c>
      <c r="B13" s="62">
        <f>COUNTIF('Journal Papers'!F:F,"*"&amp;A13&amp;"*")</f>
        <v>1</v>
      </c>
    </row>
    <row r="14" spans="1:2" x14ac:dyDescent="0.25">
      <c r="A14" s="50" t="s">
        <v>396</v>
      </c>
      <c r="B14" s="62">
        <f>COUNTIF('Journal Papers'!F:F,"*"&amp;A14&amp;"*")</f>
        <v>3</v>
      </c>
    </row>
    <row r="15" spans="1:2" x14ac:dyDescent="0.25">
      <c r="A15" s="50" t="s">
        <v>901</v>
      </c>
      <c r="B15" s="62">
        <f>COUNTIF('Journal Papers'!F:F,"*"&amp;A15&amp;"*")</f>
        <v>1</v>
      </c>
    </row>
    <row r="16" spans="1:2" x14ac:dyDescent="0.25">
      <c r="A16" s="50" t="s">
        <v>350</v>
      </c>
      <c r="B16" s="62">
        <f>COUNTIF('Journal Papers'!F:F,"*"&amp;A16&amp;"*")</f>
        <v>2</v>
      </c>
    </row>
    <row r="17" spans="1:2" x14ac:dyDescent="0.25">
      <c r="A17" s="50" t="s">
        <v>115</v>
      </c>
      <c r="B17" s="62">
        <f>COUNTIF('Journal Papers'!F:F,"*"&amp;A17&amp;"*")</f>
        <v>1</v>
      </c>
    </row>
    <row r="18" spans="1:2" x14ac:dyDescent="0.25">
      <c r="A18" s="50" t="s">
        <v>2</v>
      </c>
      <c r="B18" s="62">
        <f>COUNTIF('Journal Papers'!F:F,"*"&amp;A18&amp;"*")</f>
        <v>79</v>
      </c>
    </row>
    <row r="19" spans="1:2" x14ac:dyDescent="0.25">
      <c r="A19" s="50" t="s">
        <v>780</v>
      </c>
      <c r="B19" s="62">
        <f>COUNTIF('Journal Papers'!F:F,"*"&amp;A19&amp;"*")</f>
        <v>4</v>
      </c>
    </row>
    <row r="20" spans="1:2" x14ac:dyDescent="0.25">
      <c r="A20" s="50" t="s">
        <v>112</v>
      </c>
      <c r="B20" s="62">
        <f>COUNTIF('Journal Papers'!F:F,"*"&amp;A20&amp;"*")</f>
        <v>3</v>
      </c>
    </row>
    <row r="21" spans="1:2" x14ac:dyDescent="0.25">
      <c r="A21" s="50" t="s">
        <v>192</v>
      </c>
      <c r="B21" s="62">
        <f>COUNTIF('Journal Papers'!F:F,"*"&amp;A21&amp;"*")</f>
        <v>45</v>
      </c>
    </row>
    <row r="22" spans="1:2" x14ac:dyDescent="0.25">
      <c r="A22" s="50" t="s">
        <v>289</v>
      </c>
      <c r="B22" s="62">
        <f>COUNTIF('Journal Papers'!F:F,"*"&amp;A22&amp;"*")</f>
        <v>3</v>
      </c>
    </row>
    <row r="23" spans="1:2" x14ac:dyDescent="0.25">
      <c r="A23" s="50" t="s">
        <v>291</v>
      </c>
      <c r="B23" s="62">
        <f>COUNTIF('Journal Papers'!F:F,"*"&amp;A23&amp;"*")</f>
        <v>7</v>
      </c>
    </row>
    <row r="24" spans="1:2" x14ac:dyDescent="0.25">
      <c r="A24" s="50" t="s">
        <v>570</v>
      </c>
      <c r="B24" s="62">
        <f>COUNTIF('Journal Papers'!F:F,"*"&amp;A24&amp;"*")</f>
        <v>4</v>
      </c>
    </row>
    <row r="25" spans="1:2" x14ac:dyDescent="0.25">
      <c r="A25" s="50" t="s">
        <v>118</v>
      </c>
      <c r="B25" s="62">
        <f>COUNTIF('Journal Papers'!F:F,"*"&amp;A25&amp;"*")</f>
        <v>24</v>
      </c>
    </row>
    <row r="26" spans="1:2" x14ac:dyDescent="0.25">
      <c r="A26" s="50" t="s">
        <v>149</v>
      </c>
      <c r="B26" s="62">
        <f>COUNTIF('Journal Papers'!F:F,"*"&amp;A26&amp;"*")</f>
        <v>37</v>
      </c>
    </row>
    <row r="27" spans="1:2" x14ac:dyDescent="0.25">
      <c r="A27" s="50" t="s">
        <v>1266</v>
      </c>
      <c r="B27" s="62">
        <f>COUNTIF('Journal Papers'!F:F,"*"&amp;A27&amp;"*")</f>
        <v>3</v>
      </c>
    </row>
    <row r="28" spans="1:2" x14ac:dyDescent="0.25">
      <c r="A28" s="50" t="s">
        <v>1633</v>
      </c>
      <c r="B28" s="62">
        <f>COUNTIF('Journal Papers'!F:F,A28)</f>
        <v>5</v>
      </c>
    </row>
    <row r="29" spans="1:2" x14ac:dyDescent="0.25">
      <c r="A29" s="50" t="s">
        <v>458</v>
      </c>
      <c r="B29" s="62">
        <f>COUNTIF('Journal Papers'!F:F,"*"&amp;A29&amp;"*")</f>
        <v>3</v>
      </c>
    </row>
    <row r="30" spans="1:2" x14ac:dyDescent="0.25">
      <c r="A30" s="50" t="s">
        <v>345</v>
      </c>
      <c r="B30" s="62">
        <f>COUNTIF('Journal Papers'!F:F,"*"&amp;A30&amp;"*")</f>
        <v>7</v>
      </c>
    </row>
    <row r="31" spans="1:2" x14ac:dyDescent="0.25">
      <c r="A31" s="50" t="s">
        <v>378</v>
      </c>
      <c r="B31" s="62">
        <f>COUNTIF('Journal Papers'!F:F,"*"&amp;A31&amp;"*")</f>
        <v>1</v>
      </c>
    </row>
    <row r="32" spans="1:2" x14ac:dyDescent="0.25">
      <c r="A32" s="50" t="s">
        <v>497</v>
      </c>
      <c r="B32" s="62">
        <f>COUNTIF('Journal Papers'!F:F,"*"&amp;A32&amp;"*")</f>
        <v>1</v>
      </c>
    </row>
    <row r="33" spans="1:2" x14ac:dyDescent="0.25">
      <c r="A33" s="50" t="s">
        <v>1496</v>
      </c>
      <c r="B33" s="62">
        <f>COUNTIF('Journal Papers'!F:F,"*"&amp;A33&amp;"*")</f>
        <v>1</v>
      </c>
    </row>
    <row r="34" spans="1:2" x14ac:dyDescent="0.25">
      <c r="A34" s="50" t="s">
        <v>401</v>
      </c>
      <c r="B34" s="62">
        <f>COUNTIF('Journal Papers'!F:F,"*"&amp;A34&amp;"*")</f>
        <v>2</v>
      </c>
    </row>
    <row r="35" spans="1:2" x14ac:dyDescent="0.25">
      <c r="A35" s="50" t="s">
        <v>374</v>
      </c>
      <c r="B35" s="62">
        <f>COUNTIF('Journal Papers'!F:F,"*"&amp;A35&amp;"*")</f>
        <v>4</v>
      </c>
    </row>
    <row r="36" spans="1:2" x14ac:dyDescent="0.25">
      <c r="A36" s="50" t="s">
        <v>1466</v>
      </c>
      <c r="B36" s="62">
        <f>COUNTIF('Journal Papers'!F:F,"*"&amp;A36&amp;"*")</f>
        <v>5</v>
      </c>
    </row>
    <row r="37" spans="1:2" x14ac:dyDescent="0.25">
      <c r="A37" s="50" t="s">
        <v>1321</v>
      </c>
      <c r="B37" s="62">
        <f>COUNTIF('Journal Papers'!F:F,"*"&amp;A37&amp;"*")</f>
        <v>1</v>
      </c>
    </row>
    <row r="38" spans="1:2" x14ac:dyDescent="0.25">
      <c r="A38" s="50" t="s">
        <v>4391</v>
      </c>
      <c r="B38" s="62">
        <f>COUNTIF('Journal Papers'!F:F,"*"&amp;A38&amp;"*")</f>
        <v>4</v>
      </c>
    </row>
    <row r="39" spans="1:2" x14ac:dyDescent="0.25">
      <c r="A39" s="50" t="s">
        <v>248</v>
      </c>
      <c r="B39" s="62">
        <f>COUNTIF('Journal Papers'!F:F,"*"&amp;A39&amp;"*")</f>
        <v>13</v>
      </c>
    </row>
    <row r="40" spans="1:2" x14ac:dyDescent="0.25">
      <c r="A40" s="50" t="s">
        <v>557</v>
      </c>
      <c r="B40" s="62">
        <f>COUNTIF('Journal Papers'!F:F,"*"&amp;A40&amp;"*")</f>
        <v>2</v>
      </c>
    </row>
    <row r="41" spans="1:2" x14ac:dyDescent="0.25">
      <c r="A41" s="50" t="s">
        <v>358</v>
      </c>
      <c r="B41" s="62">
        <f>COUNTIF('Journal Papers'!F:F,"*"&amp;A41&amp;"*")</f>
        <v>2</v>
      </c>
    </row>
    <row r="42" spans="1:2" x14ac:dyDescent="0.25">
      <c r="A42" s="50" t="s">
        <v>167</v>
      </c>
      <c r="B42" s="62">
        <f>COUNTIF('Journal Papers'!F:F,"*"&amp;A42&amp;"*")</f>
        <v>14</v>
      </c>
    </row>
    <row r="43" spans="1:2" x14ac:dyDescent="0.25">
      <c r="A43" s="50" t="s">
        <v>411</v>
      </c>
      <c r="B43" s="62">
        <f>COUNTIF('Journal Papers'!F:F,"*"&amp;A43&amp;"*")</f>
        <v>3</v>
      </c>
    </row>
    <row r="44" spans="1:2" x14ac:dyDescent="0.25">
      <c r="A44" s="50" t="s">
        <v>203</v>
      </c>
      <c r="B44" s="62">
        <f>COUNTIF('Journal Papers'!F:F,"*"&amp;A44&amp;"*")</f>
        <v>2</v>
      </c>
    </row>
    <row r="45" spans="1:2" x14ac:dyDescent="0.25">
      <c r="A45" s="50" t="s">
        <v>274</v>
      </c>
      <c r="B45" s="62">
        <f>COUNTIF('Journal Papers'!F:F,"*"&amp;A45&amp;"*")</f>
        <v>9</v>
      </c>
    </row>
    <row r="46" spans="1:2" x14ac:dyDescent="0.25">
      <c r="A46" s="50" t="s">
        <v>436</v>
      </c>
      <c r="B46" s="62">
        <f>COUNTIF('Journal Papers'!F:F,"*"&amp;A46&amp;"*")</f>
        <v>1</v>
      </c>
    </row>
    <row r="47" spans="1:2" x14ac:dyDescent="0.25">
      <c r="A47" s="50" t="s">
        <v>304</v>
      </c>
      <c r="B47" s="62">
        <f>COUNTIF('Journal Papers'!F:F,"*"&amp;A47&amp;"*")</f>
        <v>7</v>
      </c>
    </row>
    <row r="48" spans="1:2" x14ac:dyDescent="0.25">
      <c r="A48" s="50" t="s">
        <v>386</v>
      </c>
      <c r="B48" s="62">
        <f>COUNTIF('Journal Papers'!F:F,"*"&amp;A48&amp;"*")</f>
        <v>1</v>
      </c>
    </row>
    <row r="49" spans="1:2" x14ac:dyDescent="0.25">
      <c r="A49" s="64" t="s">
        <v>387</v>
      </c>
      <c r="B49" s="62">
        <f>COUNTIF('Journal Papers'!F:F,"*"&amp;A49&amp;"*")</f>
        <v>1</v>
      </c>
    </row>
    <row r="50" spans="1:2" x14ac:dyDescent="0.25">
      <c r="A50" s="50" t="s">
        <v>223</v>
      </c>
      <c r="B50" s="62">
        <f>COUNTIF('Journal Papers'!F:F,"*"&amp;A50&amp;"*")</f>
        <v>6</v>
      </c>
    </row>
    <row r="51" spans="1:2" x14ac:dyDescent="0.25">
      <c r="A51" s="50" t="s">
        <v>1</v>
      </c>
      <c r="B51" s="62">
        <f>COUNTIF('Journal Papers'!F:F,"*"&amp;A51&amp;"*")</f>
        <v>3</v>
      </c>
    </row>
    <row r="52" spans="1:2" x14ac:dyDescent="0.25">
      <c r="A52" s="50" t="s">
        <v>355</v>
      </c>
      <c r="B52" s="62">
        <f>COUNTIF('Journal Papers'!F:F,"*"&amp;A52&amp;"*")</f>
        <v>2</v>
      </c>
    </row>
    <row r="53" spans="1:2" x14ac:dyDescent="0.25">
      <c r="A53" s="50" t="s">
        <v>322</v>
      </c>
      <c r="B53" s="62">
        <f>COUNTIF('Journal Papers'!F:F,"*"&amp;A53&amp;"*")</f>
        <v>2</v>
      </c>
    </row>
    <row r="54" spans="1:2" x14ac:dyDescent="0.25">
      <c r="A54" s="50" t="s">
        <v>1259</v>
      </c>
      <c r="B54" s="62">
        <f>COUNTIF('Journal Papers'!F:F,"*"&amp;A54&amp;"*")</f>
        <v>2</v>
      </c>
    </row>
    <row r="55" spans="1:2" x14ac:dyDescent="0.25">
      <c r="A55" s="50" t="s">
        <v>230</v>
      </c>
      <c r="B55" s="62">
        <f>COUNTIF('Journal Papers'!F:F,"*"&amp;A55&amp;"*")</f>
        <v>27</v>
      </c>
    </row>
    <row r="56" spans="1:2" x14ac:dyDescent="0.25">
      <c r="A56" s="50" t="s">
        <v>141</v>
      </c>
      <c r="B56" s="62">
        <f>COUNTIF('Journal Papers'!F:F,"*"&amp;A56&amp;"*")</f>
        <v>5</v>
      </c>
    </row>
    <row r="58" spans="1:2" x14ac:dyDescent="0.25">
      <c r="B58">
        <f>SUM(B2:B56)</f>
        <v>426</v>
      </c>
    </row>
  </sheetData>
  <sortState xmlns:xlrd2="http://schemas.microsoft.com/office/spreadsheetml/2017/richdata2" ref="A2:B56">
    <sortCondition ref="A2:A56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17B5-3E72-41A3-80C5-41F75D8A6A2F}">
  <sheetPr codeName="Sheet5"/>
  <dimension ref="A1:N209"/>
  <sheetViews>
    <sheetView workbookViewId="0">
      <pane ySplit="1" topLeftCell="A2" activePane="bottomLeft" state="frozen"/>
      <selection pane="bottomLeft" activeCell="F194" sqref="F194"/>
    </sheetView>
  </sheetViews>
  <sheetFormatPr defaultRowHeight="15" x14ac:dyDescent="0.25"/>
  <cols>
    <col min="1" max="1" width="30.85546875" style="48" customWidth="1"/>
    <col min="2" max="2" width="11" style="48" customWidth="1"/>
    <col min="3" max="3" width="9.140625" style="48"/>
    <col min="4" max="4" width="22.28515625" style="48" customWidth="1"/>
    <col min="5" max="5" width="14" style="48" customWidth="1"/>
    <col min="6" max="6" width="10.7109375" style="48" customWidth="1"/>
    <col min="7" max="7" width="29.140625" style="48" customWidth="1"/>
    <col min="8" max="8" width="25.5703125" style="48" customWidth="1"/>
    <col min="9" max="9" width="13.42578125" style="48" customWidth="1"/>
    <col min="10" max="10" width="14.42578125" style="48" customWidth="1"/>
    <col min="11" max="11" width="22.85546875" style="48" customWidth="1"/>
    <col min="12" max="12" width="15.28515625" style="48" customWidth="1"/>
    <col min="13" max="13" width="21.7109375" style="48" customWidth="1"/>
    <col min="14" max="14" width="19.42578125" style="48" customWidth="1"/>
    <col min="15" max="16384" width="9.140625" style="48"/>
  </cols>
  <sheetData>
    <row r="1" spans="1:14" s="20" customFormat="1" ht="20.100000000000001" customHeight="1" x14ac:dyDescent="0.25">
      <c r="A1" s="21" t="s">
        <v>1019</v>
      </c>
      <c r="B1" s="22" t="s">
        <v>1020</v>
      </c>
      <c r="C1" s="23" t="s">
        <v>2263</v>
      </c>
      <c r="D1" s="24" t="s">
        <v>1686</v>
      </c>
      <c r="E1" s="22" t="s">
        <v>1629</v>
      </c>
      <c r="F1" s="25" t="s">
        <v>2264</v>
      </c>
      <c r="G1" s="23" t="s">
        <v>1021</v>
      </c>
      <c r="H1" s="23" t="s">
        <v>1022</v>
      </c>
      <c r="I1" s="23" t="s">
        <v>1023</v>
      </c>
      <c r="J1" s="23" t="s">
        <v>1024</v>
      </c>
      <c r="K1" s="23" t="s">
        <v>2427</v>
      </c>
      <c r="L1" s="23" t="s">
        <v>1025</v>
      </c>
      <c r="M1" s="23" t="s">
        <v>1026</v>
      </c>
      <c r="N1" s="26" t="s">
        <v>1027</v>
      </c>
    </row>
    <row r="2" spans="1:14" s="20" customFormat="1" ht="17.100000000000001" customHeight="1" x14ac:dyDescent="0.25">
      <c r="A2" s="9" t="s">
        <v>594</v>
      </c>
      <c r="B2" s="10" t="s">
        <v>595</v>
      </c>
      <c r="C2" s="10">
        <v>2010</v>
      </c>
      <c r="D2" s="11" t="s">
        <v>1869</v>
      </c>
      <c r="E2" s="10" t="s">
        <v>1631</v>
      </c>
      <c r="F2" s="11" t="s">
        <v>596</v>
      </c>
      <c r="G2" s="10" t="s">
        <v>2266</v>
      </c>
      <c r="H2" s="10" t="s">
        <v>1161</v>
      </c>
      <c r="I2" s="12" t="s">
        <v>1029</v>
      </c>
      <c r="J2" s="10" t="s">
        <v>1030</v>
      </c>
      <c r="K2" s="10" t="s">
        <v>1031</v>
      </c>
      <c r="L2" s="10" t="s">
        <v>1032</v>
      </c>
      <c r="M2" s="12" t="s">
        <v>1101</v>
      </c>
      <c r="N2" s="14" t="s">
        <v>1035</v>
      </c>
    </row>
    <row r="3" spans="1:14" s="20" customFormat="1" ht="17.100000000000001" customHeight="1" x14ac:dyDescent="0.25">
      <c r="A3" s="9" t="s">
        <v>671</v>
      </c>
      <c r="B3" s="10" t="s">
        <v>672</v>
      </c>
      <c r="C3" s="12">
        <v>2014</v>
      </c>
      <c r="D3" s="11" t="s">
        <v>1742</v>
      </c>
      <c r="E3" s="10" t="s">
        <v>1631</v>
      </c>
      <c r="F3" s="11" t="s">
        <v>586</v>
      </c>
      <c r="G3" s="10" t="s">
        <v>2266</v>
      </c>
      <c r="H3" s="10" t="s">
        <v>2326</v>
      </c>
      <c r="I3" s="12" t="s">
        <v>1029</v>
      </c>
      <c r="J3" s="12" t="s">
        <v>1030</v>
      </c>
      <c r="K3" s="10" t="s">
        <v>1031</v>
      </c>
      <c r="L3" s="10" t="s">
        <v>1032</v>
      </c>
      <c r="M3" s="12" t="s">
        <v>1033</v>
      </c>
      <c r="N3" s="13" t="s">
        <v>1034</v>
      </c>
    </row>
    <row r="4" spans="1:14" s="20" customFormat="1" ht="17.100000000000001" customHeight="1" x14ac:dyDescent="0.25">
      <c r="A4" s="9" t="s">
        <v>679</v>
      </c>
      <c r="B4" s="10" t="s">
        <v>680</v>
      </c>
      <c r="C4" s="10">
        <v>2015</v>
      </c>
      <c r="D4" s="11" t="s">
        <v>1833</v>
      </c>
      <c r="E4" s="10" t="s">
        <v>1631</v>
      </c>
      <c r="F4" s="11" t="s">
        <v>586</v>
      </c>
      <c r="G4" s="10" t="s">
        <v>1054</v>
      </c>
      <c r="H4" s="10" t="s">
        <v>2326</v>
      </c>
      <c r="I4" s="12" t="s">
        <v>1029</v>
      </c>
      <c r="J4" s="10" t="s">
        <v>1048</v>
      </c>
      <c r="K4" s="10" t="s">
        <v>1031</v>
      </c>
      <c r="L4" s="10" t="s">
        <v>1032</v>
      </c>
      <c r="M4" s="12" t="s">
        <v>114</v>
      </c>
      <c r="N4" s="14" t="s">
        <v>1035</v>
      </c>
    </row>
    <row r="5" spans="1:14" s="20" customFormat="1" ht="17.100000000000001" customHeight="1" x14ac:dyDescent="0.25">
      <c r="A5" s="9" t="s">
        <v>709</v>
      </c>
      <c r="B5" s="10" t="s">
        <v>710</v>
      </c>
      <c r="C5" s="10">
        <v>2016</v>
      </c>
      <c r="D5" s="11" t="s">
        <v>1769</v>
      </c>
      <c r="E5" s="10" t="s">
        <v>1631</v>
      </c>
      <c r="F5" s="11" t="s">
        <v>586</v>
      </c>
      <c r="G5" s="12" t="s">
        <v>1054</v>
      </c>
      <c r="H5" s="10" t="s">
        <v>2326</v>
      </c>
      <c r="I5" s="12" t="s">
        <v>1039</v>
      </c>
      <c r="J5" s="10" t="s">
        <v>1036</v>
      </c>
      <c r="K5" s="10" t="s">
        <v>1031</v>
      </c>
      <c r="L5" s="10" t="s">
        <v>1247</v>
      </c>
      <c r="M5" s="12" t="s">
        <v>114</v>
      </c>
      <c r="N5" s="14" t="s">
        <v>1035</v>
      </c>
    </row>
    <row r="6" spans="1:14" s="20" customFormat="1" ht="17.100000000000001" customHeight="1" x14ac:dyDescent="0.25">
      <c r="A6" s="9" t="s">
        <v>584</v>
      </c>
      <c r="B6" s="10" t="s">
        <v>585</v>
      </c>
      <c r="C6" s="10">
        <v>2010</v>
      </c>
      <c r="D6" s="11" t="s">
        <v>1822</v>
      </c>
      <c r="E6" s="10" t="s">
        <v>1631</v>
      </c>
      <c r="F6" s="11" t="s">
        <v>586</v>
      </c>
      <c r="G6" s="10" t="s">
        <v>1054</v>
      </c>
      <c r="H6" s="10" t="s">
        <v>2326</v>
      </c>
      <c r="I6" s="12" t="s">
        <v>1039</v>
      </c>
      <c r="J6" s="10" t="s">
        <v>1036</v>
      </c>
      <c r="K6" s="10" t="s">
        <v>1031</v>
      </c>
      <c r="L6" s="10" t="s">
        <v>1247</v>
      </c>
      <c r="M6" s="12" t="s">
        <v>114</v>
      </c>
      <c r="N6" s="14" t="s">
        <v>1035</v>
      </c>
    </row>
    <row r="7" spans="1:14" s="20" customFormat="1" ht="17.100000000000001" customHeight="1" x14ac:dyDescent="0.25">
      <c r="A7" s="9" t="s">
        <v>731</v>
      </c>
      <c r="B7" s="10" t="s">
        <v>732</v>
      </c>
      <c r="C7" s="10">
        <v>2018</v>
      </c>
      <c r="D7" s="11" t="s">
        <v>2055</v>
      </c>
      <c r="E7" s="10" t="s">
        <v>1631</v>
      </c>
      <c r="F7" s="11" t="s">
        <v>586</v>
      </c>
      <c r="G7" s="10" t="s">
        <v>1028</v>
      </c>
      <c r="H7" s="10" t="s">
        <v>2326</v>
      </c>
      <c r="I7" s="12" t="s">
        <v>1029</v>
      </c>
      <c r="J7" s="10" t="s">
        <v>1040</v>
      </c>
      <c r="K7" s="10" t="s">
        <v>1031</v>
      </c>
      <c r="L7" s="10" t="s">
        <v>1032</v>
      </c>
      <c r="M7" s="12" t="s">
        <v>114</v>
      </c>
      <c r="N7" s="13" t="s">
        <v>1034</v>
      </c>
    </row>
    <row r="8" spans="1:14" s="20" customFormat="1" ht="17.100000000000001" customHeight="1" x14ac:dyDescent="0.25">
      <c r="A8" s="9" t="s">
        <v>746</v>
      </c>
      <c r="B8" s="10" t="s">
        <v>747</v>
      </c>
      <c r="C8" s="10">
        <v>2019</v>
      </c>
      <c r="D8" s="11" t="s">
        <v>2040</v>
      </c>
      <c r="E8" s="10" t="s">
        <v>1631</v>
      </c>
      <c r="F8" s="11" t="s">
        <v>586</v>
      </c>
      <c r="G8" s="10" t="s">
        <v>1094</v>
      </c>
      <c r="H8" s="10" t="s">
        <v>1168</v>
      </c>
      <c r="I8" s="12" t="s">
        <v>1029</v>
      </c>
      <c r="J8" s="10" t="s">
        <v>1030</v>
      </c>
      <c r="K8" s="12" t="s">
        <v>1037</v>
      </c>
      <c r="L8" s="10" t="s">
        <v>1032</v>
      </c>
      <c r="M8" s="12" t="s">
        <v>114</v>
      </c>
      <c r="N8" s="13" t="s">
        <v>1072</v>
      </c>
    </row>
    <row r="9" spans="1:14" s="20" customFormat="1" ht="17.100000000000001" customHeight="1" x14ac:dyDescent="0.25">
      <c r="A9" s="9" t="s">
        <v>676</v>
      </c>
      <c r="B9" s="10" t="s">
        <v>677</v>
      </c>
      <c r="C9" s="10">
        <v>2015</v>
      </c>
      <c r="D9" s="11" t="s">
        <v>1834</v>
      </c>
      <c r="E9" s="10" t="s">
        <v>1631</v>
      </c>
      <c r="F9" s="11" t="s">
        <v>678</v>
      </c>
      <c r="G9" s="10" t="s">
        <v>1094</v>
      </c>
      <c r="H9" s="10" t="s">
        <v>2326</v>
      </c>
      <c r="I9" s="12" t="s">
        <v>1029</v>
      </c>
      <c r="J9" s="10" t="s">
        <v>1127</v>
      </c>
      <c r="K9" s="10" t="s">
        <v>1031</v>
      </c>
      <c r="L9" s="10" t="s">
        <v>1032</v>
      </c>
      <c r="M9" s="12" t="s">
        <v>114</v>
      </c>
      <c r="N9" s="13" t="s">
        <v>1041</v>
      </c>
    </row>
    <row r="10" spans="1:14" s="20" customFormat="1" ht="17.100000000000001" customHeight="1" x14ac:dyDescent="0.25">
      <c r="A10" s="9" t="s">
        <v>1443</v>
      </c>
      <c r="B10" s="10" t="s">
        <v>1444</v>
      </c>
      <c r="C10" s="10">
        <v>2015</v>
      </c>
      <c r="D10" s="11" t="s">
        <v>2184</v>
      </c>
      <c r="E10" s="10" t="s">
        <v>1631</v>
      </c>
      <c r="F10" s="11" t="s">
        <v>2308</v>
      </c>
      <c r="G10" s="10" t="s">
        <v>2266</v>
      </c>
      <c r="H10" s="10" t="s">
        <v>1445</v>
      </c>
      <c r="I10" s="10" t="s">
        <v>1039</v>
      </c>
      <c r="J10" s="10" t="s">
        <v>1030</v>
      </c>
      <c r="K10" s="10" t="s">
        <v>1031</v>
      </c>
      <c r="L10" s="10" t="s">
        <v>1247</v>
      </c>
      <c r="M10" s="10" t="s">
        <v>1050</v>
      </c>
      <c r="N10" s="13" t="s">
        <v>1035</v>
      </c>
    </row>
    <row r="11" spans="1:14" s="20" customFormat="1" ht="17.100000000000001" customHeight="1" x14ac:dyDescent="0.25">
      <c r="A11" s="9" t="s">
        <v>784</v>
      </c>
      <c r="B11" s="10" t="s">
        <v>1018</v>
      </c>
      <c r="C11" s="10">
        <v>2021</v>
      </c>
      <c r="D11" s="11" t="s">
        <v>1857</v>
      </c>
      <c r="E11" s="10" t="s">
        <v>1631</v>
      </c>
      <c r="F11" s="11" t="s">
        <v>1157</v>
      </c>
      <c r="G11" s="10" t="s">
        <v>2266</v>
      </c>
      <c r="H11" s="10" t="s">
        <v>2340</v>
      </c>
      <c r="I11" s="12" t="s">
        <v>1029</v>
      </c>
      <c r="J11" s="10" t="s">
        <v>1040</v>
      </c>
      <c r="K11" s="10" t="s">
        <v>1031</v>
      </c>
      <c r="L11" s="10" t="s">
        <v>1032</v>
      </c>
      <c r="M11" s="10" t="s">
        <v>1133</v>
      </c>
      <c r="N11" s="13" t="s">
        <v>1035</v>
      </c>
    </row>
    <row r="12" spans="1:14" s="20" customFormat="1" ht="17.100000000000001" customHeight="1" x14ac:dyDescent="0.25">
      <c r="A12" s="9" t="s">
        <v>591</v>
      </c>
      <c r="B12" s="10" t="s">
        <v>592</v>
      </c>
      <c r="C12" s="10">
        <v>2010</v>
      </c>
      <c r="D12" s="11" t="s">
        <v>1956</v>
      </c>
      <c r="E12" s="10" t="s">
        <v>1631</v>
      </c>
      <c r="F12" s="11" t="s">
        <v>593</v>
      </c>
      <c r="G12" s="10" t="s">
        <v>1054</v>
      </c>
      <c r="H12" s="10" t="s">
        <v>1057</v>
      </c>
      <c r="I12" s="12" t="s">
        <v>1039</v>
      </c>
      <c r="J12" s="10" t="s">
        <v>1040</v>
      </c>
      <c r="K12" s="10" t="s">
        <v>1031</v>
      </c>
      <c r="L12" s="10" t="s">
        <v>1247</v>
      </c>
      <c r="M12" s="10" t="s">
        <v>1193</v>
      </c>
      <c r="N12" s="14" t="s">
        <v>1035</v>
      </c>
    </row>
    <row r="13" spans="1:14" s="20" customFormat="1" ht="17.100000000000001" customHeight="1" x14ac:dyDescent="0.25">
      <c r="A13" s="9" t="s">
        <v>1417</v>
      </c>
      <c r="B13" s="10" t="s">
        <v>1418</v>
      </c>
      <c r="C13" s="10">
        <v>2019</v>
      </c>
      <c r="D13" s="11" t="s">
        <v>2175</v>
      </c>
      <c r="E13" s="10" t="s">
        <v>1631</v>
      </c>
      <c r="F13" s="11" t="s">
        <v>2314</v>
      </c>
      <c r="G13" s="10" t="s">
        <v>1094</v>
      </c>
      <c r="H13" s="10" t="s">
        <v>2326</v>
      </c>
      <c r="I13" s="10" t="s">
        <v>1039</v>
      </c>
      <c r="J13" s="10" t="s">
        <v>1030</v>
      </c>
      <c r="K13" s="10" t="s">
        <v>1031</v>
      </c>
      <c r="L13" s="10" t="s">
        <v>1032</v>
      </c>
      <c r="M13" s="10" t="s">
        <v>1250</v>
      </c>
      <c r="N13" s="13" t="s">
        <v>1034</v>
      </c>
    </row>
    <row r="14" spans="1:14" s="20" customFormat="1" ht="17.100000000000001" customHeight="1" x14ac:dyDescent="0.25">
      <c r="A14" s="9" t="s">
        <v>1405</v>
      </c>
      <c r="B14" s="10" t="s">
        <v>1406</v>
      </c>
      <c r="C14" s="10">
        <v>2014</v>
      </c>
      <c r="D14" s="11" t="s">
        <v>2170</v>
      </c>
      <c r="E14" s="10" t="s">
        <v>1631</v>
      </c>
      <c r="F14" s="11" t="s">
        <v>2309</v>
      </c>
      <c r="G14" s="10" t="s">
        <v>2275</v>
      </c>
      <c r="H14" s="10" t="s">
        <v>2326</v>
      </c>
      <c r="I14" s="10" t="s">
        <v>1039</v>
      </c>
      <c r="J14" s="10" t="s">
        <v>1030</v>
      </c>
      <c r="K14" s="12" t="s">
        <v>1037</v>
      </c>
      <c r="L14" s="10" t="s">
        <v>1247</v>
      </c>
      <c r="M14" s="10" t="s">
        <v>1307</v>
      </c>
      <c r="N14" s="13" t="s">
        <v>1034</v>
      </c>
    </row>
    <row r="15" spans="1:14" s="20" customFormat="1" ht="17.100000000000001" customHeight="1" x14ac:dyDescent="0.25">
      <c r="A15" s="9" t="s">
        <v>1395</v>
      </c>
      <c r="B15" s="10" t="s">
        <v>1396</v>
      </c>
      <c r="C15" s="10">
        <v>2015</v>
      </c>
      <c r="D15" s="11" t="s">
        <v>2166</v>
      </c>
      <c r="E15" s="10" t="s">
        <v>1631</v>
      </c>
      <c r="F15" s="11" t="s">
        <v>2309</v>
      </c>
      <c r="G15" s="10" t="s">
        <v>2275</v>
      </c>
      <c r="H15" s="10" t="s">
        <v>2326</v>
      </c>
      <c r="I15" s="10" t="s">
        <v>1039</v>
      </c>
      <c r="J15" s="10" t="s">
        <v>1030</v>
      </c>
      <c r="K15" s="12" t="s">
        <v>1037</v>
      </c>
      <c r="L15" s="10" t="s">
        <v>1247</v>
      </c>
      <c r="M15" s="10" t="s">
        <v>1397</v>
      </c>
      <c r="N15" s="13" t="s">
        <v>1072</v>
      </c>
    </row>
    <row r="16" spans="1:14" s="20" customFormat="1" ht="17.100000000000001" customHeight="1" x14ac:dyDescent="0.25">
      <c r="A16" s="9" t="s">
        <v>1400</v>
      </c>
      <c r="B16" s="10" t="s">
        <v>1401</v>
      </c>
      <c r="C16" s="10">
        <v>2015</v>
      </c>
      <c r="D16" s="11" t="s">
        <v>2168</v>
      </c>
      <c r="E16" s="10" t="s">
        <v>1631</v>
      </c>
      <c r="F16" s="11" t="s">
        <v>2309</v>
      </c>
      <c r="G16" s="10" t="s">
        <v>2298</v>
      </c>
      <c r="H16" s="10" t="s">
        <v>2328</v>
      </c>
      <c r="I16" s="10" t="s">
        <v>1039</v>
      </c>
      <c r="J16" s="10" t="s">
        <v>1030</v>
      </c>
      <c r="K16" s="12" t="s">
        <v>1037</v>
      </c>
      <c r="L16" s="10" t="s">
        <v>1247</v>
      </c>
      <c r="M16" s="10" t="s">
        <v>1402</v>
      </c>
      <c r="N16" s="13" t="s">
        <v>1034</v>
      </c>
    </row>
    <row r="17" spans="1:14" s="20" customFormat="1" ht="17.100000000000001" customHeight="1" x14ac:dyDescent="0.25">
      <c r="A17" s="9" t="s">
        <v>1373</v>
      </c>
      <c r="B17" s="10" t="s">
        <v>1374</v>
      </c>
      <c r="C17" s="10">
        <v>2014</v>
      </c>
      <c r="D17" s="11" t="s">
        <v>2157</v>
      </c>
      <c r="E17" s="10" t="s">
        <v>1631</v>
      </c>
      <c r="F17" s="11" t="s">
        <v>2309</v>
      </c>
      <c r="G17" s="10" t="s">
        <v>2275</v>
      </c>
      <c r="H17" s="10" t="s">
        <v>1057</v>
      </c>
      <c r="I17" s="10" t="s">
        <v>1039</v>
      </c>
      <c r="J17" s="10" t="s">
        <v>1030</v>
      </c>
      <c r="K17" s="10" t="s">
        <v>1031</v>
      </c>
      <c r="L17" s="10" t="s">
        <v>1247</v>
      </c>
      <c r="M17" s="10" t="s">
        <v>1375</v>
      </c>
      <c r="N17" s="13" t="s">
        <v>1035</v>
      </c>
    </row>
    <row r="18" spans="1:14" s="20" customFormat="1" ht="17.100000000000001" customHeight="1" x14ac:dyDescent="0.25">
      <c r="A18" s="9" t="s">
        <v>2404</v>
      </c>
      <c r="B18" s="10" t="s">
        <v>930</v>
      </c>
      <c r="C18" s="10">
        <v>2013</v>
      </c>
      <c r="D18" s="11" t="s">
        <v>1766</v>
      </c>
      <c r="E18" s="10" t="s">
        <v>1631</v>
      </c>
      <c r="F18" s="11" t="s">
        <v>2309</v>
      </c>
      <c r="G18" s="10" t="s">
        <v>2276</v>
      </c>
      <c r="H18" s="10" t="s">
        <v>2326</v>
      </c>
      <c r="I18" s="10" t="s">
        <v>1493</v>
      </c>
      <c r="J18" s="10" t="s">
        <v>1030</v>
      </c>
      <c r="K18" s="10" t="s">
        <v>1031</v>
      </c>
      <c r="L18" s="10" t="s">
        <v>1042</v>
      </c>
      <c r="M18" s="12" t="s">
        <v>114</v>
      </c>
      <c r="N18" s="13" t="s">
        <v>1041</v>
      </c>
    </row>
    <row r="19" spans="1:14" s="20" customFormat="1" ht="17.100000000000001" customHeight="1" x14ac:dyDescent="0.25">
      <c r="A19" s="9" t="s">
        <v>689</v>
      </c>
      <c r="B19" s="10" t="s">
        <v>970</v>
      </c>
      <c r="C19" s="10">
        <v>2015</v>
      </c>
      <c r="D19" s="11" t="s">
        <v>1816</v>
      </c>
      <c r="E19" s="10" t="s">
        <v>1631</v>
      </c>
      <c r="F19" s="11" t="s">
        <v>2309</v>
      </c>
      <c r="G19" s="10" t="s">
        <v>1080</v>
      </c>
      <c r="H19" s="10" t="s">
        <v>2326</v>
      </c>
      <c r="I19" s="12" t="s">
        <v>1039</v>
      </c>
      <c r="J19" s="10" t="s">
        <v>1030</v>
      </c>
      <c r="K19" s="10" t="s">
        <v>1031</v>
      </c>
      <c r="L19" s="10" t="s">
        <v>2399</v>
      </c>
      <c r="M19" s="12" t="s">
        <v>114</v>
      </c>
      <c r="N19" s="13" t="s">
        <v>1041</v>
      </c>
    </row>
    <row r="20" spans="1:14" s="20" customFormat="1" ht="17.100000000000001" customHeight="1" x14ac:dyDescent="0.25">
      <c r="A20" s="9" t="s">
        <v>660</v>
      </c>
      <c r="B20" s="10" t="s">
        <v>947</v>
      </c>
      <c r="C20" s="10">
        <v>2014</v>
      </c>
      <c r="D20" s="11" t="s">
        <v>1809</v>
      </c>
      <c r="E20" s="10" t="s">
        <v>1631</v>
      </c>
      <c r="F20" s="11" t="s">
        <v>2309</v>
      </c>
      <c r="G20" s="10" t="s">
        <v>2295</v>
      </c>
      <c r="H20" s="10" t="s">
        <v>2326</v>
      </c>
      <c r="I20" s="12" t="s">
        <v>1039</v>
      </c>
      <c r="J20" s="10" t="s">
        <v>1030</v>
      </c>
      <c r="K20" s="10" t="s">
        <v>1031</v>
      </c>
      <c r="L20" s="10" t="s">
        <v>1032</v>
      </c>
      <c r="M20" s="12" t="s">
        <v>114</v>
      </c>
      <c r="N20" s="13" t="s">
        <v>1041</v>
      </c>
    </row>
    <row r="21" spans="1:14" s="20" customFormat="1" ht="17.100000000000001" customHeight="1" x14ac:dyDescent="0.25">
      <c r="A21" s="9" t="s">
        <v>665</v>
      </c>
      <c r="B21" s="10" t="s">
        <v>952</v>
      </c>
      <c r="C21" s="10">
        <v>2014</v>
      </c>
      <c r="D21" s="11" t="s">
        <v>1823</v>
      </c>
      <c r="E21" s="10" t="s">
        <v>1631</v>
      </c>
      <c r="F21" s="11" t="s">
        <v>2309</v>
      </c>
      <c r="G21" s="10" t="s">
        <v>2275</v>
      </c>
      <c r="H21" s="10" t="s">
        <v>2326</v>
      </c>
      <c r="I21" s="12" t="s">
        <v>1039</v>
      </c>
      <c r="J21" s="10" t="s">
        <v>1040</v>
      </c>
      <c r="K21" s="12" t="s">
        <v>1037</v>
      </c>
      <c r="L21" s="10" t="s">
        <v>1032</v>
      </c>
      <c r="M21" s="12" t="s">
        <v>114</v>
      </c>
      <c r="N21" s="13" t="s">
        <v>1041</v>
      </c>
    </row>
    <row r="22" spans="1:14" s="20" customFormat="1" ht="17.100000000000001" customHeight="1" x14ac:dyDescent="0.25">
      <c r="A22" s="9" t="s">
        <v>659</v>
      </c>
      <c r="B22" s="10" t="s">
        <v>946</v>
      </c>
      <c r="C22" s="10">
        <v>2014</v>
      </c>
      <c r="D22" s="11" t="s">
        <v>1949</v>
      </c>
      <c r="E22" s="10" t="s">
        <v>1631</v>
      </c>
      <c r="F22" s="11" t="s">
        <v>2309</v>
      </c>
      <c r="G22" s="10" t="s">
        <v>1028</v>
      </c>
      <c r="H22" s="10" t="s">
        <v>1057</v>
      </c>
      <c r="I22" s="12" t="s">
        <v>1039</v>
      </c>
      <c r="J22" s="10" t="s">
        <v>1036</v>
      </c>
      <c r="K22" s="10" t="s">
        <v>1031</v>
      </c>
      <c r="L22" s="10" t="s">
        <v>1032</v>
      </c>
      <c r="M22" s="12" t="s">
        <v>114</v>
      </c>
      <c r="N22" s="13" t="s">
        <v>1041</v>
      </c>
    </row>
    <row r="23" spans="1:14" s="20" customFormat="1" ht="17.100000000000001" customHeight="1" x14ac:dyDescent="0.25">
      <c r="A23" s="9" t="s">
        <v>700</v>
      </c>
      <c r="B23" s="10" t="s">
        <v>979</v>
      </c>
      <c r="C23" s="10">
        <v>2016</v>
      </c>
      <c r="D23" s="11" t="s">
        <v>2079</v>
      </c>
      <c r="E23" s="10" t="s">
        <v>1631</v>
      </c>
      <c r="F23" s="11" t="s">
        <v>2309</v>
      </c>
      <c r="G23" s="10" t="s">
        <v>2266</v>
      </c>
      <c r="H23" s="10" t="s">
        <v>2340</v>
      </c>
      <c r="I23" s="12" t="s">
        <v>1039</v>
      </c>
      <c r="J23" s="10" t="s">
        <v>1030</v>
      </c>
      <c r="K23" s="10" t="s">
        <v>1031</v>
      </c>
      <c r="L23" s="10" t="s">
        <v>1032</v>
      </c>
      <c r="M23" s="12" t="s">
        <v>1055</v>
      </c>
      <c r="N23" s="14" t="s">
        <v>1035</v>
      </c>
    </row>
    <row r="24" spans="1:14" s="20" customFormat="1" ht="17.100000000000001" customHeight="1" x14ac:dyDescent="0.25">
      <c r="A24" s="9" t="s">
        <v>686</v>
      </c>
      <c r="B24" s="10" t="s">
        <v>967</v>
      </c>
      <c r="C24" s="10">
        <v>2015</v>
      </c>
      <c r="D24" s="11" t="s">
        <v>1919</v>
      </c>
      <c r="E24" s="10" t="s">
        <v>1631</v>
      </c>
      <c r="F24" s="11" t="s">
        <v>2309</v>
      </c>
      <c r="G24" s="10" t="s">
        <v>1080</v>
      </c>
      <c r="H24" s="10" t="s">
        <v>2331</v>
      </c>
      <c r="I24" s="12" t="s">
        <v>1039</v>
      </c>
      <c r="J24" s="10" t="s">
        <v>1030</v>
      </c>
      <c r="K24" s="10" t="s">
        <v>1031</v>
      </c>
      <c r="L24" s="10" t="s">
        <v>1032</v>
      </c>
      <c r="M24" s="12" t="s">
        <v>114</v>
      </c>
      <c r="N24" s="14" t="s">
        <v>1035</v>
      </c>
    </row>
    <row r="25" spans="1:14" s="20" customFormat="1" ht="17.100000000000001" customHeight="1" x14ac:dyDescent="0.25">
      <c r="A25" s="9" t="s">
        <v>1358</v>
      </c>
      <c r="B25" s="10" t="s">
        <v>1359</v>
      </c>
      <c r="C25" s="10">
        <v>2013</v>
      </c>
      <c r="D25" s="11" t="s">
        <v>2150</v>
      </c>
      <c r="E25" s="10" t="s">
        <v>1631</v>
      </c>
      <c r="F25" s="11" t="s">
        <v>2305</v>
      </c>
      <c r="G25" s="10" t="s">
        <v>2266</v>
      </c>
      <c r="H25" s="10" t="s">
        <v>1057</v>
      </c>
      <c r="I25" s="10" t="s">
        <v>1039</v>
      </c>
      <c r="J25" s="10" t="s">
        <v>1040</v>
      </c>
      <c r="K25" s="10" t="s">
        <v>1031</v>
      </c>
      <c r="L25" s="10" t="s">
        <v>1247</v>
      </c>
      <c r="M25" s="10" t="s">
        <v>1055</v>
      </c>
      <c r="N25" s="13" t="s">
        <v>1072</v>
      </c>
    </row>
    <row r="26" spans="1:14" s="20" customFormat="1" ht="17.100000000000001" customHeight="1" x14ac:dyDescent="0.25">
      <c r="A26" s="9" t="s">
        <v>1350</v>
      </c>
      <c r="B26" s="10" t="s">
        <v>1351</v>
      </c>
      <c r="C26" s="10">
        <v>2016</v>
      </c>
      <c r="D26" s="11" t="s">
        <v>2146</v>
      </c>
      <c r="E26" s="10" t="s">
        <v>1631</v>
      </c>
      <c r="F26" s="11" t="s">
        <v>2304</v>
      </c>
      <c r="G26" s="10" t="s">
        <v>2389</v>
      </c>
      <c r="H26" s="10" t="s">
        <v>2326</v>
      </c>
      <c r="I26" s="10" t="s">
        <v>1039</v>
      </c>
      <c r="J26" s="10" t="s">
        <v>1030</v>
      </c>
      <c r="K26" s="10" t="s">
        <v>1031</v>
      </c>
      <c r="L26" s="10" t="s">
        <v>1247</v>
      </c>
      <c r="M26" s="10" t="s">
        <v>114</v>
      </c>
      <c r="N26" s="13" t="s">
        <v>1041</v>
      </c>
    </row>
    <row r="27" spans="1:14" s="20" customFormat="1" ht="17.100000000000001" customHeight="1" x14ac:dyDescent="0.25">
      <c r="A27" s="9" t="s">
        <v>1437</v>
      </c>
      <c r="B27" s="10" t="s">
        <v>1438</v>
      </c>
      <c r="C27" s="10">
        <v>2016</v>
      </c>
      <c r="D27" s="11" t="s">
        <v>2183</v>
      </c>
      <c r="E27" s="10" t="s">
        <v>1631</v>
      </c>
      <c r="F27" s="11" t="s">
        <v>2304</v>
      </c>
      <c r="G27" s="10" t="s">
        <v>2266</v>
      </c>
      <c r="H27" s="10" t="s">
        <v>2326</v>
      </c>
      <c r="I27" s="10" t="s">
        <v>1039</v>
      </c>
      <c r="J27" s="10" t="s">
        <v>1030</v>
      </c>
      <c r="K27" s="10" t="s">
        <v>1031</v>
      </c>
      <c r="L27" s="10" t="s">
        <v>1247</v>
      </c>
      <c r="M27" s="10" t="s">
        <v>114</v>
      </c>
      <c r="N27" s="13" t="s">
        <v>1072</v>
      </c>
    </row>
    <row r="28" spans="1:14" s="20" customFormat="1" ht="17.100000000000001" customHeight="1" x14ac:dyDescent="0.25">
      <c r="A28" s="9" t="s">
        <v>1433</v>
      </c>
      <c r="B28" s="10" t="s">
        <v>1434</v>
      </c>
      <c r="C28" s="10">
        <v>2018</v>
      </c>
      <c r="D28" s="11" t="s">
        <v>2181</v>
      </c>
      <c r="E28" s="10" t="s">
        <v>1631</v>
      </c>
      <c r="F28" s="11" t="s">
        <v>2306</v>
      </c>
      <c r="G28" s="10" t="s">
        <v>2266</v>
      </c>
      <c r="H28" s="10" t="s">
        <v>2326</v>
      </c>
      <c r="I28" s="10" t="s">
        <v>1039</v>
      </c>
      <c r="J28" s="10" t="s">
        <v>1030</v>
      </c>
      <c r="K28" s="10" t="s">
        <v>1031</v>
      </c>
      <c r="L28" s="10" t="s">
        <v>1247</v>
      </c>
      <c r="M28" s="10" t="s">
        <v>114</v>
      </c>
      <c r="N28" s="13" t="s">
        <v>1035</v>
      </c>
    </row>
    <row r="29" spans="1:14" s="20" customFormat="1" ht="17.100000000000001" customHeight="1" x14ac:dyDescent="0.25">
      <c r="A29" s="9" t="s">
        <v>1407</v>
      </c>
      <c r="B29" s="10" t="s">
        <v>1408</v>
      </c>
      <c r="C29" s="10">
        <v>2012</v>
      </c>
      <c r="D29" s="11" t="s">
        <v>2171</v>
      </c>
      <c r="E29" s="10" t="s">
        <v>1631</v>
      </c>
      <c r="F29" s="11" t="s">
        <v>2313</v>
      </c>
      <c r="G29" s="10" t="s">
        <v>1094</v>
      </c>
      <c r="H29" s="10" t="s">
        <v>2326</v>
      </c>
      <c r="I29" s="10" t="s">
        <v>1039</v>
      </c>
      <c r="J29" s="10" t="s">
        <v>1030</v>
      </c>
      <c r="K29" s="10" t="s">
        <v>1031</v>
      </c>
      <c r="L29" s="10" t="s">
        <v>1032</v>
      </c>
      <c r="M29" s="10" t="s">
        <v>1409</v>
      </c>
      <c r="N29" s="13" t="s">
        <v>1034</v>
      </c>
    </row>
    <row r="30" spans="1:14" s="20" customFormat="1" ht="17.100000000000001" customHeight="1" x14ac:dyDescent="0.25">
      <c r="A30" s="9" t="s">
        <v>1415</v>
      </c>
      <c r="B30" s="10" t="s">
        <v>1416</v>
      </c>
      <c r="C30" s="10">
        <v>2014</v>
      </c>
      <c r="D30" s="11" t="s">
        <v>2174</v>
      </c>
      <c r="E30" s="10" t="s">
        <v>1631</v>
      </c>
      <c r="F30" s="11" t="s">
        <v>2306</v>
      </c>
      <c r="G30" s="10" t="s">
        <v>1066</v>
      </c>
      <c r="H30" s="10" t="s">
        <v>1161</v>
      </c>
      <c r="I30" s="10" t="s">
        <v>1039</v>
      </c>
      <c r="J30" s="10" t="s">
        <v>1030</v>
      </c>
      <c r="K30" s="10" t="s">
        <v>2406</v>
      </c>
      <c r="L30" s="10" t="s">
        <v>1247</v>
      </c>
      <c r="M30" s="10" t="s">
        <v>114</v>
      </c>
      <c r="N30" s="13" t="s">
        <v>1035</v>
      </c>
    </row>
    <row r="31" spans="1:14" s="20" customFormat="1" ht="17.100000000000001" customHeight="1" x14ac:dyDescent="0.25">
      <c r="A31" s="9" t="s">
        <v>1380</v>
      </c>
      <c r="B31" s="10" t="s">
        <v>1381</v>
      </c>
      <c r="C31" s="10">
        <v>2014</v>
      </c>
      <c r="D31" s="11" t="s">
        <v>2160</v>
      </c>
      <c r="E31" s="10" t="s">
        <v>1631</v>
      </c>
      <c r="F31" s="11" t="s">
        <v>2306</v>
      </c>
      <c r="G31" s="10" t="s">
        <v>2266</v>
      </c>
      <c r="H31" s="10" t="s">
        <v>1057</v>
      </c>
      <c r="I31" s="10" t="s">
        <v>1039</v>
      </c>
      <c r="J31" s="10" t="s">
        <v>1030</v>
      </c>
      <c r="K31" s="10" t="s">
        <v>1031</v>
      </c>
      <c r="L31" s="10" t="s">
        <v>1247</v>
      </c>
      <c r="M31" s="10" t="s">
        <v>1382</v>
      </c>
      <c r="N31" s="13" t="s">
        <v>1072</v>
      </c>
    </row>
    <row r="32" spans="1:14" s="20" customFormat="1" ht="17.100000000000001" customHeight="1" x14ac:dyDescent="0.25">
      <c r="A32" s="9" t="s">
        <v>1386</v>
      </c>
      <c r="B32" s="10" t="s">
        <v>1387</v>
      </c>
      <c r="C32" s="10">
        <v>2014</v>
      </c>
      <c r="D32" s="11" t="s">
        <v>2162</v>
      </c>
      <c r="E32" s="10" t="s">
        <v>1631</v>
      </c>
      <c r="F32" s="11" t="s">
        <v>2306</v>
      </c>
      <c r="G32" s="10" t="s">
        <v>1215</v>
      </c>
      <c r="H32" s="10" t="s">
        <v>1180</v>
      </c>
      <c r="I32" s="10" t="s">
        <v>1039</v>
      </c>
      <c r="J32" s="10" t="s">
        <v>1040</v>
      </c>
      <c r="K32" s="10" t="s">
        <v>1031</v>
      </c>
      <c r="L32" s="10" t="s">
        <v>1247</v>
      </c>
      <c r="M32" s="10" t="s">
        <v>114</v>
      </c>
      <c r="N32" s="13" t="s">
        <v>1041</v>
      </c>
    </row>
    <row r="33" spans="1:14" s="20" customFormat="1" ht="17.100000000000001" customHeight="1" x14ac:dyDescent="0.25">
      <c r="A33" s="9" t="s">
        <v>674</v>
      </c>
      <c r="B33" s="10" t="s">
        <v>959</v>
      </c>
      <c r="C33" s="10">
        <v>2015</v>
      </c>
      <c r="D33" s="11" t="s">
        <v>1901</v>
      </c>
      <c r="E33" s="10" t="s">
        <v>1631</v>
      </c>
      <c r="F33" s="11" t="s">
        <v>2306</v>
      </c>
      <c r="G33" s="10" t="s">
        <v>2275</v>
      </c>
      <c r="H33" s="10" t="s">
        <v>2336</v>
      </c>
      <c r="I33" s="12" t="s">
        <v>1039</v>
      </c>
      <c r="J33" s="12" t="s">
        <v>1030</v>
      </c>
      <c r="K33" s="10" t="s">
        <v>1031</v>
      </c>
      <c r="L33" s="10" t="s">
        <v>1247</v>
      </c>
      <c r="M33" s="12" t="s">
        <v>114</v>
      </c>
      <c r="N33" s="14" t="s">
        <v>1035</v>
      </c>
    </row>
    <row r="34" spans="1:14" s="20" customFormat="1" ht="17.100000000000001" customHeight="1" x14ac:dyDescent="0.25">
      <c r="A34" s="9" t="s">
        <v>688</v>
      </c>
      <c r="B34" s="10" t="s">
        <v>969</v>
      </c>
      <c r="C34" s="10">
        <v>2015</v>
      </c>
      <c r="D34" s="11" t="s">
        <v>1885</v>
      </c>
      <c r="E34" s="10" t="s">
        <v>1631</v>
      </c>
      <c r="F34" s="11" t="s">
        <v>2306</v>
      </c>
      <c r="G34" s="10" t="s">
        <v>2266</v>
      </c>
      <c r="H34" s="10" t="s">
        <v>2338</v>
      </c>
      <c r="I34" s="12" t="s">
        <v>1029</v>
      </c>
      <c r="J34" s="10" t="s">
        <v>1030</v>
      </c>
      <c r="K34" s="10" t="s">
        <v>1031</v>
      </c>
      <c r="L34" s="12" t="s">
        <v>1042</v>
      </c>
      <c r="M34" s="12" t="s">
        <v>114</v>
      </c>
      <c r="N34" s="14" t="s">
        <v>1035</v>
      </c>
    </row>
    <row r="35" spans="1:14" s="20" customFormat="1" ht="17.100000000000001" customHeight="1" x14ac:dyDescent="0.25">
      <c r="A35" s="9" t="s">
        <v>705</v>
      </c>
      <c r="B35" s="10" t="s">
        <v>982</v>
      </c>
      <c r="C35" s="10">
        <v>2016</v>
      </c>
      <c r="D35" s="11" t="s">
        <v>1774</v>
      </c>
      <c r="E35" s="10" t="s">
        <v>1631</v>
      </c>
      <c r="F35" s="11" t="s">
        <v>2306</v>
      </c>
      <c r="G35" s="10" t="s">
        <v>2275</v>
      </c>
      <c r="H35" s="10" t="s">
        <v>2326</v>
      </c>
      <c r="I35" s="12" t="s">
        <v>1039</v>
      </c>
      <c r="J35" s="10" t="s">
        <v>1030</v>
      </c>
      <c r="K35" s="10" t="s">
        <v>1031</v>
      </c>
      <c r="L35" s="10" t="s">
        <v>1042</v>
      </c>
      <c r="M35" s="10" t="s">
        <v>1087</v>
      </c>
      <c r="N35" s="13" t="s">
        <v>1072</v>
      </c>
    </row>
    <row r="36" spans="1:14" s="20" customFormat="1" ht="17.100000000000001" customHeight="1" x14ac:dyDescent="0.25">
      <c r="A36" s="9" t="s">
        <v>655</v>
      </c>
      <c r="B36" s="10" t="s">
        <v>943</v>
      </c>
      <c r="C36" s="10">
        <v>2014</v>
      </c>
      <c r="D36" s="11" t="s">
        <v>2024</v>
      </c>
      <c r="E36" s="10" t="s">
        <v>1631</v>
      </c>
      <c r="F36" s="11" t="s">
        <v>2306</v>
      </c>
      <c r="G36" s="10" t="s">
        <v>1054</v>
      </c>
      <c r="H36" s="10" t="s">
        <v>2326</v>
      </c>
      <c r="I36" s="12" t="s">
        <v>1039</v>
      </c>
      <c r="J36" s="10" t="s">
        <v>1030</v>
      </c>
      <c r="K36" s="10" t="s">
        <v>1031</v>
      </c>
      <c r="L36" s="10" t="s">
        <v>1247</v>
      </c>
      <c r="M36" s="10" t="s">
        <v>1212</v>
      </c>
      <c r="N36" s="14" t="s">
        <v>1035</v>
      </c>
    </row>
    <row r="37" spans="1:14" s="20" customFormat="1" ht="17.100000000000001" customHeight="1" x14ac:dyDescent="0.25">
      <c r="A37" s="9" t="s">
        <v>711</v>
      </c>
      <c r="B37" s="10" t="s">
        <v>988</v>
      </c>
      <c r="C37" s="10">
        <v>2016</v>
      </c>
      <c r="D37" s="11" t="s">
        <v>1754</v>
      </c>
      <c r="E37" s="10" t="s">
        <v>1631</v>
      </c>
      <c r="F37" s="11" t="s">
        <v>2306</v>
      </c>
      <c r="G37" s="10" t="s">
        <v>2275</v>
      </c>
      <c r="H37" s="10" t="s">
        <v>2326</v>
      </c>
      <c r="I37" s="12" t="s">
        <v>1039</v>
      </c>
      <c r="J37" s="12" t="s">
        <v>1048</v>
      </c>
      <c r="K37" s="10" t="s">
        <v>1031</v>
      </c>
      <c r="L37" s="10" t="s">
        <v>1247</v>
      </c>
      <c r="M37" s="12" t="s">
        <v>1056</v>
      </c>
      <c r="N37" s="13" t="s">
        <v>1072</v>
      </c>
    </row>
    <row r="38" spans="1:14" s="20" customFormat="1" ht="17.100000000000001" customHeight="1" x14ac:dyDescent="0.25">
      <c r="A38" s="9" t="s">
        <v>667</v>
      </c>
      <c r="B38" s="10" t="s">
        <v>668</v>
      </c>
      <c r="C38" s="12">
        <v>2014</v>
      </c>
      <c r="D38" s="11" t="s">
        <v>1859</v>
      </c>
      <c r="E38" s="10" t="s">
        <v>1631</v>
      </c>
      <c r="F38" s="11" t="s">
        <v>2306</v>
      </c>
      <c r="G38" s="12" t="s">
        <v>1028</v>
      </c>
      <c r="H38" s="10" t="s">
        <v>2334</v>
      </c>
      <c r="I38" s="12" t="s">
        <v>1029</v>
      </c>
      <c r="J38" s="12" t="s">
        <v>1040</v>
      </c>
      <c r="K38" s="10" t="s">
        <v>1031</v>
      </c>
      <c r="L38" s="10" t="s">
        <v>1032</v>
      </c>
      <c r="M38" s="12" t="s">
        <v>1044</v>
      </c>
      <c r="N38" s="13" t="s">
        <v>1034</v>
      </c>
    </row>
    <row r="39" spans="1:14" s="20" customFormat="1" ht="17.100000000000001" customHeight="1" x14ac:dyDescent="0.25">
      <c r="A39" s="9" t="s">
        <v>704</v>
      </c>
      <c r="B39" s="10" t="s">
        <v>981</v>
      </c>
      <c r="C39" s="10">
        <v>2016</v>
      </c>
      <c r="D39" s="11" t="s">
        <v>2026</v>
      </c>
      <c r="E39" s="10" t="s">
        <v>1631</v>
      </c>
      <c r="F39" s="11" t="s">
        <v>2306</v>
      </c>
      <c r="G39" s="10" t="s">
        <v>2279</v>
      </c>
      <c r="H39" s="10" t="s">
        <v>1166</v>
      </c>
      <c r="I39" s="12" t="s">
        <v>1039</v>
      </c>
      <c r="J39" s="10" t="s">
        <v>1030</v>
      </c>
      <c r="K39" s="12" t="s">
        <v>1037</v>
      </c>
      <c r="L39" s="10" t="s">
        <v>1247</v>
      </c>
      <c r="M39" s="12" t="s">
        <v>114</v>
      </c>
      <c r="N39" s="14" t="s">
        <v>1035</v>
      </c>
    </row>
    <row r="40" spans="1:14" s="20" customFormat="1" ht="17.100000000000001" customHeight="1" x14ac:dyDescent="0.25">
      <c r="A40" s="9" t="s">
        <v>617</v>
      </c>
      <c r="B40" s="10" t="s">
        <v>924</v>
      </c>
      <c r="C40" s="10">
        <v>2012</v>
      </c>
      <c r="D40" s="11" t="s">
        <v>1953</v>
      </c>
      <c r="E40" s="10" t="s">
        <v>1631</v>
      </c>
      <c r="F40" s="11" t="s">
        <v>2306</v>
      </c>
      <c r="G40" s="10" t="s">
        <v>1028</v>
      </c>
      <c r="H40" s="10" t="s">
        <v>1057</v>
      </c>
      <c r="I40" s="12" t="s">
        <v>1039</v>
      </c>
      <c r="J40" s="10" t="s">
        <v>1030</v>
      </c>
      <c r="K40" s="10" t="s">
        <v>1031</v>
      </c>
      <c r="L40" s="10" t="s">
        <v>1032</v>
      </c>
      <c r="M40" s="10" t="s">
        <v>1192</v>
      </c>
      <c r="N40" s="13" t="s">
        <v>1034</v>
      </c>
    </row>
    <row r="41" spans="1:14" s="20" customFormat="1" ht="17.100000000000001" customHeight="1" x14ac:dyDescent="0.25">
      <c r="A41" s="9" t="s">
        <v>706</v>
      </c>
      <c r="B41" s="10" t="s">
        <v>983</v>
      </c>
      <c r="C41" s="10">
        <v>2016</v>
      </c>
      <c r="D41" s="11" t="s">
        <v>1952</v>
      </c>
      <c r="E41" s="10" t="s">
        <v>1631</v>
      </c>
      <c r="F41" s="11" t="s">
        <v>2306</v>
      </c>
      <c r="G41" s="10" t="s">
        <v>1164</v>
      </c>
      <c r="H41" s="10" t="s">
        <v>1057</v>
      </c>
      <c r="I41" s="12" t="s">
        <v>1039</v>
      </c>
      <c r="J41" s="12" t="s">
        <v>1030</v>
      </c>
      <c r="K41" s="10" t="s">
        <v>1031</v>
      </c>
      <c r="L41" s="10" t="s">
        <v>1032</v>
      </c>
      <c r="M41" s="12" t="s">
        <v>114</v>
      </c>
      <c r="N41" s="14" t="s">
        <v>1035</v>
      </c>
    </row>
    <row r="42" spans="1:14" s="20" customFormat="1" ht="17.100000000000001" customHeight="1" x14ac:dyDescent="0.25">
      <c r="A42" s="9" t="s">
        <v>682</v>
      </c>
      <c r="B42" s="10" t="s">
        <v>963</v>
      </c>
      <c r="C42" s="10">
        <v>2015</v>
      </c>
      <c r="D42" s="11" t="s">
        <v>1940</v>
      </c>
      <c r="E42" s="10" t="s">
        <v>1631</v>
      </c>
      <c r="F42" s="11" t="s">
        <v>2306</v>
      </c>
      <c r="G42" s="10" t="s">
        <v>2275</v>
      </c>
      <c r="H42" s="10" t="s">
        <v>1057</v>
      </c>
      <c r="I42" s="12" t="s">
        <v>1039</v>
      </c>
      <c r="J42" s="10" t="s">
        <v>1030</v>
      </c>
      <c r="K42" s="12" t="s">
        <v>1037</v>
      </c>
      <c r="L42" s="10" t="s">
        <v>2400</v>
      </c>
      <c r="M42" s="12" t="s">
        <v>114</v>
      </c>
      <c r="N42" s="13" t="s">
        <v>1041</v>
      </c>
    </row>
    <row r="43" spans="1:14" s="20" customFormat="1" ht="17.100000000000001" customHeight="1" x14ac:dyDescent="0.25">
      <c r="A43" s="9" t="s">
        <v>683</v>
      </c>
      <c r="B43" s="10" t="s">
        <v>964</v>
      </c>
      <c r="C43" s="10">
        <v>2015</v>
      </c>
      <c r="D43" s="11" t="s">
        <v>1951</v>
      </c>
      <c r="E43" s="10" t="s">
        <v>1631</v>
      </c>
      <c r="F43" s="11" t="s">
        <v>2306</v>
      </c>
      <c r="G43" s="10" t="s">
        <v>1054</v>
      </c>
      <c r="H43" s="10" t="s">
        <v>1180</v>
      </c>
      <c r="I43" s="12" t="s">
        <v>1039</v>
      </c>
      <c r="J43" s="10" t="s">
        <v>1030</v>
      </c>
      <c r="K43" s="10" t="s">
        <v>1031</v>
      </c>
      <c r="L43" s="10" t="s">
        <v>1042</v>
      </c>
      <c r="M43" s="12" t="s">
        <v>114</v>
      </c>
      <c r="N43" s="14" t="s">
        <v>1035</v>
      </c>
    </row>
    <row r="44" spans="1:14" s="20" customFormat="1" ht="17.100000000000001" customHeight="1" x14ac:dyDescent="0.25">
      <c r="A44" s="9" t="s">
        <v>675</v>
      </c>
      <c r="B44" s="10" t="s">
        <v>960</v>
      </c>
      <c r="C44" s="10">
        <v>2015</v>
      </c>
      <c r="D44" s="11" t="s">
        <v>2075</v>
      </c>
      <c r="E44" s="10" t="s">
        <v>1631</v>
      </c>
      <c r="F44" s="11" t="s">
        <v>2306</v>
      </c>
      <c r="G44" s="10" t="s">
        <v>1028</v>
      </c>
      <c r="H44" s="10" t="s">
        <v>2340</v>
      </c>
      <c r="I44" s="12" t="s">
        <v>1039</v>
      </c>
      <c r="J44" s="10" t="s">
        <v>1030</v>
      </c>
      <c r="K44" s="10" t="s">
        <v>1031</v>
      </c>
      <c r="L44" s="10" t="s">
        <v>1247</v>
      </c>
      <c r="M44" s="12" t="s">
        <v>114</v>
      </c>
      <c r="N44" s="14" t="s">
        <v>1035</v>
      </c>
    </row>
    <row r="45" spans="1:14" s="20" customFormat="1" ht="17.100000000000001" customHeight="1" x14ac:dyDescent="0.25">
      <c r="A45" s="9" t="s">
        <v>1352</v>
      </c>
      <c r="B45" s="10" t="s">
        <v>1353</v>
      </c>
      <c r="C45" s="10">
        <v>2013</v>
      </c>
      <c r="D45" s="11" t="s">
        <v>2147</v>
      </c>
      <c r="E45" s="10" t="s">
        <v>1631</v>
      </c>
      <c r="F45" s="11" t="s">
        <v>2316</v>
      </c>
      <c r="G45" s="10" t="s">
        <v>2266</v>
      </c>
      <c r="H45" s="10" t="s">
        <v>1057</v>
      </c>
      <c r="I45" s="10" t="s">
        <v>1039</v>
      </c>
      <c r="J45" s="10" t="s">
        <v>1030</v>
      </c>
      <c r="K45" s="10" t="s">
        <v>1031</v>
      </c>
      <c r="L45" s="10" t="s">
        <v>1247</v>
      </c>
      <c r="M45" s="10" t="s">
        <v>114</v>
      </c>
      <c r="N45" s="13" t="s">
        <v>1035</v>
      </c>
    </row>
    <row r="46" spans="1:14" s="20" customFormat="1" ht="17.100000000000001" customHeight="1" x14ac:dyDescent="0.25">
      <c r="A46" s="9" t="s">
        <v>1376</v>
      </c>
      <c r="B46" s="10" t="s">
        <v>1377</v>
      </c>
      <c r="C46" s="10">
        <v>2016</v>
      </c>
      <c r="D46" s="11" t="s">
        <v>2158</v>
      </c>
      <c r="E46" s="10" t="s">
        <v>1631</v>
      </c>
      <c r="F46" s="11" t="s">
        <v>2311</v>
      </c>
      <c r="G46" s="10" t="s">
        <v>2298</v>
      </c>
      <c r="H46" s="10" t="s">
        <v>2326</v>
      </c>
      <c r="I46" s="10" t="s">
        <v>1039</v>
      </c>
      <c r="J46" s="10" t="s">
        <v>1030</v>
      </c>
      <c r="K46" s="12" t="s">
        <v>1037</v>
      </c>
      <c r="L46" s="10" t="s">
        <v>1247</v>
      </c>
      <c r="M46" s="10" t="s">
        <v>114</v>
      </c>
      <c r="N46" s="13" t="s">
        <v>1041</v>
      </c>
    </row>
    <row r="47" spans="1:14" s="20" customFormat="1" ht="17.100000000000001" customHeight="1" x14ac:dyDescent="0.25">
      <c r="A47" s="9" t="s">
        <v>1369</v>
      </c>
      <c r="B47" s="10" t="s">
        <v>1370</v>
      </c>
      <c r="C47" s="10">
        <v>2017</v>
      </c>
      <c r="D47" s="11" t="s">
        <v>2155</v>
      </c>
      <c r="E47" s="10" t="s">
        <v>1631</v>
      </c>
      <c r="F47" s="11" t="s">
        <v>2311</v>
      </c>
      <c r="G47" s="10" t="s">
        <v>1538</v>
      </c>
      <c r="H47" s="10" t="s">
        <v>1230</v>
      </c>
      <c r="I47" s="10" t="s">
        <v>1039</v>
      </c>
      <c r="J47" s="10" t="s">
        <v>1030</v>
      </c>
      <c r="K47" s="10" t="s">
        <v>1031</v>
      </c>
      <c r="L47" s="10" t="s">
        <v>1247</v>
      </c>
      <c r="M47" s="10" t="s">
        <v>114</v>
      </c>
      <c r="N47" s="13" t="s">
        <v>1035</v>
      </c>
    </row>
    <row r="48" spans="1:14" s="20" customFormat="1" ht="17.100000000000001" customHeight="1" x14ac:dyDescent="0.25">
      <c r="A48" s="9" t="s">
        <v>638</v>
      </c>
      <c r="B48" s="10" t="s">
        <v>934</v>
      </c>
      <c r="C48" s="10">
        <v>2013</v>
      </c>
      <c r="D48" s="11" t="s">
        <v>2001</v>
      </c>
      <c r="E48" s="10" t="s">
        <v>1631</v>
      </c>
      <c r="F48" s="11" t="s">
        <v>2311</v>
      </c>
      <c r="G48" s="10" t="s">
        <v>2266</v>
      </c>
      <c r="H48" s="10" t="s">
        <v>1205</v>
      </c>
      <c r="I48" s="12" t="s">
        <v>1029</v>
      </c>
      <c r="J48" s="12" t="s">
        <v>1030</v>
      </c>
      <c r="K48" s="10" t="s">
        <v>1031</v>
      </c>
      <c r="L48" s="10" t="s">
        <v>1032</v>
      </c>
      <c r="M48" s="12" t="s">
        <v>114</v>
      </c>
      <c r="N48" s="14" t="s">
        <v>1035</v>
      </c>
    </row>
    <row r="49" spans="1:14" s="20" customFormat="1" ht="17.100000000000001" customHeight="1" x14ac:dyDescent="0.25">
      <c r="A49" s="9" t="s">
        <v>721</v>
      </c>
      <c r="B49" s="10" t="s">
        <v>992</v>
      </c>
      <c r="C49" s="10">
        <v>2017</v>
      </c>
      <c r="D49" s="11" t="s">
        <v>1768</v>
      </c>
      <c r="E49" s="10" t="s">
        <v>1631</v>
      </c>
      <c r="F49" s="11" t="s">
        <v>2311</v>
      </c>
      <c r="G49" s="10" t="s">
        <v>2266</v>
      </c>
      <c r="H49" s="10" t="s">
        <v>2326</v>
      </c>
      <c r="I49" s="12" t="s">
        <v>1039</v>
      </c>
      <c r="J49" s="10" t="s">
        <v>1040</v>
      </c>
      <c r="K49" s="10" t="s">
        <v>1031</v>
      </c>
      <c r="L49" s="10" t="s">
        <v>1247</v>
      </c>
      <c r="M49" s="12" t="s">
        <v>114</v>
      </c>
      <c r="N49" s="13" t="s">
        <v>1041</v>
      </c>
    </row>
    <row r="50" spans="1:14" s="20" customFormat="1" ht="17.100000000000001" customHeight="1" x14ac:dyDescent="0.25">
      <c r="A50" s="9" t="s">
        <v>759</v>
      </c>
      <c r="B50" s="10" t="s">
        <v>1007</v>
      </c>
      <c r="C50" s="10">
        <v>2019</v>
      </c>
      <c r="D50" s="11" t="s">
        <v>1652</v>
      </c>
      <c r="E50" s="10" t="s">
        <v>1631</v>
      </c>
      <c r="F50" s="11" t="s">
        <v>2311</v>
      </c>
      <c r="G50" s="10" t="s">
        <v>1080</v>
      </c>
      <c r="H50" s="10" t="s">
        <v>2326</v>
      </c>
      <c r="I50" s="12" t="s">
        <v>1039</v>
      </c>
      <c r="J50" s="10" t="s">
        <v>1040</v>
      </c>
      <c r="K50" s="10" t="s">
        <v>1031</v>
      </c>
      <c r="L50" s="10" t="s">
        <v>1032</v>
      </c>
      <c r="M50" s="12" t="s">
        <v>114</v>
      </c>
      <c r="N50" s="14" t="s">
        <v>1035</v>
      </c>
    </row>
    <row r="51" spans="1:14" s="20" customFormat="1" ht="17.100000000000001" customHeight="1" x14ac:dyDescent="0.25">
      <c r="A51" s="9" t="s">
        <v>687</v>
      </c>
      <c r="B51" s="10" t="s">
        <v>968</v>
      </c>
      <c r="C51" s="10">
        <v>2015</v>
      </c>
      <c r="D51" s="11" t="s">
        <v>2073</v>
      </c>
      <c r="E51" s="10" t="s">
        <v>1631</v>
      </c>
      <c r="F51" s="11" t="s">
        <v>2311</v>
      </c>
      <c r="G51" s="10" t="s">
        <v>2271</v>
      </c>
      <c r="H51" s="10" t="s">
        <v>2340</v>
      </c>
      <c r="I51" s="12" t="s">
        <v>1039</v>
      </c>
      <c r="J51" s="12" t="s">
        <v>1030</v>
      </c>
      <c r="K51" s="10" t="s">
        <v>1031</v>
      </c>
      <c r="L51" s="10" t="s">
        <v>1032</v>
      </c>
      <c r="M51" s="12" t="s">
        <v>114</v>
      </c>
      <c r="N51" s="14" t="s">
        <v>1035</v>
      </c>
    </row>
    <row r="52" spans="1:14" s="20" customFormat="1" ht="17.100000000000001" customHeight="1" x14ac:dyDescent="0.25">
      <c r="A52" s="9" t="s">
        <v>729</v>
      </c>
      <c r="B52" s="10" t="s">
        <v>997</v>
      </c>
      <c r="C52" s="10">
        <v>2017</v>
      </c>
      <c r="D52" s="11" t="s">
        <v>1706</v>
      </c>
      <c r="E52" s="10" t="s">
        <v>1631</v>
      </c>
      <c r="F52" s="11" t="s">
        <v>4377</v>
      </c>
      <c r="G52" s="10" t="s">
        <v>1054</v>
      </c>
      <c r="H52" s="10" t="s">
        <v>2326</v>
      </c>
      <c r="I52" s="12" t="s">
        <v>1039</v>
      </c>
      <c r="J52" s="10" t="s">
        <v>1030</v>
      </c>
      <c r="K52" s="10" t="s">
        <v>1031</v>
      </c>
      <c r="L52" s="12" t="s">
        <v>1042</v>
      </c>
      <c r="M52" s="10" t="s">
        <v>1056</v>
      </c>
      <c r="N52" s="13" t="s">
        <v>1072</v>
      </c>
    </row>
    <row r="53" spans="1:14" s="20" customFormat="1" ht="17.100000000000001" customHeight="1" x14ac:dyDescent="0.25">
      <c r="A53" s="9" t="s">
        <v>1429</v>
      </c>
      <c r="B53" s="10" t="s">
        <v>1430</v>
      </c>
      <c r="C53" s="10">
        <v>2014</v>
      </c>
      <c r="D53" s="11" t="s">
        <v>2179</v>
      </c>
      <c r="E53" s="10" t="s">
        <v>1631</v>
      </c>
      <c r="F53" s="11" t="s">
        <v>4377</v>
      </c>
      <c r="G53" s="10" t="s">
        <v>1094</v>
      </c>
      <c r="H53" s="10" t="s">
        <v>2326</v>
      </c>
      <c r="I53" s="10" t="s">
        <v>1039</v>
      </c>
      <c r="J53" s="10" t="s">
        <v>1030</v>
      </c>
      <c r="K53" s="10" t="s">
        <v>1031</v>
      </c>
      <c r="L53" s="10" t="s">
        <v>1032</v>
      </c>
      <c r="M53" s="10" t="s">
        <v>114</v>
      </c>
      <c r="N53" s="13" t="s">
        <v>1035</v>
      </c>
    </row>
    <row r="54" spans="1:14" s="20" customFormat="1" ht="17.100000000000001" customHeight="1" x14ac:dyDescent="0.25">
      <c r="A54" s="9" t="s">
        <v>736</v>
      </c>
      <c r="B54" s="10" t="s">
        <v>1000</v>
      </c>
      <c r="C54" s="10">
        <v>2018</v>
      </c>
      <c r="D54" s="11" t="s">
        <v>1868</v>
      </c>
      <c r="E54" s="10" t="s">
        <v>1631</v>
      </c>
      <c r="F54" s="11" t="s">
        <v>4377</v>
      </c>
      <c r="G54" s="10" t="s">
        <v>2275</v>
      </c>
      <c r="H54" s="10" t="s">
        <v>1161</v>
      </c>
      <c r="I54" s="12" t="s">
        <v>1039</v>
      </c>
      <c r="J54" s="10" t="s">
        <v>1030</v>
      </c>
      <c r="K54" s="10" t="s">
        <v>1031</v>
      </c>
      <c r="L54" s="10" t="s">
        <v>1247</v>
      </c>
      <c r="M54" s="10" t="s">
        <v>1099</v>
      </c>
      <c r="N54" s="14" t="s">
        <v>1035</v>
      </c>
    </row>
    <row r="55" spans="1:14" s="20" customFormat="1" ht="17.100000000000001" customHeight="1" x14ac:dyDescent="0.25">
      <c r="A55" s="9" t="s">
        <v>697</v>
      </c>
      <c r="B55" s="10" t="s">
        <v>976</v>
      </c>
      <c r="C55" s="10">
        <v>2015</v>
      </c>
      <c r="D55" s="11" t="s">
        <v>2011</v>
      </c>
      <c r="E55" s="10" t="s">
        <v>1631</v>
      </c>
      <c r="F55" s="11" t="s">
        <v>4377</v>
      </c>
      <c r="G55" s="10" t="s">
        <v>2275</v>
      </c>
      <c r="H55" s="10" t="s">
        <v>1057</v>
      </c>
      <c r="I55" s="12" t="s">
        <v>1029</v>
      </c>
      <c r="J55" s="10" t="s">
        <v>1030</v>
      </c>
      <c r="K55" s="12" t="s">
        <v>1037</v>
      </c>
      <c r="L55" s="10" t="s">
        <v>1032</v>
      </c>
      <c r="M55" s="10" t="s">
        <v>1093</v>
      </c>
      <c r="N55" s="14" t="s">
        <v>1035</v>
      </c>
    </row>
    <row r="56" spans="1:14" s="20" customFormat="1" ht="17.100000000000001" customHeight="1" x14ac:dyDescent="0.25">
      <c r="A56" s="9" t="s">
        <v>728</v>
      </c>
      <c r="B56" s="10" t="s">
        <v>996</v>
      </c>
      <c r="C56" s="10">
        <v>2017</v>
      </c>
      <c r="D56" s="11" t="s">
        <v>1787</v>
      </c>
      <c r="E56" s="10" t="s">
        <v>1631</v>
      </c>
      <c r="F56" s="11" t="s">
        <v>4377</v>
      </c>
      <c r="G56" s="10" t="s">
        <v>1054</v>
      </c>
      <c r="H56" s="10" t="s">
        <v>1171</v>
      </c>
      <c r="I56" s="12" t="s">
        <v>1039</v>
      </c>
      <c r="J56" s="10" t="s">
        <v>1036</v>
      </c>
      <c r="K56" s="12" t="s">
        <v>1037</v>
      </c>
      <c r="L56" s="10" t="s">
        <v>1247</v>
      </c>
      <c r="M56" s="10" t="s">
        <v>1098</v>
      </c>
      <c r="N56" s="14" t="s">
        <v>1035</v>
      </c>
    </row>
    <row r="57" spans="1:14" s="20" customFormat="1" ht="17.100000000000001" customHeight="1" x14ac:dyDescent="0.25">
      <c r="A57" s="9" t="s">
        <v>713</v>
      </c>
      <c r="B57" s="10" t="s">
        <v>990</v>
      </c>
      <c r="C57" s="10">
        <v>2016</v>
      </c>
      <c r="D57" s="11" t="s">
        <v>2012</v>
      </c>
      <c r="E57" s="10" t="s">
        <v>1631</v>
      </c>
      <c r="F57" s="11" t="s">
        <v>4377</v>
      </c>
      <c r="G57" s="10" t="s">
        <v>1066</v>
      </c>
      <c r="H57" s="10" t="s">
        <v>2331</v>
      </c>
      <c r="I57" s="12" t="s">
        <v>1029</v>
      </c>
      <c r="J57" s="10" t="s">
        <v>1030</v>
      </c>
      <c r="K57" s="10" t="s">
        <v>1031</v>
      </c>
      <c r="L57" s="10" t="s">
        <v>1032</v>
      </c>
      <c r="M57" s="12" t="s">
        <v>114</v>
      </c>
      <c r="N57" s="13" t="s">
        <v>1041</v>
      </c>
    </row>
    <row r="58" spans="1:14" s="20" customFormat="1" ht="17.100000000000001" customHeight="1" x14ac:dyDescent="0.25">
      <c r="A58" s="9" t="s">
        <v>696</v>
      </c>
      <c r="B58" s="10" t="s">
        <v>975</v>
      </c>
      <c r="C58" s="10">
        <v>2015</v>
      </c>
      <c r="D58" s="11" t="s">
        <v>1783</v>
      </c>
      <c r="E58" s="10" t="s">
        <v>1631</v>
      </c>
      <c r="F58" s="11" t="s">
        <v>4377</v>
      </c>
      <c r="G58" s="10" t="s">
        <v>1054</v>
      </c>
      <c r="H58" s="10" t="s">
        <v>2331</v>
      </c>
      <c r="I58" s="12" t="s">
        <v>1029</v>
      </c>
      <c r="J58" s="10" t="s">
        <v>1036</v>
      </c>
      <c r="K58" s="12" t="s">
        <v>1037</v>
      </c>
      <c r="L58" s="10" t="s">
        <v>1042</v>
      </c>
      <c r="M58" s="12" t="s">
        <v>114</v>
      </c>
      <c r="N58" s="13" t="s">
        <v>1041</v>
      </c>
    </row>
    <row r="59" spans="1:14" s="20" customFormat="1" ht="17.100000000000001" customHeight="1" x14ac:dyDescent="0.25">
      <c r="A59" s="9" t="s">
        <v>760</v>
      </c>
      <c r="B59" s="10" t="s">
        <v>1008</v>
      </c>
      <c r="C59" s="10">
        <v>2019</v>
      </c>
      <c r="D59" s="11" t="s">
        <v>1663</v>
      </c>
      <c r="E59" s="10" t="s">
        <v>1631</v>
      </c>
      <c r="F59" s="11" t="s">
        <v>4390</v>
      </c>
      <c r="G59" s="10" t="s">
        <v>1066</v>
      </c>
      <c r="H59" s="10" t="s">
        <v>2326</v>
      </c>
      <c r="I59" s="12" t="s">
        <v>1029</v>
      </c>
      <c r="J59" s="10" t="s">
        <v>1036</v>
      </c>
      <c r="K59" s="10" t="s">
        <v>1031</v>
      </c>
      <c r="L59" s="10" t="s">
        <v>1032</v>
      </c>
      <c r="M59" s="12" t="s">
        <v>1142</v>
      </c>
      <c r="N59" s="13" t="s">
        <v>1034</v>
      </c>
    </row>
    <row r="60" spans="1:14" s="20" customFormat="1" ht="17.100000000000001" customHeight="1" x14ac:dyDescent="0.25">
      <c r="A60" s="9" t="s">
        <v>1446</v>
      </c>
      <c r="B60" s="10" t="s">
        <v>1447</v>
      </c>
      <c r="C60" s="10">
        <v>2016</v>
      </c>
      <c r="D60" s="11" t="s">
        <v>2185</v>
      </c>
      <c r="E60" s="10" t="s">
        <v>1631</v>
      </c>
      <c r="F60" s="11" t="s">
        <v>2318</v>
      </c>
      <c r="G60" s="10" t="s">
        <v>1538</v>
      </c>
      <c r="H60" s="10" t="s">
        <v>1230</v>
      </c>
      <c r="I60" s="10" t="s">
        <v>1039</v>
      </c>
      <c r="J60" s="10" t="s">
        <v>1030</v>
      </c>
      <c r="K60" s="10" t="s">
        <v>1031</v>
      </c>
      <c r="L60" s="10" t="s">
        <v>1247</v>
      </c>
      <c r="M60" s="10" t="s">
        <v>114</v>
      </c>
      <c r="N60" s="13" t="s">
        <v>1035</v>
      </c>
    </row>
    <row r="61" spans="1:14" s="20" customFormat="1" ht="17.100000000000001" customHeight="1" x14ac:dyDescent="0.25">
      <c r="A61" s="9" t="s">
        <v>1413</v>
      </c>
      <c r="B61" s="10" t="s">
        <v>1414</v>
      </c>
      <c r="C61" s="10">
        <v>2013</v>
      </c>
      <c r="D61" s="11" t="s">
        <v>2173</v>
      </c>
      <c r="E61" s="10" t="s">
        <v>1631</v>
      </c>
      <c r="F61" s="11" t="s">
        <v>2317</v>
      </c>
      <c r="G61" s="10" t="s">
        <v>2266</v>
      </c>
      <c r="H61" s="10" t="s">
        <v>1057</v>
      </c>
      <c r="I61" s="10" t="s">
        <v>1039</v>
      </c>
      <c r="J61" s="10" t="s">
        <v>1030</v>
      </c>
      <c r="K61" s="10" t="s">
        <v>1031</v>
      </c>
      <c r="L61" s="10" t="s">
        <v>1247</v>
      </c>
      <c r="M61" s="10" t="s">
        <v>114</v>
      </c>
      <c r="N61" s="13" t="s">
        <v>1072</v>
      </c>
    </row>
    <row r="62" spans="1:14" s="20" customFormat="1" ht="17.100000000000001" customHeight="1" x14ac:dyDescent="0.25">
      <c r="A62" s="9" t="s">
        <v>783</v>
      </c>
      <c r="B62" s="10" t="s">
        <v>1017</v>
      </c>
      <c r="C62" s="10">
        <v>2021</v>
      </c>
      <c r="D62" s="11" t="s">
        <v>2033</v>
      </c>
      <c r="E62" s="10" t="s">
        <v>1631</v>
      </c>
      <c r="F62" s="11" t="s">
        <v>1156</v>
      </c>
      <c r="G62" s="10" t="s">
        <v>1054</v>
      </c>
      <c r="H62" s="10" t="s">
        <v>1166</v>
      </c>
      <c r="I62" s="12" t="s">
        <v>1029</v>
      </c>
      <c r="J62" s="10" t="s">
        <v>1040</v>
      </c>
      <c r="K62" s="12" t="s">
        <v>1037</v>
      </c>
      <c r="L62" s="10" t="s">
        <v>1032</v>
      </c>
      <c r="M62" s="10" t="s">
        <v>1218</v>
      </c>
      <c r="N62" s="13" t="s">
        <v>1034</v>
      </c>
    </row>
    <row r="63" spans="1:14" s="20" customFormat="1" ht="17.100000000000001" customHeight="1" x14ac:dyDescent="0.25">
      <c r="A63" s="9" t="s">
        <v>781</v>
      </c>
      <c r="B63" s="10" t="s">
        <v>1015</v>
      </c>
      <c r="C63" s="10">
        <v>2020</v>
      </c>
      <c r="D63" s="11" t="s">
        <v>1900</v>
      </c>
      <c r="E63" s="10" t="s">
        <v>1631</v>
      </c>
      <c r="F63" s="11" t="s">
        <v>1156</v>
      </c>
      <c r="G63" s="10" t="s">
        <v>1028</v>
      </c>
      <c r="H63" s="10" t="s">
        <v>1057</v>
      </c>
      <c r="I63" s="12" t="s">
        <v>1039</v>
      </c>
      <c r="J63" s="10" t="s">
        <v>1030</v>
      </c>
      <c r="K63" s="10" t="s">
        <v>1031</v>
      </c>
      <c r="L63" s="10" t="s">
        <v>1032</v>
      </c>
      <c r="M63" s="12" t="s">
        <v>114</v>
      </c>
      <c r="N63" s="13" t="s">
        <v>1041</v>
      </c>
    </row>
    <row r="64" spans="1:14" s="20" customFormat="1" ht="17.100000000000001" customHeight="1" x14ac:dyDescent="0.25">
      <c r="A64" s="9" t="s">
        <v>1439</v>
      </c>
      <c r="B64" s="10" t="s">
        <v>1440</v>
      </c>
      <c r="C64" s="10">
        <v>2020</v>
      </c>
      <c r="D64" s="11" t="s">
        <v>2141</v>
      </c>
      <c r="E64" s="10" t="s">
        <v>1631</v>
      </c>
      <c r="F64" s="11" t="s">
        <v>1156</v>
      </c>
      <c r="G64" s="10" t="s">
        <v>2266</v>
      </c>
      <c r="H64" s="10" t="s">
        <v>1180</v>
      </c>
      <c r="I64" s="10" t="s">
        <v>1039</v>
      </c>
      <c r="J64" s="10" t="s">
        <v>1030</v>
      </c>
      <c r="K64" s="10" t="s">
        <v>1031</v>
      </c>
      <c r="L64" s="10" t="s">
        <v>1247</v>
      </c>
      <c r="M64" s="10" t="s">
        <v>114</v>
      </c>
      <c r="N64" s="13" t="s">
        <v>1035</v>
      </c>
    </row>
    <row r="65" spans="1:14" s="20" customFormat="1" ht="17.100000000000001" customHeight="1" x14ac:dyDescent="0.25">
      <c r="A65" s="9" t="s">
        <v>994</v>
      </c>
      <c r="B65" s="10" t="s">
        <v>995</v>
      </c>
      <c r="C65" s="10">
        <v>2017</v>
      </c>
      <c r="D65" s="11" t="s">
        <v>2237</v>
      </c>
      <c r="E65" s="10" t="s">
        <v>1631</v>
      </c>
      <c r="F65" s="45" t="s">
        <v>1156</v>
      </c>
      <c r="G65" s="10" t="s">
        <v>1054</v>
      </c>
      <c r="H65" s="10" t="s">
        <v>2337</v>
      </c>
      <c r="I65" s="10" t="s">
        <v>1493</v>
      </c>
      <c r="J65" s="10" t="s">
        <v>1040</v>
      </c>
      <c r="K65" s="12" t="s">
        <v>1037</v>
      </c>
      <c r="L65" s="10" t="s">
        <v>1247</v>
      </c>
      <c r="M65" s="10" t="s">
        <v>114</v>
      </c>
      <c r="N65" s="13" t="s">
        <v>1035</v>
      </c>
    </row>
    <row r="66" spans="1:14" s="20" customFormat="1" ht="17.100000000000001" customHeight="1" x14ac:dyDescent="0.25">
      <c r="A66" s="9" t="s">
        <v>692</v>
      </c>
      <c r="B66" s="10" t="s">
        <v>971</v>
      </c>
      <c r="C66" s="10">
        <v>2015</v>
      </c>
      <c r="D66" s="11" t="s">
        <v>1887</v>
      </c>
      <c r="E66" s="10" t="s">
        <v>1631</v>
      </c>
      <c r="F66" s="11" t="s">
        <v>1156</v>
      </c>
      <c r="G66" s="10" t="s">
        <v>1054</v>
      </c>
      <c r="H66" s="10" t="s">
        <v>2339</v>
      </c>
      <c r="I66" s="12" t="s">
        <v>1029</v>
      </c>
      <c r="J66" s="10" t="s">
        <v>1030</v>
      </c>
      <c r="K66" s="10" t="s">
        <v>1031</v>
      </c>
      <c r="L66" s="10" t="s">
        <v>1247</v>
      </c>
      <c r="M66" s="12" t="s">
        <v>114</v>
      </c>
      <c r="N66" s="14" t="s">
        <v>1035</v>
      </c>
    </row>
    <row r="67" spans="1:14" s="20" customFormat="1" ht="17.100000000000001" customHeight="1" x14ac:dyDescent="0.25">
      <c r="A67" s="9" t="s">
        <v>606</v>
      </c>
      <c r="B67" s="10" t="s">
        <v>918</v>
      </c>
      <c r="C67" s="10">
        <v>2012</v>
      </c>
      <c r="D67" s="11" t="s">
        <v>1735</v>
      </c>
      <c r="E67" s="10" t="s">
        <v>1631</v>
      </c>
      <c r="F67" s="11" t="s">
        <v>1156</v>
      </c>
      <c r="G67" s="10" t="s">
        <v>1054</v>
      </c>
      <c r="H67" s="10" t="s">
        <v>2325</v>
      </c>
      <c r="I67" s="12" t="s">
        <v>1029</v>
      </c>
      <c r="J67" s="10" t="s">
        <v>1040</v>
      </c>
      <c r="K67" s="10" t="s">
        <v>1031</v>
      </c>
      <c r="L67" s="10" t="s">
        <v>1247</v>
      </c>
      <c r="M67" s="12" t="s">
        <v>114</v>
      </c>
      <c r="N67" s="14" t="s">
        <v>1035</v>
      </c>
    </row>
    <row r="68" spans="1:14" s="20" customFormat="1" ht="17.100000000000001" customHeight="1" x14ac:dyDescent="0.25">
      <c r="A68" s="9" t="s">
        <v>664</v>
      </c>
      <c r="B68" s="10" t="s">
        <v>951</v>
      </c>
      <c r="C68" s="10">
        <v>2014</v>
      </c>
      <c r="D68" s="11" t="s">
        <v>1801</v>
      </c>
      <c r="E68" s="10" t="s">
        <v>1631</v>
      </c>
      <c r="F68" s="11" t="s">
        <v>1156</v>
      </c>
      <c r="G68" s="10" t="s">
        <v>1054</v>
      </c>
      <c r="H68" s="10" t="s">
        <v>2326</v>
      </c>
      <c r="I68" s="12" t="s">
        <v>1029</v>
      </c>
      <c r="J68" s="10" t="s">
        <v>1693</v>
      </c>
      <c r="K68" s="10" t="s">
        <v>1031</v>
      </c>
      <c r="L68" s="10" t="s">
        <v>1247</v>
      </c>
      <c r="M68" s="12" t="s">
        <v>114</v>
      </c>
      <c r="N68" s="13" t="s">
        <v>1041</v>
      </c>
    </row>
    <row r="69" spans="1:14" s="20" customFormat="1" ht="17.100000000000001" customHeight="1" x14ac:dyDescent="0.25">
      <c r="A69" s="9" t="s">
        <v>743</v>
      </c>
      <c r="B69" s="10" t="s">
        <v>1006</v>
      </c>
      <c r="C69" s="10">
        <v>2019</v>
      </c>
      <c r="D69" s="11" t="s">
        <v>1847</v>
      </c>
      <c r="E69" s="10" t="s">
        <v>1631</v>
      </c>
      <c r="F69" s="11" t="s">
        <v>1156</v>
      </c>
      <c r="G69" s="10" t="s">
        <v>1054</v>
      </c>
      <c r="H69" s="10" t="s">
        <v>2326</v>
      </c>
      <c r="I69" s="12" t="s">
        <v>1029</v>
      </c>
      <c r="J69" s="10" t="s">
        <v>1036</v>
      </c>
      <c r="K69" s="10" t="s">
        <v>1031</v>
      </c>
      <c r="L69" s="10" t="s">
        <v>1032</v>
      </c>
      <c r="M69" s="12" t="s">
        <v>114</v>
      </c>
      <c r="N69" s="13" t="s">
        <v>1041</v>
      </c>
    </row>
    <row r="70" spans="1:14" s="20" customFormat="1" ht="17.100000000000001" customHeight="1" x14ac:dyDescent="0.25">
      <c r="A70" s="9" t="s">
        <v>723</v>
      </c>
      <c r="B70" s="10" t="s">
        <v>724</v>
      </c>
      <c r="C70" s="12">
        <v>2017</v>
      </c>
      <c r="D70" s="11" t="s">
        <v>1744</v>
      </c>
      <c r="E70" s="10" t="s">
        <v>1631</v>
      </c>
      <c r="F70" s="11" t="s">
        <v>1156</v>
      </c>
      <c r="G70" s="12" t="s">
        <v>1028</v>
      </c>
      <c r="H70" s="10" t="s">
        <v>2326</v>
      </c>
      <c r="I70" s="12" t="s">
        <v>1039</v>
      </c>
      <c r="J70" s="12" t="s">
        <v>1040</v>
      </c>
      <c r="K70" s="10" t="s">
        <v>1031</v>
      </c>
      <c r="L70" s="10" t="s">
        <v>1032</v>
      </c>
      <c r="M70" s="12" t="s">
        <v>114</v>
      </c>
      <c r="N70" s="13" t="s">
        <v>1034</v>
      </c>
    </row>
    <row r="71" spans="1:14" s="20" customFormat="1" ht="17.100000000000001" customHeight="1" x14ac:dyDescent="0.25">
      <c r="A71" s="9" t="s">
        <v>919</v>
      </c>
      <c r="B71" s="10" t="s">
        <v>920</v>
      </c>
      <c r="C71" s="10">
        <v>2012</v>
      </c>
      <c r="D71" s="11" t="s">
        <v>2236</v>
      </c>
      <c r="E71" s="10" t="s">
        <v>1631</v>
      </c>
      <c r="F71" s="46" t="s">
        <v>1156</v>
      </c>
      <c r="G71" s="10" t="s">
        <v>1576</v>
      </c>
      <c r="H71" s="10" t="s">
        <v>2326</v>
      </c>
      <c r="I71" s="12" t="s">
        <v>1029</v>
      </c>
      <c r="J71" s="10" t="s">
        <v>1691</v>
      </c>
      <c r="K71" s="12" t="s">
        <v>1037</v>
      </c>
      <c r="L71" s="10" t="s">
        <v>1247</v>
      </c>
      <c r="M71" s="10" t="s">
        <v>114</v>
      </c>
      <c r="N71" s="13" t="s">
        <v>1041</v>
      </c>
    </row>
    <row r="72" spans="1:14" s="20" customFormat="1" ht="17.100000000000001" customHeight="1" x14ac:dyDescent="0.25">
      <c r="A72" s="9" t="s">
        <v>722</v>
      </c>
      <c r="B72" s="10" t="s">
        <v>993</v>
      </c>
      <c r="C72" s="10">
        <v>2017</v>
      </c>
      <c r="D72" s="11" t="s">
        <v>1867</v>
      </c>
      <c r="E72" s="10" t="s">
        <v>1631</v>
      </c>
      <c r="F72" s="11" t="s">
        <v>1156</v>
      </c>
      <c r="G72" s="10" t="s">
        <v>1611</v>
      </c>
      <c r="H72" s="10" t="s">
        <v>1161</v>
      </c>
      <c r="I72" s="12" t="s">
        <v>1039</v>
      </c>
      <c r="J72" s="10" t="s">
        <v>1030</v>
      </c>
      <c r="K72" s="12" t="s">
        <v>1037</v>
      </c>
      <c r="L72" s="10" t="s">
        <v>1247</v>
      </c>
      <c r="M72" s="12" t="s">
        <v>114</v>
      </c>
      <c r="N72" s="14" t="s">
        <v>1035</v>
      </c>
    </row>
    <row r="73" spans="1:14" s="20" customFormat="1" ht="17.100000000000001" customHeight="1" x14ac:dyDescent="0.25">
      <c r="A73" s="9" t="s">
        <v>701</v>
      </c>
      <c r="B73" s="10" t="s">
        <v>980</v>
      </c>
      <c r="C73" s="10">
        <v>2016</v>
      </c>
      <c r="D73" s="11" t="s">
        <v>2036</v>
      </c>
      <c r="E73" s="10" t="s">
        <v>1631</v>
      </c>
      <c r="F73" s="11" t="s">
        <v>1156</v>
      </c>
      <c r="G73" s="10" t="s">
        <v>1054</v>
      </c>
      <c r="H73" s="10" t="s">
        <v>1166</v>
      </c>
      <c r="I73" s="12" t="s">
        <v>1029</v>
      </c>
      <c r="J73" s="10" t="s">
        <v>1030</v>
      </c>
      <c r="K73" s="10" t="s">
        <v>1031</v>
      </c>
      <c r="L73" s="10" t="s">
        <v>1042</v>
      </c>
      <c r="M73" s="12" t="s">
        <v>1055</v>
      </c>
      <c r="N73" s="14" t="s">
        <v>1035</v>
      </c>
    </row>
    <row r="74" spans="1:14" s="20" customFormat="1" ht="17.100000000000001" customHeight="1" x14ac:dyDescent="0.25">
      <c r="A74" s="9" t="s">
        <v>984</v>
      </c>
      <c r="B74" s="10" t="s">
        <v>985</v>
      </c>
      <c r="C74" s="10">
        <v>2016</v>
      </c>
      <c r="D74" s="11" t="s">
        <v>2238</v>
      </c>
      <c r="E74" s="10" t="s">
        <v>1631</v>
      </c>
      <c r="F74" s="46" t="s">
        <v>1156</v>
      </c>
      <c r="G74" s="10" t="s">
        <v>1054</v>
      </c>
      <c r="H74" s="10" t="s">
        <v>1166</v>
      </c>
      <c r="I74" s="12" t="s">
        <v>1029</v>
      </c>
      <c r="J74" s="10" t="s">
        <v>1040</v>
      </c>
      <c r="K74" s="12" t="s">
        <v>1037</v>
      </c>
      <c r="L74" s="10" t="s">
        <v>1042</v>
      </c>
      <c r="M74" s="10" t="s">
        <v>114</v>
      </c>
      <c r="N74" s="13" t="s">
        <v>1041</v>
      </c>
    </row>
    <row r="75" spans="1:14" s="20" customFormat="1" ht="17.100000000000001" customHeight="1" x14ac:dyDescent="0.25">
      <c r="A75" s="9" t="s">
        <v>782</v>
      </c>
      <c r="B75" s="10" t="s">
        <v>1016</v>
      </c>
      <c r="C75" s="10">
        <v>2019</v>
      </c>
      <c r="D75" s="11" t="s">
        <v>2034</v>
      </c>
      <c r="E75" s="10" t="s">
        <v>1631</v>
      </c>
      <c r="F75" s="11" t="s">
        <v>1156</v>
      </c>
      <c r="G75" s="10" t="s">
        <v>1054</v>
      </c>
      <c r="H75" s="10" t="s">
        <v>2330</v>
      </c>
      <c r="I75" s="12" t="s">
        <v>1029</v>
      </c>
      <c r="J75" s="10" t="s">
        <v>1040</v>
      </c>
      <c r="K75" s="10" t="s">
        <v>1031</v>
      </c>
      <c r="L75" s="10" t="s">
        <v>1042</v>
      </c>
      <c r="M75" s="12" t="s">
        <v>114</v>
      </c>
      <c r="N75" s="14" t="s">
        <v>1035</v>
      </c>
    </row>
    <row r="76" spans="1:14" s="20" customFormat="1" ht="17.100000000000001" customHeight="1" x14ac:dyDescent="0.25">
      <c r="A76" s="9" t="s">
        <v>600</v>
      </c>
      <c r="B76" s="10" t="s">
        <v>914</v>
      </c>
      <c r="C76" s="10">
        <v>2011</v>
      </c>
      <c r="D76" s="11" t="s">
        <v>1955</v>
      </c>
      <c r="E76" s="10" t="s">
        <v>1631</v>
      </c>
      <c r="F76" s="11" t="s">
        <v>1156</v>
      </c>
      <c r="G76" s="10" t="s">
        <v>1028</v>
      </c>
      <c r="H76" s="10" t="s">
        <v>1057</v>
      </c>
      <c r="I76" s="12" t="s">
        <v>1039</v>
      </c>
      <c r="J76" s="10" t="s">
        <v>1036</v>
      </c>
      <c r="K76" s="10" t="s">
        <v>1031</v>
      </c>
      <c r="L76" s="10" t="s">
        <v>1032</v>
      </c>
      <c r="M76" s="12" t="s">
        <v>114</v>
      </c>
      <c r="N76" s="14" t="s">
        <v>1035</v>
      </c>
    </row>
    <row r="77" spans="1:14" s="20" customFormat="1" ht="17.100000000000001" customHeight="1" x14ac:dyDescent="0.25">
      <c r="A77" s="9" t="s">
        <v>941</v>
      </c>
      <c r="B77" s="10" t="s">
        <v>942</v>
      </c>
      <c r="C77" s="10">
        <v>2014</v>
      </c>
      <c r="D77" s="11" t="s">
        <v>2253</v>
      </c>
      <c r="E77" s="10" t="s">
        <v>1631</v>
      </c>
      <c r="F77" s="46" t="s">
        <v>1156</v>
      </c>
      <c r="G77" s="10" t="s">
        <v>1094</v>
      </c>
      <c r="H77" s="10" t="s">
        <v>1057</v>
      </c>
      <c r="I77" s="12" t="s">
        <v>1029</v>
      </c>
      <c r="J77" s="10" t="s">
        <v>1040</v>
      </c>
      <c r="K77" s="10" t="s">
        <v>1031</v>
      </c>
      <c r="L77" s="10" t="s">
        <v>1032</v>
      </c>
      <c r="M77" s="10" t="s">
        <v>1055</v>
      </c>
      <c r="N77" s="13" t="s">
        <v>1035</v>
      </c>
    </row>
    <row r="78" spans="1:14" s="20" customFormat="1" ht="17.100000000000001" customHeight="1" x14ac:dyDescent="0.25">
      <c r="A78" s="9" t="s">
        <v>948</v>
      </c>
      <c r="B78" s="10" t="s">
        <v>949</v>
      </c>
      <c r="C78" s="10">
        <v>2014</v>
      </c>
      <c r="D78" s="11" t="s">
        <v>2241</v>
      </c>
      <c r="E78" s="10" t="s">
        <v>1631</v>
      </c>
      <c r="F78" s="46" t="s">
        <v>1156</v>
      </c>
      <c r="G78" s="10" t="s">
        <v>1028</v>
      </c>
      <c r="H78" s="10" t="s">
        <v>1057</v>
      </c>
      <c r="I78" s="12" t="s">
        <v>1029</v>
      </c>
      <c r="J78" s="10" t="s">
        <v>1040</v>
      </c>
      <c r="K78" s="10" t="s">
        <v>1031</v>
      </c>
      <c r="L78" s="10" t="s">
        <v>1032</v>
      </c>
      <c r="M78" s="10" t="s">
        <v>114</v>
      </c>
      <c r="N78" s="13" t="s">
        <v>1035</v>
      </c>
    </row>
    <row r="79" spans="1:14" s="20" customFormat="1" ht="17.100000000000001" customHeight="1" x14ac:dyDescent="0.25">
      <c r="A79" s="9" t="s">
        <v>628</v>
      </c>
      <c r="B79" s="10" t="s">
        <v>931</v>
      </c>
      <c r="C79" s="10">
        <v>2013</v>
      </c>
      <c r="D79" s="11" t="s">
        <v>2080</v>
      </c>
      <c r="E79" s="10" t="s">
        <v>1631</v>
      </c>
      <c r="F79" s="11" t="s">
        <v>1156</v>
      </c>
      <c r="G79" s="12" t="s">
        <v>2272</v>
      </c>
      <c r="H79" s="10" t="s">
        <v>1168</v>
      </c>
      <c r="I79" s="12" t="s">
        <v>1039</v>
      </c>
      <c r="J79" s="10" t="s">
        <v>1040</v>
      </c>
      <c r="K79" s="10" t="s">
        <v>1031</v>
      </c>
      <c r="L79" s="10" t="s">
        <v>1042</v>
      </c>
      <c r="M79" s="12" t="s">
        <v>114</v>
      </c>
      <c r="N79" s="14" t="s">
        <v>1035</v>
      </c>
    </row>
    <row r="80" spans="1:14" s="20" customFormat="1" ht="17.100000000000001" customHeight="1" x14ac:dyDescent="0.25">
      <c r="A80" s="9" t="s">
        <v>742</v>
      </c>
      <c r="B80" s="10" t="s">
        <v>1005</v>
      </c>
      <c r="C80" s="10">
        <v>2019</v>
      </c>
      <c r="D80" s="11" t="s">
        <v>1931</v>
      </c>
      <c r="E80" s="10" t="s">
        <v>1631</v>
      </c>
      <c r="F80" s="11" t="s">
        <v>1156</v>
      </c>
      <c r="G80" s="10" t="s">
        <v>1054</v>
      </c>
      <c r="H80" s="10" t="s">
        <v>1178</v>
      </c>
      <c r="I80" s="12" t="s">
        <v>1029</v>
      </c>
      <c r="J80" s="10" t="s">
        <v>1036</v>
      </c>
      <c r="K80" s="10" t="s">
        <v>1031</v>
      </c>
      <c r="L80" s="10" t="s">
        <v>1247</v>
      </c>
      <c r="M80" s="12" t="s">
        <v>114</v>
      </c>
      <c r="N80" s="14" t="s">
        <v>1035</v>
      </c>
    </row>
    <row r="81" spans="1:14" s="20" customFormat="1" ht="17.100000000000001" customHeight="1" x14ac:dyDescent="0.25">
      <c r="A81" s="9" t="s">
        <v>653</v>
      </c>
      <c r="B81" s="10" t="s">
        <v>654</v>
      </c>
      <c r="C81" s="10">
        <v>2014</v>
      </c>
      <c r="D81" s="11" t="s">
        <v>1716</v>
      </c>
      <c r="E81" s="10" t="s">
        <v>1631</v>
      </c>
      <c r="F81" s="11" t="s">
        <v>1156</v>
      </c>
      <c r="G81" s="10" t="s">
        <v>1028</v>
      </c>
      <c r="H81" s="10" t="s">
        <v>2335</v>
      </c>
      <c r="I81" s="12" t="s">
        <v>1029</v>
      </c>
      <c r="J81" s="10" t="s">
        <v>1040</v>
      </c>
      <c r="K81" s="10" t="s">
        <v>1031</v>
      </c>
      <c r="L81" s="10" t="s">
        <v>1247</v>
      </c>
      <c r="M81" s="12" t="s">
        <v>114</v>
      </c>
      <c r="N81" s="14" t="s">
        <v>1035</v>
      </c>
    </row>
    <row r="82" spans="1:14" s="20" customFormat="1" ht="17.100000000000001" customHeight="1" x14ac:dyDescent="0.25">
      <c r="A82" s="9" t="s">
        <v>693</v>
      </c>
      <c r="B82" s="10" t="s">
        <v>972</v>
      </c>
      <c r="C82" s="10">
        <v>2015</v>
      </c>
      <c r="D82" s="11" t="s">
        <v>1786</v>
      </c>
      <c r="E82" s="10" t="s">
        <v>1631</v>
      </c>
      <c r="F82" s="11" t="s">
        <v>1156</v>
      </c>
      <c r="G82" s="10" t="s">
        <v>1054</v>
      </c>
      <c r="H82" s="10" t="s">
        <v>1169</v>
      </c>
      <c r="I82" s="12" t="s">
        <v>1039</v>
      </c>
      <c r="J82" s="10" t="s">
        <v>1036</v>
      </c>
      <c r="K82" s="10" t="s">
        <v>1031</v>
      </c>
      <c r="L82" s="10" t="s">
        <v>1247</v>
      </c>
      <c r="M82" s="12" t="s">
        <v>114</v>
      </c>
      <c r="N82" s="14" t="s">
        <v>1035</v>
      </c>
    </row>
    <row r="83" spans="1:14" s="20" customFormat="1" ht="17.100000000000001" customHeight="1" x14ac:dyDescent="0.25">
      <c r="A83" s="9" t="s">
        <v>579</v>
      </c>
      <c r="B83" s="10" t="s">
        <v>912</v>
      </c>
      <c r="C83" s="10">
        <v>2009</v>
      </c>
      <c r="D83" s="11" t="s">
        <v>1915</v>
      </c>
      <c r="E83" s="10" t="s">
        <v>1631</v>
      </c>
      <c r="F83" s="11" t="s">
        <v>1156</v>
      </c>
      <c r="G83" s="10" t="s">
        <v>1054</v>
      </c>
      <c r="H83" s="10" t="s">
        <v>2331</v>
      </c>
      <c r="I83" s="12" t="s">
        <v>1029</v>
      </c>
      <c r="J83" s="10" t="s">
        <v>1036</v>
      </c>
      <c r="K83" s="10" t="s">
        <v>1031</v>
      </c>
      <c r="L83" s="10" t="s">
        <v>1032</v>
      </c>
      <c r="M83" s="10" t="s">
        <v>1095</v>
      </c>
      <c r="N83" s="14" t="s">
        <v>1035</v>
      </c>
    </row>
    <row r="84" spans="1:14" s="20" customFormat="1" ht="17.100000000000001" customHeight="1" x14ac:dyDescent="0.25">
      <c r="A84" s="9" t="s">
        <v>618</v>
      </c>
      <c r="B84" s="10" t="s">
        <v>925</v>
      </c>
      <c r="C84" s="10">
        <v>2012</v>
      </c>
      <c r="D84" s="11" t="s">
        <v>1920</v>
      </c>
      <c r="E84" s="10" t="s">
        <v>1631</v>
      </c>
      <c r="F84" s="11" t="s">
        <v>1156</v>
      </c>
      <c r="G84" s="10" t="s">
        <v>1183</v>
      </c>
      <c r="H84" s="10" t="s">
        <v>2331</v>
      </c>
      <c r="I84" s="12" t="s">
        <v>1029</v>
      </c>
      <c r="J84" s="10" t="s">
        <v>1040</v>
      </c>
      <c r="K84" s="10" t="s">
        <v>1031</v>
      </c>
      <c r="L84" s="10" t="s">
        <v>1032</v>
      </c>
      <c r="M84" s="10" t="s">
        <v>1122</v>
      </c>
      <c r="N84" s="13" t="s">
        <v>1034</v>
      </c>
    </row>
    <row r="85" spans="1:14" s="20" customFormat="1" ht="17.100000000000001" customHeight="1" x14ac:dyDescent="0.25">
      <c r="A85" s="9" t="s">
        <v>1360</v>
      </c>
      <c r="B85" s="10" t="s">
        <v>1361</v>
      </c>
      <c r="C85" s="10">
        <v>2012</v>
      </c>
      <c r="D85" s="11" t="s">
        <v>2151</v>
      </c>
      <c r="E85" s="10" t="s">
        <v>1631</v>
      </c>
      <c r="F85" s="11" t="s">
        <v>773</v>
      </c>
      <c r="G85" s="10" t="s">
        <v>2275</v>
      </c>
      <c r="H85" s="10" t="s">
        <v>2337</v>
      </c>
      <c r="I85" s="10" t="s">
        <v>1039</v>
      </c>
      <c r="J85" s="10" t="s">
        <v>1030</v>
      </c>
      <c r="K85" s="10" t="s">
        <v>1031</v>
      </c>
      <c r="L85" s="10" t="s">
        <v>1247</v>
      </c>
      <c r="M85" s="10" t="s">
        <v>114</v>
      </c>
      <c r="N85" s="13" t="s">
        <v>1035</v>
      </c>
    </row>
    <row r="86" spans="1:14" s="20" customFormat="1" ht="17.100000000000001" customHeight="1" x14ac:dyDescent="0.25">
      <c r="A86" s="9" t="s">
        <v>607</v>
      </c>
      <c r="B86" s="10" t="s">
        <v>921</v>
      </c>
      <c r="C86" s="10">
        <v>2012</v>
      </c>
      <c r="D86" s="11" t="s">
        <v>1815</v>
      </c>
      <c r="E86" s="10" t="s">
        <v>1631</v>
      </c>
      <c r="F86" s="11" t="s">
        <v>773</v>
      </c>
      <c r="G86" s="10" t="s">
        <v>2275</v>
      </c>
      <c r="H86" s="10" t="s">
        <v>2326</v>
      </c>
      <c r="I86" s="12" t="s">
        <v>1029</v>
      </c>
      <c r="J86" s="10" t="s">
        <v>1030</v>
      </c>
      <c r="K86" s="10" t="s">
        <v>1031</v>
      </c>
      <c r="L86" s="10" t="s">
        <v>1032</v>
      </c>
      <c r="M86" s="10" t="s">
        <v>1047</v>
      </c>
      <c r="N86" s="13" t="s">
        <v>1034</v>
      </c>
    </row>
    <row r="87" spans="1:14" s="20" customFormat="1" ht="17.100000000000001" customHeight="1" x14ac:dyDescent="0.25">
      <c r="A87" s="9" t="s">
        <v>631</v>
      </c>
      <c r="B87" s="10" t="s">
        <v>932</v>
      </c>
      <c r="C87" s="10">
        <v>2013</v>
      </c>
      <c r="D87" s="11" t="s">
        <v>1753</v>
      </c>
      <c r="E87" s="10" t="s">
        <v>1631</v>
      </c>
      <c r="F87" s="11" t="s">
        <v>773</v>
      </c>
      <c r="G87" s="10" t="s">
        <v>2275</v>
      </c>
      <c r="H87" s="10" t="s">
        <v>2326</v>
      </c>
      <c r="I87" s="12" t="s">
        <v>1029</v>
      </c>
      <c r="J87" s="12" t="s">
        <v>1030</v>
      </c>
      <c r="K87" s="10" t="s">
        <v>1031</v>
      </c>
      <c r="L87" s="10" t="s">
        <v>1032</v>
      </c>
      <c r="M87" s="12" t="s">
        <v>1065</v>
      </c>
      <c r="N87" s="14" t="s">
        <v>1035</v>
      </c>
    </row>
    <row r="88" spans="1:14" s="20" customFormat="1" ht="17.100000000000001" customHeight="1" x14ac:dyDescent="0.25">
      <c r="A88" s="9" t="s">
        <v>1390</v>
      </c>
      <c r="B88" s="10" t="s">
        <v>1391</v>
      </c>
      <c r="C88" s="10">
        <v>2014</v>
      </c>
      <c r="D88" s="11" t="s">
        <v>2164</v>
      </c>
      <c r="E88" s="10" t="s">
        <v>1631</v>
      </c>
      <c r="F88" s="11" t="s">
        <v>773</v>
      </c>
      <c r="G88" s="10" t="s">
        <v>2299</v>
      </c>
      <c r="H88" s="10" t="s">
        <v>2326</v>
      </c>
      <c r="I88" s="10" t="s">
        <v>1039</v>
      </c>
      <c r="J88" s="10" t="s">
        <v>1030</v>
      </c>
      <c r="K88" s="10" t="s">
        <v>1031</v>
      </c>
      <c r="L88" s="10" t="s">
        <v>1247</v>
      </c>
      <c r="M88" s="10" t="s">
        <v>114</v>
      </c>
      <c r="N88" s="13" t="s">
        <v>1041</v>
      </c>
    </row>
    <row r="89" spans="1:14" s="20" customFormat="1" ht="17.100000000000001" customHeight="1" x14ac:dyDescent="0.25">
      <c r="A89" s="9" t="s">
        <v>1398</v>
      </c>
      <c r="B89" s="10" t="s">
        <v>1399</v>
      </c>
      <c r="C89" s="10">
        <v>2014</v>
      </c>
      <c r="D89" s="11" t="s">
        <v>2167</v>
      </c>
      <c r="E89" s="10" t="s">
        <v>1631</v>
      </c>
      <c r="F89" s="11" t="s">
        <v>773</v>
      </c>
      <c r="G89" s="10" t="s">
        <v>2275</v>
      </c>
      <c r="H89" s="10" t="s">
        <v>2326</v>
      </c>
      <c r="I89" s="10" t="s">
        <v>1039</v>
      </c>
      <c r="J89" s="10" t="s">
        <v>1030</v>
      </c>
      <c r="K89" s="10" t="s">
        <v>1031</v>
      </c>
      <c r="L89" s="10" t="s">
        <v>1247</v>
      </c>
      <c r="M89" s="10" t="s">
        <v>114</v>
      </c>
      <c r="N89" s="13" t="s">
        <v>1041</v>
      </c>
    </row>
    <row r="90" spans="1:14" s="20" customFormat="1" ht="17.100000000000001" customHeight="1" x14ac:dyDescent="0.25">
      <c r="A90" s="9" t="s">
        <v>1419</v>
      </c>
      <c r="B90" s="10" t="s">
        <v>1420</v>
      </c>
      <c r="C90" s="10">
        <v>2013</v>
      </c>
      <c r="D90" s="11" t="s">
        <v>2176</v>
      </c>
      <c r="E90" s="10" t="s">
        <v>1631</v>
      </c>
      <c r="F90" s="11" t="s">
        <v>773</v>
      </c>
      <c r="G90" s="10" t="s">
        <v>2266</v>
      </c>
      <c r="H90" s="10" t="s">
        <v>2326</v>
      </c>
      <c r="I90" s="10" t="s">
        <v>1039</v>
      </c>
      <c r="J90" s="10" t="s">
        <v>1030</v>
      </c>
      <c r="K90" s="10" t="s">
        <v>1031</v>
      </c>
      <c r="L90" s="10" t="s">
        <v>1247</v>
      </c>
      <c r="M90" s="10" t="s">
        <v>1421</v>
      </c>
      <c r="N90" s="13" t="s">
        <v>1034</v>
      </c>
    </row>
    <row r="91" spans="1:14" s="20" customFormat="1" ht="17.100000000000001" customHeight="1" x14ac:dyDescent="0.25">
      <c r="A91" s="9" t="s">
        <v>1354</v>
      </c>
      <c r="B91" s="10" t="s">
        <v>1355</v>
      </c>
      <c r="C91" s="10">
        <v>2013</v>
      </c>
      <c r="D91" s="11" t="s">
        <v>2148</v>
      </c>
      <c r="E91" s="10" t="s">
        <v>1631</v>
      </c>
      <c r="F91" s="11" t="s">
        <v>773</v>
      </c>
      <c r="G91" s="10" t="s">
        <v>1028</v>
      </c>
      <c r="H91" s="10" t="s">
        <v>2326</v>
      </c>
      <c r="I91" s="10" t="s">
        <v>1039</v>
      </c>
      <c r="J91" s="10" t="s">
        <v>1030</v>
      </c>
      <c r="K91" s="10" t="s">
        <v>1031</v>
      </c>
      <c r="L91" s="10" t="s">
        <v>1247</v>
      </c>
      <c r="M91" s="10" t="s">
        <v>114</v>
      </c>
      <c r="N91" s="13" t="s">
        <v>1034</v>
      </c>
    </row>
    <row r="92" spans="1:14" s="20" customFormat="1" ht="17.100000000000001" customHeight="1" x14ac:dyDescent="0.25">
      <c r="A92" s="9" t="s">
        <v>1571</v>
      </c>
      <c r="B92" s="10" t="s">
        <v>1572</v>
      </c>
      <c r="C92" s="10">
        <v>2013</v>
      </c>
      <c r="D92" s="11" t="s">
        <v>2229</v>
      </c>
      <c r="E92" s="10" t="s">
        <v>1631</v>
      </c>
      <c r="F92" s="11" t="s">
        <v>773</v>
      </c>
      <c r="G92" s="10" t="s">
        <v>2288</v>
      </c>
      <c r="H92" s="10" t="s">
        <v>2326</v>
      </c>
      <c r="I92" s="10" t="s">
        <v>1493</v>
      </c>
      <c r="J92" s="10" t="s">
        <v>1030</v>
      </c>
      <c r="K92" s="10" t="s">
        <v>1031</v>
      </c>
      <c r="L92" s="10" t="s">
        <v>1032</v>
      </c>
      <c r="M92" s="10" t="s">
        <v>1573</v>
      </c>
      <c r="N92" s="13" t="s">
        <v>1035</v>
      </c>
    </row>
    <row r="93" spans="1:14" s="20" customFormat="1" ht="17.100000000000001" customHeight="1" x14ac:dyDescent="0.25">
      <c r="A93" s="9" t="s">
        <v>987</v>
      </c>
      <c r="B93" s="10" t="s">
        <v>1592</v>
      </c>
      <c r="C93" s="10">
        <v>2016</v>
      </c>
      <c r="D93" s="11" t="s">
        <v>2249</v>
      </c>
      <c r="E93" s="10" t="s">
        <v>1631</v>
      </c>
      <c r="F93" s="11" t="s">
        <v>773</v>
      </c>
      <c r="G93" s="10" t="s">
        <v>1593</v>
      </c>
      <c r="H93" s="10" t="s">
        <v>2326</v>
      </c>
      <c r="I93" s="10" t="s">
        <v>1039</v>
      </c>
      <c r="J93" s="10" t="s">
        <v>1030</v>
      </c>
      <c r="K93" s="10" t="s">
        <v>1031</v>
      </c>
      <c r="L93" s="10" t="s">
        <v>1032</v>
      </c>
      <c r="M93" s="10" t="s">
        <v>114</v>
      </c>
      <c r="N93" s="13" t="s">
        <v>1072</v>
      </c>
    </row>
    <row r="94" spans="1:14" s="20" customFormat="1" ht="17.100000000000001" customHeight="1" x14ac:dyDescent="0.25">
      <c r="A94" s="9" t="s">
        <v>684</v>
      </c>
      <c r="B94" s="10" t="s">
        <v>965</v>
      </c>
      <c r="C94" s="10">
        <v>2015</v>
      </c>
      <c r="D94" s="11" t="s">
        <v>1755</v>
      </c>
      <c r="E94" s="10" t="s">
        <v>1631</v>
      </c>
      <c r="F94" s="11" t="s">
        <v>773</v>
      </c>
      <c r="G94" s="10" t="s">
        <v>2266</v>
      </c>
      <c r="H94" s="10" t="s">
        <v>2326</v>
      </c>
      <c r="I94" s="12" t="s">
        <v>1039</v>
      </c>
      <c r="J94" s="12" t="s">
        <v>1688</v>
      </c>
      <c r="K94" s="10" t="s">
        <v>1031</v>
      </c>
      <c r="L94" s="12" t="s">
        <v>1042</v>
      </c>
      <c r="M94" s="12" t="s">
        <v>114</v>
      </c>
      <c r="N94" s="13" t="s">
        <v>1041</v>
      </c>
    </row>
    <row r="95" spans="1:14" s="20" customFormat="1" ht="17.100000000000001" customHeight="1" x14ac:dyDescent="0.25">
      <c r="A95" s="9" t="s">
        <v>669</v>
      </c>
      <c r="B95" s="10" t="s">
        <v>956</v>
      </c>
      <c r="C95" s="10">
        <v>2014</v>
      </c>
      <c r="D95" s="11" t="s">
        <v>1824</v>
      </c>
      <c r="E95" s="10" t="s">
        <v>1631</v>
      </c>
      <c r="F95" s="11" t="s">
        <v>773</v>
      </c>
      <c r="G95" s="10" t="s">
        <v>1054</v>
      </c>
      <c r="H95" s="10" t="s">
        <v>2326</v>
      </c>
      <c r="I95" s="12" t="s">
        <v>1029</v>
      </c>
      <c r="J95" s="10" t="s">
        <v>1048</v>
      </c>
      <c r="K95" s="10" t="s">
        <v>1031</v>
      </c>
      <c r="L95" s="10" t="s">
        <v>1032</v>
      </c>
      <c r="M95" s="10" t="s">
        <v>1124</v>
      </c>
      <c r="N95" s="14" t="s">
        <v>1035</v>
      </c>
    </row>
    <row r="96" spans="1:14" s="20" customFormat="1" ht="17.100000000000001" customHeight="1" x14ac:dyDescent="0.25">
      <c r="A96" s="9" t="s">
        <v>1564</v>
      </c>
      <c r="B96" s="10" t="s">
        <v>1565</v>
      </c>
      <c r="C96" s="10">
        <v>2019</v>
      </c>
      <c r="D96" s="11" t="s">
        <v>2226</v>
      </c>
      <c r="E96" s="10" t="s">
        <v>1631</v>
      </c>
      <c r="F96" s="11" t="s">
        <v>773</v>
      </c>
      <c r="G96" s="10" t="s">
        <v>1054</v>
      </c>
      <c r="H96" s="10" t="s">
        <v>2326</v>
      </c>
      <c r="I96" s="10" t="s">
        <v>1493</v>
      </c>
      <c r="J96" s="10" t="s">
        <v>1048</v>
      </c>
      <c r="K96" s="10" t="s">
        <v>1031</v>
      </c>
      <c r="L96" s="10" t="s">
        <v>1042</v>
      </c>
      <c r="M96" s="10" t="s">
        <v>114</v>
      </c>
      <c r="N96" s="13" t="s">
        <v>1072</v>
      </c>
    </row>
    <row r="97" spans="1:14" s="20" customFormat="1" ht="17.100000000000001" customHeight="1" x14ac:dyDescent="0.25">
      <c r="A97" s="9" t="s">
        <v>666</v>
      </c>
      <c r="B97" s="10" t="s">
        <v>953</v>
      </c>
      <c r="C97" s="10">
        <v>2014</v>
      </c>
      <c r="D97" s="11" t="s">
        <v>1836</v>
      </c>
      <c r="E97" s="10" t="s">
        <v>1631</v>
      </c>
      <c r="F97" s="11" t="s">
        <v>773</v>
      </c>
      <c r="G97" s="10" t="s">
        <v>2292</v>
      </c>
      <c r="H97" s="10" t="s">
        <v>2326</v>
      </c>
      <c r="I97" s="12" t="s">
        <v>1039</v>
      </c>
      <c r="J97" s="10" t="s">
        <v>1127</v>
      </c>
      <c r="K97" s="10" t="s">
        <v>1031</v>
      </c>
      <c r="L97" s="10" t="s">
        <v>1247</v>
      </c>
      <c r="M97" s="12" t="s">
        <v>114</v>
      </c>
      <c r="N97" s="13" t="s">
        <v>1041</v>
      </c>
    </row>
    <row r="98" spans="1:14" s="20" customFormat="1" ht="17.100000000000001" customHeight="1" x14ac:dyDescent="0.25">
      <c r="A98" s="9" t="s">
        <v>608</v>
      </c>
      <c r="B98" s="10" t="s">
        <v>922</v>
      </c>
      <c r="C98" s="10">
        <v>2012</v>
      </c>
      <c r="D98" s="11" t="s">
        <v>1811</v>
      </c>
      <c r="E98" s="10" t="s">
        <v>1631</v>
      </c>
      <c r="F98" s="11" t="s">
        <v>773</v>
      </c>
      <c r="G98" s="10" t="s">
        <v>2266</v>
      </c>
      <c r="H98" s="10" t="s">
        <v>2326</v>
      </c>
      <c r="I98" s="12" t="s">
        <v>1039</v>
      </c>
      <c r="J98" s="10" t="s">
        <v>1048</v>
      </c>
      <c r="K98" s="10" t="s">
        <v>1031</v>
      </c>
      <c r="L98" s="10" t="s">
        <v>1032</v>
      </c>
      <c r="M98" s="10" t="s">
        <v>1073</v>
      </c>
      <c r="N98" s="13" t="s">
        <v>1034</v>
      </c>
    </row>
    <row r="99" spans="1:14" s="20" customFormat="1" ht="17.100000000000001" customHeight="1" x14ac:dyDescent="0.25">
      <c r="A99" s="9" t="s">
        <v>757</v>
      </c>
      <c r="B99" s="10" t="s">
        <v>758</v>
      </c>
      <c r="C99" s="10">
        <v>2019</v>
      </c>
      <c r="D99" s="11" t="s">
        <v>1849</v>
      </c>
      <c r="E99" s="10" t="s">
        <v>1631</v>
      </c>
      <c r="F99" s="11" t="s">
        <v>773</v>
      </c>
      <c r="G99" s="10" t="s">
        <v>1639</v>
      </c>
      <c r="H99" s="10" t="s">
        <v>2326</v>
      </c>
      <c r="I99" s="12" t="s">
        <v>1029</v>
      </c>
      <c r="J99" s="10" t="s">
        <v>1114</v>
      </c>
      <c r="K99" s="10" t="s">
        <v>1031</v>
      </c>
      <c r="L99" s="10" t="s">
        <v>1032</v>
      </c>
      <c r="M99" s="12" t="s">
        <v>1055</v>
      </c>
      <c r="N99" s="14" t="s">
        <v>1035</v>
      </c>
    </row>
    <row r="100" spans="1:14" s="20" customFormat="1" ht="17.100000000000001" customHeight="1" x14ac:dyDescent="0.25">
      <c r="A100" s="9" t="s">
        <v>1111</v>
      </c>
      <c r="B100" s="10" t="s">
        <v>961</v>
      </c>
      <c r="C100" s="10">
        <v>2015</v>
      </c>
      <c r="D100" s="11" t="s">
        <v>1797</v>
      </c>
      <c r="E100" s="10" t="s">
        <v>1631</v>
      </c>
      <c r="F100" s="11" t="s">
        <v>773</v>
      </c>
      <c r="G100" s="10" t="s">
        <v>1609</v>
      </c>
      <c r="H100" s="10" t="s">
        <v>2326</v>
      </c>
      <c r="I100" s="12" t="s">
        <v>1039</v>
      </c>
      <c r="J100" s="10" t="s">
        <v>1036</v>
      </c>
      <c r="K100" s="10" t="s">
        <v>1031</v>
      </c>
      <c r="L100" s="10" t="s">
        <v>1247</v>
      </c>
      <c r="M100" s="12" t="s">
        <v>114</v>
      </c>
      <c r="N100" s="13" t="s">
        <v>1041</v>
      </c>
    </row>
    <row r="101" spans="1:14" s="20" customFormat="1" ht="17.100000000000001" customHeight="1" x14ac:dyDescent="0.25">
      <c r="A101" s="9" t="s">
        <v>954</v>
      </c>
      <c r="B101" s="10" t="s">
        <v>955</v>
      </c>
      <c r="C101" s="10">
        <v>2014</v>
      </c>
      <c r="D101" s="11" t="s">
        <v>2240</v>
      </c>
      <c r="E101" s="10" t="s">
        <v>1631</v>
      </c>
      <c r="F101" s="11" t="s">
        <v>773</v>
      </c>
      <c r="G101" s="10" t="s">
        <v>1062</v>
      </c>
      <c r="H101" s="10" t="s">
        <v>2326</v>
      </c>
      <c r="I101" s="10" t="s">
        <v>1493</v>
      </c>
      <c r="J101" s="10" t="s">
        <v>1690</v>
      </c>
      <c r="K101" s="10" t="s">
        <v>1031</v>
      </c>
      <c r="L101" s="10" t="s">
        <v>1032</v>
      </c>
      <c r="M101" s="10" t="s">
        <v>1580</v>
      </c>
      <c r="N101" s="13" t="s">
        <v>1072</v>
      </c>
    </row>
    <row r="102" spans="1:14" s="20" customFormat="1" ht="17.100000000000001" customHeight="1" x14ac:dyDescent="0.25">
      <c r="A102" s="9" t="s">
        <v>597</v>
      </c>
      <c r="B102" s="10" t="s">
        <v>913</v>
      </c>
      <c r="C102" s="10">
        <v>2011</v>
      </c>
      <c r="D102" s="11" t="s">
        <v>1810</v>
      </c>
      <c r="E102" s="10" t="s">
        <v>1631</v>
      </c>
      <c r="F102" s="11" t="s">
        <v>773</v>
      </c>
      <c r="G102" s="10" t="s">
        <v>2275</v>
      </c>
      <c r="H102" s="10" t="s">
        <v>2326</v>
      </c>
      <c r="I102" s="12" t="s">
        <v>1039</v>
      </c>
      <c r="J102" s="10" t="s">
        <v>1040</v>
      </c>
      <c r="K102" s="10" t="s">
        <v>1031</v>
      </c>
      <c r="L102" s="10" t="s">
        <v>1032</v>
      </c>
      <c r="M102" s="12" t="s">
        <v>114</v>
      </c>
      <c r="N102" s="14" t="s">
        <v>1035</v>
      </c>
    </row>
    <row r="103" spans="1:14" s="20" customFormat="1" ht="17.100000000000001" customHeight="1" x14ac:dyDescent="0.25">
      <c r="A103" s="9" t="s">
        <v>601</v>
      </c>
      <c r="B103" s="10" t="s">
        <v>915</v>
      </c>
      <c r="C103" s="10">
        <v>2011</v>
      </c>
      <c r="D103" s="11" t="s">
        <v>2025</v>
      </c>
      <c r="E103" s="10" t="s">
        <v>1631</v>
      </c>
      <c r="F103" s="11" t="s">
        <v>773</v>
      </c>
      <c r="G103" s="10" t="s">
        <v>2266</v>
      </c>
      <c r="H103" s="10" t="s">
        <v>2326</v>
      </c>
      <c r="I103" s="12" t="s">
        <v>1039</v>
      </c>
      <c r="J103" s="12" t="s">
        <v>1030</v>
      </c>
      <c r="K103" s="12" t="s">
        <v>1037</v>
      </c>
      <c r="L103" s="10" t="s">
        <v>1032</v>
      </c>
      <c r="M103" s="10" t="s">
        <v>1213</v>
      </c>
      <c r="N103" s="14" t="s">
        <v>1035</v>
      </c>
    </row>
    <row r="104" spans="1:14" s="20" customFormat="1" ht="17.100000000000001" customHeight="1" x14ac:dyDescent="0.25">
      <c r="A104" s="9" t="s">
        <v>771</v>
      </c>
      <c r="B104" s="10" t="s">
        <v>772</v>
      </c>
      <c r="C104" s="10">
        <v>2021</v>
      </c>
      <c r="D104" s="11" t="s">
        <v>1974</v>
      </c>
      <c r="E104" s="10" t="s">
        <v>1631</v>
      </c>
      <c r="F104" s="11" t="s">
        <v>773</v>
      </c>
      <c r="G104" s="10" t="s">
        <v>1028</v>
      </c>
      <c r="H104" s="10" t="s">
        <v>2327</v>
      </c>
      <c r="I104" s="12" t="s">
        <v>1029</v>
      </c>
      <c r="J104" s="10" t="s">
        <v>1030</v>
      </c>
      <c r="K104" s="10" t="s">
        <v>1031</v>
      </c>
      <c r="L104" s="10" t="s">
        <v>1032</v>
      </c>
      <c r="M104" s="12" t="s">
        <v>114</v>
      </c>
      <c r="N104" s="14" t="s">
        <v>1035</v>
      </c>
    </row>
    <row r="105" spans="1:14" s="20" customFormat="1" ht="17.100000000000001" customHeight="1" x14ac:dyDescent="0.25">
      <c r="A105" s="9" t="s">
        <v>685</v>
      </c>
      <c r="B105" s="10" t="s">
        <v>966</v>
      </c>
      <c r="C105" s="10">
        <v>2015</v>
      </c>
      <c r="D105" s="11" t="s">
        <v>1980</v>
      </c>
      <c r="E105" s="10" t="s">
        <v>1631</v>
      </c>
      <c r="F105" s="11" t="s">
        <v>773</v>
      </c>
      <c r="G105" s="10" t="s">
        <v>2275</v>
      </c>
      <c r="H105" s="10" t="s">
        <v>2327</v>
      </c>
      <c r="I105" s="12" t="s">
        <v>1039</v>
      </c>
      <c r="J105" s="10" t="s">
        <v>1030</v>
      </c>
      <c r="K105" s="10" t="s">
        <v>1031</v>
      </c>
      <c r="L105" s="10" t="s">
        <v>1247</v>
      </c>
      <c r="M105" s="12" t="s">
        <v>114</v>
      </c>
      <c r="N105" s="13" t="s">
        <v>1034</v>
      </c>
    </row>
    <row r="106" spans="1:14" s="20" customFormat="1" ht="17.100000000000001" customHeight="1" x14ac:dyDescent="0.25">
      <c r="A106" s="9" t="s">
        <v>670</v>
      </c>
      <c r="B106" s="10" t="s">
        <v>957</v>
      </c>
      <c r="C106" s="10">
        <v>2014</v>
      </c>
      <c r="D106" s="11" t="s">
        <v>2053</v>
      </c>
      <c r="E106" s="10" t="s">
        <v>1631</v>
      </c>
      <c r="F106" s="11" t="s">
        <v>773</v>
      </c>
      <c r="G106" s="10" t="s">
        <v>1215</v>
      </c>
      <c r="H106" s="10" t="s">
        <v>2334</v>
      </c>
      <c r="I106" s="12" t="s">
        <v>1039</v>
      </c>
      <c r="J106" s="10" t="s">
        <v>1040</v>
      </c>
      <c r="K106" s="10" t="s">
        <v>1031</v>
      </c>
      <c r="L106" s="10" t="s">
        <v>1032</v>
      </c>
      <c r="M106" s="10" t="s">
        <v>1227</v>
      </c>
      <c r="N106" s="14" t="s">
        <v>1035</v>
      </c>
    </row>
    <row r="107" spans="1:14" s="20" customFormat="1" ht="17.100000000000001" customHeight="1" x14ac:dyDescent="0.25">
      <c r="A107" s="9" t="s">
        <v>750</v>
      </c>
      <c r="B107" s="10" t="s">
        <v>751</v>
      </c>
      <c r="C107" s="10">
        <v>2019</v>
      </c>
      <c r="D107" s="11" t="s">
        <v>1966</v>
      </c>
      <c r="E107" s="10" t="s">
        <v>1631</v>
      </c>
      <c r="F107" s="11" t="s">
        <v>773</v>
      </c>
      <c r="G107" s="10" t="s">
        <v>1183</v>
      </c>
      <c r="H107" s="10" t="s">
        <v>1057</v>
      </c>
      <c r="I107" s="12" t="s">
        <v>1029</v>
      </c>
      <c r="J107" s="10" t="s">
        <v>1030</v>
      </c>
      <c r="K107" s="10" t="s">
        <v>1031</v>
      </c>
      <c r="L107" s="10" t="s">
        <v>1032</v>
      </c>
      <c r="M107" s="10" t="s">
        <v>1196</v>
      </c>
      <c r="N107" s="14" t="s">
        <v>1035</v>
      </c>
    </row>
    <row r="108" spans="1:14" s="20" customFormat="1" ht="17.100000000000001" customHeight="1" x14ac:dyDescent="0.25">
      <c r="A108" s="9" t="s">
        <v>752</v>
      </c>
      <c r="B108" s="10" t="s">
        <v>753</v>
      </c>
      <c r="C108" s="10">
        <v>2019</v>
      </c>
      <c r="D108" s="11" t="s">
        <v>2016</v>
      </c>
      <c r="E108" s="10" t="s">
        <v>1631</v>
      </c>
      <c r="F108" s="11" t="s">
        <v>773</v>
      </c>
      <c r="G108" s="10" t="s">
        <v>1028</v>
      </c>
      <c r="H108" s="10" t="s">
        <v>1057</v>
      </c>
      <c r="I108" s="12" t="s">
        <v>1029</v>
      </c>
      <c r="J108" s="10" t="s">
        <v>1030</v>
      </c>
      <c r="K108" s="10" t="s">
        <v>1031</v>
      </c>
      <c r="L108" s="10" t="s">
        <v>1032</v>
      </c>
      <c r="M108" s="12" t="s">
        <v>114</v>
      </c>
      <c r="N108" s="14" t="s">
        <v>1035</v>
      </c>
    </row>
    <row r="109" spans="1:14" s="20" customFormat="1" ht="17.100000000000001" customHeight="1" x14ac:dyDescent="0.25">
      <c r="A109" s="9" t="s">
        <v>1441</v>
      </c>
      <c r="B109" s="10" t="s">
        <v>1442</v>
      </c>
      <c r="C109" s="10">
        <v>2014</v>
      </c>
      <c r="D109" s="11" t="s">
        <v>2005</v>
      </c>
      <c r="E109" s="10" t="s">
        <v>1631</v>
      </c>
      <c r="F109" s="11" t="s">
        <v>773</v>
      </c>
      <c r="G109" s="10" t="s">
        <v>2266</v>
      </c>
      <c r="H109" s="10" t="s">
        <v>1057</v>
      </c>
      <c r="I109" s="10" t="s">
        <v>1039</v>
      </c>
      <c r="J109" s="10" t="s">
        <v>1030</v>
      </c>
      <c r="K109" s="10" t="s">
        <v>1031</v>
      </c>
      <c r="L109" s="10" t="s">
        <v>1247</v>
      </c>
      <c r="M109" s="10" t="s">
        <v>114</v>
      </c>
      <c r="N109" s="13" t="s">
        <v>1035</v>
      </c>
    </row>
    <row r="110" spans="1:14" s="20" customFormat="1" ht="17.100000000000001" customHeight="1" x14ac:dyDescent="0.25">
      <c r="A110" s="9" t="s">
        <v>1367</v>
      </c>
      <c r="B110" s="10" t="s">
        <v>1368</v>
      </c>
      <c r="C110" s="10">
        <v>2013</v>
      </c>
      <c r="D110" s="11" t="s">
        <v>2154</v>
      </c>
      <c r="E110" s="10" t="s">
        <v>1631</v>
      </c>
      <c r="F110" s="11" t="s">
        <v>773</v>
      </c>
      <c r="G110" s="10" t="s">
        <v>1263</v>
      </c>
      <c r="H110" s="10" t="s">
        <v>1057</v>
      </c>
      <c r="I110" s="12" t="s">
        <v>1029</v>
      </c>
      <c r="J110" s="10" t="s">
        <v>1048</v>
      </c>
      <c r="K110" s="10" t="s">
        <v>1031</v>
      </c>
      <c r="L110" s="10" t="s">
        <v>1247</v>
      </c>
      <c r="M110" s="10" t="s">
        <v>114</v>
      </c>
      <c r="N110" s="13" t="s">
        <v>1035</v>
      </c>
    </row>
    <row r="111" spans="1:14" s="20" customFormat="1" ht="17.100000000000001" customHeight="1" x14ac:dyDescent="0.25">
      <c r="A111" s="9" t="s">
        <v>663</v>
      </c>
      <c r="B111" s="10" t="s">
        <v>950</v>
      </c>
      <c r="C111" s="10">
        <v>2014</v>
      </c>
      <c r="D111" s="11" t="s">
        <v>1941</v>
      </c>
      <c r="E111" s="10" t="s">
        <v>1631</v>
      </c>
      <c r="F111" s="11" t="s">
        <v>773</v>
      </c>
      <c r="G111" s="10" t="s">
        <v>2275</v>
      </c>
      <c r="H111" s="10" t="s">
        <v>1057</v>
      </c>
      <c r="I111" s="12" t="s">
        <v>1039</v>
      </c>
      <c r="J111" s="10" t="s">
        <v>1030</v>
      </c>
      <c r="K111" s="12" t="s">
        <v>1037</v>
      </c>
      <c r="L111" s="10" t="s">
        <v>1247</v>
      </c>
      <c r="M111" s="10" t="s">
        <v>1081</v>
      </c>
      <c r="N111" s="14" t="s">
        <v>1035</v>
      </c>
    </row>
    <row r="112" spans="1:14" s="20" customFormat="1" ht="17.100000000000001" customHeight="1" x14ac:dyDescent="0.25">
      <c r="A112" s="9" t="s">
        <v>1568</v>
      </c>
      <c r="B112" s="10" t="s">
        <v>1569</v>
      </c>
      <c r="C112" s="10">
        <v>2013</v>
      </c>
      <c r="D112" s="11" t="s">
        <v>2228</v>
      </c>
      <c r="E112" s="10" t="s">
        <v>1631</v>
      </c>
      <c r="F112" s="11" t="s">
        <v>773</v>
      </c>
      <c r="G112" s="10" t="s">
        <v>2296</v>
      </c>
      <c r="H112" s="10" t="s">
        <v>1057</v>
      </c>
      <c r="I112" s="10" t="s">
        <v>1493</v>
      </c>
      <c r="J112" s="10" t="s">
        <v>1036</v>
      </c>
      <c r="K112" s="12" t="s">
        <v>1037</v>
      </c>
      <c r="L112" s="10" t="s">
        <v>1247</v>
      </c>
      <c r="M112" s="10" t="s">
        <v>1570</v>
      </c>
      <c r="N112" s="13" t="s">
        <v>1035</v>
      </c>
    </row>
    <row r="113" spans="1:14" s="20" customFormat="1" ht="17.100000000000001" customHeight="1" x14ac:dyDescent="0.25">
      <c r="A113" s="9" t="s">
        <v>637</v>
      </c>
      <c r="B113" s="10" t="s">
        <v>933</v>
      </c>
      <c r="C113" s="10">
        <v>2013</v>
      </c>
      <c r="D113" s="11" t="s">
        <v>1998</v>
      </c>
      <c r="E113" s="10" t="s">
        <v>1631</v>
      </c>
      <c r="F113" s="11" t="s">
        <v>773</v>
      </c>
      <c r="G113" s="10" t="s">
        <v>2266</v>
      </c>
      <c r="H113" s="10" t="s">
        <v>1057</v>
      </c>
      <c r="I113" s="12" t="s">
        <v>1039</v>
      </c>
      <c r="J113" s="10" t="s">
        <v>1040</v>
      </c>
      <c r="K113" s="12" t="s">
        <v>1037</v>
      </c>
      <c r="L113" s="10" t="s">
        <v>1247</v>
      </c>
      <c r="M113" s="12" t="s">
        <v>114</v>
      </c>
      <c r="N113" s="14" t="s">
        <v>1035</v>
      </c>
    </row>
    <row r="114" spans="1:14" s="20" customFormat="1" ht="17.100000000000001" customHeight="1" x14ac:dyDescent="0.25">
      <c r="A114" s="9" t="s">
        <v>1566</v>
      </c>
      <c r="B114" s="10" t="s">
        <v>1567</v>
      </c>
      <c r="C114" s="10">
        <v>2013</v>
      </c>
      <c r="D114" s="11" t="s">
        <v>2227</v>
      </c>
      <c r="E114" s="10" t="s">
        <v>1631</v>
      </c>
      <c r="F114" s="11" t="s">
        <v>773</v>
      </c>
      <c r="G114" s="10" t="s">
        <v>2266</v>
      </c>
      <c r="H114" s="10" t="s">
        <v>1509</v>
      </c>
      <c r="I114" s="10" t="s">
        <v>1493</v>
      </c>
      <c r="J114" s="10" t="s">
        <v>1030</v>
      </c>
      <c r="K114" s="12" t="s">
        <v>1037</v>
      </c>
      <c r="L114" s="10" t="s">
        <v>1247</v>
      </c>
      <c r="M114" s="10" t="s">
        <v>114</v>
      </c>
      <c r="N114" s="13" t="s">
        <v>1034</v>
      </c>
    </row>
    <row r="115" spans="1:14" s="20" customFormat="1" ht="17.100000000000001" customHeight="1" x14ac:dyDescent="0.25">
      <c r="A115" s="9" t="s">
        <v>1558</v>
      </c>
      <c r="B115" s="10" t="s">
        <v>1559</v>
      </c>
      <c r="C115" s="10">
        <v>2021</v>
      </c>
      <c r="D115" s="11" t="s">
        <v>2225</v>
      </c>
      <c r="E115" s="10" t="s">
        <v>1631</v>
      </c>
      <c r="F115" s="11" t="s">
        <v>773</v>
      </c>
      <c r="G115" s="10" t="s">
        <v>1560</v>
      </c>
      <c r="H115" s="10" t="s">
        <v>1561</v>
      </c>
      <c r="I115" s="10" t="s">
        <v>1493</v>
      </c>
      <c r="J115" s="10" t="s">
        <v>1562</v>
      </c>
      <c r="K115" s="10" t="s">
        <v>1031</v>
      </c>
      <c r="L115" s="10" t="s">
        <v>1247</v>
      </c>
      <c r="M115" s="10" t="s">
        <v>1563</v>
      </c>
      <c r="N115" s="13" t="s">
        <v>1034</v>
      </c>
    </row>
    <row r="116" spans="1:14" s="20" customFormat="1" ht="17.100000000000001" customHeight="1" x14ac:dyDescent="0.25">
      <c r="A116" s="9" t="s">
        <v>1403</v>
      </c>
      <c r="B116" s="10" t="s">
        <v>1404</v>
      </c>
      <c r="C116" s="10">
        <v>2012</v>
      </c>
      <c r="D116" s="11" t="s">
        <v>2169</v>
      </c>
      <c r="E116" s="10" t="s">
        <v>1631</v>
      </c>
      <c r="F116" s="11" t="s">
        <v>773</v>
      </c>
      <c r="G116" s="10" t="s">
        <v>2275</v>
      </c>
      <c r="H116" s="10" t="s">
        <v>1229</v>
      </c>
      <c r="I116" s="10" t="s">
        <v>1039</v>
      </c>
      <c r="J116" s="10" t="s">
        <v>1030</v>
      </c>
      <c r="K116" s="10" t="s">
        <v>1031</v>
      </c>
      <c r="L116" s="10" t="s">
        <v>1247</v>
      </c>
      <c r="M116" s="10" t="s">
        <v>1049</v>
      </c>
      <c r="N116" s="13" t="s">
        <v>1035</v>
      </c>
    </row>
    <row r="117" spans="1:14" s="20" customFormat="1" ht="17.100000000000001" customHeight="1" x14ac:dyDescent="0.25">
      <c r="A117" s="9" t="s">
        <v>1371</v>
      </c>
      <c r="B117" s="10" t="s">
        <v>1372</v>
      </c>
      <c r="C117" s="10">
        <v>2012</v>
      </c>
      <c r="D117" s="11" t="s">
        <v>2156</v>
      </c>
      <c r="E117" s="10" t="s">
        <v>1631</v>
      </c>
      <c r="F117" s="11" t="s">
        <v>773</v>
      </c>
      <c r="G117" s="10" t="s">
        <v>2275</v>
      </c>
      <c r="H117" s="10" t="s">
        <v>1289</v>
      </c>
      <c r="I117" s="10" t="s">
        <v>1039</v>
      </c>
      <c r="J117" s="10" t="s">
        <v>1030</v>
      </c>
      <c r="K117" s="10" t="s">
        <v>1031</v>
      </c>
      <c r="L117" s="10" t="s">
        <v>1247</v>
      </c>
      <c r="M117" s="10" t="s">
        <v>114</v>
      </c>
      <c r="N117" s="13" t="s">
        <v>1035</v>
      </c>
    </row>
    <row r="118" spans="1:14" s="20" customFormat="1" ht="17.100000000000001" customHeight="1" x14ac:dyDescent="0.25">
      <c r="A118" s="9" t="s">
        <v>1435</v>
      </c>
      <c r="B118" s="10" t="s">
        <v>1436</v>
      </c>
      <c r="C118" s="10">
        <v>2011</v>
      </c>
      <c r="D118" s="11" t="s">
        <v>2182</v>
      </c>
      <c r="E118" s="10" t="s">
        <v>1631</v>
      </c>
      <c r="F118" s="11" t="s">
        <v>773</v>
      </c>
      <c r="G118" s="10" t="s">
        <v>2266</v>
      </c>
      <c r="H118" s="10" t="s">
        <v>1180</v>
      </c>
      <c r="I118" s="10" t="s">
        <v>1039</v>
      </c>
      <c r="J118" s="10" t="s">
        <v>1030</v>
      </c>
      <c r="K118" s="10" t="s">
        <v>1031</v>
      </c>
      <c r="L118" s="10" t="s">
        <v>1247</v>
      </c>
      <c r="M118" s="10" t="s">
        <v>114</v>
      </c>
      <c r="N118" s="13" t="s">
        <v>1035</v>
      </c>
    </row>
    <row r="119" spans="1:14" s="20" customFormat="1" ht="17.100000000000001" customHeight="1" x14ac:dyDescent="0.25">
      <c r="A119" s="9" t="s">
        <v>1365</v>
      </c>
      <c r="B119" s="10" t="s">
        <v>1366</v>
      </c>
      <c r="C119" s="10">
        <v>2013</v>
      </c>
      <c r="D119" s="11" t="s">
        <v>2153</v>
      </c>
      <c r="E119" s="10" t="s">
        <v>1631</v>
      </c>
      <c r="F119" s="11" t="s">
        <v>773</v>
      </c>
      <c r="G119" s="10" t="s">
        <v>1215</v>
      </c>
      <c r="H119" s="10" t="s">
        <v>2321</v>
      </c>
      <c r="I119" s="12" t="s">
        <v>1029</v>
      </c>
      <c r="J119" s="10" t="s">
        <v>1040</v>
      </c>
      <c r="K119" s="10" t="s">
        <v>1031</v>
      </c>
      <c r="L119" s="10" t="s">
        <v>1247</v>
      </c>
      <c r="M119" s="10" t="s">
        <v>114</v>
      </c>
      <c r="N119" s="13" t="s">
        <v>1035</v>
      </c>
    </row>
    <row r="120" spans="1:14" s="20" customFormat="1" ht="17.100000000000001" customHeight="1" x14ac:dyDescent="0.25">
      <c r="A120" s="9" t="s">
        <v>986</v>
      </c>
      <c r="B120" s="10" t="s">
        <v>1577</v>
      </c>
      <c r="C120" s="10">
        <v>2016</v>
      </c>
      <c r="D120" s="11" t="s">
        <v>2239</v>
      </c>
      <c r="E120" s="10" t="s">
        <v>1631</v>
      </c>
      <c r="F120" s="11" t="s">
        <v>773</v>
      </c>
      <c r="G120" s="10" t="s">
        <v>1578</v>
      </c>
      <c r="H120" s="10" t="s">
        <v>2322</v>
      </c>
      <c r="I120" s="12" t="s">
        <v>1029</v>
      </c>
      <c r="J120" s="10" t="s">
        <v>1030</v>
      </c>
      <c r="K120" s="10" t="s">
        <v>1031</v>
      </c>
      <c r="L120" s="10" t="s">
        <v>1032</v>
      </c>
      <c r="M120" s="10" t="s">
        <v>1579</v>
      </c>
      <c r="N120" s="13" t="s">
        <v>1035</v>
      </c>
    </row>
    <row r="121" spans="1:14" s="20" customFormat="1" ht="17.100000000000001" customHeight="1" x14ac:dyDescent="0.25">
      <c r="A121" s="9" t="s">
        <v>735</v>
      </c>
      <c r="B121" s="10" t="s">
        <v>999</v>
      </c>
      <c r="C121" s="10">
        <v>2018</v>
      </c>
      <c r="D121" s="11" t="s">
        <v>2010</v>
      </c>
      <c r="E121" s="10" t="s">
        <v>1631</v>
      </c>
      <c r="F121" s="11" t="s">
        <v>773</v>
      </c>
      <c r="G121" s="12" t="s">
        <v>1028</v>
      </c>
      <c r="H121" s="10" t="s">
        <v>1208</v>
      </c>
      <c r="I121" s="12" t="s">
        <v>1039</v>
      </c>
      <c r="J121" s="10" t="s">
        <v>1040</v>
      </c>
      <c r="K121" s="10" t="s">
        <v>1031</v>
      </c>
      <c r="L121" s="10" t="s">
        <v>1032</v>
      </c>
      <c r="M121" s="12" t="s">
        <v>114</v>
      </c>
      <c r="N121" s="14" t="s">
        <v>1035</v>
      </c>
    </row>
    <row r="122" spans="1:14" s="20" customFormat="1" ht="17.100000000000001" customHeight="1" x14ac:dyDescent="0.25">
      <c r="A122" s="9" t="s">
        <v>652</v>
      </c>
      <c r="B122" s="10" t="s">
        <v>940</v>
      </c>
      <c r="C122" s="10">
        <v>2014</v>
      </c>
      <c r="D122" s="11" t="s">
        <v>1923</v>
      </c>
      <c r="E122" s="10" t="s">
        <v>1631</v>
      </c>
      <c r="F122" s="11" t="s">
        <v>773</v>
      </c>
      <c r="G122" s="10" t="s">
        <v>2293</v>
      </c>
      <c r="H122" s="10" t="s">
        <v>2332</v>
      </c>
      <c r="I122" s="12" t="s">
        <v>1029</v>
      </c>
      <c r="J122" s="10" t="s">
        <v>1040</v>
      </c>
      <c r="K122" s="12" t="s">
        <v>1037</v>
      </c>
      <c r="L122" s="10" t="s">
        <v>1042</v>
      </c>
      <c r="M122" s="12" t="s">
        <v>114</v>
      </c>
      <c r="N122" s="14" t="s">
        <v>1035</v>
      </c>
    </row>
    <row r="123" spans="1:14" s="20" customFormat="1" ht="17.100000000000001" customHeight="1" x14ac:dyDescent="0.25">
      <c r="A123" s="9" t="s">
        <v>1383</v>
      </c>
      <c r="B123" s="10" t="s">
        <v>1384</v>
      </c>
      <c r="C123" s="10">
        <v>2015</v>
      </c>
      <c r="D123" s="11" t="s">
        <v>2161</v>
      </c>
      <c r="E123" s="10" t="s">
        <v>1631</v>
      </c>
      <c r="F123" s="11" t="s">
        <v>800</v>
      </c>
      <c r="G123" s="10" t="s">
        <v>1260</v>
      </c>
      <c r="H123" s="10" t="s">
        <v>2326</v>
      </c>
      <c r="I123" s="10" t="s">
        <v>1039</v>
      </c>
      <c r="J123" s="10" t="s">
        <v>1030</v>
      </c>
      <c r="K123" s="10" t="s">
        <v>1031</v>
      </c>
      <c r="L123" s="10" t="s">
        <v>1032</v>
      </c>
      <c r="M123" s="10" t="s">
        <v>1385</v>
      </c>
      <c r="N123" s="13" t="s">
        <v>1072</v>
      </c>
    </row>
    <row r="124" spans="1:14" s="20" customFormat="1" ht="17.100000000000001" customHeight="1" x14ac:dyDescent="0.25">
      <c r="A124" s="9" t="s">
        <v>1589</v>
      </c>
      <c r="B124" s="10" t="s">
        <v>1455</v>
      </c>
      <c r="C124" s="10">
        <v>2022</v>
      </c>
      <c r="D124" s="11" t="s">
        <v>2246</v>
      </c>
      <c r="E124" s="10" t="s">
        <v>1631</v>
      </c>
      <c r="F124" s="47" t="s">
        <v>800</v>
      </c>
      <c r="G124" s="10" t="s">
        <v>1094</v>
      </c>
      <c r="H124" s="10" t="s">
        <v>2326</v>
      </c>
      <c r="I124" s="10" t="s">
        <v>1039</v>
      </c>
      <c r="J124" s="10" t="s">
        <v>1040</v>
      </c>
      <c r="K124" s="10" t="s">
        <v>1031</v>
      </c>
      <c r="L124" s="10" t="s">
        <v>1247</v>
      </c>
      <c r="M124" s="10" t="s">
        <v>1590</v>
      </c>
      <c r="N124" s="13" t="s">
        <v>1034</v>
      </c>
    </row>
    <row r="125" spans="1:14" s="20" customFormat="1" ht="17.100000000000001" customHeight="1" x14ac:dyDescent="0.25">
      <c r="A125" s="9" t="s">
        <v>1424</v>
      </c>
      <c r="B125" s="10" t="s">
        <v>1425</v>
      </c>
      <c r="C125" s="10">
        <v>2015</v>
      </c>
      <c r="D125" s="11" t="s">
        <v>2178</v>
      </c>
      <c r="E125" s="10" t="s">
        <v>1631</v>
      </c>
      <c r="F125" s="11" t="s">
        <v>800</v>
      </c>
      <c r="G125" s="10" t="s">
        <v>2266</v>
      </c>
      <c r="H125" s="10" t="s">
        <v>2326</v>
      </c>
      <c r="I125" s="10" t="s">
        <v>1039</v>
      </c>
      <c r="J125" s="10" t="s">
        <v>1030</v>
      </c>
      <c r="K125" s="12" t="s">
        <v>1037</v>
      </c>
      <c r="L125" s="10" t="s">
        <v>1247</v>
      </c>
      <c r="M125" s="10" t="s">
        <v>1307</v>
      </c>
      <c r="N125" s="13" t="s">
        <v>1072</v>
      </c>
    </row>
    <row r="126" spans="1:14" s="20" customFormat="1" ht="17.100000000000001" customHeight="1" x14ac:dyDescent="0.25">
      <c r="A126" s="9" t="s">
        <v>1356</v>
      </c>
      <c r="B126" s="10" t="s">
        <v>1357</v>
      </c>
      <c r="C126" s="10">
        <v>2018</v>
      </c>
      <c r="D126" s="11" t="s">
        <v>2149</v>
      </c>
      <c r="E126" s="10" t="s">
        <v>1631</v>
      </c>
      <c r="F126" s="11" t="s">
        <v>800</v>
      </c>
      <c r="G126" s="10" t="s">
        <v>1094</v>
      </c>
      <c r="H126" s="10" t="s">
        <v>2326</v>
      </c>
      <c r="I126" s="10" t="s">
        <v>1039</v>
      </c>
      <c r="J126" s="10" t="s">
        <v>1030</v>
      </c>
      <c r="K126" s="10" t="s">
        <v>1037</v>
      </c>
      <c r="L126" s="10" t="s">
        <v>1032</v>
      </c>
      <c r="M126" s="10" t="s">
        <v>114</v>
      </c>
      <c r="N126" s="13" t="s">
        <v>1041</v>
      </c>
    </row>
    <row r="127" spans="1:14" s="20" customFormat="1" ht="17.100000000000001" customHeight="1" x14ac:dyDescent="0.25">
      <c r="A127" s="9" t="s">
        <v>1453</v>
      </c>
      <c r="B127" s="10" t="s">
        <v>1454</v>
      </c>
      <c r="C127" s="10">
        <v>2015</v>
      </c>
      <c r="D127" s="11" t="s">
        <v>2188</v>
      </c>
      <c r="E127" s="10" t="s">
        <v>1631</v>
      </c>
      <c r="F127" s="11" t="s">
        <v>800</v>
      </c>
      <c r="G127" s="10" t="s">
        <v>2266</v>
      </c>
      <c r="H127" s="10" t="s">
        <v>2326</v>
      </c>
      <c r="I127" s="10" t="s">
        <v>1039</v>
      </c>
      <c r="J127" s="10" t="s">
        <v>1036</v>
      </c>
      <c r="K127" s="12" t="s">
        <v>1037</v>
      </c>
      <c r="L127" s="10" t="s">
        <v>1042</v>
      </c>
      <c r="M127" s="10" t="s">
        <v>1049</v>
      </c>
      <c r="N127" s="13" t="s">
        <v>1035</v>
      </c>
    </row>
    <row r="128" spans="1:14" s="20" customFormat="1" ht="17.100000000000001" customHeight="1" x14ac:dyDescent="0.25">
      <c r="A128" s="9" t="s">
        <v>798</v>
      </c>
      <c r="B128" s="38" t="s">
        <v>799</v>
      </c>
      <c r="C128" s="10">
        <v>2022</v>
      </c>
      <c r="D128" s="11" t="s">
        <v>1970</v>
      </c>
      <c r="E128" s="10" t="s">
        <v>1631</v>
      </c>
      <c r="F128" s="11" t="s">
        <v>800</v>
      </c>
      <c r="G128" s="10" t="s">
        <v>1028</v>
      </c>
      <c r="H128" s="10" t="s">
        <v>1057</v>
      </c>
      <c r="I128" s="12" t="s">
        <v>1039</v>
      </c>
      <c r="J128" s="10" t="s">
        <v>1030</v>
      </c>
      <c r="K128" s="10" t="s">
        <v>1031</v>
      </c>
      <c r="L128" s="10" t="s">
        <v>1032</v>
      </c>
      <c r="M128" s="10"/>
      <c r="N128" s="13" t="s">
        <v>1035</v>
      </c>
    </row>
    <row r="129" spans="1:14" s="20" customFormat="1" ht="17.100000000000001" customHeight="1" x14ac:dyDescent="0.25">
      <c r="A129" s="9" t="s">
        <v>1426</v>
      </c>
      <c r="B129" s="10"/>
      <c r="C129" s="10">
        <v>2016</v>
      </c>
      <c r="D129" s="11" t="s">
        <v>1677</v>
      </c>
      <c r="E129" s="10" t="s">
        <v>1631</v>
      </c>
      <c r="F129" s="11" t="s">
        <v>800</v>
      </c>
      <c r="G129" s="10" t="s">
        <v>2275</v>
      </c>
      <c r="H129" s="10" t="s">
        <v>1229</v>
      </c>
      <c r="I129" s="10" t="s">
        <v>1039</v>
      </c>
      <c r="J129" s="10" t="s">
        <v>1030</v>
      </c>
      <c r="K129" s="10" t="s">
        <v>1031</v>
      </c>
      <c r="L129" s="10" t="s">
        <v>1247</v>
      </c>
      <c r="M129" s="10" t="s">
        <v>114</v>
      </c>
      <c r="N129" s="13" t="s">
        <v>1035</v>
      </c>
    </row>
    <row r="130" spans="1:14" s="20" customFormat="1" ht="17.100000000000001" customHeight="1" x14ac:dyDescent="0.25">
      <c r="A130" s="9" t="s">
        <v>1347</v>
      </c>
      <c r="B130" s="10" t="s">
        <v>1348</v>
      </c>
      <c r="C130" s="10">
        <v>2018</v>
      </c>
      <c r="D130" s="11" t="s">
        <v>2145</v>
      </c>
      <c r="E130" s="10" t="s">
        <v>1631</v>
      </c>
      <c r="F130" s="11" t="s">
        <v>800</v>
      </c>
      <c r="G130" s="10" t="s">
        <v>2275</v>
      </c>
      <c r="H130" s="10" t="s">
        <v>1349</v>
      </c>
      <c r="I130" s="10" t="s">
        <v>1039</v>
      </c>
      <c r="J130" s="10" t="s">
        <v>1030</v>
      </c>
      <c r="K130" s="12" t="s">
        <v>1037</v>
      </c>
      <c r="L130" s="10" t="s">
        <v>1247</v>
      </c>
      <c r="M130" s="10" t="s">
        <v>114</v>
      </c>
      <c r="N130" s="13" t="s">
        <v>1035</v>
      </c>
    </row>
    <row r="131" spans="1:14" s="20" customFormat="1" ht="17.100000000000001" customHeight="1" x14ac:dyDescent="0.25">
      <c r="A131" s="9" t="s">
        <v>1362</v>
      </c>
      <c r="B131" s="10" t="s">
        <v>1363</v>
      </c>
      <c r="C131" s="10">
        <v>2015</v>
      </c>
      <c r="D131" s="11" t="s">
        <v>2152</v>
      </c>
      <c r="E131" s="10" t="s">
        <v>1631</v>
      </c>
      <c r="F131" s="11" t="s">
        <v>800</v>
      </c>
      <c r="G131" s="10" t="s">
        <v>1215</v>
      </c>
      <c r="H131" s="10" t="s">
        <v>2321</v>
      </c>
      <c r="I131" s="10" t="s">
        <v>1039</v>
      </c>
      <c r="J131" s="10" t="s">
        <v>1040</v>
      </c>
      <c r="K131" s="10" t="s">
        <v>1031</v>
      </c>
      <c r="L131" s="10" t="s">
        <v>1247</v>
      </c>
      <c r="M131" s="10" t="s">
        <v>1364</v>
      </c>
      <c r="N131" s="13" t="s">
        <v>1035</v>
      </c>
    </row>
    <row r="132" spans="1:14" s="20" customFormat="1" ht="17.100000000000001" customHeight="1" x14ac:dyDescent="0.25">
      <c r="A132" s="9" t="s">
        <v>699</v>
      </c>
      <c r="B132" s="10" t="s">
        <v>978</v>
      </c>
      <c r="C132" s="10">
        <v>2015</v>
      </c>
      <c r="D132" s="11" t="s">
        <v>1756</v>
      </c>
      <c r="E132" s="10" t="s">
        <v>1631</v>
      </c>
      <c r="F132" s="11" t="s">
        <v>626</v>
      </c>
      <c r="G132" s="10" t="s">
        <v>2266</v>
      </c>
      <c r="H132" s="10" t="s">
        <v>2326</v>
      </c>
      <c r="I132" s="12" t="s">
        <v>1029</v>
      </c>
      <c r="J132" s="12" t="s">
        <v>1030</v>
      </c>
      <c r="K132" s="10" t="s">
        <v>1031</v>
      </c>
      <c r="L132" s="10" t="s">
        <v>1032</v>
      </c>
      <c r="M132" s="12" t="s">
        <v>114</v>
      </c>
      <c r="N132" s="14" t="s">
        <v>1035</v>
      </c>
    </row>
    <row r="133" spans="1:14" s="20" customFormat="1" ht="17.100000000000001" customHeight="1" x14ac:dyDescent="0.25">
      <c r="A133" s="9" t="s">
        <v>1597</v>
      </c>
      <c r="B133" s="10" t="s">
        <v>1606</v>
      </c>
      <c r="C133" s="10">
        <v>2010</v>
      </c>
      <c r="D133" s="11" t="s">
        <v>2258</v>
      </c>
      <c r="E133" s="10" t="s">
        <v>1631</v>
      </c>
      <c r="F133" s="11" t="s">
        <v>626</v>
      </c>
      <c r="G133" s="10" t="s">
        <v>2266</v>
      </c>
      <c r="H133" s="10" t="s">
        <v>2326</v>
      </c>
      <c r="I133" s="10" t="s">
        <v>1493</v>
      </c>
      <c r="J133" s="10" t="s">
        <v>1040</v>
      </c>
      <c r="K133" s="10" t="s">
        <v>1031</v>
      </c>
      <c r="L133" s="10" t="s">
        <v>1247</v>
      </c>
      <c r="M133" s="10" t="s">
        <v>114</v>
      </c>
      <c r="N133" s="13" t="s">
        <v>1041</v>
      </c>
    </row>
    <row r="134" spans="1:14" s="20" customFormat="1" ht="17.100000000000001" customHeight="1" x14ac:dyDescent="0.25">
      <c r="A134" s="9" t="s">
        <v>625</v>
      </c>
      <c r="B134" s="10" t="s">
        <v>928</v>
      </c>
      <c r="C134" s="10">
        <v>2012</v>
      </c>
      <c r="D134" s="11" t="s">
        <v>1872</v>
      </c>
      <c r="E134" s="10" t="s">
        <v>1631</v>
      </c>
      <c r="F134" s="11" t="s">
        <v>626</v>
      </c>
      <c r="G134" s="10" t="s">
        <v>1066</v>
      </c>
      <c r="H134" s="10" t="s">
        <v>1161</v>
      </c>
      <c r="I134" s="12" t="s">
        <v>1039</v>
      </c>
      <c r="J134" s="10" t="s">
        <v>1030</v>
      </c>
      <c r="K134" s="10" t="s">
        <v>1031</v>
      </c>
      <c r="L134" s="10" t="s">
        <v>1247</v>
      </c>
      <c r="M134" s="12" t="s">
        <v>114</v>
      </c>
      <c r="N134" s="13" t="s">
        <v>1041</v>
      </c>
    </row>
    <row r="135" spans="1:14" s="20" customFormat="1" ht="17.100000000000001" customHeight="1" x14ac:dyDescent="0.25">
      <c r="A135" s="9" t="s">
        <v>627</v>
      </c>
      <c r="B135" s="10" t="s">
        <v>929</v>
      </c>
      <c r="C135" s="10">
        <v>2012</v>
      </c>
      <c r="D135" s="11" t="s">
        <v>1936</v>
      </c>
      <c r="E135" s="10" t="s">
        <v>1631</v>
      </c>
      <c r="F135" s="11" t="s">
        <v>626</v>
      </c>
      <c r="G135" s="10" t="s">
        <v>2266</v>
      </c>
      <c r="H135" s="10" t="s">
        <v>1057</v>
      </c>
      <c r="I135" s="12" t="s">
        <v>1029</v>
      </c>
      <c r="J135" s="12" t="s">
        <v>1030</v>
      </c>
      <c r="K135" s="10" t="s">
        <v>1031</v>
      </c>
      <c r="L135" s="10" t="s">
        <v>1247</v>
      </c>
      <c r="M135" s="12" t="s">
        <v>114</v>
      </c>
      <c r="N135" s="14" t="s">
        <v>1035</v>
      </c>
    </row>
    <row r="136" spans="1:14" s="20" customFormat="1" ht="17.100000000000001" customHeight="1" x14ac:dyDescent="0.25">
      <c r="A136" s="9" t="s">
        <v>698</v>
      </c>
      <c r="B136" s="10" t="s">
        <v>977</v>
      </c>
      <c r="C136" s="10">
        <v>2015</v>
      </c>
      <c r="D136" s="11" t="s">
        <v>1996</v>
      </c>
      <c r="E136" s="10" t="s">
        <v>1631</v>
      </c>
      <c r="F136" s="11" t="s">
        <v>626</v>
      </c>
      <c r="G136" s="10" t="s">
        <v>2266</v>
      </c>
      <c r="H136" s="10" t="s">
        <v>1057</v>
      </c>
      <c r="I136" s="12" t="s">
        <v>1029</v>
      </c>
      <c r="J136" s="12" t="s">
        <v>1030</v>
      </c>
      <c r="K136" s="10" t="s">
        <v>1031</v>
      </c>
      <c r="L136" s="10" t="s">
        <v>1032</v>
      </c>
      <c r="M136" s="12" t="s">
        <v>114</v>
      </c>
      <c r="N136" s="14" t="s">
        <v>1035</v>
      </c>
    </row>
    <row r="137" spans="1:14" s="20" customFormat="1" ht="17.100000000000001" customHeight="1" x14ac:dyDescent="0.25">
      <c r="A137" s="9" t="s">
        <v>649</v>
      </c>
      <c r="B137" s="10" t="s">
        <v>938</v>
      </c>
      <c r="C137" s="10">
        <v>2013</v>
      </c>
      <c r="D137" s="11" t="s">
        <v>1937</v>
      </c>
      <c r="E137" s="10" t="s">
        <v>1631</v>
      </c>
      <c r="F137" s="11" t="s">
        <v>626</v>
      </c>
      <c r="G137" s="12" t="s">
        <v>1215</v>
      </c>
      <c r="H137" s="10" t="s">
        <v>1057</v>
      </c>
      <c r="I137" s="12" t="s">
        <v>1039</v>
      </c>
      <c r="J137" s="12" t="s">
        <v>1036</v>
      </c>
      <c r="K137" s="10" t="s">
        <v>1031</v>
      </c>
      <c r="L137" s="10" t="s">
        <v>1032</v>
      </c>
      <c r="M137" s="12" t="s">
        <v>114</v>
      </c>
      <c r="N137" s="14" t="s">
        <v>1035</v>
      </c>
    </row>
    <row r="138" spans="1:14" s="20" customFormat="1" ht="17.100000000000001" customHeight="1" x14ac:dyDescent="0.25">
      <c r="A138" s="9" t="s">
        <v>740</v>
      </c>
      <c r="B138" s="10" t="s">
        <v>1003</v>
      </c>
      <c r="C138" s="10">
        <v>2018</v>
      </c>
      <c r="D138" s="11" t="s">
        <v>1942</v>
      </c>
      <c r="E138" s="10" t="s">
        <v>1631</v>
      </c>
      <c r="F138" s="11" t="s">
        <v>626</v>
      </c>
      <c r="G138" s="10" t="s">
        <v>2266</v>
      </c>
      <c r="H138" s="10" t="s">
        <v>1057</v>
      </c>
      <c r="I138" s="10" t="s">
        <v>1493</v>
      </c>
      <c r="J138" s="10" t="s">
        <v>1030</v>
      </c>
      <c r="K138" s="12" t="s">
        <v>1037</v>
      </c>
      <c r="L138" s="10" t="s">
        <v>1032</v>
      </c>
      <c r="M138" s="10" t="s">
        <v>1186</v>
      </c>
      <c r="N138" s="14" t="s">
        <v>1035</v>
      </c>
    </row>
    <row r="139" spans="1:14" s="20" customFormat="1" ht="17.100000000000001" customHeight="1" x14ac:dyDescent="0.25">
      <c r="A139" s="9" t="s">
        <v>770</v>
      </c>
      <c r="B139" s="10" t="s">
        <v>1198</v>
      </c>
      <c r="C139" s="10">
        <v>2020</v>
      </c>
      <c r="D139" s="11" t="s">
        <v>1973</v>
      </c>
      <c r="E139" s="10" t="s">
        <v>1631</v>
      </c>
      <c r="F139" s="11" t="s">
        <v>626</v>
      </c>
      <c r="G139" s="10" t="s">
        <v>1028</v>
      </c>
      <c r="H139" s="10" t="s">
        <v>1057</v>
      </c>
      <c r="I139" s="12" t="s">
        <v>1039</v>
      </c>
      <c r="J139" s="10" t="s">
        <v>1030</v>
      </c>
      <c r="K139" s="12" t="s">
        <v>1037</v>
      </c>
      <c r="L139" s="10" t="s">
        <v>1247</v>
      </c>
      <c r="M139" s="12" t="s">
        <v>114</v>
      </c>
      <c r="N139" s="14" t="s">
        <v>1035</v>
      </c>
    </row>
    <row r="140" spans="1:14" s="20" customFormat="1" ht="17.100000000000001" customHeight="1" x14ac:dyDescent="0.25">
      <c r="A140" s="9" t="s">
        <v>1624</v>
      </c>
      <c r="B140" s="27" t="s">
        <v>1625</v>
      </c>
      <c r="C140" s="10">
        <v>2017</v>
      </c>
      <c r="D140" s="11" t="s">
        <v>1684</v>
      </c>
      <c r="E140" s="10" t="s">
        <v>1631</v>
      </c>
      <c r="F140" s="11" t="s">
        <v>626</v>
      </c>
      <c r="G140" s="10" t="s">
        <v>1028</v>
      </c>
      <c r="H140" s="10" t="s">
        <v>1168</v>
      </c>
      <c r="I140" s="12" t="s">
        <v>1029</v>
      </c>
      <c r="J140" s="10" t="s">
        <v>1040</v>
      </c>
      <c r="K140" s="10" t="s">
        <v>1031</v>
      </c>
      <c r="L140" s="10" t="s">
        <v>1042</v>
      </c>
      <c r="M140" s="10" t="s">
        <v>114</v>
      </c>
      <c r="N140" s="13" t="s">
        <v>1041</v>
      </c>
    </row>
    <row r="141" spans="1:14" s="20" customFormat="1" ht="17.100000000000001" customHeight="1" x14ac:dyDescent="0.25">
      <c r="A141" s="9" t="s">
        <v>1451</v>
      </c>
      <c r="B141" s="10" t="s">
        <v>1452</v>
      </c>
      <c r="C141" s="10">
        <v>2019</v>
      </c>
      <c r="D141" s="11" t="s">
        <v>2187</v>
      </c>
      <c r="E141" s="10" t="s">
        <v>1631</v>
      </c>
      <c r="F141" s="11" t="s">
        <v>2310</v>
      </c>
      <c r="G141" s="10" t="s">
        <v>1174</v>
      </c>
      <c r="H141" s="10" t="s">
        <v>2326</v>
      </c>
      <c r="I141" s="10" t="s">
        <v>1039</v>
      </c>
      <c r="J141" s="10" t="s">
        <v>1030</v>
      </c>
      <c r="K141" s="10" t="s">
        <v>1031</v>
      </c>
      <c r="L141" s="10" t="s">
        <v>1247</v>
      </c>
      <c r="M141" s="10" t="s">
        <v>114</v>
      </c>
      <c r="N141" s="13" t="s">
        <v>1072</v>
      </c>
    </row>
    <row r="142" spans="1:14" s="20" customFormat="1" ht="17.100000000000001" customHeight="1" x14ac:dyDescent="0.25">
      <c r="A142" s="9" t="s">
        <v>1431</v>
      </c>
      <c r="B142" s="10" t="s">
        <v>1432</v>
      </c>
      <c r="C142" s="10">
        <v>2018</v>
      </c>
      <c r="D142" s="11" t="s">
        <v>2180</v>
      </c>
      <c r="E142" s="10" t="s">
        <v>1631</v>
      </c>
      <c r="F142" s="11" t="s">
        <v>2315</v>
      </c>
      <c r="G142" s="10" t="s">
        <v>1215</v>
      </c>
      <c r="H142" s="10" t="s">
        <v>2326</v>
      </c>
      <c r="I142" s="10" t="s">
        <v>1039</v>
      </c>
      <c r="J142" s="10" t="s">
        <v>1036</v>
      </c>
      <c r="K142" s="10" t="s">
        <v>1031</v>
      </c>
      <c r="L142" s="10" t="s">
        <v>1247</v>
      </c>
      <c r="M142" s="10" t="s">
        <v>114</v>
      </c>
      <c r="N142" s="13" t="s">
        <v>1072</v>
      </c>
    </row>
    <row r="143" spans="1:14" s="20" customFormat="1" ht="17.100000000000001" customHeight="1" x14ac:dyDescent="0.25">
      <c r="A143" s="9" t="s">
        <v>1344</v>
      </c>
      <c r="B143" s="10" t="s">
        <v>1345</v>
      </c>
      <c r="C143" s="10">
        <v>2017</v>
      </c>
      <c r="D143" s="11" t="s">
        <v>1942</v>
      </c>
      <c r="E143" s="10" t="s">
        <v>1631</v>
      </c>
      <c r="F143" s="11" t="s">
        <v>2315</v>
      </c>
      <c r="G143" s="10" t="s">
        <v>1062</v>
      </c>
      <c r="H143" s="10" t="s">
        <v>1057</v>
      </c>
      <c r="I143" s="10" t="s">
        <v>1039</v>
      </c>
      <c r="J143" s="10" t="s">
        <v>1030</v>
      </c>
      <c r="K143" s="10" t="s">
        <v>1031</v>
      </c>
      <c r="L143" s="10" t="s">
        <v>1247</v>
      </c>
      <c r="M143" s="10" t="s">
        <v>1346</v>
      </c>
      <c r="N143" s="13" t="s">
        <v>1072</v>
      </c>
    </row>
    <row r="144" spans="1:14" s="20" customFormat="1" ht="17.100000000000001" customHeight="1" x14ac:dyDescent="0.25">
      <c r="A144" s="9" t="s">
        <v>1207</v>
      </c>
      <c r="B144" s="10" t="s">
        <v>634</v>
      </c>
      <c r="C144" s="10">
        <v>2013</v>
      </c>
      <c r="D144" s="11" t="s">
        <v>2009</v>
      </c>
      <c r="E144" s="10" t="s">
        <v>1631</v>
      </c>
      <c r="F144" s="11" t="s">
        <v>583</v>
      </c>
      <c r="G144" s="10" t="s">
        <v>2266</v>
      </c>
      <c r="H144" s="10" t="s">
        <v>1057</v>
      </c>
      <c r="I144" s="12" t="s">
        <v>1029</v>
      </c>
      <c r="J144" s="12" t="s">
        <v>1030</v>
      </c>
      <c r="K144" s="10" t="s">
        <v>1031</v>
      </c>
      <c r="L144" s="10" t="s">
        <v>1032</v>
      </c>
      <c r="M144" s="12" t="s">
        <v>114</v>
      </c>
      <c r="N144" s="14" t="s">
        <v>1035</v>
      </c>
    </row>
    <row r="145" spans="1:14" s="20" customFormat="1" ht="17.100000000000001" customHeight="1" x14ac:dyDescent="0.25">
      <c r="A145" s="9" t="s">
        <v>623</v>
      </c>
      <c r="B145" s="10" t="s">
        <v>927</v>
      </c>
      <c r="C145" s="10">
        <v>2012</v>
      </c>
      <c r="D145" s="11" t="s">
        <v>1938</v>
      </c>
      <c r="E145" s="10" t="s">
        <v>1631</v>
      </c>
      <c r="F145" s="11" t="s">
        <v>624</v>
      </c>
      <c r="G145" s="10" t="s">
        <v>1054</v>
      </c>
      <c r="H145" s="10" t="s">
        <v>1057</v>
      </c>
      <c r="I145" s="12" t="s">
        <v>1039</v>
      </c>
      <c r="J145" s="10" t="s">
        <v>1069</v>
      </c>
      <c r="K145" s="12" t="s">
        <v>1037</v>
      </c>
      <c r="L145" s="12" t="s">
        <v>1042</v>
      </c>
      <c r="M145" s="12" t="s">
        <v>114</v>
      </c>
      <c r="N145" s="13" t="s">
        <v>1041</v>
      </c>
    </row>
    <row r="146" spans="1:14" s="20" customFormat="1" ht="17.100000000000001" customHeight="1" x14ac:dyDescent="0.25">
      <c r="A146" s="9" t="s">
        <v>681</v>
      </c>
      <c r="B146" s="10" t="s">
        <v>962</v>
      </c>
      <c r="C146" s="10">
        <v>2015</v>
      </c>
      <c r="D146" s="11" t="s">
        <v>1808</v>
      </c>
      <c r="E146" s="10" t="s">
        <v>1631</v>
      </c>
      <c r="F146" s="11" t="s">
        <v>651</v>
      </c>
      <c r="G146" s="10" t="s">
        <v>1538</v>
      </c>
      <c r="H146" s="10" t="s">
        <v>2326</v>
      </c>
      <c r="I146" s="12" t="s">
        <v>1039</v>
      </c>
      <c r="J146" s="10" t="s">
        <v>1040</v>
      </c>
      <c r="K146" s="10" t="s">
        <v>1031</v>
      </c>
      <c r="L146" s="10" t="s">
        <v>1032</v>
      </c>
      <c r="M146" s="12" t="s">
        <v>114</v>
      </c>
      <c r="N146" s="14" t="s">
        <v>1035</v>
      </c>
    </row>
    <row r="147" spans="1:14" s="20" customFormat="1" ht="17.100000000000001" customHeight="1" x14ac:dyDescent="0.25">
      <c r="A147" s="9" t="s">
        <v>656</v>
      </c>
      <c r="B147" s="10" t="s">
        <v>944</v>
      </c>
      <c r="C147" s="10">
        <v>2014</v>
      </c>
      <c r="D147" s="11" t="s">
        <v>1767</v>
      </c>
      <c r="E147" s="10" t="s">
        <v>1631</v>
      </c>
      <c r="F147" s="11" t="s">
        <v>651</v>
      </c>
      <c r="G147" s="10" t="s">
        <v>2266</v>
      </c>
      <c r="H147" s="10" t="s">
        <v>2326</v>
      </c>
      <c r="I147" s="10" t="s">
        <v>1039</v>
      </c>
      <c r="J147" s="10" t="s">
        <v>1030</v>
      </c>
      <c r="K147" s="12" t="s">
        <v>1037</v>
      </c>
      <c r="L147" s="10" t="s">
        <v>2398</v>
      </c>
      <c r="M147" s="10" t="s">
        <v>1081</v>
      </c>
      <c r="N147" s="14" t="s">
        <v>1035</v>
      </c>
    </row>
    <row r="148" spans="1:14" s="20" customFormat="1" ht="17.100000000000001" customHeight="1" x14ac:dyDescent="0.25">
      <c r="A148" s="9" t="s">
        <v>730</v>
      </c>
      <c r="B148" s="10" t="s">
        <v>998</v>
      </c>
      <c r="C148" s="10">
        <v>2018</v>
      </c>
      <c r="D148" s="11" t="s">
        <v>1710</v>
      </c>
      <c r="E148" s="10" t="s">
        <v>1631</v>
      </c>
      <c r="F148" s="11" t="s">
        <v>651</v>
      </c>
      <c r="G148" s="10" t="s">
        <v>1054</v>
      </c>
      <c r="H148" s="10" t="s">
        <v>2340</v>
      </c>
      <c r="I148" s="12" t="s">
        <v>1029</v>
      </c>
      <c r="J148" s="10" t="s">
        <v>1040</v>
      </c>
      <c r="K148" s="10" t="s">
        <v>1031</v>
      </c>
      <c r="L148" s="10" t="s">
        <v>1247</v>
      </c>
      <c r="M148" s="12" t="s">
        <v>114</v>
      </c>
      <c r="N148" s="13" t="s">
        <v>1041</v>
      </c>
    </row>
    <row r="149" spans="1:14" s="20" customFormat="1" ht="17.100000000000001" customHeight="1" x14ac:dyDescent="0.25">
      <c r="A149" s="9" t="s">
        <v>650</v>
      </c>
      <c r="B149" s="10" t="s">
        <v>939</v>
      </c>
      <c r="C149" s="10">
        <v>2014</v>
      </c>
      <c r="D149" s="11" t="s">
        <v>1905</v>
      </c>
      <c r="E149" s="10" t="s">
        <v>1631</v>
      </c>
      <c r="F149" s="11" t="s">
        <v>651</v>
      </c>
      <c r="G149" s="10" t="s">
        <v>1028</v>
      </c>
      <c r="H149" s="10" t="s">
        <v>2322</v>
      </c>
      <c r="I149" s="12" t="s">
        <v>1029</v>
      </c>
      <c r="J149" s="10" t="s">
        <v>1030</v>
      </c>
      <c r="K149" s="10" t="s">
        <v>1031</v>
      </c>
      <c r="L149" s="10" t="s">
        <v>1032</v>
      </c>
      <c r="M149" s="10" t="s">
        <v>1089</v>
      </c>
      <c r="N149" s="14" t="s">
        <v>1035</v>
      </c>
    </row>
    <row r="150" spans="1:14" s="20" customFormat="1" ht="17.100000000000001" customHeight="1" x14ac:dyDescent="0.25">
      <c r="A150" s="9" t="s">
        <v>1448</v>
      </c>
      <c r="B150" s="10" t="s">
        <v>1449</v>
      </c>
      <c r="C150" s="10">
        <v>2018</v>
      </c>
      <c r="D150" s="11" t="s">
        <v>2186</v>
      </c>
      <c r="E150" s="10" t="s">
        <v>1631</v>
      </c>
      <c r="F150" s="11" t="s">
        <v>2307</v>
      </c>
      <c r="G150" s="10" t="s">
        <v>2275</v>
      </c>
      <c r="H150" s="10" t="s">
        <v>2326</v>
      </c>
      <c r="I150" s="10" t="s">
        <v>1039</v>
      </c>
      <c r="J150" s="10" t="s">
        <v>1036</v>
      </c>
      <c r="K150" s="10" t="s">
        <v>1031</v>
      </c>
      <c r="L150" s="10" t="s">
        <v>1247</v>
      </c>
      <c r="M150" s="10" t="s">
        <v>1450</v>
      </c>
      <c r="N150" s="13" t="s">
        <v>1072</v>
      </c>
    </row>
    <row r="151" spans="1:14" s="20" customFormat="1" ht="17.100000000000001" customHeight="1" x14ac:dyDescent="0.25">
      <c r="A151" s="9" t="s">
        <v>1378</v>
      </c>
      <c r="B151" s="10" t="s">
        <v>1379</v>
      </c>
      <c r="C151" s="10">
        <v>2014</v>
      </c>
      <c r="D151" s="11" t="s">
        <v>2159</v>
      </c>
      <c r="E151" s="10" t="s">
        <v>1631</v>
      </c>
      <c r="F151" s="11" t="s">
        <v>2307</v>
      </c>
      <c r="G151" s="10" t="s">
        <v>2266</v>
      </c>
      <c r="H151" s="10" t="s">
        <v>1057</v>
      </c>
      <c r="I151" s="10" t="s">
        <v>1039</v>
      </c>
      <c r="J151" s="10" t="s">
        <v>1030</v>
      </c>
      <c r="K151" s="10" t="s">
        <v>1031</v>
      </c>
      <c r="L151" s="10" t="s">
        <v>1247</v>
      </c>
      <c r="M151" s="10" t="s">
        <v>1049</v>
      </c>
      <c r="N151" s="13" t="s">
        <v>1035</v>
      </c>
    </row>
    <row r="152" spans="1:14" s="20" customFormat="1" ht="17.100000000000001" customHeight="1" x14ac:dyDescent="0.25">
      <c r="A152" s="9" t="s">
        <v>1427</v>
      </c>
      <c r="B152" s="10" t="s">
        <v>1428</v>
      </c>
      <c r="C152" s="10">
        <v>2014</v>
      </c>
      <c r="D152" s="11" t="s">
        <v>2006</v>
      </c>
      <c r="E152" s="10" t="s">
        <v>1631</v>
      </c>
      <c r="F152" s="11" t="s">
        <v>2307</v>
      </c>
      <c r="G152" s="10" t="s">
        <v>2266</v>
      </c>
      <c r="H152" s="10" t="s">
        <v>1057</v>
      </c>
      <c r="I152" s="10" t="s">
        <v>1039</v>
      </c>
      <c r="J152" s="10" t="s">
        <v>1030</v>
      </c>
      <c r="K152" s="10" t="s">
        <v>1031</v>
      </c>
      <c r="L152" s="10" t="s">
        <v>1247</v>
      </c>
      <c r="M152" s="10" t="s">
        <v>1050</v>
      </c>
      <c r="N152" s="13" t="s">
        <v>1035</v>
      </c>
    </row>
    <row r="153" spans="1:14" s="20" customFormat="1" ht="17.100000000000001" customHeight="1" x14ac:dyDescent="0.25">
      <c r="A153" s="9" t="s">
        <v>748</v>
      </c>
      <c r="B153" s="10" t="s">
        <v>749</v>
      </c>
      <c r="C153" s="10">
        <v>2019</v>
      </c>
      <c r="D153" s="11" t="s">
        <v>2017</v>
      </c>
      <c r="E153" s="10" t="s">
        <v>1631</v>
      </c>
      <c r="F153" s="11" t="s">
        <v>673</v>
      </c>
      <c r="G153" s="10" t="s">
        <v>2266</v>
      </c>
      <c r="H153" s="10" t="s">
        <v>1057</v>
      </c>
      <c r="I153" s="12" t="s">
        <v>1029</v>
      </c>
      <c r="J153" s="10" t="s">
        <v>1030</v>
      </c>
      <c r="K153" s="10" t="s">
        <v>1031</v>
      </c>
      <c r="L153" s="10" t="s">
        <v>1032</v>
      </c>
      <c r="M153" s="10" t="s">
        <v>1209</v>
      </c>
      <c r="N153" s="14" t="s">
        <v>1035</v>
      </c>
    </row>
    <row r="154" spans="1:14" s="20" customFormat="1" ht="17.100000000000001" customHeight="1" x14ac:dyDescent="0.25">
      <c r="A154" s="9" t="s">
        <v>641</v>
      </c>
      <c r="B154" s="10" t="s">
        <v>935</v>
      </c>
      <c r="C154" s="10">
        <v>2013</v>
      </c>
      <c r="D154" s="11" t="s">
        <v>1782</v>
      </c>
      <c r="E154" s="10" t="s">
        <v>1631</v>
      </c>
      <c r="F154" s="11" t="s">
        <v>642</v>
      </c>
      <c r="G154" s="10" t="s">
        <v>1028</v>
      </c>
      <c r="H154" s="10" t="s">
        <v>2326</v>
      </c>
      <c r="I154" s="12" t="s">
        <v>1029</v>
      </c>
      <c r="J154" s="10" t="s">
        <v>1030</v>
      </c>
      <c r="K154" s="10" t="s">
        <v>1031</v>
      </c>
      <c r="L154" s="10" t="s">
        <v>1032</v>
      </c>
      <c r="M154" s="12" t="s">
        <v>114</v>
      </c>
      <c r="N154" s="13" t="s">
        <v>1034</v>
      </c>
    </row>
    <row r="155" spans="1:14" s="20" customFormat="1" ht="17.100000000000001" customHeight="1" x14ac:dyDescent="0.25">
      <c r="A155" s="9" t="s">
        <v>761</v>
      </c>
      <c r="B155" s="10" t="s">
        <v>1009</v>
      </c>
      <c r="C155" s="10">
        <v>2019</v>
      </c>
      <c r="D155" s="11" t="s">
        <v>1664</v>
      </c>
      <c r="E155" s="10" t="s">
        <v>1631</v>
      </c>
      <c r="F155" s="11" t="s">
        <v>645</v>
      </c>
      <c r="G155" s="10" t="s">
        <v>2267</v>
      </c>
      <c r="H155" s="10" t="s">
        <v>2326</v>
      </c>
      <c r="I155" s="12" t="s">
        <v>1029</v>
      </c>
      <c r="J155" s="10" t="s">
        <v>1030</v>
      </c>
      <c r="K155" s="10" t="s">
        <v>1031</v>
      </c>
      <c r="L155" s="10" t="s">
        <v>1032</v>
      </c>
      <c r="M155" s="10" t="s">
        <v>1144</v>
      </c>
      <c r="N155" s="13" t="s">
        <v>1034</v>
      </c>
    </row>
    <row r="156" spans="1:14" s="20" customFormat="1" ht="17.100000000000001" customHeight="1" x14ac:dyDescent="0.25">
      <c r="A156" s="9" t="s">
        <v>644</v>
      </c>
      <c r="B156" s="10" t="s">
        <v>937</v>
      </c>
      <c r="C156" s="10">
        <v>2013</v>
      </c>
      <c r="D156" s="11" t="s">
        <v>2029</v>
      </c>
      <c r="E156" s="10" t="s">
        <v>1631</v>
      </c>
      <c r="F156" s="11" t="s">
        <v>645</v>
      </c>
      <c r="G156" s="12" t="s">
        <v>1215</v>
      </c>
      <c r="H156" s="10" t="s">
        <v>1166</v>
      </c>
      <c r="I156" s="12" t="s">
        <v>1029</v>
      </c>
      <c r="J156" s="10" t="s">
        <v>1030</v>
      </c>
      <c r="K156" s="10" t="s">
        <v>1031</v>
      </c>
      <c r="L156" s="10" t="s">
        <v>1032</v>
      </c>
      <c r="M156" s="12" t="s">
        <v>114</v>
      </c>
      <c r="N156" s="13" t="s">
        <v>1041</v>
      </c>
    </row>
    <row r="157" spans="1:14" s="20" customFormat="1" ht="17.100000000000001" customHeight="1" x14ac:dyDescent="0.25">
      <c r="A157" s="9" t="s">
        <v>714</v>
      </c>
      <c r="B157" s="10" t="s">
        <v>991</v>
      </c>
      <c r="C157" s="10">
        <v>2016</v>
      </c>
      <c r="D157" s="11" t="s">
        <v>2048</v>
      </c>
      <c r="E157" s="10" t="s">
        <v>1631</v>
      </c>
      <c r="F157" s="11" t="s">
        <v>645</v>
      </c>
      <c r="G157" s="10" t="s">
        <v>2266</v>
      </c>
      <c r="H157" s="10" t="s">
        <v>1168</v>
      </c>
      <c r="I157" s="12" t="s">
        <v>1029</v>
      </c>
      <c r="J157" s="10" t="s">
        <v>1030</v>
      </c>
      <c r="K157" s="10" t="s">
        <v>1031</v>
      </c>
      <c r="L157" s="10" t="s">
        <v>1032</v>
      </c>
      <c r="M157" s="10" t="s">
        <v>1224</v>
      </c>
      <c r="N157" s="13" t="s">
        <v>1034</v>
      </c>
    </row>
    <row r="158" spans="1:14" s="20" customFormat="1" ht="17.100000000000001" customHeight="1" x14ac:dyDescent="0.25">
      <c r="A158" s="9" t="s">
        <v>737</v>
      </c>
      <c r="B158" s="10" t="s">
        <v>1001</v>
      </c>
      <c r="C158" s="10">
        <v>2018</v>
      </c>
      <c r="D158" s="11" t="s">
        <v>1789</v>
      </c>
      <c r="E158" s="10" t="s">
        <v>1631</v>
      </c>
      <c r="F158" s="11" t="s">
        <v>645</v>
      </c>
      <c r="G158" s="10" t="s">
        <v>1062</v>
      </c>
      <c r="H158" s="10" t="s">
        <v>1180</v>
      </c>
      <c r="I158" s="12" t="s">
        <v>1039</v>
      </c>
      <c r="J158" s="10" t="s">
        <v>1030</v>
      </c>
      <c r="K158" s="10" t="s">
        <v>1031</v>
      </c>
      <c r="L158" s="10" t="s">
        <v>1032</v>
      </c>
      <c r="M158" s="12" t="s">
        <v>114</v>
      </c>
      <c r="N158" s="13" t="s">
        <v>1041</v>
      </c>
    </row>
    <row r="159" spans="1:14" s="20" customFormat="1" ht="17.100000000000001" customHeight="1" x14ac:dyDescent="0.25">
      <c r="A159" s="9" t="s">
        <v>738</v>
      </c>
      <c r="B159" s="10" t="s">
        <v>1002</v>
      </c>
      <c r="C159" s="10">
        <v>2018</v>
      </c>
      <c r="D159" s="11" t="s">
        <v>1825</v>
      </c>
      <c r="E159" s="10" t="s">
        <v>1631</v>
      </c>
      <c r="F159" s="11" t="s">
        <v>739</v>
      </c>
      <c r="G159" s="10" t="s">
        <v>2266</v>
      </c>
      <c r="H159" s="10" t="s">
        <v>2326</v>
      </c>
      <c r="I159" s="12" t="s">
        <v>1029</v>
      </c>
      <c r="J159" s="10" t="s">
        <v>1036</v>
      </c>
      <c r="K159" s="10" t="s">
        <v>1031</v>
      </c>
      <c r="L159" s="10" t="s">
        <v>1032</v>
      </c>
      <c r="M159" s="12" t="s">
        <v>114</v>
      </c>
      <c r="N159" s="14" t="s">
        <v>1035</v>
      </c>
    </row>
    <row r="160" spans="1:14" s="20" customFormat="1" ht="17.100000000000001" customHeight="1" x14ac:dyDescent="0.25">
      <c r="A160" s="9" t="s">
        <v>1388</v>
      </c>
      <c r="B160" s="10" t="s">
        <v>1389</v>
      </c>
      <c r="C160" s="10">
        <v>2014</v>
      </c>
      <c r="D160" s="11" t="s">
        <v>2163</v>
      </c>
      <c r="E160" s="10" t="s">
        <v>1631</v>
      </c>
      <c r="F160" s="11" t="s">
        <v>603</v>
      </c>
      <c r="G160" s="10" t="s">
        <v>2297</v>
      </c>
      <c r="H160" s="10" t="s">
        <v>2326</v>
      </c>
      <c r="I160" s="10" t="s">
        <v>1039</v>
      </c>
      <c r="J160" s="10" t="s">
        <v>1030</v>
      </c>
      <c r="K160" s="10" t="s">
        <v>1031</v>
      </c>
      <c r="L160" s="10" t="s">
        <v>1247</v>
      </c>
      <c r="M160" s="10" t="s">
        <v>114</v>
      </c>
      <c r="N160" s="13" t="s">
        <v>1041</v>
      </c>
    </row>
    <row r="161" spans="1:14" s="20" customFormat="1" ht="17.100000000000001" customHeight="1" x14ac:dyDescent="0.25">
      <c r="A161" s="9" t="s">
        <v>1112</v>
      </c>
      <c r="B161" s="10" t="s">
        <v>973</v>
      </c>
      <c r="C161" s="32">
        <v>2015</v>
      </c>
      <c r="D161" s="11" t="s">
        <v>1799</v>
      </c>
      <c r="E161" s="10" t="s">
        <v>1631</v>
      </c>
      <c r="F161" s="11" t="s">
        <v>603</v>
      </c>
      <c r="G161" s="10" t="s">
        <v>1028</v>
      </c>
      <c r="H161" s="10" t="s">
        <v>2326</v>
      </c>
      <c r="I161" s="12" t="s">
        <v>1029</v>
      </c>
      <c r="J161" s="10" t="s">
        <v>1693</v>
      </c>
      <c r="K161" s="10" t="s">
        <v>1031</v>
      </c>
      <c r="L161" s="10" t="s">
        <v>1032</v>
      </c>
      <c r="M161" s="12" t="s">
        <v>114</v>
      </c>
      <c r="N161" s="13" t="s">
        <v>1041</v>
      </c>
    </row>
    <row r="162" spans="1:14" s="20" customFormat="1" ht="17.100000000000001" customHeight="1" x14ac:dyDescent="0.25">
      <c r="A162" s="9" t="s">
        <v>602</v>
      </c>
      <c r="B162" s="10" t="s">
        <v>916</v>
      </c>
      <c r="C162" s="10">
        <v>2011</v>
      </c>
      <c r="D162" s="11" t="s">
        <v>1914</v>
      </c>
      <c r="E162" s="10" t="s">
        <v>1631</v>
      </c>
      <c r="F162" s="11" t="s">
        <v>603</v>
      </c>
      <c r="G162" s="10" t="s">
        <v>2266</v>
      </c>
      <c r="H162" s="10" t="s">
        <v>2329</v>
      </c>
      <c r="I162" s="12" t="s">
        <v>1029</v>
      </c>
      <c r="J162" s="10" t="s">
        <v>1030</v>
      </c>
      <c r="K162" s="10" t="s">
        <v>1031</v>
      </c>
      <c r="L162" s="10" t="s">
        <v>1042</v>
      </c>
      <c r="M162" s="12" t="s">
        <v>114</v>
      </c>
      <c r="N162" s="13" t="s">
        <v>1041</v>
      </c>
    </row>
    <row r="163" spans="1:14" s="20" customFormat="1" ht="17.100000000000001" customHeight="1" x14ac:dyDescent="0.25">
      <c r="A163" s="9" t="s">
        <v>643</v>
      </c>
      <c r="B163" s="10" t="s">
        <v>936</v>
      </c>
      <c r="C163" s="12">
        <v>2013</v>
      </c>
      <c r="D163" s="11" t="s">
        <v>1932</v>
      </c>
      <c r="E163" s="10" t="s">
        <v>1631</v>
      </c>
      <c r="F163" s="11" t="s">
        <v>603</v>
      </c>
      <c r="G163" s="12" t="s">
        <v>1028</v>
      </c>
      <c r="H163" s="10" t="s">
        <v>1057</v>
      </c>
      <c r="I163" s="12" t="s">
        <v>1029</v>
      </c>
      <c r="J163" s="12" t="s">
        <v>1030</v>
      </c>
      <c r="K163" s="10" t="s">
        <v>1031</v>
      </c>
      <c r="L163" s="10" t="s">
        <v>1032</v>
      </c>
      <c r="M163" s="12" t="s">
        <v>114</v>
      </c>
      <c r="N163" s="14" t="s">
        <v>1035</v>
      </c>
    </row>
    <row r="164" spans="1:14" s="20" customFormat="1" ht="17.100000000000001" customHeight="1" x14ac:dyDescent="0.25">
      <c r="A164" s="9" t="s">
        <v>2403</v>
      </c>
      <c r="B164" s="10" t="s">
        <v>958</v>
      </c>
      <c r="C164" s="10">
        <v>2014</v>
      </c>
      <c r="D164" s="11" t="s">
        <v>1892</v>
      </c>
      <c r="E164" s="10" t="s">
        <v>1631</v>
      </c>
      <c r="F164" s="11" t="s">
        <v>603</v>
      </c>
      <c r="G164" s="10" t="s">
        <v>1028</v>
      </c>
      <c r="H164" s="10" t="s">
        <v>2331</v>
      </c>
      <c r="I164" s="12" t="s">
        <v>1029</v>
      </c>
      <c r="J164" s="10" t="s">
        <v>1040</v>
      </c>
      <c r="K164" s="10" t="s">
        <v>1031</v>
      </c>
      <c r="L164" s="10" t="s">
        <v>1247</v>
      </c>
      <c r="M164" s="10" t="s">
        <v>1097</v>
      </c>
      <c r="N164" s="14" t="s">
        <v>1035</v>
      </c>
    </row>
    <row r="165" spans="1:14" s="20" customFormat="1" ht="17.100000000000001" customHeight="1" x14ac:dyDescent="0.25">
      <c r="A165" s="9" t="s">
        <v>695</v>
      </c>
      <c r="B165" s="10" t="s">
        <v>974</v>
      </c>
      <c r="C165" s="10">
        <v>2015</v>
      </c>
      <c r="D165" s="11" t="s">
        <v>2028</v>
      </c>
      <c r="E165" s="10" t="s">
        <v>1631</v>
      </c>
      <c r="F165" s="11" t="s">
        <v>605</v>
      </c>
      <c r="G165" s="10" t="s">
        <v>1165</v>
      </c>
      <c r="H165" s="10" t="s">
        <v>1166</v>
      </c>
      <c r="I165" s="12" t="s">
        <v>1029</v>
      </c>
      <c r="J165" s="10" t="s">
        <v>1040</v>
      </c>
      <c r="K165" s="10" t="s">
        <v>1031</v>
      </c>
      <c r="L165" s="10" t="s">
        <v>1247</v>
      </c>
      <c r="M165" s="12" t="s">
        <v>114</v>
      </c>
      <c r="N165" s="14" t="s">
        <v>1035</v>
      </c>
    </row>
    <row r="166" spans="1:14" s="20" customFormat="1" ht="17.100000000000001" customHeight="1" x14ac:dyDescent="0.25">
      <c r="A166" s="9" t="s">
        <v>764</v>
      </c>
      <c r="B166" s="10" t="s">
        <v>1011</v>
      </c>
      <c r="C166" s="10">
        <v>2019</v>
      </c>
      <c r="D166" s="11" t="s">
        <v>1668</v>
      </c>
      <c r="E166" s="10" t="s">
        <v>1631</v>
      </c>
      <c r="F166" s="11" t="s">
        <v>605</v>
      </c>
      <c r="G166" s="10" t="s">
        <v>1164</v>
      </c>
      <c r="H166" s="10" t="s">
        <v>1057</v>
      </c>
      <c r="I166" s="12" t="s">
        <v>1039</v>
      </c>
      <c r="J166" s="10" t="s">
        <v>1030</v>
      </c>
      <c r="K166" s="10" t="s">
        <v>1031</v>
      </c>
      <c r="L166" s="10" t="s">
        <v>1247</v>
      </c>
      <c r="M166" s="12" t="s">
        <v>114</v>
      </c>
      <c r="N166" s="14" t="s">
        <v>1035</v>
      </c>
    </row>
    <row r="167" spans="1:14" s="20" customFormat="1" ht="17.100000000000001" customHeight="1" x14ac:dyDescent="0.25">
      <c r="A167" s="9" t="s">
        <v>741</v>
      </c>
      <c r="B167" s="10" t="s">
        <v>1004</v>
      </c>
      <c r="C167" s="10">
        <v>2019</v>
      </c>
      <c r="D167" s="11" t="s">
        <v>2062</v>
      </c>
      <c r="E167" s="10" t="s">
        <v>1631</v>
      </c>
      <c r="F167" s="11" t="s">
        <v>605</v>
      </c>
      <c r="G167" s="10" t="s">
        <v>2266</v>
      </c>
      <c r="H167" s="10" t="s">
        <v>2340</v>
      </c>
      <c r="I167" s="12" t="s">
        <v>1039</v>
      </c>
      <c r="J167" s="10" t="s">
        <v>1030</v>
      </c>
      <c r="K167" s="10" t="s">
        <v>1031</v>
      </c>
      <c r="L167" s="10" t="s">
        <v>1247</v>
      </c>
      <c r="M167" s="10" t="s">
        <v>1093</v>
      </c>
      <c r="N167" s="14" t="s">
        <v>1035</v>
      </c>
    </row>
    <row r="168" spans="1:14" s="20" customFormat="1" ht="17.100000000000001" customHeight="1" x14ac:dyDescent="0.25">
      <c r="A168" s="9" t="s">
        <v>604</v>
      </c>
      <c r="B168" s="10" t="s">
        <v>917</v>
      </c>
      <c r="C168" s="10">
        <v>2011</v>
      </c>
      <c r="D168" s="11" t="s">
        <v>1924</v>
      </c>
      <c r="E168" s="10" t="s">
        <v>1631</v>
      </c>
      <c r="F168" s="11" t="s">
        <v>605</v>
      </c>
      <c r="G168" s="10" t="s">
        <v>2266</v>
      </c>
      <c r="H168" s="10" t="s">
        <v>2331</v>
      </c>
      <c r="I168" s="12" t="s">
        <v>1029</v>
      </c>
      <c r="J168" s="10" t="s">
        <v>1030</v>
      </c>
      <c r="K168" s="10" t="s">
        <v>1031</v>
      </c>
      <c r="L168" s="12" t="s">
        <v>1042</v>
      </c>
      <c r="M168" s="12" t="s">
        <v>114</v>
      </c>
      <c r="N168" s="14" t="s">
        <v>1035</v>
      </c>
    </row>
    <row r="169" spans="1:14" s="20" customFormat="1" ht="17.100000000000001" customHeight="1" x14ac:dyDescent="0.25">
      <c r="A169" s="9" t="s">
        <v>767</v>
      </c>
      <c r="B169" s="10" t="s">
        <v>1013</v>
      </c>
      <c r="C169" s="10">
        <v>2019</v>
      </c>
      <c r="D169" s="11" t="s">
        <v>1650</v>
      </c>
      <c r="E169" s="10" t="s">
        <v>1631</v>
      </c>
      <c r="F169" s="11" t="s">
        <v>766</v>
      </c>
      <c r="G169" s="10" t="s">
        <v>1164</v>
      </c>
      <c r="H169" s="10" t="s">
        <v>2341</v>
      </c>
      <c r="I169" s="12" t="s">
        <v>1029</v>
      </c>
      <c r="J169" s="12" t="s">
        <v>1030</v>
      </c>
      <c r="K169" s="10" t="s">
        <v>1031</v>
      </c>
      <c r="L169" s="10" t="s">
        <v>1032</v>
      </c>
      <c r="M169" s="12" t="s">
        <v>1055</v>
      </c>
      <c r="N169" s="14" t="s">
        <v>1035</v>
      </c>
    </row>
    <row r="170" spans="1:14" s="20" customFormat="1" ht="17.100000000000001" customHeight="1" x14ac:dyDescent="0.25">
      <c r="A170" s="9" t="s">
        <v>765</v>
      </c>
      <c r="B170" s="10" t="s">
        <v>1012</v>
      </c>
      <c r="C170" s="10">
        <v>2019</v>
      </c>
      <c r="D170" s="11" t="s">
        <v>1649</v>
      </c>
      <c r="E170" s="10" t="s">
        <v>1631</v>
      </c>
      <c r="F170" s="11" t="s">
        <v>766</v>
      </c>
      <c r="G170" s="10" t="s">
        <v>2275</v>
      </c>
      <c r="H170" s="10" t="s">
        <v>2341</v>
      </c>
      <c r="I170" s="12" t="s">
        <v>1029</v>
      </c>
      <c r="J170" s="12" t="s">
        <v>1030</v>
      </c>
      <c r="K170" s="10" t="s">
        <v>1031</v>
      </c>
      <c r="L170" s="10" t="s">
        <v>1032</v>
      </c>
      <c r="M170" s="10" t="s">
        <v>1140</v>
      </c>
      <c r="N170" s="14" t="s">
        <v>1035</v>
      </c>
    </row>
    <row r="171" spans="1:14" s="20" customFormat="1" ht="17.100000000000001" customHeight="1" x14ac:dyDescent="0.25">
      <c r="A171" s="9" t="s">
        <v>1410</v>
      </c>
      <c r="B171" s="10" t="s">
        <v>1411</v>
      </c>
      <c r="C171" s="10">
        <v>2017</v>
      </c>
      <c r="D171" s="11" t="s">
        <v>2172</v>
      </c>
      <c r="E171" s="10" t="s">
        <v>1631</v>
      </c>
      <c r="F171" s="11" t="s">
        <v>766</v>
      </c>
      <c r="G171" s="10" t="s">
        <v>2275</v>
      </c>
      <c r="H171" s="10" t="s">
        <v>2326</v>
      </c>
      <c r="I171" s="10" t="s">
        <v>1039</v>
      </c>
      <c r="J171" s="10" t="s">
        <v>1030</v>
      </c>
      <c r="K171" s="12" t="s">
        <v>1037</v>
      </c>
      <c r="L171" s="10" t="s">
        <v>1247</v>
      </c>
      <c r="M171" s="10" t="s">
        <v>1412</v>
      </c>
      <c r="N171" s="13" t="s">
        <v>1035</v>
      </c>
    </row>
    <row r="172" spans="1:14" s="20" customFormat="1" ht="17.100000000000001" customHeight="1" x14ac:dyDescent="0.25">
      <c r="A172" s="9" t="s">
        <v>1422</v>
      </c>
      <c r="B172" s="10" t="s">
        <v>1423</v>
      </c>
      <c r="C172" s="10">
        <v>2020</v>
      </c>
      <c r="D172" s="11" t="s">
        <v>2177</v>
      </c>
      <c r="E172" s="10" t="s">
        <v>1631</v>
      </c>
      <c r="F172" s="11" t="s">
        <v>766</v>
      </c>
      <c r="G172" s="10" t="s">
        <v>2266</v>
      </c>
      <c r="H172" s="10" t="s">
        <v>2411</v>
      </c>
      <c r="I172" s="10" t="s">
        <v>1039</v>
      </c>
      <c r="J172" s="10" t="s">
        <v>1030</v>
      </c>
      <c r="K172" s="10" t="s">
        <v>1031</v>
      </c>
      <c r="L172" s="10" t="s">
        <v>1247</v>
      </c>
      <c r="M172" s="10" t="s">
        <v>114</v>
      </c>
      <c r="N172" s="13" t="s">
        <v>1035</v>
      </c>
    </row>
    <row r="173" spans="1:14" s="20" customFormat="1" ht="17.100000000000001" customHeight="1" x14ac:dyDescent="0.25">
      <c r="A173" s="9" t="s">
        <v>768</v>
      </c>
      <c r="B173" s="10" t="s">
        <v>1014</v>
      </c>
      <c r="C173" s="10">
        <v>2019</v>
      </c>
      <c r="D173" s="11" t="s">
        <v>1662</v>
      </c>
      <c r="E173" s="10" t="s">
        <v>1631</v>
      </c>
      <c r="F173" s="11" t="s">
        <v>769</v>
      </c>
      <c r="G173" s="10" t="s">
        <v>2266</v>
      </c>
      <c r="H173" s="10" t="s">
        <v>2326</v>
      </c>
      <c r="I173" s="12" t="s">
        <v>1029</v>
      </c>
      <c r="J173" s="12" t="s">
        <v>1040</v>
      </c>
      <c r="K173" s="10" t="s">
        <v>1031</v>
      </c>
      <c r="L173" s="10" t="s">
        <v>1032</v>
      </c>
      <c r="M173" s="10" t="s">
        <v>1141</v>
      </c>
      <c r="N173" s="14" t="s">
        <v>1035</v>
      </c>
    </row>
    <row r="174" spans="1:14" s="20" customFormat="1" ht="17.100000000000001" customHeight="1" x14ac:dyDescent="0.25">
      <c r="A174" s="9" t="s">
        <v>615</v>
      </c>
      <c r="B174" s="10" t="s">
        <v>923</v>
      </c>
      <c r="C174" s="10">
        <v>2012</v>
      </c>
      <c r="D174" s="11" t="s">
        <v>1890</v>
      </c>
      <c r="E174" s="10" t="s">
        <v>1631</v>
      </c>
      <c r="F174" s="11" t="s">
        <v>616</v>
      </c>
      <c r="G174" s="10" t="s">
        <v>2267</v>
      </c>
      <c r="H174" s="10" t="s">
        <v>1057</v>
      </c>
      <c r="I174" s="12" t="s">
        <v>1029</v>
      </c>
      <c r="J174" s="10" t="s">
        <v>1069</v>
      </c>
      <c r="K174" s="10" t="s">
        <v>1031</v>
      </c>
      <c r="L174" s="10" t="s">
        <v>1032</v>
      </c>
      <c r="M174" s="10" t="s">
        <v>1070</v>
      </c>
      <c r="N174" s="14" t="s">
        <v>1035</v>
      </c>
    </row>
    <row r="175" spans="1:14" s="20" customFormat="1" ht="17.100000000000001" customHeight="1" x14ac:dyDescent="0.25">
      <c r="A175" s="9" t="s">
        <v>1392</v>
      </c>
      <c r="B175" s="10" t="s">
        <v>1393</v>
      </c>
      <c r="C175" s="10">
        <v>2014</v>
      </c>
      <c r="D175" s="11" t="s">
        <v>2165</v>
      </c>
      <c r="E175" s="10" t="s">
        <v>1631</v>
      </c>
      <c r="F175" s="11" t="s">
        <v>2312</v>
      </c>
      <c r="G175" s="10" t="s">
        <v>2298</v>
      </c>
      <c r="H175" s="10" t="s">
        <v>2326</v>
      </c>
      <c r="I175" s="10" t="s">
        <v>1039</v>
      </c>
      <c r="J175" s="10" t="s">
        <v>1040</v>
      </c>
      <c r="K175" s="12" t="s">
        <v>1037</v>
      </c>
      <c r="L175" s="10" t="s">
        <v>1247</v>
      </c>
      <c r="M175" s="10" t="s">
        <v>1394</v>
      </c>
      <c r="N175" s="13" t="s">
        <v>1035</v>
      </c>
    </row>
    <row r="176" spans="1:14" s="20" customFormat="1" ht="17.100000000000001" customHeight="1" x14ac:dyDescent="0.25">
      <c r="A176" s="9" t="s">
        <v>657</v>
      </c>
      <c r="B176" s="10" t="s">
        <v>945</v>
      </c>
      <c r="C176" s="12">
        <v>2014</v>
      </c>
      <c r="D176" s="11" t="s">
        <v>1795</v>
      </c>
      <c r="E176" s="10" t="s">
        <v>1631</v>
      </c>
      <c r="F176" s="11" t="s">
        <v>658</v>
      </c>
      <c r="G176" s="12" t="s">
        <v>1110</v>
      </c>
      <c r="H176" s="10" t="s">
        <v>2331</v>
      </c>
      <c r="I176" s="10" t="s">
        <v>1493</v>
      </c>
      <c r="J176" s="10" t="s">
        <v>1040</v>
      </c>
      <c r="K176" s="10" t="s">
        <v>1031</v>
      </c>
      <c r="L176" s="10" t="s">
        <v>1042</v>
      </c>
      <c r="M176" s="12" t="s">
        <v>114</v>
      </c>
      <c r="N176" s="13" t="s">
        <v>1041</v>
      </c>
    </row>
    <row r="177" spans="1:14" s="20" customFormat="1" ht="17.100000000000001" customHeight="1" x14ac:dyDescent="0.25">
      <c r="A177" s="9" t="s">
        <v>796</v>
      </c>
      <c r="B177" s="10" t="s">
        <v>797</v>
      </c>
      <c r="C177" s="10">
        <v>2022</v>
      </c>
      <c r="D177" s="11" t="s">
        <v>1969</v>
      </c>
      <c r="E177" s="10" t="s">
        <v>1631</v>
      </c>
      <c r="F177" s="11" t="s">
        <v>2388</v>
      </c>
      <c r="G177" s="10" t="s">
        <v>1028</v>
      </c>
      <c r="H177" s="10" t="s">
        <v>1646</v>
      </c>
      <c r="I177" s="12" t="s">
        <v>1039</v>
      </c>
      <c r="J177" s="10" t="s">
        <v>1030</v>
      </c>
      <c r="K177" s="10" t="s">
        <v>1031</v>
      </c>
      <c r="L177" s="10" t="s">
        <v>1247</v>
      </c>
      <c r="M177" s="10"/>
      <c r="N177" s="13" t="s">
        <v>1041</v>
      </c>
    </row>
    <row r="178" spans="1:14" s="20" customFormat="1" ht="17.100000000000001" customHeight="1" x14ac:dyDescent="0.25">
      <c r="A178" s="9" t="s">
        <v>794</v>
      </c>
      <c r="B178" s="10" t="s">
        <v>795</v>
      </c>
      <c r="C178" s="10">
        <v>2021</v>
      </c>
      <c r="D178" s="11" t="s">
        <v>1969</v>
      </c>
      <c r="E178" s="10" t="s">
        <v>1631</v>
      </c>
      <c r="F178" s="11" t="s">
        <v>2388</v>
      </c>
      <c r="G178" s="12" t="s">
        <v>1028</v>
      </c>
      <c r="H178" s="10" t="s">
        <v>1168</v>
      </c>
      <c r="I178" s="12" t="s">
        <v>1039</v>
      </c>
      <c r="J178" s="10" t="s">
        <v>1030</v>
      </c>
      <c r="K178" s="10" t="s">
        <v>1031</v>
      </c>
      <c r="L178" s="10" t="s">
        <v>1247</v>
      </c>
      <c r="M178" s="10"/>
      <c r="N178" s="13" t="s">
        <v>1041</v>
      </c>
    </row>
    <row r="179" spans="1:14" s="20" customFormat="1" ht="17.100000000000001" customHeight="1" x14ac:dyDescent="0.25">
      <c r="A179" s="9" t="s">
        <v>635</v>
      </c>
      <c r="B179" s="10" t="s">
        <v>636</v>
      </c>
      <c r="C179" s="10">
        <v>2013</v>
      </c>
      <c r="D179" s="11" t="s">
        <v>1731</v>
      </c>
      <c r="E179" s="10" t="s">
        <v>1631</v>
      </c>
      <c r="F179" s="11" t="s">
        <v>582</v>
      </c>
      <c r="G179" s="10" t="s">
        <v>2266</v>
      </c>
      <c r="H179" s="10" t="s">
        <v>2324</v>
      </c>
      <c r="I179" s="12" t="s">
        <v>1029</v>
      </c>
      <c r="J179" s="12" t="s">
        <v>1030</v>
      </c>
      <c r="K179" s="10" t="s">
        <v>1031</v>
      </c>
      <c r="L179" s="10" t="s">
        <v>1032</v>
      </c>
      <c r="M179" s="12" t="s">
        <v>1055</v>
      </c>
      <c r="N179" s="14" t="s">
        <v>1035</v>
      </c>
    </row>
    <row r="180" spans="1:14" s="20" customFormat="1" ht="17.100000000000001" customHeight="1" x14ac:dyDescent="0.25">
      <c r="A180" s="9" t="s">
        <v>719</v>
      </c>
      <c r="B180" s="10" t="s">
        <v>720</v>
      </c>
      <c r="C180" s="10">
        <v>2017</v>
      </c>
      <c r="D180" s="11" t="s">
        <v>1776</v>
      </c>
      <c r="E180" s="10" t="s">
        <v>1631</v>
      </c>
      <c r="F180" s="11" t="s">
        <v>582</v>
      </c>
      <c r="G180" s="10" t="s">
        <v>2266</v>
      </c>
      <c r="H180" s="10" t="s">
        <v>2326</v>
      </c>
      <c r="I180" s="12" t="s">
        <v>1029</v>
      </c>
      <c r="J180" s="10" t="s">
        <v>1030</v>
      </c>
      <c r="K180" s="10" t="s">
        <v>1031</v>
      </c>
      <c r="L180" s="10" t="s">
        <v>1042</v>
      </c>
      <c r="M180" s="10" t="s">
        <v>1090</v>
      </c>
      <c r="N180" s="14" t="s">
        <v>1035</v>
      </c>
    </row>
    <row r="181" spans="1:14" s="20" customFormat="1" ht="17.100000000000001" customHeight="1" x14ac:dyDescent="0.25">
      <c r="A181" s="9" t="s">
        <v>580</v>
      </c>
      <c r="B181" s="10" t="s">
        <v>581</v>
      </c>
      <c r="C181" s="10">
        <v>2009</v>
      </c>
      <c r="D181" s="11" t="s">
        <v>2051</v>
      </c>
      <c r="E181" s="10" t="s">
        <v>1631</v>
      </c>
      <c r="F181" s="11" t="s">
        <v>582</v>
      </c>
      <c r="G181" s="10" t="s">
        <v>1054</v>
      </c>
      <c r="H181" s="10" t="s">
        <v>2326</v>
      </c>
      <c r="I181" s="12" t="s">
        <v>1039</v>
      </c>
      <c r="J181" s="10" t="s">
        <v>1036</v>
      </c>
      <c r="K181" s="10" t="s">
        <v>1031</v>
      </c>
      <c r="L181" s="10" t="s">
        <v>1247</v>
      </c>
      <c r="M181" s="12" t="s">
        <v>114</v>
      </c>
      <c r="N181" s="13" t="s">
        <v>1041</v>
      </c>
    </row>
    <row r="182" spans="1:14" s="20" customFormat="1" ht="17.100000000000001" customHeight="1" x14ac:dyDescent="0.25">
      <c r="A182" s="9" t="s">
        <v>629</v>
      </c>
      <c r="B182" s="10" t="s">
        <v>630</v>
      </c>
      <c r="C182" s="10">
        <v>2013</v>
      </c>
      <c r="D182" s="11" t="s">
        <v>1821</v>
      </c>
      <c r="E182" s="10" t="s">
        <v>1631</v>
      </c>
      <c r="F182" s="11" t="s">
        <v>582</v>
      </c>
      <c r="G182" s="12" t="s">
        <v>1028</v>
      </c>
      <c r="H182" s="10" t="s">
        <v>2326</v>
      </c>
      <c r="I182" s="12" t="s">
        <v>1029</v>
      </c>
      <c r="J182" s="10" t="s">
        <v>1040</v>
      </c>
      <c r="K182" s="10" t="s">
        <v>1031</v>
      </c>
      <c r="L182" s="10" t="s">
        <v>1032</v>
      </c>
      <c r="M182" s="12" t="s">
        <v>114</v>
      </c>
      <c r="N182" s="14" t="s">
        <v>1035</v>
      </c>
    </row>
    <row r="183" spans="1:14" s="20" customFormat="1" ht="17.100000000000001" customHeight="1" x14ac:dyDescent="0.25">
      <c r="A183" s="9" t="s">
        <v>598</v>
      </c>
      <c r="B183" s="10" t="s">
        <v>599</v>
      </c>
      <c r="C183" s="10">
        <v>2011</v>
      </c>
      <c r="D183" s="11" t="s">
        <v>1804</v>
      </c>
      <c r="E183" s="10" t="s">
        <v>1631</v>
      </c>
      <c r="F183" s="11" t="s">
        <v>582</v>
      </c>
      <c r="G183" s="12" t="s">
        <v>1173</v>
      </c>
      <c r="H183" s="10" t="s">
        <v>2326</v>
      </c>
      <c r="I183" s="12" t="s">
        <v>1039</v>
      </c>
      <c r="J183" s="10" t="s">
        <v>1040</v>
      </c>
      <c r="K183" s="10" t="s">
        <v>1031</v>
      </c>
      <c r="L183" s="10" t="s">
        <v>1032</v>
      </c>
      <c r="M183" s="12" t="s">
        <v>114</v>
      </c>
      <c r="N183" s="14" t="s">
        <v>1035</v>
      </c>
    </row>
    <row r="184" spans="1:14" s="20" customFormat="1" ht="17.100000000000001" customHeight="1" x14ac:dyDescent="0.25">
      <c r="A184" s="9" t="s">
        <v>733</v>
      </c>
      <c r="B184" s="10" t="s">
        <v>734</v>
      </c>
      <c r="C184" s="10">
        <v>2018</v>
      </c>
      <c r="D184" s="11" t="s">
        <v>1871</v>
      </c>
      <c r="E184" s="10" t="s">
        <v>1631</v>
      </c>
      <c r="F184" s="11" t="s">
        <v>582</v>
      </c>
      <c r="G184" s="10" t="s">
        <v>2275</v>
      </c>
      <c r="H184" s="10" t="s">
        <v>1161</v>
      </c>
      <c r="I184" s="12" t="s">
        <v>1039</v>
      </c>
      <c r="J184" s="10" t="s">
        <v>1030</v>
      </c>
      <c r="K184" s="10" t="s">
        <v>1031</v>
      </c>
      <c r="L184" s="10" t="s">
        <v>1032</v>
      </c>
      <c r="M184" s="10" t="s">
        <v>1123</v>
      </c>
      <c r="N184" s="14" t="s">
        <v>1035</v>
      </c>
    </row>
    <row r="185" spans="1:14" s="20" customFormat="1" ht="17.100000000000001" customHeight="1" x14ac:dyDescent="0.25">
      <c r="A185" s="9" t="s">
        <v>611</v>
      </c>
      <c r="B185" s="10" t="s">
        <v>612</v>
      </c>
      <c r="C185" s="10">
        <v>2012</v>
      </c>
      <c r="D185" s="11" t="s">
        <v>1737</v>
      </c>
      <c r="E185" s="10" t="s">
        <v>1631</v>
      </c>
      <c r="F185" s="11" t="s">
        <v>582</v>
      </c>
      <c r="G185" s="10" t="s">
        <v>1054</v>
      </c>
      <c r="H185" s="10" t="s">
        <v>1161</v>
      </c>
      <c r="I185" s="12" t="s">
        <v>1039</v>
      </c>
      <c r="J185" s="12" t="s">
        <v>1688</v>
      </c>
      <c r="K185" s="12" t="s">
        <v>1037</v>
      </c>
      <c r="L185" s="10" t="s">
        <v>1247</v>
      </c>
      <c r="M185" s="12" t="s">
        <v>114</v>
      </c>
      <c r="N185" s="13" t="s">
        <v>1041</v>
      </c>
    </row>
    <row r="186" spans="1:14" s="20" customFormat="1" ht="17.100000000000001" customHeight="1" x14ac:dyDescent="0.25">
      <c r="A186" s="9" t="s">
        <v>589</v>
      </c>
      <c r="B186" s="10" t="s">
        <v>590</v>
      </c>
      <c r="C186" s="10">
        <v>2010</v>
      </c>
      <c r="D186" s="11" t="s">
        <v>2027</v>
      </c>
      <c r="E186" s="10" t="s">
        <v>1631</v>
      </c>
      <c r="F186" s="11" t="s">
        <v>582</v>
      </c>
      <c r="G186" s="10" t="s">
        <v>1054</v>
      </c>
      <c r="H186" s="10" t="s">
        <v>1166</v>
      </c>
      <c r="I186" s="12" t="s">
        <v>1029</v>
      </c>
      <c r="J186" s="10" t="s">
        <v>1036</v>
      </c>
      <c r="K186" s="10" t="s">
        <v>1031</v>
      </c>
      <c r="L186" s="10" t="s">
        <v>1247</v>
      </c>
      <c r="M186" s="10" t="s">
        <v>1214</v>
      </c>
      <c r="N186" s="14" t="s">
        <v>1035</v>
      </c>
    </row>
    <row r="187" spans="1:14" s="20" customFormat="1" ht="17.100000000000001" customHeight="1" x14ac:dyDescent="0.25">
      <c r="A187" s="9" t="s">
        <v>690</v>
      </c>
      <c r="B187" s="10" t="s">
        <v>691</v>
      </c>
      <c r="C187" s="10">
        <v>2015</v>
      </c>
      <c r="D187" s="11" t="s">
        <v>1887</v>
      </c>
      <c r="E187" s="10" t="s">
        <v>1631</v>
      </c>
      <c r="F187" s="11" t="s">
        <v>582</v>
      </c>
      <c r="G187" s="10" t="s">
        <v>1054</v>
      </c>
      <c r="H187" s="10" t="s">
        <v>1057</v>
      </c>
      <c r="I187" s="12" t="s">
        <v>1029</v>
      </c>
      <c r="J187" s="10" t="s">
        <v>1030</v>
      </c>
      <c r="K187" s="10" t="s">
        <v>1031</v>
      </c>
      <c r="L187" s="10" t="s">
        <v>1247</v>
      </c>
      <c r="M187" s="12" t="s">
        <v>114</v>
      </c>
      <c r="N187" s="14" t="s">
        <v>1035</v>
      </c>
    </row>
    <row r="188" spans="1:14" s="20" customFormat="1" ht="17.100000000000001" customHeight="1" x14ac:dyDescent="0.25">
      <c r="A188" s="9" t="s">
        <v>707</v>
      </c>
      <c r="B188" s="10" t="s">
        <v>708</v>
      </c>
      <c r="C188" s="10">
        <v>2016</v>
      </c>
      <c r="D188" s="11" t="s">
        <v>1954</v>
      </c>
      <c r="E188" s="10" t="s">
        <v>1631</v>
      </c>
      <c r="F188" s="11" t="s">
        <v>582</v>
      </c>
      <c r="G188" s="10" t="s">
        <v>1054</v>
      </c>
      <c r="H188" s="10" t="s">
        <v>1057</v>
      </c>
      <c r="I188" s="12" t="s">
        <v>1029</v>
      </c>
      <c r="J188" s="10" t="s">
        <v>1030</v>
      </c>
      <c r="K188" s="10" t="s">
        <v>1031</v>
      </c>
      <c r="L188" s="10" t="s">
        <v>1247</v>
      </c>
      <c r="M188" s="12" t="s">
        <v>1055</v>
      </c>
      <c r="N188" s="14" t="s">
        <v>1035</v>
      </c>
    </row>
    <row r="189" spans="1:14" s="20" customFormat="1" ht="17.100000000000001" customHeight="1" x14ac:dyDescent="0.25">
      <c r="A189" s="9" t="s">
        <v>661</v>
      </c>
      <c r="B189" s="10" t="s">
        <v>662</v>
      </c>
      <c r="C189" s="10">
        <v>2014</v>
      </c>
      <c r="D189" s="11" t="s">
        <v>1950</v>
      </c>
      <c r="E189" s="10" t="s">
        <v>1631</v>
      </c>
      <c r="F189" s="11" t="s">
        <v>582</v>
      </c>
      <c r="G189" s="10" t="s">
        <v>1054</v>
      </c>
      <c r="H189" s="10" t="s">
        <v>1057</v>
      </c>
      <c r="I189" s="12" t="s">
        <v>1039</v>
      </c>
      <c r="J189" s="10" t="s">
        <v>1030</v>
      </c>
      <c r="K189" s="10" t="s">
        <v>1031</v>
      </c>
      <c r="L189" s="10" t="s">
        <v>1032</v>
      </c>
      <c r="M189" s="10" t="s">
        <v>1191</v>
      </c>
      <c r="N189" s="14" t="s">
        <v>1035</v>
      </c>
    </row>
    <row r="190" spans="1:14" s="20" customFormat="1" ht="17.100000000000001" customHeight="1" x14ac:dyDescent="0.25">
      <c r="A190" s="9" t="s">
        <v>632</v>
      </c>
      <c r="B190" s="10" t="s">
        <v>633</v>
      </c>
      <c r="C190" s="10">
        <v>2013</v>
      </c>
      <c r="D190" s="11" t="s">
        <v>1948</v>
      </c>
      <c r="E190" s="10" t="s">
        <v>1631</v>
      </c>
      <c r="F190" s="11" t="s">
        <v>582</v>
      </c>
      <c r="G190" s="10" t="s">
        <v>1054</v>
      </c>
      <c r="H190" s="10" t="s">
        <v>1057</v>
      </c>
      <c r="I190" s="12" t="s">
        <v>1039</v>
      </c>
      <c r="J190" s="10" t="s">
        <v>1040</v>
      </c>
      <c r="K190" s="10" t="s">
        <v>1031</v>
      </c>
      <c r="L190" s="10" t="s">
        <v>1032</v>
      </c>
      <c r="M190" s="12" t="s">
        <v>114</v>
      </c>
      <c r="N190" s="13" t="s">
        <v>1041</v>
      </c>
    </row>
    <row r="191" spans="1:14" s="20" customFormat="1" ht="17.100000000000001" customHeight="1" x14ac:dyDescent="0.25">
      <c r="A191" s="9" t="s">
        <v>715</v>
      </c>
      <c r="B191" s="10" t="s">
        <v>716</v>
      </c>
      <c r="C191" s="12">
        <v>2017</v>
      </c>
      <c r="D191" s="11" t="s">
        <v>1743</v>
      </c>
      <c r="E191" s="10" t="s">
        <v>1631</v>
      </c>
      <c r="F191" s="11" t="s">
        <v>582</v>
      </c>
      <c r="G191" s="12" t="s">
        <v>1028</v>
      </c>
      <c r="H191" s="10" t="s">
        <v>1057</v>
      </c>
      <c r="I191" s="12" t="s">
        <v>1039</v>
      </c>
      <c r="J191" s="12" t="s">
        <v>1040</v>
      </c>
      <c r="K191" s="10" t="s">
        <v>1031</v>
      </c>
      <c r="L191" s="10" t="s">
        <v>1032</v>
      </c>
      <c r="M191" s="12" t="s">
        <v>114</v>
      </c>
      <c r="N191" s="13" t="s">
        <v>1041</v>
      </c>
    </row>
    <row r="192" spans="1:14" s="20" customFormat="1" ht="17.100000000000001" customHeight="1" x14ac:dyDescent="0.25">
      <c r="A192" s="9" t="s">
        <v>717</v>
      </c>
      <c r="B192" s="10" t="s">
        <v>718</v>
      </c>
      <c r="C192" s="10">
        <v>2017</v>
      </c>
      <c r="D192" s="11" t="s">
        <v>1709</v>
      </c>
      <c r="E192" s="10" t="s">
        <v>1631</v>
      </c>
      <c r="F192" s="11" t="s">
        <v>582</v>
      </c>
      <c r="G192" s="10" t="s">
        <v>1054</v>
      </c>
      <c r="H192" s="10" t="s">
        <v>1060</v>
      </c>
      <c r="I192" s="12" t="s">
        <v>1029</v>
      </c>
      <c r="J192" s="10" t="s">
        <v>1040</v>
      </c>
      <c r="K192" s="10" t="s">
        <v>1031</v>
      </c>
      <c r="L192" s="10" t="s">
        <v>1247</v>
      </c>
      <c r="M192" s="12" t="s">
        <v>114</v>
      </c>
      <c r="N192" s="13" t="s">
        <v>1041</v>
      </c>
    </row>
    <row r="193" spans="1:14" s="20" customFormat="1" ht="17.100000000000001" customHeight="1" x14ac:dyDescent="0.25">
      <c r="A193" s="9" t="s">
        <v>639</v>
      </c>
      <c r="B193" s="10" t="s">
        <v>640</v>
      </c>
      <c r="C193" s="10">
        <v>2013</v>
      </c>
      <c r="D193" s="11" t="s">
        <v>1737</v>
      </c>
      <c r="E193" s="10" t="s">
        <v>1631</v>
      </c>
      <c r="F193" s="11" t="s">
        <v>582</v>
      </c>
      <c r="G193" s="10" t="s">
        <v>1054</v>
      </c>
      <c r="H193" s="10" t="s">
        <v>1178</v>
      </c>
      <c r="I193" s="12" t="s">
        <v>1039</v>
      </c>
      <c r="J193" s="12" t="s">
        <v>1688</v>
      </c>
      <c r="K193" s="10" t="s">
        <v>1031</v>
      </c>
      <c r="L193" s="10" t="s">
        <v>1247</v>
      </c>
      <c r="M193" s="10" t="s">
        <v>1091</v>
      </c>
      <c r="N193" s="14" t="s">
        <v>1035</v>
      </c>
    </row>
    <row r="194" spans="1:14" s="20" customFormat="1" ht="17.100000000000001" customHeight="1" x14ac:dyDescent="0.25">
      <c r="A194" s="9" t="s">
        <v>702</v>
      </c>
      <c r="B194" s="10" t="s">
        <v>703</v>
      </c>
      <c r="C194" s="10">
        <v>2016</v>
      </c>
      <c r="D194" s="11" t="s">
        <v>2056</v>
      </c>
      <c r="E194" s="10" t="s">
        <v>1631</v>
      </c>
      <c r="F194" s="11" t="s">
        <v>582</v>
      </c>
      <c r="G194" s="12" t="s">
        <v>1094</v>
      </c>
      <c r="H194" s="10" t="s">
        <v>1229</v>
      </c>
      <c r="I194" s="12" t="s">
        <v>1029</v>
      </c>
      <c r="J194" s="10" t="s">
        <v>1040</v>
      </c>
      <c r="K194" s="10" t="s">
        <v>1031</v>
      </c>
      <c r="L194" s="10" t="s">
        <v>1247</v>
      </c>
      <c r="M194" s="12" t="s">
        <v>114</v>
      </c>
      <c r="N194" s="14" t="s">
        <v>1035</v>
      </c>
    </row>
    <row r="195" spans="1:14" s="20" customFormat="1" ht="17.100000000000001" customHeight="1" x14ac:dyDescent="0.25">
      <c r="A195" s="9" t="s">
        <v>609</v>
      </c>
      <c r="B195" s="10" t="s">
        <v>610</v>
      </c>
      <c r="C195" s="12">
        <v>2012</v>
      </c>
      <c r="D195" s="11" t="s">
        <v>1713</v>
      </c>
      <c r="E195" s="10" t="s">
        <v>1631</v>
      </c>
      <c r="F195" s="11" t="s">
        <v>582</v>
      </c>
      <c r="G195" s="12" t="s">
        <v>1028</v>
      </c>
      <c r="H195" s="10" t="s">
        <v>2320</v>
      </c>
      <c r="I195" s="12" t="s">
        <v>1029</v>
      </c>
      <c r="J195" s="12" t="s">
        <v>1030</v>
      </c>
      <c r="K195" s="10" t="s">
        <v>1031</v>
      </c>
      <c r="L195" s="12" t="s">
        <v>1042</v>
      </c>
      <c r="M195" s="12" t="s">
        <v>1043</v>
      </c>
      <c r="N195" s="13" t="s">
        <v>1034</v>
      </c>
    </row>
    <row r="196" spans="1:14" s="20" customFormat="1" ht="17.100000000000001" customHeight="1" x14ac:dyDescent="0.25">
      <c r="A196" s="9" t="s">
        <v>619</v>
      </c>
      <c r="B196" s="10" t="s">
        <v>620</v>
      </c>
      <c r="C196" s="10">
        <v>2012</v>
      </c>
      <c r="D196" s="11" t="s">
        <v>1737</v>
      </c>
      <c r="E196" s="10" t="s">
        <v>1631</v>
      </c>
      <c r="F196" s="11" t="s">
        <v>582</v>
      </c>
      <c r="G196" s="10" t="s">
        <v>1054</v>
      </c>
      <c r="H196" s="10" t="s">
        <v>2323</v>
      </c>
      <c r="I196" s="12" t="s">
        <v>1039</v>
      </c>
      <c r="J196" s="12" t="s">
        <v>1688</v>
      </c>
      <c r="K196" s="10" t="s">
        <v>1031</v>
      </c>
      <c r="L196" s="10" t="s">
        <v>1247</v>
      </c>
      <c r="M196" s="10" t="s">
        <v>1096</v>
      </c>
      <c r="N196" s="14" t="s">
        <v>1035</v>
      </c>
    </row>
    <row r="197" spans="1:14" s="20" customFormat="1" ht="17.100000000000001" customHeight="1" x14ac:dyDescent="0.25">
      <c r="A197" s="9" t="s">
        <v>587</v>
      </c>
      <c r="B197" s="10" t="s">
        <v>588</v>
      </c>
      <c r="C197" s="10">
        <v>2010</v>
      </c>
      <c r="D197" s="11" t="s">
        <v>1916</v>
      </c>
      <c r="E197" s="10" t="s">
        <v>1631</v>
      </c>
      <c r="F197" s="11" t="s">
        <v>582</v>
      </c>
      <c r="G197" s="10" t="s">
        <v>1181</v>
      </c>
      <c r="H197" s="10" t="s">
        <v>2333</v>
      </c>
      <c r="I197" s="12" t="s">
        <v>1039</v>
      </c>
      <c r="J197" s="10" t="s">
        <v>1036</v>
      </c>
      <c r="K197" s="10" t="s">
        <v>1031</v>
      </c>
      <c r="L197" s="10" t="s">
        <v>1247</v>
      </c>
      <c r="M197" s="12" t="s">
        <v>114</v>
      </c>
      <c r="N197" s="14" t="s">
        <v>1035</v>
      </c>
    </row>
    <row r="198" spans="1:14" s="20" customFormat="1" ht="17.100000000000001" customHeight="1" x14ac:dyDescent="0.25">
      <c r="A198" s="9" t="s">
        <v>621</v>
      </c>
      <c r="B198" s="10" t="s">
        <v>926</v>
      </c>
      <c r="C198" s="10">
        <v>2012</v>
      </c>
      <c r="D198" s="11" t="s">
        <v>1788</v>
      </c>
      <c r="E198" s="10" t="s">
        <v>1631</v>
      </c>
      <c r="F198" s="11" t="s">
        <v>622</v>
      </c>
      <c r="G198" s="10" t="s">
        <v>1094</v>
      </c>
      <c r="H198" s="10" t="s">
        <v>2326</v>
      </c>
      <c r="I198" s="12" t="s">
        <v>1029</v>
      </c>
      <c r="J198" s="10" t="s">
        <v>1040</v>
      </c>
      <c r="K198" s="10" t="s">
        <v>1031</v>
      </c>
      <c r="L198" s="10" t="s">
        <v>1032</v>
      </c>
      <c r="M198" s="10" t="s">
        <v>1100</v>
      </c>
      <c r="N198" s="13" t="s">
        <v>1034</v>
      </c>
    </row>
    <row r="199" spans="1:14" s="20" customFormat="1" ht="17.100000000000001" customHeight="1" x14ac:dyDescent="0.25">
      <c r="A199" s="9" t="s">
        <v>712</v>
      </c>
      <c r="B199" s="10" t="s">
        <v>989</v>
      </c>
      <c r="C199" s="10">
        <v>2016</v>
      </c>
      <c r="D199" s="11" t="s">
        <v>1796</v>
      </c>
      <c r="E199" s="10" t="s">
        <v>1631</v>
      </c>
      <c r="F199" s="11" t="s">
        <v>694</v>
      </c>
      <c r="G199" s="10" t="s">
        <v>2294</v>
      </c>
      <c r="H199" s="10" t="s">
        <v>2326</v>
      </c>
      <c r="I199" s="12" t="s">
        <v>1029</v>
      </c>
      <c r="J199" s="10" t="s">
        <v>1069</v>
      </c>
      <c r="K199" s="12" t="s">
        <v>1037</v>
      </c>
      <c r="L199" s="10" t="s">
        <v>1032</v>
      </c>
      <c r="M199" s="12" t="s">
        <v>114</v>
      </c>
      <c r="N199" s="14" t="s">
        <v>1035</v>
      </c>
    </row>
    <row r="200" spans="1:14" s="20" customFormat="1" ht="17.100000000000001" customHeight="1" x14ac:dyDescent="0.25">
      <c r="A200" s="9" t="s">
        <v>725</v>
      </c>
      <c r="B200" s="10" t="s">
        <v>726</v>
      </c>
      <c r="C200" s="10">
        <v>2017</v>
      </c>
      <c r="D200" s="11" t="s">
        <v>1707</v>
      </c>
      <c r="E200" s="28" t="s">
        <v>1631</v>
      </c>
      <c r="F200" s="11" t="s">
        <v>727</v>
      </c>
      <c r="G200" s="10" t="s">
        <v>2266</v>
      </c>
      <c r="H200" s="10" t="s">
        <v>2326</v>
      </c>
      <c r="I200" s="12" t="s">
        <v>1039</v>
      </c>
      <c r="J200" s="10" t="s">
        <v>1036</v>
      </c>
      <c r="K200" s="12" t="s">
        <v>1037</v>
      </c>
      <c r="L200" s="10" t="s">
        <v>1032</v>
      </c>
      <c r="M200" s="10" t="s">
        <v>1082</v>
      </c>
      <c r="N200" s="14" t="s">
        <v>1035</v>
      </c>
    </row>
    <row r="201" spans="1:14" s="20" customFormat="1" ht="17.100000000000001" customHeight="1" x14ac:dyDescent="0.25">
      <c r="A201" s="9" t="s">
        <v>1622</v>
      </c>
      <c r="B201" s="10" t="s">
        <v>1623</v>
      </c>
      <c r="C201" s="10">
        <v>2017</v>
      </c>
      <c r="D201" s="11" t="s">
        <v>1683</v>
      </c>
      <c r="E201" s="10" t="s">
        <v>1631</v>
      </c>
      <c r="F201" s="11" t="s">
        <v>727</v>
      </c>
      <c r="G201" s="10" t="s">
        <v>1028</v>
      </c>
      <c r="H201" s="10" t="s">
        <v>2320</v>
      </c>
      <c r="I201" s="12" t="s">
        <v>1029</v>
      </c>
      <c r="J201" s="10" t="s">
        <v>1040</v>
      </c>
      <c r="K201" s="12" t="s">
        <v>1037</v>
      </c>
      <c r="L201" s="10" t="s">
        <v>1032</v>
      </c>
      <c r="M201" s="10" t="s">
        <v>1055</v>
      </c>
      <c r="N201" s="13" t="s">
        <v>1035</v>
      </c>
    </row>
    <row r="202" spans="1:14" s="20" customFormat="1" ht="17.100000000000001" customHeight="1" x14ac:dyDescent="0.25">
      <c r="A202" s="9" t="s">
        <v>754</v>
      </c>
      <c r="B202" s="10" t="s">
        <v>755</v>
      </c>
      <c r="C202" s="10">
        <v>2019</v>
      </c>
      <c r="D202" s="11" t="s">
        <v>1698</v>
      </c>
      <c r="E202" s="10" t="s">
        <v>1631</v>
      </c>
      <c r="F202" s="11" t="s">
        <v>4375</v>
      </c>
      <c r="G202" s="10" t="s">
        <v>2266</v>
      </c>
      <c r="H202" s="10" t="s">
        <v>2341</v>
      </c>
      <c r="I202" s="12" t="s">
        <v>1029</v>
      </c>
      <c r="J202" s="10" t="s">
        <v>1114</v>
      </c>
      <c r="K202" s="10" t="s">
        <v>1031</v>
      </c>
      <c r="L202" s="10" t="s">
        <v>1032</v>
      </c>
      <c r="M202" s="10" t="s">
        <v>1138</v>
      </c>
      <c r="N202" s="14" t="s">
        <v>1035</v>
      </c>
    </row>
    <row r="203" spans="1:14" s="20" customFormat="1" ht="17.100000000000001" customHeight="1" x14ac:dyDescent="0.25">
      <c r="A203" s="9" t="s">
        <v>1601</v>
      </c>
      <c r="B203" s="10" t="s">
        <v>1602</v>
      </c>
      <c r="C203" s="10">
        <v>2022</v>
      </c>
      <c r="D203" s="11" t="s">
        <v>2261</v>
      </c>
      <c r="E203" s="10" t="s">
        <v>1631</v>
      </c>
      <c r="F203" s="11" t="s">
        <v>4375</v>
      </c>
      <c r="G203" s="10" t="s">
        <v>2266</v>
      </c>
      <c r="H203" s="10" t="s">
        <v>2326</v>
      </c>
      <c r="I203" s="10" t="s">
        <v>1493</v>
      </c>
      <c r="J203" s="10" t="s">
        <v>1030</v>
      </c>
      <c r="K203" s="10" t="s">
        <v>1031</v>
      </c>
      <c r="L203" s="10" t="s">
        <v>1247</v>
      </c>
      <c r="M203" s="10" t="s">
        <v>114</v>
      </c>
      <c r="N203" s="13" t="s">
        <v>1041</v>
      </c>
    </row>
    <row r="204" spans="1:14" s="20" customFormat="1" ht="17.100000000000001" customHeight="1" x14ac:dyDescent="0.25">
      <c r="A204" s="9" t="s">
        <v>762</v>
      </c>
      <c r="B204" s="10" t="s">
        <v>1010</v>
      </c>
      <c r="C204" s="10">
        <v>2019</v>
      </c>
      <c r="D204" s="11" t="s">
        <v>1672</v>
      </c>
      <c r="E204" s="10" t="s">
        <v>1631</v>
      </c>
      <c r="F204" s="11" t="s">
        <v>763</v>
      </c>
      <c r="G204" s="10" t="s">
        <v>1094</v>
      </c>
      <c r="H204" s="10" t="s">
        <v>1168</v>
      </c>
      <c r="I204" s="12" t="s">
        <v>1029</v>
      </c>
      <c r="J204" s="10" t="s">
        <v>1030</v>
      </c>
      <c r="K204" s="10" t="s">
        <v>1031</v>
      </c>
      <c r="L204" s="10" t="s">
        <v>1032</v>
      </c>
      <c r="M204" s="10" t="s">
        <v>1104</v>
      </c>
      <c r="N204" s="14" t="s">
        <v>1035</v>
      </c>
    </row>
    <row r="205" spans="1:14" s="20" customFormat="1" ht="17.100000000000001" customHeight="1" x14ac:dyDescent="0.25">
      <c r="A205" s="9" t="s">
        <v>785</v>
      </c>
      <c r="B205" s="10" t="s">
        <v>786</v>
      </c>
      <c r="C205" s="10">
        <v>2022</v>
      </c>
      <c r="D205" s="11" t="s">
        <v>1694</v>
      </c>
      <c r="E205" s="10" t="s">
        <v>1631</v>
      </c>
      <c r="F205" s="11" t="s">
        <v>787</v>
      </c>
      <c r="G205" s="10" t="s">
        <v>1028</v>
      </c>
      <c r="H205" s="10" t="s">
        <v>2320</v>
      </c>
      <c r="I205" s="12" t="s">
        <v>1029</v>
      </c>
      <c r="J205" s="10" t="s">
        <v>1030</v>
      </c>
      <c r="K205" s="10" t="s">
        <v>1031</v>
      </c>
      <c r="L205" s="10" t="s">
        <v>1032</v>
      </c>
      <c r="M205" s="10" t="s">
        <v>114</v>
      </c>
      <c r="N205" s="13" t="s">
        <v>1041</v>
      </c>
    </row>
    <row r="206" spans="1:14" s="20" customFormat="1" ht="17.100000000000001" customHeight="1" x14ac:dyDescent="0.25">
      <c r="A206" s="9" t="s">
        <v>788</v>
      </c>
      <c r="B206" s="10" t="s">
        <v>789</v>
      </c>
      <c r="C206" s="10">
        <v>2022</v>
      </c>
      <c r="D206" s="11" t="s">
        <v>1694</v>
      </c>
      <c r="E206" s="10" t="s">
        <v>1631</v>
      </c>
      <c r="F206" s="11" t="s">
        <v>787</v>
      </c>
      <c r="G206" s="10" t="s">
        <v>1028</v>
      </c>
      <c r="H206" s="10" t="s">
        <v>2320</v>
      </c>
      <c r="I206" s="12" t="s">
        <v>1029</v>
      </c>
      <c r="J206" s="10" t="s">
        <v>1030</v>
      </c>
      <c r="K206" s="10" t="s">
        <v>1031</v>
      </c>
      <c r="L206" s="10" t="s">
        <v>1032</v>
      </c>
      <c r="M206" s="10" t="s">
        <v>114</v>
      </c>
      <c r="N206" s="13" t="s">
        <v>1041</v>
      </c>
    </row>
    <row r="207" spans="1:14" s="20" customFormat="1" ht="17.100000000000001" customHeight="1" x14ac:dyDescent="0.25">
      <c r="A207" s="9" t="s">
        <v>646</v>
      </c>
      <c r="B207" s="10" t="s">
        <v>647</v>
      </c>
      <c r="C207" s="10">
        <v>2013</v>
      </c>
      <c r="D207" s="11" t="s">
        <v>1981</v>
      </c>
      <c r="E207" s="10" t="s">
        <v>1631</v>
      </c>
      <c r="F207" s="11" t="s">
        <v>648</v>
      </c>
      <c r="G207" s="10" t="s">
        <v>2266</v>
      </c>
      <c r="H207" s="10" t="s">
        <v>2327</v>
      </c>
      <c r="I207" s="12" t="s">
        <v>1029</v>
      </c>
      <c r="J207" s="10" t="s">
        <v>1040</v>
      </c>
      <c r="K207" s="10" t="s">
        <v>1031</v>
      </c>
      <c r="L207" s="10" t="s">
        <v>1247</v>
      </c>
      <c r="M207" s="10" t="s">
        <v>1086</v>
      </c>
      <c r="N207" s="13" t="s">
        <v>1072</v>
      </c>
    </row>
    <row r="208" spans="1:14" s="20" customFormat="1" ht="17.100000000000001" customHeight="1" x14ac:dyDescent="0.25">
      <c r="A208" s="9" t="s">
        <v>744</v>
      </c>
      <c r="B208" s="10" t="s">
        <v>745</v>
      </c>
      <c r="C208" s="10">
        <v>2019</v>
      </c>
      <c r="D208" s="11" t="s">
        <v>2039</v>
      </c>
      <c r="E208" s="10" t="s">
        <v>1631</v>
      </c>
      <c r="F208" s="11" t="s">
        <v>648</v>
      </c>
      <c r="G208" s="10" t="s">
        <v>1054</v>
      </c>
      <c r="H208" s="10" t="s">
        <v>1168</v>
      </c>
      <c r="I208" s="12" t="s">
        <v>1039</v>
      </c>
      <c r="J208" s="10" t="s">
        <v>1040</v>
      </c>
      <c r="K208" s="10" t="s">
        <v>1031</v>
      </c>
      <c r="L208" s="10" t="s">
        <v>1032</v>
      </c>
      <c r="M208" s="12" t="s">
        <v>114</v>
      </c>
      <c r="N208" s="13" t="s">
        <v>1072</v>
      </c>
    </row>
    <row r="209" spans="1:14" s="20" customFormat="1" ht="17.100000000000001" customHeight="1" x14ac:dyDescent="0.25">
      <c r="A209" s="19" t="s">
        <v>1603</v>
      </c>
      <c r="B209" s="15" t="s">
        <v>1604</v>
      </c>
      <c r="C209" s="15">
        <v>2021</v>
      </c>
      <c r="D209" s="16" t="s">
        <v>2262</v>
      </c>
      <c r="E209" s="15" t="s">
        <v>1631</v>
      </c>
      <c r="F209" s="16" t="s">
        <v>1605</v>
      </c>
      <c r="G209" s="15" t="s">
        <v>2275</v>
      </c>
      <c r="H209" s="15" t="s">
        <v>2326</v>
      </c>
      <c r="I209" s="15" t="s">
        <v>1493</v>
      </c>
      <c r="J209" s="15" t="s">
        <v>1040</v>
      </c>
      <c r="K209" s="15" t="s">
        <v>1031</v>
      </c>
      <c r="L209" s="15" t="s">
        <v>1247</v>
      </c>
      <c r="M209" s="15" t="s">
        <v>114</v>
      </c>
      <c r="N209" s="49" t="s">
        <v>1041</v>
      </c>
    </row>
  </sheetData>
  <sortState xmlns:xlrd2="http://schemas.microsoft.com/office/spreadsheetml/2017/richdata2" ref="A2:N209">
    <sortCondition ref="F2:F209"/>
  </sortState>
  <conditionalFormatting sqref="A1:A209">
    <cfRule type="duplicateValues" dxfId="29" priority="110"/>
  </conditionalFormatting>
  <conditionalFormatting sqref="B1:B207">
    <cfRule type="duplicateValues" dxfId="28" priority="112"/>
  </conditionalFormatting>
  <conditionalFormatting sqref="B1:B208">
    <cfRule type="duplicateValues" dxfId="27" priority="85"/>
  </conditionalFormatting>
  <conditionalFormatting sqref="B1:B1048576">
    <cfRule type="duplicateValues" dxfId="26" priority="1"/>
  </conditionalFormatting>
  <conditionalFormatting sqref="B208">
    <cfRule type="duplicateValues" dxfId="25" priority="4"/>
  </conditionalFormatting>
  <conditionalFormatting sqref="B209">
    <cfRule type="duplicateValues" dxfId="24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0D77-8A91-406B-A616-4D9BC01DAF08}">
  <dimension ref="A1:B37"/>
  <sheetViews>
    <sheetView workbookViewId="0">
      <selection activeCell="A31" sqref="A2:B37"/>
    </sheetView>
  </sheetViews>
  <sheetFormatPr defaultRowHeight="15" x14ac:dyDescent="0.25"/>
  <cols>
    <col min="1" max="1" width="93.28515625" customWidth="1"/>
  </cols>
  <sheetData>
    <row r="1" spans="1:2" x14ac:dyDescent="0.25">
      <c r="A1" s="65" t="s">
        <v>4299</v>
      </c>
      <c r="B1" s="66" t="s">
        <v>2391</v>
      </c>
    </row>
    <row r="2" spans="1:2" x14ac:dyDescent="0.25">
      <c r="A2" s="50" t="s">
        <v>596</v>
      </c>
      <c r="B2" s="44">
        <f>COUNTIF('Conference Papers'!F:F,"*"&amp;A2&amp;"*")</f>
        <v>1</v>
      </c>
    </row>
    <row r="3" spans="1:2" x14ac:dyDescent="0.25">
      <c r="A3" s="50" t="s">
        <v>4375</v>
      </c>
      <c r="B3" s="44">
        <f>COUNTIF('Conference Papers'!F:F,"*"&amp;A3&amp;"*")</f>
        <v>8</v>
      </c>
    </row>
    <row r="4" spans="1:2" x14ac:dyDescent="0.25">
      <c r="A4" s="50" t="s">
        <v>4374</v>
      </c>
      <c r="B4" s="44">
        <f>COUNTIF('Conference Papers'!F:F,"*"&amp;A4&amp;"*")</f>
        <v>1</v>
      </c>
    </row>
    <row r="5" spans="1:2" x14ac:dyDescent="0.25">
      <c r="A5" s="50" t="s">
        <v>4373</v>
      </c>
      <c r="B5" s="44">
        <f>COUNTIF('Conference Papers'!F:F,"*"&amp;A5&amp;"*")</f>
        <v>2</v>
      </c>
    </row>
    <row r="6" spans="1:2" x14ac:dyDescent="0.25">
      <c r="A6" s="50" t="s">
        <v>4372</v>
      </c>
      <c r="B6" s="44">
        <f>COUNTIF('Conference Papers'!F:F,"*"&amp;A6&amp;"*")</f>
        <v>1</v>
      </c>
    </row>
    <row r="7" spans="1:2" x14ac:dyDescent="0.25">
      <c r="A7" s="50" t="s">
        <v>4371</v>
      </c>
      <c r="B7" s="44">
        <f>COUNTIF('Conference Papers'!F:F,"*"&amp;A7&amp;"*")</f>
        <v>1</v>
      </c>
    </row>
    <row r="8" spans="1:2" x14ac:dyDescent="0.25">
      <c r="A8" s="50" t="s">
        <v>2309</v>
      </c>
      <c r="B8" s="44">
        <f>COUNTIF('Conference Papers'!F:F,"*"&amp;A8&amp;"*")</f>
        <v>14</v>
      </c>
    </row>
    <row r="9" spans="1:2" x14ac:dyDescent="0.25">
      <c r="A9" s="50" t="s">
        <v>4370</v>
      </c>
      <c r="B9" s="44">
        <f>COUNTIF('Conference Papers'!F:F,"*"&amp;A9&amp;"*")</f>
        <v>17</v>
      </c>
    </row>
    <row r="10" spans="1:2" x14ac:dyDescent="0.25">
      <c r="A10" s="50" t="s">
        <v>2316</v>
      </c>
      <c r="B10" s="44">
        <f>COUNTIF('Conference Papers'!F:F,"*"&amp;A10&amp;"*")</f>
        <v>1</v>
      </c>
    </row>
    <row r="11" spans="1:2" x14ac:dyDescent="0.25">
      <c r="A11" s="50" t="s">
        <v>4376</v>
      </c>
      <c r="B11" s="44">
        <f>COUNTIF('Conference Papers'!F:F,"*"&amp;A11&amp;"*")</f>
        <v>6</v>
      </c>
    </row>
    <row r="12" spans="1:2" x14ac:dyDescent="0.25">
      <c r="A12" s="50" t="s">
        <v>4377</v>
      </c>
      <c r="B12" s="44">
        <f>COUNTIF('Conference Papers'!F:F,"*"&amp;A12&amp;"*")</f>
        <v>9</v>
      </c>
    </row>
    <row r="13" spans="1:2" x14ac:dyDescent="0.25">
      <c r="A13" s="50" t="s">
        <v>2317</v>
      </c>
      <c r="B13" s="44">
        <f>COUNTIF('Conference Papers'!F:F,"*"&amp;A13&amp;"*")</f>
        <v>24</v>
      </c>
    </row>
    <row r="14" spans="1:2" x14ac:dyDescent="0.25">
      <c r="A14" s="50" t="s">
        <v>773</v>
      </c>
      <c r="B14" s="44">
        <f>COUNTIF('Conference Papers'!F:F,"*"&amp;A14&amp;"*")</f>
        <v>47</v>
      </c>
    </row>
    <row r="15" spans="1:2" x14ac:dyDescent="0.25">
      <c r="A15" s="50" t="s">
        <v>4378</v>
      </c>
      <c r="B15" s="44">
        <f>COUNTIF('Conference Papers'!F:F,"*"&amp;A15&amp;"*")</f>
        <v>9</v>
      </c>
    </row>
    <row r="16" spans="1:2" x14ac:dyDescent="0.25">
      <c r="A16" s="50" t="s">
        <v>2310</v>
      </c>
      <c r="B16" s="44">
        <f>COUNTIF('Conference Papers'!F:F,"*"&amp;A16&amp;"*")</f>
        <v>3</v>
      </c>
    </row>
    <row r="17" spans="1:2" x14ac:dyDescent="0.25">
      <c r="A17" s="50" t="s">
        <v>583</v>
      </c>
      <c r="B17" s="44">
        <f>COUNTIF('Conference Papers'!F:F,"*"&amp;A17&amp;"*")</f>
        <v>1</v>
      </c>
    </row>
    <row r="18" spans="1:2" x14ac:dyDescent="0.25">
      <c r="A18" s="44" t="s">
        <v>4379</v>
      </c>
      <c r="B18" s="44">
        <f>COUNTIF('Conference Papers'!F:F,"*"&amp;A18&amp;"*")</f>
        <v>1</v>
      </c>
    </row>
    <row r="19" spans="1:2" x14ac:dyDescent="0.25">
      <c r="A19" s="50" t="s">
        <v>651</v>
      </c>
      <c r="B19" s="44">
        <f>COUNTIF('Conference Papers'!F:F,"*"&amp;A19&amp;"*")</f>
        <v>7</v>
      </c>
    </row>
    <row r="20" spans="1:2" x14ac:dyDescent="0.25">
      <c r="A20" s="50" t="s">
        <v>4380</v>
      </c>
      <c r="B20" s="44">
        <f>COUNTIF('Conference Papers'!F:F,"*"&amp;A20&amp;"*")</f>
        <v>1</v>
      </c>
    </row>
    <row r="21" spans="1:2" x14ac:dyDescent="0.25">
      <c r="A21" s="50" t="s">
        <v>4381</v>
      </c>
      <c r="B21" s="44">
        <f>COUNTIF('Conference Papers'!F:F,"*"&amp;A21&amp;"*")</f>
        <v>1</v>
      </c>
    </row>
    <row r="22" spans="1:2" x14ac:dyDescent="0.25">
      <c r="A22" s="50" t="s">
        <v>4382</v>
      </c>
      <c r="B22" s="44">
        <f>COUNTIF('Conference Papers'!F:F,"*"&amp;A22&amp;"*")</f>
        <v>4</v>
      </c>
    </row>
    <row r="23" spans="1:2" x14ac:dyDescent="0.25">
      <c r="A23" s="50" t="s">
        <v>4383</v>
      </c>
      <c r="B23" s="44">
        <f>COUNTIF('Conference Papers'!F:F,"*"&amp;A23&amp;"*")</f>
        <v>1</v>
      </c>
    </row>
    <row r="24" spans="1:2" x14ac:dyDescent="0.25">
      <c r="A24" s="50" t="s">
        <v>4384</v>
      </c>
      <c r="B24" s="44">
        <f>COUNTIF('Conference Papers'!F:F,"*"&amp;A24&amp;"*")</f>
        <v>5</v>
      </c>
    </row>
    <row r="25" spans="1:2" x14ac:dyDescent="0.25">
      <c r="A25" s="50" t="s">
        <v>4385</v>
      </c>
      <c r="B25" s="44">
        <f>COUNTIF('Conference Papers'!F:F,"*"&amp;A25&amp;"*")</f>
        <v>4</v>
      </c>
    </row>
    <row r="26" spans="1:2" x14ac:dyDescent="0.25">
      <c r="A26" s="50" t="s">
        <v>4386</v>
      </c>
      <c r="B26" s="44">
        <f>COUNTIF('Conference Papers'!F:F,"*"&amp;A26&amp;"*")</f>
        <v>4</v>
      </c>
    </row>
    <row r="27" spans="1:2" x14ac:dyDescent="0.25">
      <c r="A27" s="50" t="s">
        <v>4387</v>
      </c>
      <c r="B27" s="44">
        <f>COUNTIF('Conference Papers'!F:F,"*"&amp;A27&amp;"*")</f>
        <v>1</v>
      </c>
    </row>
    <row r="28" spans="1:2" x14ac:dyDescent="0.25">
      <c r="A28" s="50" t="s">
        <v>4388</v>
      </c>
      <c r="B28" s="44">
        <f>COUNTIF('Conference Papers'!F:F,"*"&amp;A28&amp;"*")</f>
        <v>1</v>
      </c>
    </row>
    <row r="29" spans="1:2" x14ac:dyDescent="0.25">
      <c r="A29" s="50" t="s">
        <v>2312</v>
      </c>
      <c r="B29" s="44">
        <f>COUNTIF('Conference Papers'!F:F,"*"&amp;A29&amp;"*")</f>
        <v>2</v>
      </c>
    </row>
    <row r="30" spans="1:2" x14ac:dyDescent="0.25">
      <c r="A30" s="50" t="s">
        <v>2388</v>
      </c>
      <c r="B30" s="44">
        <f>COUNTIF('Conference Papers'!F:F,"*"&amp;A30&amp;"*")</f>
        <v>21</v>
      </c>
    </row>
    <row r="31" spans="1:2" x14ac:dyDescent="0.25">
      <c r="A31" s="50" t="s">
        <v>622</v>
      </c>
      <c r="B31" s="44">
        <f>COUNTIF('Conference Papers'!F:F,"*"&amp;A31&amp;"*")</f>
        <v>1</v>
      </c>
    </row>
    <row r="32" spans="1:2" x14ac:dyDescent="0.25">
      <c r="A32" s="50" t="s">
        <v>694</v>
      </c>
      <c r="B32" s="44">
        <f>COUNTIF('Conference Papers'!F:F,"*"&amp;A32&amp;"*")</f>
        <v>1</v>
      </c>
    </row>
    <row r="33" spans="1:2" x14ac:dyDescent="0.25">
      <c r="A33" s="50" t="s">
        <v>727</v>
      </c>
      <c r="B33" s="44">
        <f>COUNTIF('Conference Papers'!F:F,"*"&amp;A33&amp;"*")</f>
        <v>2</v>
      </c>
    </row>
    <row r="34" spans="1:2" x14ac:dyDescent="0.25">
      <c r="A34" s="50" t="s">
        <v>763</v>
      </c>
      <c r="B34" s="44">
        <f>COUNTIF('Conference Papers'!F:F,"*"&amp;A34&amp;"*")</f>
        <v>1</v>
      </c>
    </row>
    <row r="35" spans="1:2" x14ac:dyDescent="0.25">
      <c r="A35" s="50" t="s">
        <v>787</v>
      </c>
      <c r="B35" s="44">
        <f>COUNTIF('Conference Papers'!F:F,"*"&amp;A35&amp;"*")</f>
        <v>2</v>
      </c>
    </row>
    <row r="36" spans="1:2" x14ac:dyDescent="0.25">
      <c r="A36" s="50" t="s">
        <v>648</v>
      </c>
      <c r="B36" s="44">
        <f>COUNTIF('Conference Papers'!F:F,"*"&amp;A36&amp;"*")</f>
        <v>2</v>
      </c>
    </row>
    <row r="37" spans="1:2" x14ac:dyDescent="0.25">
      <c r="A37" s="50" t="s">
        <v>4389</v>
      </c>
      <c r="B37" s="44">
        <f>COUNTIF('Conference Papers'!F:F,"*"&amp;A37&amp;"*")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51ED-D7BA-4EB8-B7B7-071949D7AA3C}">
  <dimension ref="A1:N635"/>
  <sheetViews>
    <sheetView topLeftCell="A599" workbookViewId="0">
      <selection activeCell="A193" sqref="A2:A635"/>
    </sheetView>
  </sheetViews>
  <sheetFormatPr defaultRowHeight="15" x14ac:dyDescent="0.25"/>
  <cols>
    <col min="1" max="1" width="37.140625" customWidth="1"/>
    <col min="4" max="4" width="17.140625" customWidth="1"/>
    <col min="5" max="5" width="11.5703125" customWidth="1"/>
    <col min="6" max="6" width="16.140625" customWidth="1"/>
    <col min="7" max="7" width="30.140625" customWidth="1"/>
    <col min="8" max="8" width="26.42578125" customWidth="1"/>
    <col min="9" max="9" width="13.42578125" customWidth="1"/>
    <col min="10" max="10" width="14.42578125" customWidth="1"/>
    <col min="11" max="11" width="22.85546875" customWidth="1"/>
    <col min="12" max="12" width="15.28515625" customWidth="1"/>
    <col min="13" max="13" width="21.7109375" customWidth="1"/>
    <col min="14" max="14" width="19.42578125" customWidth="1"/>
  </cols>
  <sheetData>
    <row r="1" spans="1:14" s="1" customFormat="1" ht="17.100000000000001" customHeight="1" x14ac:dyDescent="0.25">
      <c r="A1" s="21" t="s">
        <v>1019</v>
      </c>
      <c r="B1" s="22" t="s">
        <v>1020</v>
      </c>
      <c r="C1" s="23" t="s">
        <v>2263</v>
      </c>
      <c r="D1" s="24" t="s">
        <v>1686</v>
      </c>
      <c r="E1" s="22" t="s">
        <v>1629</v>
      </c>
      <c r="F1" s="25" t="s">
        <v>2264</v>
      </c>
      <c r="G1" s="23" t="s">
        <v>1021</v>
      </c>
      <c r="H1" s="23" t="s">
        <v>1022</v>
      </c>
      <c r="I1" s="23" t="s">
        <v>1023</v>
      </c>
      <c r="J1" s="23" t="s">
        <v>1024</v>
      </c>
      <c r="K1" s="23" t="s">
        <v>2427</v>
      </c>
      <c r="L1" s="23" t="s">
        <v>1025</v>
      </c>
      <c r="M1" s="23" t="s">
        <v>1026</v>
      </c>
      <c r="N1" s="26" t="s">
        <v>1027</v>
      </c>
    </row>
    <row r="2" spans="1:14" s="1" customFormat="1" ht="17.100000000000001" customHeight="1" x14ac:dyDescent="0.25">
      <c r="A2" s="9" t="s">
        <v>594</v>
      </c>
      <c r="B2" s="10" t="s">
        <v>595</v>
      </c>
      <c r="C2" s="10">
        <v>2010</v>
      </c>
      <c r="D2" s="11" t="s">
        <v>1869</v>
      </c>
      <c r="E2" s="10" t="s">
        <v>1631</v>
      </c>
      <c r="F2" s="11" t="s">
        <v>596</v>
      </c>
      <c r="G2" s="10" t="s">
        <v>2266</v>
      </c>
      <c r="H2" s="10" t="s">
        <v>1161</v>
      </c>
      <c r="I2" s="12" t="s">
        <v>1029</v>
      </c>
      <c r="J2" s="10" t="s">
        <v>1030</v>
      </c>
      <c r="K2" s="10" t="s">
        <v>1031</v>
      </c>
      <c r="L2" s="10" t="s">
        <v>1032</v>
      </c>
      <c r="M2" s="12" t="s">
        <v>1101</v>
      </c>
      <c r="N2" s="14" t="s">
        <v>1035</v>
      </c>
    </row>
    <row r="3" spans="1:14" s="1" customFormat="1" ht="17.100000000000001" customHeight="1" x14ac:dyDescent="0.25">
      <c r="A3" s="9" t="s">
        <v>1490</v>
      </c>
      <c r="B3" s="10" t="s">
        <v>1491</v>
      </c>
      <c r="C3" s="10">
        <v>2014</v>
      </c>
      <c r="D3" s="11" t="s">
        <v>2203</v>
      </c>
      <c r="E3" s="10" t="s">
        <v>1630</v>
      </c>
      <c r="F3" s="11" t="s">
        <v>1492</v>
      </c>
      <c r="G3" s="10" t="s">
        <v>2266</v>
      </c>
      <c r="H3" s="10" t="s">
        <v>1057</v>
      </c>
      <c r="I3" s="10" t="s">
        <v>1493</v>
      </c>
      <c r="J3" s="10" t="s">
        <v>1030</v>
      </c>
      <c r="K3" s="12" t="s">
        <v>1037</v>
      </c>
      <c r="L3" s="10" t="s">
        <v>1247</v>
      </c>
      <c r="M3" s="10" t="s">
        <v>1093</v>
      </c>
      <c r="N3" s="13" t="s">
        <v>1035</v>
      </c>
    </row>
    <row r="4" spans="1:14" s="1" customFormat="1" ht="17.100000000000001" customHeight="1" x14ac:dyDescent="0.25">
      <c r="A4" s="9" t="s">
        <v>382</v>
      </c>
      <c r="B4" s="10" t="s">
        <v>383</v>
      </c>
      <c r="C4" s="10">
        <v>2017</v>
      </c>
      <c r="D4" s="11" t="s">
        <v>1943</v>
      </c>
      <c r="E4" s="10" t="s">
        <v>1630</v>
      </c>
      <c r="F4" s="11" t="s">
        <v>379</v>
      </c>
      <c r="G4" s="10" t="s">
        <v>2266</v>
      </c>
      <c r="H4" s="10" t="s">
        <v>1057</v>
      </c>
      <c r="I4" s="12" t="s">
        <v>1029</v>
      </c>
      <c r="J4" s="12" t="s">
        <v>1688</v>
      </c>
      <c r="K4" s="10" t="s">
        <v>1031</v>
      </c>
      <c r="L4" s="10" t="s">
        <v>1032</v>
      </c>
      <c r="M4" s="10" t="s">
        <v>1187</v>
      </c>
      <c r="N4" s="14" t="s">
        <v>1035</v>
      </c>
    </row>
    <row r="5" spans="1:14" s="1" customFormat="1" ht="17.100000000000001" customHeight="1" x14ac:dyDescent="0.25">
      <c r="A5" s="9" t="s">
        <v>452</v>
      </c>
      <c r="B5" s="10" t="s">
        <v>453</v>
      </c>
      <c r="C5" s="10">
        <v>2019</v>
      </c>
      <c r="D5" s="11" t="s">
        <v>2018</v>
      </c>
      <c r="E5" s="10" t="s">
        <v>1630</v>
      </c>
      <c r="F5" s="11" t="s">
        <v>379</v>
      </c>
      <c r="G5" s="10" t="s">
        <v>1028</v>
      </c>
      <c r="H5" s="10" t="s">
        <v>1168</v>
      </c>
      <c r="I5" s="12" t="s">
        <v>1029</v>
      </c>
      <c r="J5" s="10" t="s">
        <v>1040</v>
      </c>
      <c r="K5" s="12" t="s">
        <v>1037</v>
      </c>
      <c r="L5" s="10" t="s">
        <v>1032</v>
      </c>
      <c r="M5" s="10" t="s">
        <v>1129</v>
      </c>
      <c r="N5" s="14" t="s">
        <v>1035</v>
      </c>
    </row>
    <row r="6" spans="1:14" s="1" customFormat="1" ht="17.100000000000001" customHeight="1" x14ac:dyDescent="0.25">
      <c r="A6" s="9" t="s">
        <v>380</v>
      </c>
      <c r="B6" s="10" t="s">
        <v>381</v>
      </c>
      <c r="C6" s="10">
        <v>2016</v>
      </c>
      <c r="D6" s="11" t="s">
        <v>2059</v>
      </c>
      <c r="E6" s="10" t="s">
        <v>1630</v>
      </c>
      <c r="F6" s="11" t="s">
        <v>379</v>
      </c>
      <c r="G6" s="10" t="s">
        <v>1538</v>
      </c>
      <c r="H6" s="10" t="s">
        <v>1230</v>
      </c>
      <c r="I6" s="12" t="s">
        <v>1029</v>
      </c>
      <c r="J6" s="10" t="s">
        <v>1030</v>
      </c>
      <c r="K6" s="10" t="s">
        <v>1031</v>
      </c>
      <c r="L6" s="10" t="s">
        <v>1032</v>
      </c>
      <c r="M6" s="10" t="s">
        <v>1231</v>
      </c>
      <c r="N6" s="14" t="s">
        <v>1035</v>
      </c>
    </row>
    <row r="7" spans="1:14" s="1" customFormat="1" ht="17.100000000000001" customHeight="1" x14ac:dyDescent="0.25">
      <c r="A7" s="9" t="s">
        <v>361</v>
      </c>
      <c r="B7" s="10" t="s">
        <v>362</v>
      </c>
      <c r="C7" s="10">
        <v>2017</v>
      </c>
      <c r="D7" s="11" t="s">
        <v>1773</v>
      </c>
      <c r="E7" s="10" t="s">
        <v>1630</v>
      </c>
      <c r="F7" s="11" t="s">
        <v>363</v>
      </c>
      <c r="G7" s="10" t="s">
        <v>2266</v>
      </c>
      <c r="H7" s="10" t="s">
        <v>2326</v>
      </c>
      <c r="I7" s="12" t="s">
        <v>1039</v>
      </c>
      <c r="J7" s="10" t="s">
        <v>1030</v>
      </c>
      <c r="K7" s="12" t="s">
        <v>1037</v>
      </c>
      <c r="L7" s="10" t="s">
        <v>1032</v>
      </c>
      <c r="M7" s="10" t="s">
        <v>1086</v>
      </c>
      <c r="N7" s="13" t="s">
        <v>1072</v>
      </c>
    </row>
    <row r="8" spans="1:14" s="1" customFormat="1" ht="17.100000000000001" customHeight="1" x14ac:dyDescent="0.25">
      <c r="A8" s="9" t="s">
        <v>298</v>
      </c>
      <c r="B8" s="10" t="s">
        <v>299</v>
      </c>
      <c r="C8" s="10">
        <v>2016</v>
      </c>
      <c r="D8" s="11" t="s">
        <v>1765</v>
      </c>
      <c r="E8" s="10" t="s">
        <v>1630</v>
      </c>
      <c r="F8" s="11" t="s">
        <v>294</v>
      </c>
      <c r="G8" s="10" t="s">
        <v>2266</v>
      </c>
      <c r="H8" s="10" t="s">
        <v>2326</v>
      </c>
      <c r="I8" s="12" t="s">
        <v>1029</v>
      </c>
      <c r="J8" s="10" t="s">
        <v>1030</v>
      </c>
      <c r="K8" s="10" t="s">
        <v>1031</v>
      </c>
      <c r="L8" s="10" t="s">
        <v>1032</v>
      </c>
      <c r="M8" s="10" t="s">
        <v>1078</v>
      </c>
      <c r="N8" s="13" t="s">
        <v>1072</v>
      </c>
    </row>
    <row r="9" spans="1:14" s="1" customFormat="1" ht="17.100000000000001" customHeight="1" x14ac:dyDescent="0.25">
      <c r="A9" s="9" t="s">
        <v>300</v>
      </c>
      <c r="B9" s="10" t="s">
        <v>301</v>
      </c>
      <c r="C9" s="10">
        <v>2018</v>
      </c>
      <c r="D9" s="11" t="s">
        <v>1764</v>
      </c>
      <c r="E9" s="10" t="s">
        <v>1630</v>
      </c>
      <c r="F9" s="11" t="s">
        <v>294</v>
      </c>
      <c r="G9" s="10" t="s">
        <v>2266</v>
      </c>
      <c r="H9" s="10" t="s">
        <v>2326</v>
      </c>
      <c r="I9" s="12" t="s">
        <v>1039</v>
      </c>
      <c r="J9" s="12" t="s">
        <v>1688</v>
      </c>
      <c r="K9" s="10" t="s">
        <v>1031</v>
      </c>
      <c r="L9" s="10" t="s">
        <v>1247</v>
      </c>
      <c r="M9" s="10" t="s">
        <v>1077</v>
      </c>
      <c r="N9" s="14" t="s">
        <v>1035</v>
      </c>
    </row>
    <row r="10" spans="1:14" s="1" customFormat="1" ht="17.100000000000001" customHeight="1" x14ac:dyDescent="0.25">
      <c r="A10" s="9" t="s">
        <v>295</v>
      </c>
      <c r="B10" s="10" t="s">
        <v>296</v>
      </c>
      <c r="C10" s="12">
        <v>2014</v>
      </c>
      <c r="D10" s="11" t="s">
        <v>2020</v>
      </c>
      <c r="E10" s="10" t="s">
        <v>1630</v>
      </c>
      <c r="F10" s="11" t="s">
        <v>294</v>
      </c>
      <c r="G10" s="12" t="s">
        <v>1054</v>
      </c>
      <c r="H10" s="10" t="s">
        <v>2345</v>
      </c>
      <c r="I10" s="12" t="s">
        <v>1039</v>
      </c>
      <c r="J10" s="12" t="s">
        <v>1689</v>
      </c>
      <c r="K10" s="10" t="s">
        <v>1031</v>
      </c>
      <c r="L10" s="12" t="s">
        <v>1042</v>
      </c>
      <c r="M10" s="12" t="s">
        <v>114</v>
      </c>
      <c r="N10" s="14" t="s">
        <v>1035</v>
      </c>
    </row>
    <row r="11" spans="1:14" s="1" customFormat="1" ht="17.100000000000001" customHeight="1" x14ac:dyDescent="0.25">
      <c r="A11" s="9" t="s">
        <v>292</v>
      </c>
      <c r="B11" s="10" t="s">
        <v>293</v>
      </c>
      <c r="C11" s="12">
        <v>2016</v>
      </c>
      <c r="D11" s="11" t="s">
        <v>2066</v>
      </c>
      <c r="E11" s="10" t="s">
        <v>1630</v>
      </c>
      <c r="F11" s="11" t="s">
        <v>294</v>
      </c>
      <c r="G11" s="12" t="s">
        <v>1165</v>
      </c>
      <c r="H11" s="10" t="s">
        <v>2340</v>
      </c>
      <c r="I11" s="12" t="s">
        <v>1039</v>
      </c>
      <c r="J11" s="12" t="s">
        <v>1040</v>
      </c>
      <c r="K11" s="10" t="s">
        <v>1031</v>
      </c>
      <c r="L11" s="12" t="s">
        <v>1042</v>
      </c>
      <c r="M11" s="12" t="s">
        <v>1056</v>
      </c>
      <c r="N11" s="13" t="s">
        <v>1072</v>
      </c>
    </row>
    <row r="12" spans="1:14" s="1" customFormat="1" ht="17.100000000000001" customHeight="1" x14ac:dyDescent="0.25">
      <c r="A12" s="9" t="s">
        <v>2433</v>
      </c>
      <c r="B12" s="10" t="s">
        <v>297</v>
      </c>
      <c r="C12" s="12">
        <v>2018</v>
      </c>
      <c r="D12" s="11" t="s">
        <v>1712</v>
      </c>
      <c r="E12" s="10" t="s">
        <v>1630</v>
      </c>
      <c r="F12" s="11" t="s">
        <v>294</v>
      </c>
      <c r="G12" s="12" t="s">
        <v>1028</v>
      </c>
      <c r="H12" s="10" t="s">
        <v>2320</v>
      </c>
      <c r="I12" s="12" t="s">
        <v>1029</v>
      </c>
      <c r="J12" s="12" t="s">
        <v>1036</v>
      </c>
      <c r="K12" s="12" t="s">
        <v>1037</v>
      </c>
      <c r="L12" s="10" t="s">
        <v>1032</v>
      </c>
      <c r="M12" s="12" t="s">
        <v>1038</v>
      </c>
      <c r="N12" s="13" t="s">
        <v>1034</v>
      </c>
    </row>
    <row r="13" spans="1:14" s="1" customFormat="1" ht="17.100000000000001" customHeight="1" x14ac:dyDescent="0.25">
      <c r="A13" s="9" t="s">
        <v>862</v>
      </c>
      <c r="B13" s="10" t="s">
        <v>865</v>
      </c>
      <c r="C13" s="10">
        <v>2019</v>
      </c>
      <c r="D13" s="11" t="s">
        <v>2251</v>
      </c>
      <c r="E13" s="10" t="s">
        <v>1630</v>
      </c>
      <c r="F13" s="11" t="s">
        <v>861</v>
      </c>
      <c r="G13" s="10" t="s">
        <v>1028</v>
      </c>
      <c r="H13" s="10" t="s">
        <v>1168</v>
      </c>
      <c r="I13" s="12" t="s">
        <v>1029</v>
      </c>
      <c r="J13" s="10" t="s">
        <v>1069</v>
      </c>
      <c r="K13" s="10" t="s">
        <v>1031</v>
      </c>
      <c r="L13" s="10" t="s">
        <v>1032</v>
      </c>
      <c r="M13" s="10" t="s">
        <v>1067</v>
      </c>
      <c r="N13" s="13" t="s">
        <v>1035</v>
      </c>
    </row>
    <row r="14" spans="1:14" s="1" customFormat="1" ht="17.100000000000001" customHeight="1" x14ac:dyDescent="0.25">
      <c r="A14" s="9" t="s">
        <v>679</v>
      </c>
      <c r="B14" s="10" t="s">
        <v>680</v>
      </c>
      <c r="C14" s="10">
        <v>2015</v>
      </c>
      <c r="D14" s="11" t="s">
        <v>1833</v>
      </c>
      <c r="E14" s="10" t="s">
        <v>1631</v>
      </c>
      <c r="F14" s="11" t="s">
        <v>586</v>
      </c>
      <c r="G14" s="10" t="s">
        <v>1054</v>
      </c>
      <c r="H14" s="10" t="s">
        <v>2326</v>
      </c>
      <c r="I14" s="12" t="s">
        <v>1029</v>
      </c>
      <c r="J14" s="10" t="s">
        <v>1048</v>
      </c>
      <c r="K14" s="10" t="s">
        <v>1031</v>
      </c>
      <c r="L14" s="10" t="s">
        <v>1032</v>
      </c>
      <c r="M14" s="12" t="s">
        <v>114</v>
      </c>
      <c r="N14" s="14" t="s">
        <v>1035</v>
      </c>
    </row>
    <row r="15" spans="1:14" s="1" customFormat="1" ht="17.100000000000001" customHeight="1" x14ac:dyDescent="0.25">
      <c r="A15" s="9" t="s">
        <v>709</v>
      </c>
      <c r="B15" s="10" t="s">
        <v>710</v>
      </c>
      <c r="C15" s="10">
        <v>2016</v>
      </c>
      <c r="D15" s="11" t="s">
        <v>1769</v>
      </c>
      <c r="E15" s="10" t="s">
        <v>1631</v>
      </c>
      <c r="F15" s="11" t="s">
        <v>586</v>
      </c>
      <c r="G15" s="12" t="s">
        <v>1054</v>
      </c>
      <c r="H15" s="10" t="s">
        <v>2326</v>
      </c>
      <c r="I15" s="12" t="s">
        <v>1039</v>
      </c>
      <c r="J15" s="10" t="s">
        <v>1036</v>
      </c>
      <c r="K15" s="10" t="s">
        <v>1031</v>
      </c>
      <c r="L15" s="10" t="s">
        <v>1247</v>
      </c>
      <c r="M15" s="12" t="s">
        <v>114</v>
      </c>
      <c r="N15" s="14" t="s">
        <v>1035</v>
      </c>
    </row>
    <row r="16" spans="1:14" s="1" customFormat="1" ht="17.100000000000001" customHeight="1" x14ac:dyDescent="0.25">
      <c r="A16" s="9" t="s">
        <v>584</v>
      </c>
      <c r="B16" s="10" t="s">
        <v>585</v>
      </c>
      <c r="C16" s="10">
        <v>2010</v>
      </c>
      <c r="D16" s="11" t="s">
        <v>1822</v>
      </c>
      <c r="E16" s="10" t="s">
        <v>1631</v>
      </c>
      <c r="F16" s="11" t="s">
        <v>586</v>
      </c>
      <c r="G16" s="10" t="s">
        <v>1054</v>
      </c>
      <c r="H16" s="10" t="s">
        <v>2326</v>
      </c>
      <c r="I16" s="12" t="s">
        <v>1039</v>
      </c>
      <c r="J16" s="10" t="s">
        <v>1036</v>
      </c>
      <c r="K16" s="10" t="s">
        <v>1031</v>
      </c>
      <c r="L16" s="10" t="s">
        <v>1247</v>
      </c>
      <c r="M16" s="12" t="s">
        <v>114</v>
      </c>
      <c r="N16" s="14" t="s">
        <v>1035</v>
      </c>
    </row>
    <row r="17" spans="1:14" s="1" customFormat="1" ht="17.100000000000001" customHeight="1" x14ac:dyDescent="0.25">
      <c r="A17" s="9" t="s">
        <v>671</v>
      </c>
      <c r="B17" s="10" t="s">
        <v>672</v>
      </c>
      <c r="C17" s="12">
        <v>2014</v>
      </c>
      <c r="D17" s="11" t="s">
        <v>1742</v>
      </c>
      <c r="E17" s="10" t="s">
        <v>1631</v>
      </c>
      <c r="F17" s="11" t="s">
        <v>586</v>
      </c>
      <c r="G17" s="10" t="s">
        <v>2266</v>
      </c>
      <c r="H17" s="10" t="s">
        <v>2326</v>
      </c>
      <c r="I17" s="12" t="s">
        <v>1029</v>
      </c>
      <c r="J17" s="12" t="s">
        <v>1030</v>
      </c>
      <c r="K17" s="10" t="s">
        <v>1031</v>
      </c>
      <c r="L17" s="10" t="s">
        <v>1032</v>
      </c>
      <c r="M17" s="12" t="s">
        <v>1033</v>
      </c>
      <c r="N17" s="13" t="s">
        <v>1034</v>
      </c>
    </row>
    <row r="18" spans="1:14" s="1" customFormat="1" ht="17.100000000000001" customHeight="1" x14ac:dyDescent="0.25">
      <c r="A18" s="9" t="s">
        <v>731</v>
      </c>
      <c r="B18" s="10" t="s">
        <v>732</v>
      </c>
      <c r="C18" s="10">
        <v>2018</v>
      </c>
      <c r="D18" s="11" t="s">
        <v>2055</v>
      </c>
      <c r="E18" s="10" t="s">
        <v>1631</v>
      </c>
      <c r="F18" s="11" t="s">
        <v>586</v>
      </c>
      <c r="G18" s="10" t="s">
        <v>1028</v>
      </c>
      <c r="H18" s="10" t="s">
        <v>2326</v>
      </c>
      <c r="I18" s="12" t="s">
        <v>1029</v>
      </c>
      <c r="J18" s="10" t="s">
        <v>1040</v>
      </c>
      <c r="K18" s="10" t="s">
        <v>1031</v>
      </c>
      <c r="L18" s="10" t="s">
        <v>1032</v>
      </c>
      <c r="M18" s="12" t="s">
        <v>114</v>
      </c>
      <c r="N18" s="13" t="s">
        <v>1034</v>
      </c>
    </row>
    <row r="19" spans="1:14" s="1" customFormat="1" ht="17.100000000000001" customHeight="1" x14ac:dyDescent="0.25">
      <c r="A19" s="9" t="s">
        <v>746</v>
      </c>
      <c r="B19" s="10" t="s">
        <v>747</v>
      </c>
      <c r="C19" s="10">
        <v>2019</v>
      </c>
      <c r="D19" s="11" t="s">
        <v>2040</v>
      </c>
      <c r="E19" s="10" t="s">
        <v>1631</v>
      </c>
      <c r="F19" s="11" t="s">
        <v>586</v>
      </c>
      <c r="G19" s="10" t="s">
        <v>1094</v>
      </c>
      <c r="H19" s="10" t="s">
        <v>1168</v>
      </c>
      <c r="I19" s="12" t="s">
        <v>1029</v>
      </c>
      <c r="J19" s="10" t="s">
        <v>1030</v>
      </c>
      <c r="K19" s="12" t="s">
        <v>1037</v>
      </c>
      <c r="L19" s="10" t="s">
        <v>1032</v>
      </c>
      <c r="M19" s="12" t="s">
        <v>114</v>
      </c>
      <c r="N19" s="13" t="s">
        <v>1072</v>
      </c>
    </row>
    <row r="20" spans="1:14" s="1" customFormat="1" ht="17.100000000000001" customHeight="1" x14ac:dyDescent="0.25">
      <c r="A20" s="9" t="s">
        <v>676</v>
      </c>
      <c r="B20" s="10" t="s">
        <v>677</v>
      </c>
      <c r="C20" s="10">
        <v>2015</v>
      </c>
      <c r="D20" s="11" t="s">
        <v>1834</v>
      </c>
      <c r="E20" s="10" t="s">
        <v>1631</v>
      </c>
      <c r="F20" s="11" t="s">
        <v>678</v>
      </c>
      <c r="G20" s="10" t="s">
        <v>1094</v>
      </c>
      <c r="H20" s="10" t="s">
        <v>2326</v>
      </c>
      <c r="I20" s="12" t="s">
        <v>1029</v>
      </c>
      <c r="J20" s="10" t="s">
        <v>1127</v>
      </c>
      <c r="K20" s="10" t="s">
        <v>1031</v>
      </c>
      <c r="L20" s="10" t="s">
        <v>1032</v>
      </c>
      <c r="M20" s="12" t="s">
        <v>114</v>
      </c>
      <c r="N20" s="13" t="s">
        <v>1041</v>
      </c>
    </row>
    <row r="21" spans="1:14" s="1" customFormat="1" ht="17.100000000000001" customHeight="1" x14ac:dyDescent="0.25">
      <c r="A21" s="9" t="s">
        <v>1443</v>
      </c>
      <c r="B21" s="10" t="s">
        <v>1444</v>
      </c>
      <c r="C21" s="10">
        <v>2015</v>
      </c>
      <c r="D21" s="11" t="s">
        <v>2184</v>
      </c>
      <c r="E21" s="10" t="s">
        <v>1631</v>
      </c>
      <c r="F21" s="11" t="s">
        <v>2308</v>
      </c>
      <c r="G21" s="10" t="s">
        <v>2266</v>
      </c>
      <c r="H21" s="10" t="s">
        <v>1445</v>
      </c>
      <c r="I21" s="10" t="s">
        <v>1039</v>
      </c>
      <c r="J21" s="10" t="s">
        <v>1030</v>
      </c>
      <c r="K21" s="10" t="s">
        <v>1031</v>
      </c>
      <c r="L21" s="10" t="s">
        <v>1247</v>
      </c>
      <c r="M21" s="10" t="s">
        <v>1050</v>
      </c>
      <c r="N21" s="13" t="s">
        <v>1035</v>
      </c>
    </row>
    <row r="22" spans="1:14" s="1" customFormat="1" ht="17.100000000000001" customHeight="1" x14ac:dyDescent="0.25">
      <c r="A22" s="9" t="s">
        <v>784</v>
      </c>
      <c r="B22" s="10" t="s">
        <v>1018</v>
      </c>
      <c r="C22" s="10">
        <v>2021</v>
      </c>
      <c r="D22" s="11" t="s">
        <v>1857</v>
      </c>
      <c r="E22" s="10" t="s">
        <v>1631</v>
      </c>
      <c r="F22" s="11" t="s">
        <v>1157</v>
      </c>
      <c r="G22" s="10" t="s">
        <v>2266</v>
      </c>
      <c r="H22" s="10" t="s">
        <v>2340</v>
      </c>
      <c r="I22" s="12" t="s">
        <v>1029</v>
      </c>
      <c r="J22" s="10" t="s">
        <v>1040</v>
      </c>
      <c r="K22" s="10" t="s">
        <v>1031</v>
      </c>
      <c r="L22" s="10" t="s">
        <v>1032</v>
      </c>
      <c r="M22" s="10" t="s">
        <v>1133</v>
      </c>
      <c r="N22" s="13" t="s">
        <v>1035</v>
      </c>
    </row>
    <row r="23" spans="1:14" s="1" customFormat="1" ht="17.100000000000001" customHeight="1" x14ac:dyDescent="0.25">
      <c r="A23" s="9" t="s">
        <v>613</v>
      </c>
      <c r="B23" s="10" t="s">
        <v>614</v>
      </c>
      <c r="C23" s="10">
        <v>2022</v>
      </c>
      <c r="D23" s="11" t="s">
        <v>1705</v>
      </c>
      <c r="E23" s="10" t="s">
        <v>1630</v>
      </c>
      <c r="F23" s="11" t="s">
        <v>330</v>
      </c>
      <c r="G23" s="10" t="s">
        <v>1054</v>
      </c>
      <c r="H23" s="10" t="s">
        <v>2326</v>
      </c>
      <c r="I23" s="12" t="s">
        <v>1039</v>
      </c>
      <c r="J23" s="10" t="s">
        <v>1036</v>
      </c>
      <c r="K23" s="12" t="s">
        <v>1037</v>
      </c>
      <c r="L23" s="10" t="s">
        <v>1247</v>
      </c>
      <c r="M23" s="10" t="s">
        <v>1093</v>
      </c>
      <c r="N23" s="14" t="s">
        <v>1035</v>
      </c>
    </row>
    <row r="24" spans="1:14" s="1" customFormat="1" ht="17.100000000000001" customHeight="1" x14ac:dyDescent="0.25">
      <c r="A24" s="9" t="s">
        <v>1598</v>
      </c>
      <c r="B24" s="10" t="s">
        <v>1599</v>
      </c>
      <c r="C24" s="10">
        <v>2017</v>
      </c>
      <c r="D24" s="11" t="s">
        <v>2259</v>
      </c>
      <c r="E24" s="10" t="s">
        <v>1630</v>
      </c>
      <c r="F24" s="11" t="s">
        <v>330</v>
      </c>
      <c r="G24" s="10" t="s">
        <v>2280</v>
      </c>
      <c r="H24" s="10" t="s">
        <v>2326</v>
      </c>
      <c r="I24" s="10" t="s">
        <v>1493</v>
      </c>
      <c r="J24" s="10" t="s">
        <v>1030</v>
      </c>
      <c r="K24" s="10" t="s">
        <v>1031</v>
      </c>
      <c r="L24" s="10" t="s">
        <v>1247</v>
      </c>
      <c r="M24" s="10" t="s">
        <v>1102</v>
      </c>
      <c r="N24" s="13" t="s">
        <v>1072</v>
      </c>
    </row>
    <row r="25" spans="1:14" s="1" customFormat="1" ht="17.100000000000001" customHeight="1" x14ac:dyDescent="0.25">
      <c r="A25" s="9" t="s">
        <v>2430</v>
      </c>
      <c r="B25" s="10" t="s">
        <v>331</v>
      </c>
      <c r="C25" s="10">
        <v>2013</v>
      </c>
      <c r="D25" s="11" t="s">
        <v>1861</v>
      </c>
      <c r="E25" s="10" t="s">
        <v>1630</v>
      </c>
      <c r="F25" s="11" t="s">
        <v>330</v>
      </c>
      <c r="G25" s="10" t="s">
        <v>1639</v>
      </c>
      <c r="H25" s="10" t="s">
        <v>2334</v>
      </c>
      <c r="I25" s="12" t="s">
        <v>1029</v>
      </c>
      <c r="J25" s="10" t="s">
        <v>1040</v>
      </c>
      <c r="K25" s="10" t="s">
        <v>1031</v>
      </c>
      <c r="L25" s="10" t="s">
        <v>1032</v>
      </c>
      <c r="M25" s="12" t="s">
        <v>114</v>
      </c>
      <c r="N25" s="14" t="s">
        <v>1035</v>
      </c>
    </row>
    <row r="26" spans="1:14" s="1" customFormat="1" ht="17.100000000000001" customHeight="1" x14ac:dyDescent="0.25">
      <c r="A26" s="9" t="s">
        <v>897</v>
      </c>
      <c r="B26" s="10" t="s">
        <v>898</v>
      </c>
      <c r="C26" s="10">
        <v>2021</v>
      </c>
      <c r="D26" s="11" t="s">
        <v>2231</v>
      </c>
      <c r="E26" s="10" t="s">
        <v>1630</v>
      </c>
      <c r="F26" s="11" t="s">
        <v>330</v>
      </c>
      <c r="G26" s="10" t="s">
        <v>2275</v>
      </c>
      <c r="H26" s="10" t="s">
        <v>1161</v>
      </c>
      <c r="I26" s="10" t="s">
        <v>1493</v>
      </c>
      <c r="J26" s="10" t="s">
        <v>1030</v>
      </c>
      <c r="K26" s="10" t="s">
        <v>1643</v>
      </c>
      <c r="L26" s="10" t="s">
        <v>1247</v>
      </c>
      <c r="M26" s="10" t="s">
        <v>1093</v>
      </c>
      <c r="N26" s="13" t="s">
        <v>1035</v>
      </c>
    </row>
    <row r="27" spans="1:14" s="1" customFormat="1" ht="17.100000000000001" customHeight="1" x14ac:dyDescent="0.25">
      <c r="A27" s="9" t="s">
        <v>1484</v>
      </c>
      <c r="B27" s="10" t="s">
        <v>1485</v>
      </c>
      <c r="C27" s="10">
        <v>2015</v>
      </c>
      <c r="D27" s="11" t="s">
        <v>2201</v>
      </c>
      <c r="E27" s="10" t="s">
        <v>1630</v>
      </c>
      <c r="F27" s="11" t="s">
        <v>330</v>
      </c>
      <c r="G27" s="10" t="s">
        <v>2266</v>
      </c>
      <c r="H27" s="10" t="s">
        <v>1057</v>
      </c>
      <c r="I27" s="10" t="s">
        <v>1039</v>
      </c>
      <c r="J27" s="10" t="s">
        <v>1030</v>
      </c>
      <c r="K27" s="10" t="s">
        <v>1031</v>
      </c>
      <c r="L27" s="10" t="s">
        <v>1247</v>
      </c>
      <c r="M27" s="10" t="s">
        <v>1250</v>
      </c>
      <c r="N27" s="13" t="s">
        <v>1034</v>
      </c>
    </row>
    <row r="28" spans="1:14" s="1" customFormat="1" ht="17.100000000000001" customHeight="1" x14ac:dyDescent="0.25">
      <c r="A28" s="9" t="s">
        <v>1460</v>
      </c>
      <c r="B28" s="10" t="s">
        <v>1461</v>
      </c>
      <c r="C28" s="10">
        <v>2022</v>
      </c>
      <c r="D28" s="11" t="s">
        <v>2191</v>
      </c>
      <c r="E28" s="10" t="s">
        <v>1630</v>
      </c>
      <c r="F28" s="11" t="s">
        <v>330</v>
      </c>
      <c r="G28" s="10" t="s">
        <v>2266</v>
      </c>
      <c r="H28" s="10" t="s">
        <v>1057</v>
      </c>
      <c r="I28" s="10" t="s">
        <v>1039</v>
      </c>
      <c r="J28" s="10" t="s">
        <v>1030</v>
      </c>
      <c r="K28" s="10" t="s">
        <v>1031</v>
      </c>
      <c r="L28" s="10" t="s">
        <v>1247</v>
      </c>
      <c r="M28" s="10" t="s">
        <v>1049</v>
      </c>
      <c r="N28" s="13" t="s">
        <v>1035</v>
      </c>
    </row>
    <row r="29" spans="1:14" s="1" customFormat="1" ht="17.100000000000001" customHeight="1" x14ac:dyDescent="0.25">
      <c r="A29" s="9" t="s">
        <v>424</v>
      </c>
      <c r="B29" s="10" t="s">
        <v>425</v>
      </c>
      <c r="C29" s="10">
        <v>2019</v>
      </c>
      <c r="D29" s="11" t="s">
        <v>1964</v>
      </c>
      <c r="E29" s="10" t="s">
        <v>1630</v>
      </c>
      <c r="F29" s="11" t="s">
        <v>330</v>
      </c>
      <c r="G29" s="10" t="s">
        <v>2266</v>
      </c>
      <c r="H29" s="10" t="s">
        <v>1057</v>
      </c>
      <c r="I29" s="12" t="s">
        <v>1039</v>
      </c>
      <c r="J29" s="10" t="s">
        <v>1030</v>
      </c>
      <c r="K29" s="10" t="s">
        <v>1031</v>
      </c>
      <c r="L29" s="10" t="s">
        <v>1247</v>
      </c>
      <c r="M29" s="12" t="s">
        <v>114</v>
      </c>
      <c r="N29" s="14" t="s">
        <v>1035</v>
      </c>
    </row>
    <row r="30" spans="1:14" s="1" customFormat="1" ht="17.100000000000001" customHeight="1" x14ac:dyDescent="0.25">
      <c r="A30" s="9" t="s">
        <v>412</v>
      </c>
      <c r="B30" s="10" t="s">
        <v>413</v>
      </c>
      <c r="C30" s="10">
        <v>2019</v>
      </c>
      <c r="D30" s="11" t="s">
        <v>2014</v>
      </c>
      <c r="E30" s="10" t="s">
        <v>1630</v>
      </c>
      <c r="F30" s="11" t="s">
        <v>330</v>
      </c>
      <c r="G30" s="10" t="s">
        <v>2266</v>
      </c>
      <c r="H30" s="10" t="s">
        <v>1057</v>
      </c>
      <c r="I30" s="12" t="s">
        <v>1039</v>
      </c>
      <c r="J30" s="10" t="s">
        <v>1040</v>
      </c>
      <c r="K30" s="10" t="s">
        <v>1031</v>
      </c>
      <c r="L30" s="10" t="s">
        <v>1032</v>
      </c>
      <c r="M30" s="12" t="s">
        <v>114</v>
      </c>
      <c r="N30" s="14" t="s">
        <v>1035</v>
      </c>
    </row>
    <row r="31" spans="1:14" s="1" customFormat="1" ht="17.100000000000001" customHeight="1" x14ac:dyDescent="0.25">
      <c r="A31" s="9" t="s">
        <v>334</v>
      </c>
      <c r="B31" s="10" t="s">
        <v>335</v>
      </c>
      <c r="C31" s="10">
        <v>2018</v>
      </c>
      <c r="D31" s="11" t="s">
        <v>1702</v>
      </c>
      <c r="E31" s="10" t="s">
        <v>1630</v>
      </c>
      <c r="F31" s="11" t="s">
        <v>330</v>
      </c>
      <c r="G31" s="10" t="s">
        <v>1080</v>
      </c>
      <c r="H31" s="10" t="s">
        <v>2425</v>
      </c>
      <c r="I31" s="12" t="s">
        <v>1029</v>
      </c>
      <c r="J31" s="10" t="s">
        <v>1040</v>
      </c>
      <c r="K31" s="10" t="s">
        <v>1031</v>
      </c>
      <c r="L31" s="10" t="s">
        <v>1032</v>
      </c>
      <c r="M31" s="12" t="s">
        <v>114</v>
      </c>
      <c r="N31" s="13" t="s">
        <v>1034</v>
      </c>
    </row>
    <row r="32" spans="1:14" s="1" customFormat="1" ht="17.100000000000001" customHeight="1" x14ac:dyDescent="0.25">
      <c r="A32" s="9" t="s">
        <v>338</v>
      </c>
      <c r="B32" s="10" t="s">
        <v>339</v>
      </c>
      <c r="C32" s="12">
        <v>2018</v>
      </c>
      <c r="D32" s="11" t="s">
        <v>1928</v>
      </c>
      <c r="E32" s="10" t="s">
        <v>1630</v>
      </c>
      <c r="F32" s="11" t="s">
        <v>330</v>
      </c>
      <c r="G32" s="10" t="s">
        <v>1028</v>
      </c>
      <c r="H32" s="10" t="s">
        <v>1179</v>
      </c>
      <c r="I32" s="12" t="s">
        <v>1039</v>
      </c>
      <c r="J32" s="10" t="s">
        <v>1040</v>
      </c>
      <c r="K32" s="12" t="s">
        <v>1037</v>
      </c>
      <c r="L32" s="10" t="s">
        <v>1032</v>
      </c>
      <c r="M32" s="12" t="s">
        <v>114</v>
      </c>
      <c r="N32" s="14" t="s">
        <v>1035</v>
      </c>
    </row>
    <row r="33" spans="1:14" s="1" customFormat="1" ht="17.100000000000001" customHeight="1" x14ac:dyDescent="0.25">
      <c r="A33" s="9" t="s">
        <v>332</v>
      </c>
      <c r="B33" s="10" t="s">
        <v>333</v>
      </c>
      <c r="C33" s="12">
        <v>2016</v>
      </c>
      <c r="D33" s="11" t="s">
        <v>1991</v>
      </c>
      <c r="E33" s="10" t="s">
        <v>1630</v>
      </c>
      <c r="F33" s="11" t="s">
        <v>330</v>
      </c>
      <c r="G33" s="12" t="s">
        <v>1642</v>
      </c>
      <c r="H33" s="10" t="s">
        <v>1168</v>
      </c>
      <c r="I33" s="12" t="s">
        <v>1029</v>
      </c>
      <c r="J33" s="12" t="s">
        <v>2405</v>
      </c>
      <c r="K33" s="10" t="s">
        <v>1031</v>
      </c>
      <c r="L33" s="10" t="s">
        <v>1032</v>
      </c>
      <c r="M33" s="12" t="s">
        <v>114</v>
      </c>
      <c r="N33" s="14" t="s">
        <v>1035</v>
      </c>
    </row>
    <row r="34" spans="1:14" s="1" customFormat="1" ht="17.100000000000001" customHeight="1" x14ac:dyDescent="0.25">
      <c r="A34" s="9" t="s">
        <v>524</v>
      </c>
      <c r="B34" s="10" t="s">
        <v>525</v>
      </c>
      <c r="C34" s="10">
        <v>2020</v>
      </c>
      <c r="D34" s="11" t="s">
        <v>2043</v>
      </c>
      <c r="E34" s="10" t="s">
        <v>1630</v>
      </c>
      <c r="F34" s="11" t="s">
        <v>330</v>
      </c>
      <c r="G34" s="10" t="s">
        <v>2266</v>
      </c>
      <c r="H34" s="10" t="s">
        <v>2360</v>
      </c>
      <c r="I34" s="12" t="s">
        <v>1039</v>
      </c>
      <c r="J34" s="10" t="s">
        <v>1030</v>
      </c>
      <c r="K34" s="10" t="s">
        <v>1031</v>
      </c>
      <c r="L34" s="10" t="s">
        <v>1032</v>
      </c>
      <c r="M34" s="12" t="s">
        <v>114</v>
      </c>
      <c r="N34" s="14" t="s">
        <v>1035</v>
      </c>
    </row>
    <row r="35" spans="1:14" s="1" customFormat="1" ht="17.100000000000001" customHeight="1" x14ac:dyDescent="0.25">
      <c r="A35" s="9" t="s">
        <v>1488</v>
      </c>
      <c r="B35" s="10" t="s">
        <v>1489</v>
      </c>
      <c r="C35" s="10">
        <v>2018</v>
      </c>
      <c r="D35" s="11" t="s">
        <v>2202</v>
      </c>
      <c r="E35" s="10" t="s">
        <v>1630</v>
      </c>
      <c r="F35" s="11" t="s">
        <v>330</v>
      </c>
      <c r="G35" s="10" t="s">
        <v>2275</v>
      </c>
      <c r="H35" s="10" t="s">
        <v>1229</v>
      </c>
      <c r="I35" s="10" t="s">
        <v>1039</v>
      </c>
      <c r="J35" s="10" t="s">
        <v>1030</v>
      </c>
      <c r="K35" s="10" t="s">
        <v>1031</v>
      </c>
      <c r="L35" s="10" t="s">
        <v>1247</v>
      </c>
      <c r="M35" s="10" t="s">
        <v>1067</v>
      </c>
      <c r="N35" s="13" t="s">
        <v>1035</v>
      </c>
    </row>
    <row r="36" spans="1:14" s="1" customFormat="1" ht="17.100000000000001" customHeight="1" x14ac:dyDescent="0.25">
      <c r="A36" s="9" t="s">
        <v>575</v>
      </c>
      <c r="B36" s="10" t="s">
        <v>576</v>
      </c>
      <c r="C36" s="10">
        <v>2021</v>
      </c>
      <c r="D36" s="11" t="s">
        <v>1858</v>
      </c>
      <c r="E36" s="10" t="s">
        <v>1630</v>
      </c>
      <c r="F36" s="11" t="s">
        <v>330</v>
      </c>
      <c r="G36" s="10" t="s">
        <v>2275</v>
      </c>
      <c r="H36" s="10" t="s">
        <v>1229</v>
      </c>
      <c r="I36" s="12" t="s">
        <v>1039</v>
      </c>
      <c r="J36" s="10" t="s">
        <v>1030</v>
      </c>
      <c r="K36" s="10" t="s">
        <v>1031</v>
      </c>
      <c r="L36" s="10" t="s">
        <v>1247</v>
      </c>
      <c r="M36" s="10" t="s">
        <v>1075</v>
      </c>
      <c r="N36" s="13" t="s">
        <v>1035</v>
      </c>
    </row>
    <row r="37" spans="1:14" s="1" customFormat="1" ht="17.100000000000001" customHeight="1" x14ac:dyDescent="0.25">
      <c r="A37" s="9" t="s">
        <v>340</v>
      </c>
      <c r="B37" s="10" t="s">
        <v>341</v>
      </c>
      <c r="C37" s="12">
        <v>2016</v>
      </c>
      <c r="D37" s="11" t="s">
        <v>2070</v>
      </c>
      <c r="E37" s="10" t="s">
        <v>1630</v>
      </c>
      <c r="F37" s="11" t="s">
        <v>330</v>
      </c>
      <c r="G37" s="12" t="s">
        <v>1054</v>
      </c>
      <c r="H37" s="10" t="s">
        <v>2340</v>
      </c>
      <c r="I37" s="12" t="s">
        <v>1029</v>
      </c>
      <c r="J37" s="12" t="s">
        <v>1036</v>
      </c>
      <c r="K37" s="10" t="s">
        <v>1031</v>
      </c>
      <c r="L37" s="10" t="s">
        <v>1247</v>
      </c>
      <c r="M37" s="12" t="s">
        <v>1235</v>
      </c>
      <c r="N37" s="14" t="s">
        <v>1035</v>
      </c>
    </row>
    <row r="38" spans="1:14" s="1" customFormat="1" ht="17.100000000000001" customHeight="1" x14ac:dyDescent="0.25">
      <c r="A38" s="9" t="s">
        <v>543</v>
      </c>
      <c r="B38" s="10" t="s">
        <v>544</v>
      </c>
      <c r="C38" s="10">
        <v>2019</v>
      </c>
      <c r="D38" s="11" t="s">
        <v>1740</v>
      </c>
      <c r="E38" s="10" t="s">
        <v>1630</v>
      </c>
      <c r="F38" s="11" t="s">
        <v>330</v>
      </c>
      <c r="G38" s="10" t="s">
        <v>2266</v>
      </c>
      <c r="H38" s="10" t="s">
        <v>2340</v>
      </c>
      <c r="I38" s="12" t="s">
        <v>1029</v>
      </c>
      <c r="J38" s="10" t="s">
        <v>1030</v>
      </c>
      <c r="K38" s="10" t="s">
        <v>1031</v>
      </c>
      <c r="L38" s="10" t="s">
        <v>1032</v>
      </c>
      <c r="M38" s="12" t="s">
        <v>114</v>
      </c>
      <c r="N38" s="14" t="s">
        <v>1035</v>
      </c>
    </row>
    <row r="39" spans="1:14" s="1" customFormat="1" ht="17.100000000000001" customHeight="1" x14ac:dyDescent="0.25">
      <c r="A39" s="9" t="s">
        <v>418</v>
      </c>
      <c r="B39" s="10" t="s">
        <v>419</v>
      </c>
      <c r="C39" s="10">
        <v>2019</v>
      </c>
      <c r="D39" s="11" t="s">
        <v>2099</v>
      </c>
      <c r="E39" s="10" t="s">
        <v>1630</v>
      </c>
      <c r="F39" s="11" t="s">
        <v>330</v>
      </c>
      <c r="G39" s="10" t="s">
        <v>2266</v>
      </c>
      <c r="H39" s="10" t="s">
        <v>2340</v>
      </c>
      <c r="I39" s="12" t="s">
        <v>1039</v>
      </c>
      <c r="J39" s="10" t="s">
        <v>1048</v>
      </c>
      <c r="K39" s="10" t="s">
        <v>1031</v>
      </c>
      <c r="L39" s="10" t="s">
        <v>1247</v>
      </c>
      <c r="M39" s="10" t="s">
        <v>1116</v>
      </c>
      <c r="N39" s="14" t="s">
        <v>1035</v>
      </c>
    </row>
    <row r="40" spans="1:14" s="1" customFormat="1" ht="17.100000000000001" customHeight="1" x14ac:dyDescent="0.25">
      <c r="A40" s="27" t="s">
        <v>1616</v>
      </c>
      <c r="B40" s="28" t="s">
        <v>1617</v>
      </c>
      <c r="C40" s="29">
        <v>2014</v>
      </c>
      <c r="D40" s="11" t="s">
        <v>1679</v>
      </c>
      <c r="E40" s="28" t="s">
        <v>1630</v>
      </c>
      <c r="F40" s="30" t="s">
        <v>330</v>
      </c>
      <c r="G40" s="29" t="s">
        <v>1609</v>
      </c>
      <c r="H40" s="29" t="s">
        <v>2353</v>
      </c>
      <c r="I40" s="29" t="s">
        <v>1493</v>
      </c>
      <c r="J40" s="29" t="s">
        <v>1030</v>
      </c>
      <c r="K40" s="12" t="s">
        <v>1037</v>
      </c>
      <c r="L40" s="29" t="s">
        <v>1042</v>
      </c>
      <c r="M40" s="10" t="s">
        <v>114</v>
      </c>
      <c r="N40" s="42" t="s">
        <v>1035</v>
      </c>
    </row>
    <row r="41" spans="1:14" s="1" customFormat="1" ht="17.100000000000001" customHeight="1" x14ac:dyDescent="0.25">
      <c r="A41" s="9" t="s">
        <v>518</v>
      </c>
      <c r="B41" s="10" t="s">
        <v>519</v>
      </c>
      <c r="C41" s="10">
        <v>2021</v>
      </c>
      <c r="D41" s="11" t="s">
        <v>1722</v>
      </c>
      <c r="E41" s="10" t="s">
        <v>1630</v>
      </c>
      <c r="F41" s="11" t="s">
        <v>330</v>
      </c>
      <c r="G41" s="10" t="s">
        <v>1028</v>
      </c>
      <c r="H41" s="10" t="s">
        <v>2320</v>
      </c>
      <c r="I41" s="12" t="s">
        <v>1039</v>
      </c>
      <c r="J41" s="10" t="s">
        <v>1040</v>
      </c>
      <c r="K41" s="10" t="s">
        <v>1031</v>
      </c>
      <c r="L41" s="10" t="s">
        <v>1032</v>
      </c>
      <c r="M41" s="12" t="s">
        <v>114</v>
      </c>
      <c r="N41" s="14" t="s">
        <v>1035</v>
      </c>
    </row>
    <row r="42" spans="1:14" s="1" customFormat="1" ht="17.100000000000001" customHeight="1" x14ac:dyDescent="0.25">
      <c r="A42" s="9" t="s">
        <v>2432</v>
      </c>
      <c r="B42" s="10" t="s">
        <v>522</v>
      </c>
      <c r="C42" s="10">
        <v>2022</v>
      </c>
      <c r="D42" s="11" t="s">
        <v>1724</v>
      </c>
      <c r="E42" s="10" t="s">
        <v>1630</v>
      </c>
      <c r="F42" s="11" t="s">
        <v>330</v>
      </c>
      <c r="G42" s="10" t="s">
        <v>1028</v>
      </c>
      <c r="H42" s="10" t="s">
        <v>2320</v>
      </c>
      <c r="I42" s="12" t="s">
        <v>1039</v>
      </c>
      <c r="J42" s="10" t="s">
        <v>1040</v>
      </c>
      <c r="K42" s="10" t="s">
        <v>1031</v>
      </c>
      <c r="L42" s="10" t="s">
        <v>1032</v>
      </c>
      <c r="M42" s="12" t="s">
        <v>114</v>
      </c>
      <c r="N42" s="14" t="s">
        <v>1035</v>
      </c>
    </row>
    <row r="43" spans="1:14" s="1" customFormat="1" ht="17.100000000000001" customHeight="1" x14ac:dyDescent="0.25">
      <c r="A43" s="9" t="s">
        <v>1482</v>
      </c>
      <c r="B43" s="10" t="s">
        <v>1483</v>
      </c>
      <c r="C43" s="10">
        <v>2018</v>
      </c>
      <c r="D43" s="11" t="s">
        <v>2200</v>
      </c>
      <c r="E43" s="10" t="s">
        <v>1630</v>
      </c>
      <c r="F43" s="11" t="s">
        <v>330</v>
      </c>
      <c r="G43" s="10" t="s">
        <v>1215</v>
      </c>
      <c r="H43" s="10" t="s">
        <v>2334</v>
      </c>
      <c r="I43" s="12" t="s">
        <v>1029</v>
      </c>
      <c r="J43" s="10" t="s">
        <v>1030</v>
      </c>
      <c r="K43" s="12" t="s">
        <v>1037</v>
      </c>
      <c r="L43" s="10" t="s">
        <v>1032</v>
      </c>
      <c r="M43" s="10" t="s">
        <v>1049</v>
      </c>
      <c r="N43" s="13" t="s">
        <v>1035</v>
      </c>
    </row>
    <row r="44" spans="1:14" s="1" customFormat="1" ht="17.100000000000001" customHeight="1" x14ac:dyDescent="0.25">
      <c r="A44" s="9" t="s">
        <v>420</v>
      </c>
      <c r="B44" s="10" t="s">
        <v>421</v>
      </c>
      <c r="C44" s="10">
        <v>2020</v>
      </c>
      <c r="D44" s="11" t="s">
        <v>1850</v>
      </c>
      <c r="E44" s="10" t="s">
        <v>1630</v>
      </c>
      <c r="F44" s="11" t="s">
        <v>330</v>
      </c>
      <c r="G44" s="10" t="s">
        <v>1054</v>
      </c>
      <c r="H44" s="10" t="s">
        <v>2384</v>
      </c>
      <c r="I44" s="12" t="s">
        <v>1039</v>
      </c>
      <c r="J44" s="10" t="s">
        <v>1040</v>
      </c>
      <c r="K44" s="10" t="s">
        <v>1031</v>
      </c>
      <c r="L44" s="10" t="s">
        <v>1042</v>
      </c>
      <c r="M44" s="10" t="s">
        <v>1145</v>
      </c>
      <c r="N44" s="14" t="s">
        <v>1035</v>
      </c>
    </row>
    <row r="45" spans="1:14" s="1" customFormat="1" ht="17.100000000000001" customHeight="1" x14ac:dyDescent="0.25">
      <c r="A45" s="9" t="s">
        <v>328</v>
      </c>
      <c r="B45" s="10" t="s">
        <v>329</v>
      </c>
      <c r="C45" s="12">
        <v>2013</v>
      </c>
      <c r="D45" s="11" t="s">
        <v>1891</v>
      </c>
      <c r="E45" s="10" t="s">
        <v>1630</v>
      </c>
      <c r="F45" s="11" t="s">
        <v>330</v>
      </c>
      <c r="G45" s="31" t="s">
        <v>1177</v>
      </c>
      <c r="H45" s="31" t="s">
        <v>2265</v>
      </c>
      <c r="I45" s="12" t="s">
        <v>1029</v>
      </c>
      <c r="J45" s="12" t="s">
        <v>1040</v>
      </c>
      <c r="K45" s="10" t="s">
        <v>1031</v>
      </c>
      <c r="L45" s="10" t="s">
        <v>1247</v>
      </c>
      <c r="M45" s="12" t="s">
        <v>1058</v>
      </c>
      <c r="N45" s="13" t="s">
        <v>1072</v>
      </c>
    </row>
    <row r="46" spans="1:14" s="1" customFormat="1" ht="17.100000000000001" customHeight="1" x14ac:dyDescent="0.25">
      <c r="A46" s="9" t="s">
        <v>336</v>
      </c>
      <c r="B46" s="10" t="s">
        <v>337</v>
      </c>
      <c r="C46" s="10">
        <v>2019</v>
      </c>
      <c r="D46" s="11" t="s">
        <v>1895</v>
      </c>
      <c r="E46" s="10" t="s">
        <v>1630</v>
      </c>
      <c r="F46" s="11" t="s">
        <v>330</v>
      </c>
      <c r="G46" s="10" t="s">
        <v>1028</v>
      </c>
      <c r="H46" s="10" t="s">
        <v>2386</v>
      </c>
      <c r="I46" s="12" t="s">
        <v>1029</v>
      </c>
      <c r="J46" s="10" t="s">
        <v>1040</v>
      </c>
      <c r="K46" s="10" t="s">
        <v>1031</v>
      </c>
      <c r="L46" s="10" t="s">
        <v>1032</v>
      </c>
      <c r="M46" s="10" t="s">
        <v>1160</v>
      </c>
      <c r="N46" s="13" t="s">
        <v>1034</v>
      </c>
    </row>
    <row r="47" spans="1:14" s="1" customFormat="1" ht="17.100000000000001" customHeight="1" x14ac:dyDescent="0.25">
      <c r="A47" s="9" t="s">
        <v>342</v>
      </c>
      <c r="B47" s="10" t="s">
        <v>343</v>
      </c>
      <c r="C47" s="10">
        <v>2018</v>
      </c>
      <c r="D47" s="11" t="s">
        <v>1978</v>
      </c>
      <c r="E47" s="10" t="s">
        <v>1630</v>
      </c>
      <c r="F47" s="11" t="s">
        <v>330</v>
      </c>
      <c r="G47" s="10" t="s">
        <v>1054</v>
      </c>
      <c r="H47" s="10" t="s">
        <v>2331</v>
      </c>
      <c r="I47" s="12" t="s">
        <v>1029</v>
      </c>
      <c r="J47" s="10" t="s">
        <v>1040</v>
      </c>
      <c r="K47" s="10" t="s">
        <v>1031</v>
      </c>
      <c r="L47" s="10" t="s">
        <v>1042</v>
      </c>
      <c r="M47" s="12" t="s">
        <v>114</v>
      </c>
      <c r="N47" s="14" t="s">
        <v>1035</v>
      </c>
    </row>
    <row r="48" spans="1:14" s="1" customFormat="1" ht="17.100000000000001" customHeight="1" x14ac:dyDescent="0.25">
      <c r="A48" s="9" t="s">
        <v>569</v>
      </c>
      <c r="B48" s="10" t="s">
        <v>896</v>
      </c>
      <c r="C48" s="10">
        <v>2019</v>
      </c>
      <c r="D48" s="11" t="s">
        <v>1879</v>
      </c>
      <c r="E48" s="10" t="s">
        <v>1630</v>
      </c>
      <c r="F48" s="11" t="s">
        <v>1158</v>
      </c>
      <c r="G48" s="10" t="s">
        <v>2275</v>
      </c>
      <c r="H48" s="10" t="s">
        <v>1161</v>
      </c>
      <c r="I48" s="12" t="s">
        <v>1039</v>
      </c>
      <c r="J48" s="10" t="s">
        <v>1030</v>
      </c>
      <c r="K48" s="10" t="s">
        <v>1031</v>
      </c>
      <c r="L48" s="10" t="s">
        <v>1032</v>
      </c>
      <c r="M48" s="10" t="s">
        <v>1116</v>
      </c>
      <c r="N48" s="13" t="s">
        <v>1035</v>
      </c>
    </row>
    <row r="49" spans="1:14" s="1" customFormat="1" ht="17.100000000000001" customHeight="1" x14ac:dyDescent="0.25">
      <c r="A49" s="9" t="s">
        <v>317</v>
      </c>
      <c r="B49" s="10" t="s">
        <v>318</v>
      </c>
      <c r="C49" s="10">
        <v>2018</v>
      </c>
      <c r="D49" s="11" t="s">
        <v>1772</v>
      </c>
      <c r="E49" s="10" t="s">
        <v>1630</v>
      </c>
      <c r="F49" s="11" t="s">
        <v>319</v>
      </c>
      <c r="G49" s="10" t="s">
        <v>2275</v>
      </c>
      <c r="H49" s="10" t="s">
        <v>2326</v>
      </c>
      <c r="I49" s="12" t="s">
        <v>1039</v>
      </c>
      <c r="J49" s="10" t="s">
        <v>1030</v>
      </c>
      <c r="K49" s="10" t="s">
        <v>1031</v>
      </c>
      <c r="L49" s="10" t="s">
        <v>1247</v>
      </c>
      <c r="M49" s="10" t="s">
        <v>1086</v>
      </c>
      <c r="N49" s="13" t="s">
        <v>1072</v>
      </c>
    </row>
    <row r="50" spans="1:14" s="1" customFormat="1" ht="17.100000000000001" customHeight="1" x14ac:dyDescent="0.25">
      <c r="A50" s="9" t="s">
        <v>428</v>
      </c>
      <c r="B50" s="10" t="s">
        <v>429</v>
      </c>
      <c r="C50" s="10">
        <v>2019</v>
      </c>
      <c r="D50" s="11" t="s">
        <v>1842</v>
      </c>
      <c r="E50" s="10" t="s">
        <v>1630</v>
      </c>
      <c r="F50" s="11" t="s">
        <v>319</v>
      </c>
      <c r="G50" s="10" t="s">
        <v>1165</v>
      </c>
      <c r="H50" s="10" t="s">
        <v>2350</v>
      </c>
      <c r="I50" s="12" t="s">
        <v>1039</v>
      </c>
      <c r="J50" s="10" t="s">
        <v>1030</v>
      </c>
      <c r="K50" s="10" t="s">
        <v>1031</v>
      </c>
      <c r="L50" s="10" t="s">
        <v>1247</v>
      </c>
      <c r="M50" s="10" t="s">
        <v>1131</v>
      </c>
      <c r="N50" s="14" t="s">
        <v>1035</v>
      </c>
    </row>
    <row r="51" spans="1:14" s="1" customFormat="1" ht="17.100000000000001" customHeight="1" x14ac:dyDescent="0.25">
      <c r="A51" s="9" t="s">
        <v>448</v>
      </c>
      <c r="B51" s="10" t="s">
        <v>449</v>
      </c>
      <c r="C51" s="10">
        <v>2019</v>
      </c>
      <c r="D51" s="11" t="s">
        <v>1983</v>
      </c>
      <c r="E51" s="10" t="s">
        <v>1630</v>
      </c>
      <c r="F51" s="11" t="s">
        <v>319</v>
      </c>
      <c r="G51" s="10" t="s">
        <v>2266</v>
      </c>
      <c r="H51" s="10" t="s">
        <v>1057</v>
      </c>
      <c r="I51" s="12" t="s">
        <v>1029</v>
      </c>
      <c r="J51" s="10" t="s">
        <v>1030</v>
      </c>
      <c r="K51" s="10" t="s">
        <v>1031</v>
      </c>
      <c r="L51" s="10" t="s">
        <v>1032</v>
      </c>
      <c r="M51" s="10" t="s">
        <v>1200</v>
      </c>
      <c r="N51" s="14" t="s">
        <v>1035</v>
      </c>
    </row>
    <row r="52" spans="1:14" s="1" customFormat="1" ht="17.100000000000001" customHeight="1" x14ac:dyDescent="0.25">
      <c r="A52" s="9" t="s">
        <v>320</v>
      </c>
      <c r="B52" s="10" t="s">
        <v>321</v>
      </c>
      <c r="C52" s="10">
        <v>2017</v>
      </c>
      <c r="D52" s="11" t="s">
        <v>1995</v>
      </c>
      <c r="E52" s="10" t="s">
        <v>1630</v>
      </c>
      <c r="F52" s="11" t="s">
        <v>319</v>
      </c>
      <c r="G52" s="10" t="s">
        <v>2266</v>
      </c>
      <c r="H52" s="10" t="s">
        <v>2385</v>
      </c>
      <c r="I52" s="12" t="s">
        <v>1039</v>
      </c>
      <c r="J52" s="10" t="s">
        <v>1036</v>
      </c>
      <c r="K52" s="10" t="s">
        <v>1031</v>
      </c>
      <c r="L52" s="10" t="s">
        <v>1032</v>
      </c>
      <c r="M52" s="12" t="s">
        <v>114</v>
      </c>
      <c r="N52" s="14" t="s">
        <v>1035</v>
      </c>
    </row>
    <row r="53" spans="1:14" s="1" customFormat="1" ht="17.100000000000001" customHeight="1" x14ac:dyDescent="0.25">
      <c r="A53" s="9" t="s">
        <v>145</v>
      </c>
      <c r="B53" s="10" t="s">
        <v>146</v>
      </c>
      <c r="C53" s="32">
        <v>2014</v>
      </c>
      <c r="D53" s="11" t="s">
        <v>1839</v>
      </c>
      <c r="E53" s="10" t="s">
        <v>1630</v>
      </c>
      <c r="F53" s="33" t="s">
        <v>144</v>
      </c>
      <c r="G53" s="10" t="s">
        <v>2266</v>
      </c>
      <c r="H53" s="10" t="s">
        <v>2326</v>
      </c>
      <c r="I53" s="12" t="s">
        <v>1029</v>
      </c>
      <c r="J53" s="10" t="s">
        <v>1030</v>
      </c>
      <c r="K53" s="10" t="s">
        <v>1031</v>
      </c>
      <c r="L53" s="10" t="s">
        <v>2400</v>
      </c>
      <c r="M53" s="10" t="s">
        <v>1102</v>
      </c>
      <c r="N53" s="13" t="s">
        <v>1072</v>
      </c>
    </row>
    <row r="54" spans="1:14" s="1" customFormat="1" ht="17.100000000000001" customHeight="1" x14ac:dyDescent="0.25">
      <c r="A54" s="9" t="s">
        <v>142</v>
      </c>
      <c r="B54" s="10" t="s">
        <v>143</v>
      </c>
      <c r="C54" s="32">
        <v>2014</v>
      </c>
      <c r="D54" s="11" t="s">
        <v>1837</v>
      </c>
      <c r="E54" s="10" t="s">
        <v>1630</v>
      </c>
      <c r="F54" s="33" t="s">
        <v>144</v>
      </c>
      <c r="G54" s="10" t="s">
        <v>2275</v>
      </c>
      <c r="H54" s="10" t="s">
        <v>2326</v>
      </c>
      <c r="I54" s="12" t="s">
        <v>1039</v>
      </c>
      <c r="J54" s="10" t="s">
        <v>1030</v>
      </c>
      <c r="K54" s="10" t="s">
        <v>1031</v>
      </c>
      <c r="L54" s="10" t="s">
        <v>1247</v>
      </c>
      <c r="M54" s="12" t="s">
        <v>114</v>
      </c>
      <c r="N54" s="13" t="s">
        <v>1041</v>
      </c>
    </row>
    <row r="55" spans="1:14" s="1" customFormat="1" ht="17.100000000000001" customHeight="1" x14ac:dyDescent="0.25">
      <c r="A55" s="9" t="s">
        <v>441</v>
      </c>
      <c r="B55" s="10" t="s">
        <v>442</v>
      </c>
      <c r="C55" s="10">
        <v>2019</v>
      </c>
      <c r="D55" s="11" t="s">
        <v>1843</v>
      </c>
      <c r="E55" s="10" t="s">
        <v>1630</v>
      </c>
      <c r="F55" s="11" t="s">
        <v>443</v>
      </c>
      <c r="G55" s="10" t="s">
        <v>1028</v>
      </c>
      <c r="H55" s="10" t="s">
        <v>2326</v>
      </c>
      <c r="I55" s="12" t="s">
        <v>1029</v>
      </c>
      <c r="J55" s="10" t="s">
        <v>1036</v>
      </c>
      <c r="K55" s="10" t="s">
        <v>1031</v>
      </c>
      <c r="L55" s="10" t="s">
        <v>1032</v>
      </c>
      <c r="M55" s="12" t="s">
        <v>114</v>
      </c>
      <c r="N55" s="14" t="s">
        <v>1035</v>
      </c>
    </row>
    <row r="56" spans="1:14" s="1" customFormat="1" ht="17.100000000000001" customHeight="1" x14ac:dyDescent="0.25">
      <c r="A56" s="9" t="s">
        <v>403</v>
      </c>
      <c r="B56" s="34" t="s">
        <v>114</v>
      </c>
      <c r="C56" s="10">
        <v>2012</v>
      </c>
      <c r="D56" s="11" t="s">
        <v>1654</v>
      </c>
      <c r="E56" s="10" t="s">
        <v>1630</v>
      </c>
      <c r="F56" s="11" t="s">
        <v>404</v>
      </c>
      <c r="G56" s="10" t="s">
        <v>1054</v>
      </c>
      <c r="H56" s="10" t="s">
        <v>2326</v>
      </c>
      <c r="I56" s="12" t="s">
        <v>1039</v>
      </c>
      <c r="J56" s="10" t="s">
        <v>1030</v>
      </c>
      <c r="K56" s="10" t="s">
        <v>1031</v>
      </c>
      <c r="L56" s="10" t="s">
        <v>1042</v>
      </c>
      <c r="M56" s="12" t="s">
        <v>114</v>
      </c>
      <c r="N56" s="14" t="s">
        <v>1035</v>
      </c>
    </row>
    <row r="57" spans="1:14" s="1" customFormat="1" ht="17.100000000000001" customHeight="1" x14ac:dyDescent="0.25">
      <c r="A57" s="9" t="s">
        <v>405</v>
      </c>
      <c r="B57" s="34" t="s">
        <v>114</v>
      </c>
      <c r="C57" s="10">
        <v>2017</v>
      </c>
      <c r="D57" s="11" t="s">
        <v>1655</v>
      </c>
      <c r="E57" s="10" t="s">
        <v>1630</v>
      </c>
      <c r="F57" s="11" t="s">
        <v>404</v>
      </c>
      <c r="G57" s="10" t="s">
        <v>2266</v>
      </c>
      <c r="H57" s="10" t="s">
        <v>2326</v>
      </c>
      <c r="I57" s="12" t="s">
        <v>1039</v>
      </c>
      <c r="J57" s="10" t="s">
        <v>1030</v>
      </c>
      <c r="K57" s="10" t="s">
        <v>1031</v>
      </c>
      <c r="L57" s="10" t="s">
        <v>1032</v>
      </c>
      <c r="M57" s="10" t="s">
        <v>1126</v>
      </c>
      <c r="N57" s="14" t="s">
        <v>1035</v>
      </c>
    </row>
    <row r="58" spans="1:14" s="1" customFormat="1" ht="17.100000000000001" customHeight="1" x14ac:dyDescent="0.25">
      <c r="A58" s="9" t="s">
        <v>498</v>
      </c>
      <c r="B58" s="10" t="s">
        <v>499</v>
      </c>
      <c r="C58" s="10">
        <v>2022</v>
      </c>
      <c r="D58" s="11" t="s">
        <v>2042</v>
      </c>
      <c r="E58" s="10" t="s">
        <v>1630</v>
      </c>
      <c r="F58" s="11" t="s">
        <v>495</v>
      </c>
      <c r="G58" s="10" t="s">
        <v>1054</v>
      </c>
      <c r="H58" s="10" t="s">
        <v>1168</v>
      </c>
      <c r="I58" s="12" t="s">
        <v>1029</v>
      </c>
      <c r="J58" s="12" t="s">
        <v>1040</v>
      </c>
      <c r="K58" s="10" t="s">
        <v>1031</v>
      </c>
      <c r="L58" s="10" t="s">
        <v>1042</v>
      </c>
      <c r="M58" s="12" t="s">
        <v>114</v>
      </c>
      <c r="N58" s="14" t="s">
        <v>1035</v>
      </c>
    </row>
    <row r="59" spans="1:14" s="1" customFormat="1" ht="17.100000000000001" customHeight="1" x14ac:dyDescent="0.25">
      <c r="A59" s="9" t="s">
        <v>493</v>
      </c>
      <c r="B59" s="10" t="s">
        <v>494</v>
      </c>
      <c r="C59" s="10">
        <v>2020</v>
      </c>
      <c r="D59" s="11" t="s">
        <v>2041</v>
      </c>
      <c r="E59" s="10" t="s">
        <v>1630</v>
      </c>
      <c r="F59" s="11" t="s">
        <v>495</v>
      </c>
      <c r="G59" s="10" t="s">
        <v>1054</v>
      </c>
      <c r="H59" s="10" t="s">
        <v>1168</v>
      </c>
      <c r="I59" s="12" t="s">
        <v>1039</v>
      </c>
      <c r="J59" s="10" t="s">
        <v>1040</v>
      </c>
      <c r="K59" s="10" t="s">
        <v>1031</v>
      </c>
      <c r="L59" s="10" t="s">
        <v>1042</v>
      </c>
      <c r="M59" s="12" t="s">
        <v>114</v>
      </c>
      <c r="N59" s="14" t="s">
        <v>1035</v>
      </c>
    </row>
    <row r="60" spans="1:14" s="1" customFormat="1" ht="17.100000000000001" customHeight="1" x14ac:dyDescent="0.25">
      <c r="A60" s="27" t="s">
        <v>1626</v>
      </c>
      <c r="B60" s="34" t="s">
        <v>114</v>
      </c>
      <c r="C60" s="35">
        <v>2022</v>
      </c>
      <c r="D60" s="36" t="s">
        <v>1685</v>
      </c>
      <c r="E60" s="37" t="s">
        <v>1630</v>
      </c>
      <c r="F60" s="37" t="s">
        <v>495</v>
      </c>
      <c r="G60" s="29" t="s">
        <v>1028</v>
      </c>
      <c r="H60" s="29" t="s">
        <v>1168</v>
      </c>
      <c r="I60" s="29" t="s">
        <v>1029</v>
      </c>
      <c r="J60" s="29" t="s">
        <v>1040</v>
      </c>
      <c r="K60" s="29" t="s">
        <v>1031</v>
      </c>
      <c r="L60" s="29" t="s">
        <v>1032</v>
      </c>
      <c r="M60" s="29" t="s">
        <v>2291</v>
      </c>
      <c r="N60" s="43" t="s">
        <v>1035</v>
      </c>
    </row>
    <row r="61" spans="1:14" s="1" customFormat="1" ht="17.100000000000001" customHeight="1" x14ac:dyDescent="0.25">
      <c r="A61" s="9" t="s">
        <v>1518</v>
      </c>
      <c r="B61" s="10" t="s">
        <v>1519</v>
      </c>
      <c r="C61" s="10">
        <v>2015</v>
      </c>
      <c r="D61" s="11" t="s">
        <v>1760</v>
      </c>
      <c r="E61" s="10" t="s">
        <v>1630</v>
      </c>
      <c r="F61" s="11" t="s">
        <v>208</v>
      </c>
      <c r="G61" s="10" t="s">
        <v>2266</v>
      </c>
      <c r="H61" s="10" t="s">
        <v>2337</v>
      </c>
      <c r="I61" s="10" t="s">
        <v>1493</v>
      </c>
      <c r="J61" s="10" t="s">
        <v>1030</v>
      </c>
      <c r="K61" s="10" t="s">
        <v>1031</v>
      </c>
      <c r="L61" s="10" t="s">
        <v>1247</v>
      </c>
      <c r="M61" s="10" t="s">
        <v>114</v>
      </c>
      <c r="N61" s="13" t="s">
        <v>1035</v>
      </c>
    </row>
    <row r="62" spans="1:14" s="1" customFormat="1" ht="17.100000000000001" customHeight="1" x14ac:dyDescent="0.25">
      <c r="A62" s="9" t="s">
        <v>1581</v>
      </c>
      <c r="B62" s="10" t="s">
        <v>1582</v>
      </c>
      <c r="C62" s="10">
        <v>2017</v>
      </c>
      <c r="D62" s="11" t="s">
        <v>2242</v>
      </c>
      <c r="E62" s="10" t="s">
        <v>1630</v>
      </c>
      <c r="F62" s="11" t="s">
        <v>208</v>
      </c>
      <c r="G62" s="10" t="s">
        <v>2275</v>
      </c>
      <c r="H62" s="10" t="s">
        <v>2337</v>
      </c>
      <c r="I62" s="10" t="s">
        <v>1039</v>
      </c>
      <c r="J62" s="10" t="s">
        <v>1030</v>
      </c>
      <c r="K62" s="12" t="s">
        <v>1037</v>
      </c>
      <c r="L62" s="10" t="s">
        <v>1247</v>
      </c>
      <c r="M62" s="10" t="s">
        <v>1250</v>
      </c>
      <c r="N62" s="13" t="s">
        <v>1159</v>
      </c>
    </row>
    <row r="63" spans="1:14" s="1" customFormat="1" ht="17.100000000000001" customHeight="1" x14ac:dyDescent="0.25">
      <c r="A63" s="9" t="s">
        <v>1522</v>
      </c>
      <c r="B63" s="10" t="s">
        <v>1523</v>
      </c>
      <c r="C63" s="10">
        <v>2015</v>
      </c>
      <c r="D63" s="11" t="s">
        <v>2213</v>
      </c>
      <c r="E63" s="10" t="s">
        <v>1630</v>
      </c>
      <c r="F63" s="11" t="s">
        <v>208</v>
      </c>
      <c r="G63" s="10" t="s">
        <v>1177</v>
      </c>
      <c r="H63" s="10" t="s">
        <v>2366</v>
      </c>
      <c r="I63" s="10" t="s">
        <v>1493</v>
      </c>
      <c r="J63" s="10" t="s">
        <v>1040</v>
      </c>
      <c r="K63" s="12" t="s">
        <v>1037</v>
      </c>
      <c r="L63" s="10" t="s">
        <v>1247</v>
      </c>
      <c r="M63" s="10" t="s">
        <v>1055</v>
      </c>
      <c r="N63" s="13" t="s">
        <v>1034</v>
      </c>
    </row>
    <row r="64" spans="1:14" s="1" customFormat="1" ht="17.100000000000001" customHeight="1" x14ac:dyDescent="0.25">
      <c r="A64" s="9" t="s">
        <v>1498</v>
      </c>
      <c r="B64" s="10" t="s">
        <v>1499</v>
      </c>
      <c r="C64" s="10">
        <v>2017</v>
      </c>
      <c r="D64" s="11" t="s">
        <v>2205</v>
      </c>
      <c r="E64" s="10" t="s">
        <v>1630</v>
      </c>
      <c r="F64" s="11" t="s">
        <v>208</v>
      </c>
      <c r="G64" s="10" t="s">
        <v>2281</v>
      </c>
      <c r="H64" s="10" t="s">
        <v>2326</v>
      </c>
      <c r="I64" s="10" t="s">
        <v>1493</v>
      </c>
      <c r="J64" s="10" t="s">
        <v>1030</v>
      </c>
      <c r="K64" s="10" t="s">
        <v>1031</v>
      </c>
      <c r="L64" s="10" t="s">
        <v>1042</v>
      </c>
      <c r="M64" s="10" t="s">
        <v>1500</v>
      </c>
      <c r="N64" s="13" t="s">
        <v>1034</v>
      </c>
    </row>
    <row r="65" spans="1:14" s="1" customFormat="1" ht="17.100000000000001" customHeight="1" x14ac:dyDescent="0.25">
      <c r="A65" s="9" t="s">
        <v>1524</v>
      </c>
      <c r="B65" s="10" t="s">
        <v>1525</v>
      </c>
      <c r="C65" s="10">
        <v>2016</v>
      </c>
      <c r="D65" s="11" t="s">
        <v>2214</v>
      </c>
      <c r="E65" s="10" t="s">
        <v>1630</v>
      </c>
      <c r="F65" s="11" t="s">
        <v>208</v>
      </c>
      <c r="G65" s="10" t="s">
        <v>2266</v>
      </c>
      <c r="H65" s="10" t="s">
        <v>2326</v>
      </c>
      <c r="I65" s="10" t="s">
        <v>1493</v>
      </c>
      <c r="J65" s="10" t="s">
        <v>1691</v>
      </c>
      <c r="K65" s="12" t="s">
        <v>1037</v>
      </c>
      <c r="L65" s="10" t="s">
        <v>1042</v>
      </c>
      <c r="M65" s="10" t="s">
        <v>1526</v>
      </c>
      <c r="N65" s="13" t="s">
        <v>1035</v>
      </c>
    </row>
    <row r="66" spans="1:14" s="1" customFormat="1" ht="17.100000000000001" customHeight="1" x14ac:dyDescent="0.25">
      <c r="A66" s="9" t="s">
        <v>1504</v>
      </c>
      <c r="B66" s="10" t="s">
        <v>1505</v>
      </c>
      <c r="C66" s="10">
        <v>2022</v>
      </c>
      <c r="D66" s="11" t="s">
        <v>2207</v>
      </c>
      <c r="E66" s="10" t="s">
        <v>1630</v>
      </c>
      <c r="F66" s="11" t="s">
        <v>208</v>
      </c>
      <c r="G66" s="10" t="s">
        <v>1177</v>
      </c>
      <c r="H66" s="10" t="s">
        <v>2326</v>
      </c>
      <c r="I66" s="10" t="s">
        <v>1493</v>
      </c>
      <c r="J66" s="10" t="s">
        <v>1030</v>
      </c>
      <c r="K66" s="10" t="s">
        <v>1031</v>
      </c>
      <c r="L66" s="10" t="s">
        <v>1247</v>
      </c>
      <c r="M66" s="10" t="s">
        <v>1506</v>
      </c>
      <c r="N66" s="13" t="s">
        <v>1072</v>
      </c>
    </row>
    <row r="67" spans="1:14" s="1" customFormat="1" ht="17.100000000000001" customHeight="1" x14ac:dyDescent="0.25">
      <c r="A67" s="9" t="s">
        <v>1501</v>
      </c>
      <c r="B67" s="10" t="s">
        <v>1502</v>
      </c>
      <c r="C67" s="10">
        <v>2016</v>
      </c>
      <c r="D67" s="11" t="s">
        <v>2206</v>
      </c>
      <c r="E67" s="10" t="s">
        <v>1630</v>
      </c>
      <c r="F67" s="11" t="s">
        <v>208</v>
      </c>
      <c r="G67" s="10" t="s">
        <v>2275</v>
      </c>
      <c r="H67" s="10" t="s">
        <v>1161</v>
      </c>
      <c r="I67" s="10" t="s">
        <v>1493</v>
      </c>
      <c r="J67" s="10" t="s">
        <v>1030</v>
      </c>
      <c r="K67" s="10" t="s">
        <v>1031</v>
      </c>
      <c r="L67" s="10" t="s">
        <v>1247</v>
      </c>
      <c r="M67" s="10" t="s">
        <v>1503</v>
      </c>
      <c r="N67" s="13" t="s">
        <v>1035</v>
      </c>
    </row>
    <row r="68" spans="1:14" s="1" customFormat="1" ht="17.100000000000001" customHeight="1" x14ac:dyDescent="0.25">
      <c r="A68" s="9" t="s">
        <v>1516</v>
      </c>
      <c r="B68" s="10" t="s">
        <v>1517</v>
      </c>
      <c r="C68" s="10">
        <v>2016</v>
      </c>
      <c r="D68" s="11" t="s">
        <v>2211</v>
      </c>
      <c r="E68" s="10" t="s">
        <v>1630</v>
      </c>
      <c r="F68" s="11" t="s">
        <v>208</v>
      </c>
      <c r="G68" s="10" t="s">
        <v>1641</v>
      </c>
      <c r="H68" s="10" t="s">
        <v>1057</v>
      </c>
      <c r="I68" s="10" t="s">
        <v>1493</v>
      </c>
      <c r="J68" s="10" t="s">
        <v>1030</v>
      </c>
      <c r="K68" s="12" t="s">
        <v>1037</v>
      </c>
      <c r="L68" s="10" t="s">
        <v>1247</v>
      </c>
      <c r="M68" s="10" t="s">
        <v>1093</v>
      </c>
      <c r="N68" s="13" t="s">
        <v>1035</v>
      </c>
    </row>
    <row r="69" spans="1:14" s="1" customFormat="1" ht="17.100000000000001" customHeight="1" x14ac:dyDescent="0.25">
      <c r="A69" s="9" t="s">
        <v>206</v>
      </c>
      <c r="B69" s="10" t="s">
        <v>207</v>
      </c>
      <c r="C69" s="10">
        <v>2017</v>
      </c>
      <c r="D69" s="11" t="s">
        <v>1997</v>
      </c>
      <c r="E69" s="10" t="s">
        <v>1630</v>
      </c>
      <c r="F69" s="11" t="s">
        <v>208</v>
      </c>
      <c r="G69" s="10" t="s">
        <v>1066</v>
      </c>
      <c r="H69" s="10" t="s">
        <v>1057</v>
      </c>
      <c r="I69" s="12" t="s">
        <v>1039</v>
      </c>
      <c r="J69" s="10" t="s">
        <v>1052</v>
      </c>
      <c r="K69" s="10" t="s">
        <v>1031</v>
      </c>
      <c r="L69" s="10" t="s">
        <v>1032</v>
      </c>
      <c r="M69" s="12" t="s">
        <v>114</v>
      </c>
      <c r="N69" s="14" t="s">
        <v>1035</v>
      </c>
    </row>
    <row r="70" spans="1:14" s="1" customFormat="1" ht="17.100000000000001" customHeight="1" x14ac:dyDescent="0.25">
      <c r="A70" s="9" t="s">
        <v>1529</v>
      </c>
      <c r="B70" s="10" t="s">
        <v>1530</v>
      </c>
      <c r="C70" s="10">
        <v>2020</v>
      </c>
      <c r="D70" s="11" t="s">
        <v>2216</v>
      </c>
      <c r="E70" s="10" t="s">
        <v>1630</v>
      </c>
      <c r="F70" s="11" t="s">
        <v>208</v>
      </c>
      <c r="G70" s="10" t="s">
        <v>2271</v>
      </c>
      <c r="H70" s="10" t="s">
        <v>1057</v>
      </c>
      <c r="I70" s="12" t="s">
        <v>1029</v>
      </c>
      <c r="J70" s="10" t="s">
        <v>1036</v>
      </c>
      <c r="K70" s="10" t="s">
        <v>1031</v>
      </c>
      <c r="L70" s="10" t="s">
        <v>1032</v>
      </c>
      <c r="M70" s="10" t="s">
        <v>1055</v>
      </c>
      <c r="N70" s="13" t="s">
        <v>1035</v>
      </c>
    </row>
    <row r="71" spans="1:14" s="1" customFormat="1" ht="17.100000000000001" customHeight="1" x14ac:dyDescent="0.25">
      <c r="A71" s="9" t="s">
        <v>209</v>
      </c>
      <c r="B71" s="10" t="s">
        <v>210</v>
      </c>
      <c r="C71" s="12">
        <v>2013</v>
      </c>
      <c r="D71" s="11" t="s">
        <v>1934</v>
      </c>
      <c r="E71" s="10" t="s">
        <v>1630</v>
      </c>
      <c r="F71" s="11" t="s">
        <v>208</v>
      </c>
      <c r="G71" s="12" t="s">
        <v>1028</v>
      </c>
      <c r="H71" s="10" t="s">
        <v>1647</v>
      </c>
      <c r="I71" s="12" t="s">
        <v>1039</v>
      </c>
      <c r="J71" s="12" t="s">
        <v>1030</v>
      </c>
      <c r="K71" s="10" t="s">
        <v>1031</v>
      </c>
      <c r="L71" s="12" t="s">
        <v>1042</v>
      </c>
      <c r="M71" s="12" t="s">
        <v>114</v>
      </c>
      <c r="N71" s="14" t="s">
        <v>1035</v>
      </c>
    </row>
    <row r="72" spans="1:14" s="1" customFormat="1" ht="17.100000000000001" customHeight="1" x14ac:dyDescent="0.25">
      <c r="A72" s="9" t="s">
        <v>1531</v>
      </c>
      <c r="B72" s="10" t="s">
        <v>1532</v>
      </c>
      <c r="C72" s="10">
        <v>2022</v>
      </c>
      <c r="D72" s="11" t="s">
        <v>1743</v>
      </c>
      <c r="E72" s="10" t="s">
        <v>1630</v>
      </c>
      <c r="F72" s="11" t="s">
        <v>208</v>
      </c>
      <c r="G72" s="10" t="s">
        <v>1215</v>
      </c>
      <c r="H72" s="10" t="s">
        <v>1168</v>
      </c>
      <c r="I72" s="12" t="s">
        <v>1029</v>
      </c>
      <c r="J72" s="10" t="s">
        <v>1040</v>
      </c>
      <c r="K72" s="10" t="s">
        <v>1031</v>
      </c>
      <c r="L72" s="10" t="s">
        <v>1032</v>
      </c>
      <c r="M72" s="10" t="s">
        <v>1055</v>
      </c>
      <c r="N72" s="13" t="s">
        <v>1035</v>
      </c>
    </row>
    <row r="73" spans="1:14" s="1" customFormat="1" ht="17.100000000000001" customHeight="1" x14ac:dyDescent="0.25">
      <c r="A73" s="9" t="s">
        <v>1514</v>
      </c>
      <c r="B73" s="10" t="s">
        <v>1515</v>
      </c>
      <c r="C73" s="10">
        <v>2012</v>
      </c>
      <c r="D73" s="11" t="s">
        <v>2210</v>
      </c>
      <c r="E73" s="10" t="s">
        <v>1630</v>
      </c>
      <c r="F73" s="11" t="s">
        <v>208</v>
      </c>
      <c r="G73" s="10" t="s">
        <v>2286</v>
      </c>
      <c r="H73" s="10" t="s">
        <v>1229</v>
      </c>
      <c r="I73" s="10" t="s">
        <v>1493</v>
      </c>
      <c r="J73" s="10" t="s">
        <v>1040</v>
      </c>
      <c r="K73" s="12" t="s">
        <v>1037</v>
      </c>
      <c r="L73" s="10" t="s">
        <v>1247</v>
      </c>
      <c r="M73" s="10" t="s">
        <v>1093</v>
      </c>
      <c r="N73" s="13" t="s">
        <v>1035</v>
      </c>
    </row>
    <row r="74" spans="1:14" s="1" customFormat="1" ht="17.100000000000001" customHeight="1" x14ac:dyDescent="0.25">
      <c r="A74" s="9" t="s">
        <v>213</v>
      </c>
      <c r="B74" s="10" t="s">
        <v>214</v>
      </c>
      <c r="C74" s="10">
        <v>2016</v>
      </c>
      <c r="D74" s="11" t="s">
        <v>1674</v>
      </c>
      <c r="E74" s="10" t="s">
        <v>1630</v>
      </c>
      <c r="F74" s="11" t="s">
        <v>208</v>
      </c>
      <c r="G74" s="10" t="s">
        <v>1028</v>
      </c>
      <c r="H74" s="10" t="s">
        <v>2376</v>
      </c>
      <c r="I74" s="12" t="s">
        <v>1039</v>
      </c>
      <c r="J74" s="10" t="s">
        <v>1030</v>
      </c>
      <c r="K74" s="10" t="s">
        <v>1031</v>
      </c>
      <c r="L74" s="10" t="s">
        <v>1032</v>
      </c>
      <c r="M74" s="12" t="s">
        <v>114</v>
      </c>
      <c r="N74" s="14" t="s">
        <v>1035</v>
      </c>
    </row>
    <row r="75" spans="1:14" s="1" customFormat="1" ht="17.100000000000001" customHeight="1" x14ac:dyDescent="0.25">
      <c r="A75" s="9" t="s">
        <v>1527</v>
      </c>
      <c r="B75" s="10" t="s">
        <v>1528</v>
      </c>
      <c r="C75" s="10">
        <v>2022</v>
      </c>
      <c r="D75" s="11" t="s">
        <v>2215</v>
      </c>
      <c r="E75" s="10" t="s">
        <v>1630</v>
      </c>
      <c r="F75" s="11" t="s">
        <v>208</v>
      </c>
      <c r="G75" s="10" t="s">
        <v>2275</v>
      </c>
      <c r="H75" s="10" t="s">
        <v>1228</v>
      </c>
      <c r="I75" s="10" t="s">
        <v>1493</v>
      </c>
      <c r="J75" s="10" t="s">
        <v>1030</v>
      </c>
      <c r="K75" s="10" t="s">
        <v>1031</v>
      </c>
      <c r="L75" s="10" t="s">
        <v>1247</v>
      </c>
      <c r="M75" s="10" t="s">
        <v>1093</v>
      </c>
      <c r="N75" s="13" t="s">
        <v>1035</v>
      </c>
    </row>
    <row r="76" spans="1:14" s="1" customFormat="1" ht="17.100000000000001" customHeight="1" x14ac:dyDescent="0.25">
      <c r="A76" s="9" t="s">
        <v>454</v>
      </c>
      <c r="B76" s="10" t="s">
        <v>455</v>
      </c>
      <c r="C76" s="10">
        <v>2020</v>
      </c>
      <c r="D76" s="11" t="s">
        <v>2104</v>
      </c>
      <c r="E76" s="10" t="s">
        <v>1630</v>
      </c>
      <c r="F76" s="11" t="s">
        <v>208</v>
      </c>
      <c r="G76" s="10" t="s">
        <v>1054</v>
      </c>
      <c r="H76" s="10" t="s">
        <v>2340</v>
      </c>
      <c r="I76" s="12" t="s">
        <v>1029</v>
      </c>
      <c r="J76" s="10" t="s">
        <v>1036</v>
      </c>
      <c r="K76" s="10" t="s">
        <v>1031</v>
      </c>
      <c r="L76" s="10" t="s">
        <v>1042</v>
      </c>
      <c r="M76" s="12" t="s">
        <v>114</v>
      </c>
      <c r="N76" s="14" t="s">
        <v>1035</v>
      </c>
    </row>
    <row r="77" spans="1:14" s="1" customFormat="1" ht="17.100000000000001" customHeight="1" x14ac:dyDescent="0.25">
      <c r="A77" s="9" t="s">
        <v>215</v>
      </c>
      <c r="B77" s="10" t="s">
        <v>216</v>
      </c>
      <c r="C77" s="12">
        <v>2017</v>
      </c>
      <c r="D77" s="11" t="s">
        <v>1715</v>
      </c>
      <c r="E77" s="10" t="s">
        <v>1630</v>
      </c>
      <c r="F77" s="11" t="s">
        <v>208</v>
      </c>
      <c r="G77" s="12" t="s">
        <v>1028</v>
      </c>
      <c r="H77" s="10" t="s">
        <v>2320</v>
      </c>
      <c r="I77" s="12" t="s">
        <v>1029</v>
      </c>
      <c r="J77" s="12" t="s">
        <v>1040</v>
      </c>
      <c r="K77" s="10" t="s">
        <v>1031</v>
      </c>
      <c r="L77" s="10" t="s">
        <v>1032</v>
      </c>
      <c r="M77" s="12" t="s">
        <v>1051</v>
      </c>
      <c r="N77" s="14" t="s">
        <v>1035</v>
      </c>
    </row>
    <row r="78" spans="1:14" s="1" customFormat="1" ht="17.100000000000001" customHeight="1" x14ac:dyDescent="0.25">
      <c r="A78" s="9" t="s">
        <v>868</v>
      </c>
      <c r="B78" s="10" t="s">
        <v>1596</v>
      </c>
      <c r="C78" s="10">
        <v>2021</v>
      </c>
      <c r="D78" s="11" t="s">
        <v>2233</v>
      </c>
      <c r="E78" s="10" t="s">
        <v>1630</v>
      </c>
      <c r="F78" s="11" t="s">
        <v>208</v>
      </c>
      <c r="G78" s="10" t="s">
        <v>1260</v>
      </c>
      <c r="H78" s="10" t="s">
        <v>2347</v>
      </c>
      <c r="I78" s="10" t="s">
        <v>1493</v>
      </c>
      <c r="J78" s="10" t="s">
        <v>1040</v>
      </c>
      <c r="K78" s="10" t="s">
        <v>1031</v>
      </c>
      <c r="L78" s="10" t="s">
        <v>1032</v>
      </c>
      <c r="M78" s="10" t="s">
        <v>1574</v>
      </c>
      <c r="N78" s="13" t="s">
        <v>1072</v>
      </c>
    </row>
    <row r="79" spans="1:14" s="1" customFormat="1" ht="17.100000000000001" customHeight="1" x14ac:dyDescent="0.25">
      <c r="A79" s="9" t="s">
        <v>211</v>
      </c>
      <c r="B79" s="10" t="s">
        <v>212</v>
      </c>
      <c r="C79" s="10">
        <v>2015</v>
      </c>
      <c r="D79" s="11" t="s">
        <v>1910</v>
      </c>
      <c r="E79" s="10" t="s">
        <v>1630</v>
      </c>
      <c r="F79" s="11" t="s">
        <v>208</v>
      </c>
      <c r="G79" s="10" t="s">
        <v>1028</v>
      </c>
      <c r="H79" s="10" t="s">
        <v>2362</v>
      </c>
      <c r="I79" s="12" t="s">
        <v>1029</v>
      </c>
      <c r="J79" s="10" t="s">
        <v>1036</v>
      </c>
      <c r="K79" s="10" t="s">
        <v>1031</v>
      </c>
      <c r="L79" s="10" t="s">
        <v>1032</v>
      </c>
      <c r="M79" s="10" t="s">
        <v>1109</v>
      </c>
      <c r="N79" s="14" t="s">
        <v>1035</v>
      </c>
    </row>
    <row r="80" spans="1:14" s="1" customFormat="1" ht="17.100000000000001" customHeight="1" x14ac:dyDescent="0.25">
      <c r="A80" s="9" t="s">
        <v>845</v>
      </c>
      <c r="B80" s="10" t="s">
        <v>846</v>
      </c>
      <c r="C80" s="10">
        <v>2019</v>
      </c>
      <c r="D80" s="11" t="s">
        <v>2250</v>
      </c>
      <c r="E80" s="10" t="s">
        <v>1630</v>
      </c>
      <c r="F80" s="11" t="s">
        <v>208</v>
      </c>
      <c r="G80" s="10" t="s">
        <v>1054</v>
      </c>
      <c r="H80" s="10" t="s">
        <v>2349</v>
      </c>
      <c r="I80" s="12" t="s">
        <v>1029</v>
      </c>
      <c r="J80" s="10" t="s">
        <v>1040</v>
      </c>
      <c r="K80" s="10" t="s">
        <v>1031</v>
      </c>
      <c r="L80" s="10" t="s">
        <v>1042</v>
      </c>
      <c r="M80" s="10" t="s">
        <v>114</v>
      </c>
      <c r="N80" s="13" t="s">
        <v>1041</v>
      </c>
    </row>
    <row r="81" spans="1:14" s="1" customFormat="1" ht="17.100000000000001" customHeight="1" x14ac:dyDescent="0.25">
      <c r="A81" s="9" t="s">
        <v>217</v>
      </c>
      <c r="B81" s="10" t="s">
        <v>218</v>
      </c>
      <c r="C81" s="10">
        <v>2013</v>
      </c>
      <c r="D81" s="11" t="s">
        <v>1894</v>
      </c>
      <c r="E81" s="10" t="s">
        <v>1630</v>
      </c>
      <c r="F81" s="11" t="s">
        <v>208</v>
      </c>
      <c r="G81" s="10" t="s">
        <v>1165</v>
      </c>
      <c r="H81" s="10" t="s">
        <v>2386</v>
      </c>
      <c r="I81" s="10" t="s">
        <v>1039</v>
      </c>
      <c r="J81" s="10" t="s">
        <v>1040</v>
      </c>
      <c r="K81" s="10" t="s">
        <v>1031</v>
      </c>
      <c r="L81" s="10" t="s">
        <v>1247</v>
      </c>
      <c r="M81" s="12" t="s">
        <v>114</v>
      </c>
      <c r="N81" s="14" t="s">
        <v>1035</v>
      </c>
    </row>
    <row r="82" spans="1:14" s="1" customFormat="1" ht="17.100000000000001" customHeight="1" x14ac:dyDescent="0.25">
      <c r="A82" s="9" t="s">
        <v>219</v>
      </c>
      <c r="B82" s="10" t="s">
        <v>220</v>
      </c>
      <c r="C82" s="10">
        <v>2018</v>
      </c>
      <c r="D82" s="11" t="s">
        <v>1921</v>
      </c>
      <c r="E82" s="10" t="s">
        <v>1630</v>
      </c>
      <c r="F82" s="11" t="s">
        <v>208</v>
      </c>
      <c r="G82" s="12" t="s">
        <v>1184</v>
      </c>
      <c r="H82" s="10" t="s">
        <v>2331</v>
      </c>
      <c r="I82" s="12" t="s">
        <v>1029</v>
      </c>
      <c r="J82" s="12" t="s">
        <v>1040</v>
      </c>
      <c r="K82" s="10" t="s">
        <v>1031</v>
      </c>
      <c r="L82" s="10" t="s">
        <v>1032</v>
      </c>
      <c r="M82" s="10" t="s">
        <v>1091</v>
      </c>
      <c r="N82" s="14" t="s">
        <v>1035</v>
      </c>
    </row>
    <row r="83" spans="1:14" s="1" customFormat="1" ht="17.100000000000001" customHeight="1" x14ac:dyDescent="0.25">
      <c r="A83" s="9" t="s">
        <v>1511</v>
      </c>
      <c r="B83" s="10" t="s">
        <v>1512</v>
      </c>
      <c r="C83" s="10">
        <v>2015</v>
      </c>
      <c r="D83" s="11" t="s">
        <v>2209</v>
      </c>
      <c r="E83" s="10" t="s">
        <v>1630</v>
      </c>
      <c r="F83" s="11" t="s">
        <v>208</v>
      </c>
      <c r="G83" s="10" t="s">
        <v>2275</v>
      </c>
      <c r="H83" s="10" t="s">
        <v>2331</v>
      </c>
      <c r="I83" s="10" t="s">
        <v>1493</v>
      </c>
      <c r="J83" s="10" t="s">
        <v>1040</v>
      </c>
      <c r="K83" s="10" t="s">
        <v>1031</v>
      </c>
      <c r="L83" s="10" t="s">
        <v>1247</v>
      </c>
      <c r="M83" s="10" t="s">
        <v>1513</v>
      </c>
      <c r="N83" s="13" t="s">
        <v>1072</v>
      </c>
    </row>
    <row r="84" spans="1:14" s="2" customFormat="1" ht="17.100000000000001" customHeight="1" x14ac:dyDescent="0.25">
      <c r="A84" s="9" t="s">
        <v>1583</v>
      </c>
      <c r="B84" s="10" t="s">
        <v>1584</v>
      </c>
      <c r="C84" s="10">
        <v>2020</v>
      </c>
      <c r="D84" s="11" t="s">
        <v>2243</v>
      </c>
      <c r="E84" s="10" t="s">
        <v>1630</v>
      </c>
      <c r="F84" s="11" t="s">
        <v>208</v>
      </c>
      <c r="G84" s="10" t="s">
        <v>1215</v>
      </c>
      <c r="H84" s="10" t="s">
        <v>2331</v>
      </c>
      <c r="I84" s="12" t="s">
        <v>1029</v>
      </c>
      <c r="J84" s="10" t="s">
        <v>1040</v>
      </c>
      <c r="K84" s="10" t="s">
        <v>1031</v>
      </c>
      <c r="L84" s="10" t="s">
        <v>1247</v>
      </c>
      <c r="M84" s="10" t="s">
        <v>1049</v>
      </c>
      <c r="N84" s="13" t="s">
        <v>1035</v>
      </c>
    </row>
    <row r="85" spans="1:14" s="1" customFormat="1" ht="17.100000000000001" customHeight="1" x14ac:dyDescent="0.25">
      <c r="A85" s="9" t="s">
        <v>541</v>
      </c>
      <c r="B85" s="10" t="s">
        <v>1148</v>
      </c>
      <c r="C85" s="10">
        <v>2021</v>
      </c>
      <c r="D85" s="11" t="s">
        <v>1666</v>
      </c>
      <c r="E85" s="10" t="s">
        <v>1630</v>
      </c>
      <c r="F85" s="11" t="s">
        <v>542</v>
      </c>
      <c r="G85" s="10" t="s">
        <v>1080</v>
      </c>
      <c r="H85" s="10" t="s">
        <v>1178</v>
      </c>
      <c r="I85" s="12" t="s">
        <v>1029</v>
      </c>
      <c r="J85" s="12" t="s">
        <v>1040</v>
      </c>
      <c r="K85" s="10" t="s">
        <v>1031</v>
      </c>
      <c r="L85" s="10" t="s">
        <v>1032</v>
      </c>
      <c r="M85" s="10" t="s">
        <v>1050</v>
      </c>
      <c r="N85" s="14" t="s">
        <v>1035</v>
      </c>
    </row>
    <row r="86" spans="1:14" s="1" customFormat="1" ht="17.100000000000001" customHeight="1" x14ac:dyDescent="0.25">
      <c r="A86" s="9" t="s">
        <v>2402</v>
      </c>
      <c r="B86" s="10" t="s">
        <v>397</v>
      </c>
      <c r="C86" s="10">
        <v>2011</v>
      </c>
      <c r="D86" s="11" t="s">
        <v>1820</v>
      </c>
      <c r="E86" s="10" t="s">
        <v>1630</v>
      </c>
      <c r="F86" s="11" t="s">
        <v>396</v>
      </c>
      <c r="G86" s="10" t="s">
        <v>1637</v>
      </c>
      <c r="H86" s="10" t="s">
        <v>2326</v>
      </c>
      <c r="I86" s="12" t="s">
        <v>1029</v>
      </c>
      <c r="J86" s="10" t="s">
        <v>1040</v>
      </c>
      <c r="K86" s="10" t="s">
        <v>1031</v>
      </c>
      <c r="L86" s="10" t="s">
        <v>1042</v>
      </c>
      <c r="M86" s="12" t="s">
        <v>114</v>
      </c>
      <c r="N86" s="13" t="s">
        <v>1041</v>
      </c>
    </row>
    <row r="87" spans="1:14" s="1" customFormat="1" ht="17.100000000000001" customHeight="1" x14ac:dyDescent="0.25">
      <c r="A87" s="9" t="s">
        <v>394</v>
      </c>
      <c r="B87" s="10" t="s">
        <v>395</v>
      </c>
      <c r="C87" s="12">
        <v>2018</v>
      </c>
      <c r="D87" s="11" t="s">
        <v>1902</v>
      </c>
      <c r="E87" s="10" t="s">
        <v>1630</v>
      </c>
      <c r="F87" s="11" t="s">
        <v>396</v>
      </c>
      <c r="G87" s="12" t="s">
        <v>1638</v>
      </c>
      <c r="H87" s="10" t="s">
        <v>2329</v>
      </c>
      <c r="I87" s="12" t="s">
        <v>1039</v>
      </c>
      <c r="J87" s="12" t="s">
        <v>1048</v>
      </c>
      <c r="K87" s="10" t="s">
        <v>1031</v>
      </c>
      <c r="L87" s="10" t="s">
        <v>1032</v>
      </c>
      <c r="M87" s="12" t="s">
        <v>1064</v>
      </c>
      <c r="N87" s="14" t="s">
        <v>1035</v>
      </c>
    </row>
    <row r="88" spans="1:14" s="1" customFormat="1" ht="17.100000000000001" customHeight="1" x14ac:dyDescent="0.25">
      <c r="A88" s="9" t="s">
        <v>398</v>
      </c>
      <c r="B88" s="10" t="s">
        <v>399</v>
      </c>
      <c r="C88" s="10">
        <v>2018</v>
      </c>
      <c r="D88" s="11" t="s">
        <v>1864</v>
      </c>
      <c r="E88" s="10" t="s">
        <v>1630</v>
      </c>
      <c r="F88" s="11" t="s">
        <v>396</v>
      </c>
      <c r="G88" s="10" t="s">
        <v>1062</v>
      </c>
      <c r="H88" s="10" t="s">
        <v>2355</v>
      </c>
      <c r="I88" s="12" t="s">
        <v>1029</v>
      </c>
      <c r="J88" s="10" t="s">
        <v>1030</v>
      </c>
      <c r="K88" s="10" t="s">
        <v>1031</v>
      </c>
      <c r="L88" s="10" t="s">
        <v>1032</v>
      </c>
      <c r="M88" s="12" t="s">
        <v>1055</v>
      </c>
      <c r="N88" s="14" t="s">
        <v>1035</v>
      </c>
    </row>
    <row r="89" spans="1:14" s="1" customFormat="1" ht="17.100000000000001" customHeight="1" x14ac:dyDescent="0.25">
      <c r="A89" s="9" t="s">
        <v>899</v>
      </c>
      <c r="B89" s="10" t="s">
        <v>900</v>
      </c>
      <c r="C89" s="10">
        <v>2022</v>
      </c>
      <c r="D89" s="11" t="s">
        <v>2232</v>
      </c>
      <c r="E89" s="10" t="s">
        <v>1630</v>
      </c>
      <c r="F89" s="11" t="s">
        <v>901</v>
      </c>
      <c r="G89" s="10" t="s">
        <v>1062</v>
      </c>
      <c r="H89" s="10" t="s">
        <v>1057</v>
      </c>
      <c r="I89" s="10" t="s">
        <v>1493</v>
      </c>
      <c r="J89" s="10" t="s">
        <v>1040</v>
      </c>
      <c r="K89" s="10" t="s">
        <v>1031</v>
      </c>
      <c r="L89" s="10" t="s">
        <v>1032</v>
      </c>
      <c r="M89" s="10" t="s">
        <v>114</v>
      </c>
      <c r="N89" s="13" t="s">
        <v>1035</v>
      </c>
    </row>
    <row r="90" spans="1:14" s="1" customFormat="1" ht="17.100000000000001" customHeight="1" x14ac:dyDescent="0.25">
      <c r="A90" s="9" t="s">
        <v>348</v>
      </c>
      <c r="B90" s="10" t="s">
        <v>349</v>
      </c>
      <c r="C90" s="10">
        <v>2017</v>
      </c>
      <c r="D90" s="11" t="s">
        <v>1832</v>
      </c>
      <c r="E90" s="10" t="s">
        <v>1630</v>
      </c>
      <c r="F90" s="11" t="s">
        <v>350</v>
      </c>
      <c r="G90" s="10" t="s">
        <v>1054</v>
      </c>
      <c r="H90" s="10" t="s">
        <v>2326</v>
      </c>
      <c r="I90" s="12" t="s">
        <v>1029</v>
      </c>
      <c r="J90" s="10" t="s">
        <v>1030</v>
      </c>
      <c r="K90" s="10" t="s">
        <v>1031</v>
      </c>
      <c r="L90" s="10" t="s">
        <v>1247</v>
      </c>
      <c r="M90" s="10" t="s">
        <v>1086</v>
      </c>
      <c r="N90" s="14" t="s">
        <v>1035</v>
      </c>
    </row>
    <row r="91" spans="1:14" s="1" customFormat="1" ht="17.100000000000001" customHeight="1" x14ac:dyDescent="0.25">
      <c r="A91" s="9" t="s">
        <v>351</v>
      </c>
      <c r="B91" s="10" t="s">
        <v>352</v>
      </c>
      <c r="C91" s="12">
        <v>2014</v>
      </c>
      <c r="D91" s="11" t="s">
        <v>2071</v>
      </c>
      <c r="E91" s="10" t="s">
        <v>1630</v>
      </c>
      <c r="F91" s="11" t="s">
        <v>350</v>
      </c>
      <c r="G91" s="12" t="s">
        <v>1054</v>
      </c>
      <c r="H91" s="10" t="s">
        <v>2340</v>
      </c>
      <c r="I91" s="12" t="s">
        <v>1029</v>
      </c>
      <c r="J91" s="12" t="s">
        <v>1689</v>
      </c>
      <c r="K91" s="10" t="s">
        <v>1031</v>
      </c>
      <c r="L91" s="10" t="s">
        <v>1247</v>
      </c>
      <c r="M91" s="12" t="s">
        <v>114</v>
      </c>
      <c r="N91" s="14" t="s">
        <v>1035</v>
      </c>
    </row>
    <row r="92" spans="1:14" s="1" customFormat="1" ht="17.100000000000001" customHeight="1" x14ac:dyDescent="0.25">
      <c r="A92" s="9" t="s">
        <v>591</v>
      </c>
      <c r="B92" s="10" t="s">
        <v>592</v>
      </c>
      <c r="C92" s="10">
        <v>2010</v>
      </c>
      <c r="D92" s="11" t="s">
        <v>1956</v>
      </c>
      <c r="E92" s="10" t="s">
        <v>1631</v>
      </c>
      <c r="F92" s="11" t="s">
        <v>593</v>
      </c>
      <c r="G92" s="10" t="s">
        <v>1054</v>
      </c>
      <c r="H92" s="10" t="s">
        <v>1057</v>
      </c>
      <c r="I92" s="12" t="s">
        <v>1039</v>
      </c>
      <c r="J92" s="10" t="s">
        <v>1040</v>
      </c>
      <c r="K92" s="10" t="s">
        <v>1031</v>
      </c>
      <c r="L92" s="10" t="s">
        <v>1247</v>
      </c>
      <c r="M92" s="10" t="s">
        <v>1193</v>
      </c>
      <c r="N92" s="14" t="s">
        <v>1035</v>
      </c>
    </row>
    <row r="93" spans="1:14" s="1" customFormat="1" ht="17.100000000000001" customHeight="1" x14ac:dyDescent="0.25">
      <c r="A93" s="9" t="s">
        <v>113</v>
      </c>
      <c r="B93" s="34" t="s">
        <v>114</v>
      </c>
      <c r="C93" s="10">
        <v>2017</v>
      </c>
      <c r="D93" s="11" t="s">
        <v>1657</v>
      </c>
      <c r="E93" s="10" t="s">
        <v>1630</v>
      </c>
      <c r="F93" s="11" t="s">
        <v>115</v>
      </c>
      <c r="G93" s="10" t="s">
        <v>1175</v>
      </c>
      <c r="H93" s="10" t="s">
        <v>2326</v>
      </c>
      <c r="I93" s="12" t="s">
        <v>1039</v>
      </c>
      <c r="J93" s="10" t="s">
        <v>1691</v>
      </c>
      <c r="K93" s="10" t="s">
        <v>1031</v>
      </c>
      <c r="L93" s="12" t="s">
        <v>1042</v>
      </c>
      <c r="M93" s="12" t="s">
        <v>114</v>
      </c>
      <c r="N93" s="13" t="s">
        <v>1041</v>
      </c>
    </row>
    <row r="94" spans="1:14" s="1" customFormat="1" ht="17.100000000000001" customHeight="1" x14ac:dyDescent="0.25">
      <c r="A94" s="9" t="s">
        <v>437</v>
      </c>
      <c r="B94" s="10" t="s">
        <v>438</v>
      </c>
      <c r="C94" s="10">
        <v>2019</v>
      </c>
      <c r="D94" s="11" t="s">
        <v>1695</v>
      </c>
      <c r="E94" s="10" t="s">
        <v>1630</v>
      </c>
      <c r="F94" s="11" t="s">
        <v>2</v>
      </c>
      <c r="G94" s="10" t="s">
        <v>2266</v>
      </c>
      <c r="H94" s="10" t="s">
        <v>2342</v>
      </c>
      <c r="I94" s="12" t="s">
        <v>1029</v>
      </c>
      <c r="J94" s="10" t="s">
        <v>1030</v>
      </c>
      <c r="K94" s="10" t="s">
        <v>1031</v>
      </c>
      <c r="L94" s="10" t="s">
        <v>1032</v>
      </c>
      <c r="M94" s="10" t="s">
        <v>1132</v>
      </c>
      <c r="N94" s="14" t="s">
        <v>1035</v>
      </c>
    </row>
    <row r="95" spans="1:14" s="1" customFormat="1" ht="17.100000000000001" customHeight="1" x14ac:dyDescent="0.25">
      <c r="A95" s="9" t="s">
        <v>1587</v>
      </c>
      <c r="B95" s="10" t="s">
        <v>1588</v>
      </c>
      <c r="C95" s="10">
        <v>2018</v>
      </c>
      <c r="D95" s="11" t="s">
        <v>2245</v>
      </c>
      <c r="E95" s="10" t="s">
        <v>1630</v>
      </c>
      <c r="F95" s="11" t="s">
        <v>2</v>
      </c>
      <c r="G95" s="10" t="s">
        <v>2275</v>
      </c>
      <c r="H95" s="10" t="s">
        <v>2337</v>
      </c>
      <c r="I95" s="10" t="s">
        <v>1039</v>
      </c>
      <c r="J95" s="10" t="s">
        <v>1030</v>
      </c>
      <c r="K95" s="10" t="s">
        <v>1031</v>
      </c>
      <c r="L95" s="10" t="s">
        <v>1247</v>
      </c>
      <c r="M95" s="10" t="s">
        <v>114</v>
      </c>
      <c r="N95" s="13" t="s">
        <v>1035</v>
      </c>
    </row>
    <row r="96" spans="1:14" s="1" customFormat="1" ht="17.100000000000001" customHeight="1" x14ac:dyDescent="0.25">
      <c r="A96" s="9" t="s">
        <v>71</v>
      </c>
      <c r="B96" s="10" t="s">
        <v>72</v>
      </c>
      <c r="C96" s="32">
        <v>2012</v>
      </c>
      <c r="D96" s="11" t="s">
        <v>1884</v>
      </c>
      <c r="E96" s="10" t="s">
        <v>1630</v>
      </c>
      <c r="F96" s="33" t="s">
        <v>2</v>
      </c>
      <c r="G96" s="10" t="s">
        <v>2266</v>
      </c>
      <c r="H96" s="10" t="s">
        <v>2338</v>
      </c>
      <c r="I96" s="12" t="s">
        <v>1039</v>
      </c>
      <c r="J96" s="10" t="s">
        <v>1052</v>
      </c>
      <c r="K96" s="10" t="s">
        <v>1031</v>
      </c>
      <c r="L96" s="10" t="s">
        <v>1032</v>
      </c>
      <c r="M96" s="10" t="s">
        <v>1071</v>
      </c>
      <c r="N96" s="13" t="s">
        <v>1072</v>
      </c>
    </row>
    <row r="97" spans="1:14" s="1" customFormat="1" ht="17.100000000000001" customHeight="1" x14ac:dyDescent="0.25">
      <c r="A97" s="9" t="s">
        <v>45</v>
      </c>
      <c r="B97" s="10" t="s">
        <v>46</v>
      </c>
      <c r="C97" s="10">
        <v>2017</v>
      </c>
      <c r="D97" s="11" t="s">
        <v>1802</v>
      </c>
      <c r="E97" s="10" t="s">
        <v>1630</v>
      </c>
      <c r="F97" s="11" t="s">
        <v>2</v>
      </c>
      <c r="G97" s="10" t="s">
        <v>2266</v>
      </c>
      <c r="H97" s="10" t="s">
        <v>2364</v>
      </c>
      <c r="I97" s="12" t="s">
        <v>1039</v>
      </c>
      <c r="J97" s="10" t="s">
        <v>1030</v>
      </c>
      <c r="K97" s="10" t="s">
        <v>1031</v>
      </c>
      <c r="L97" s="10" t="s">
        <v>1247</v>
      </c>
      <c r="M97" s="10" t="s">
        <v>1067</v>
      </c>
      <c r="N97" s="14" t="s">
        <v>1035</v>
      </c>
    </row>
    <row r="98" spans="1:14" s="1" customFormat="1" ht="17.100000000000001" customHeight="1" x14ac:dyDescent="0.25">
      <c r="A98" s="9" t="s">
        <v>464</v>
      </c>
      <c r="B98" s="10" t="s">
        <v>465</v>
      </c>
      <c r="C98" s="10">
        <v>2019</v>
      </c>
      <c r="D98" s="11" t="s">
        <v>1886</v>
      </c>
      <c r="E98" s="10" t="s">
        <v>1630</v>
      </c>
      <c r="F98" s="11" t="s">
        <v>2</v>
      </c>
      <c r="G98" s="10" t="s">
        <v>2279</v>
      </c>
      <c r="H98" s="10" t="s">
        <v>2365</v>
      </c>
      <c r="I98" s="12" t="s">
        <v>1029</v>
      </c>
      <c r="J98" s="10" t="s">
        <v>1030</v>
      </c>
      <c r="K98" s="12" t="s">
        <v>1037</v>
      </c>
      <c r="L98" s="10" t="s">
        <v>1247</v>
      </c>
      <c r="M98" s="10" t="s">
        <v>1093</v>
      </c>
      <c r="N98" s="14" t="s">
        <v>1035</v>
      </c>
    </row>
    <row r="99" spans="1:14" s="1" customFormat="1" ht="17.100000000000001" customHeight="1" x14ac:dyDescent="0.25">
      <c r="A99" s="9" t="s">
        <v>21</v>
      </c>
      <c r="B99" s="10" t="s">
        <v>22</v>
      </c>
      <c r="C99" s="32">
        <v>2018</v>
      </c>
      <c r="D99" s="11" t="s">
        <v>1656</v>
      </c>
      <c r="E99" s="10" t="s">
        <v>1630</v>
      </c>
      <c r="F99" s="33" t="s">
        <v>2</v>
      </c>
      <c r="G99" s="10" t="s">
        <v>1054</v>
      </c>
      <c r="H99" s="10" t="s">
        <v>2326</v>
      </c>
      <c r="I99" s="12" t="s">
        <v>1029</v>
      </c>
      <c r="J99" s="10" t="s">
        <v>1127</v>
      </c>
      <c r="K99" s="10" t="s">
        <v>1031</v>
      </c>
      <c r="L99" s="10" t="s">
        <v>1042</v>
      </c>
      <c r="M99" s="12" t="s">
        <v>1128</v>
      </c>
      <c r="N99" s="13" t="s">
        <v>1072</v>
      </c>
    </row>
    <row r="100" spans="1:14" s="1" customFormat="1" ht="17.100000000000001" customHeight="1" x14ac:dyDescent="0.25">
      <c r="A100" s="9" t="s">
        <v>35</v>
      </c>
      <c r="B100" s="10" t="s">
        <v>36</v>
      </c>
      <c r="C100" s="32">
        <v>2014</v>
      </c>
      <c r="D100" s="11" t="s">
        <v>1780</v>
      </c>
      <c r="E100" s="10" t="s">
        <v>1630</v>
      </c>
      <c r="F100" s="33" t="s">
        <v>2</v>
      </c>
      <c r="G100" s="10" t="s">
        <v>1054</v>
      </c>
      <c r="H100" s="10" t="s">
        <v>2326</v>
      </c>
      <c r="I100" s="12" t="s">
        <v>1029</v>
      </c>
      <c r="J100" s="10" t="s">
        <v>1036</v>
      </c>
      <c r="K100" s="10" t="s">
        <v>1031</v>
      </c>
      <c r="L100" s="10" t="s">
        <v>1042</v>
      </c>
      <c r="M100" s="12" t="s">
        <v>114</v>
      </c>
      <c r="N100" s="13" t="s">
        <v>1041</v>
      </c>
    </row>
    <row r="101" spans="1:14" s="1" customFormat="1" ht="17.100000000000001" customHeight="1" x14ac:dyDescent="0.25">
      <c r="A101" s="9" t="s">
        <v>827</v>
      </c>
      <c r="B101" s="10" t="s">
        <v>828</v>
      </c>
      <c r="C101" s="10">
        <v>2016</v>
      </c>
      <c r="D101" s="11" t="s">
        <v>2230</v>
      </c>
      <c r="E101" s="10" t="s">
        <v>1630</v>
      </c>
      <c r="F101" s="11" t="s">
        <v>2</v>
      </c>
      <c r="G101" s="10" t="s">
        <v>2288</v>
      </c>
      <c r="H101" s="10" t="s">
        <v>2326</v>
      </c>
      <c r="I101" s="10" t="s">
        <v>1493</v>
      </c>
      <c r="J101" s="10" t="s">
        <v>1036</v>
      </c>
      <c r="K101" s="10" t="s">
        <v>1031</v>
      </c>
      <c r="L101" s="10" t="s">
        <v>1247</v>
      </c>
      <c r="M101" s="10" t="s">
        <v>1056</v>
      </c>
      <c r="N101" s="13" t="s">
        <v>1072</v>
      </c>
    </row>
    <row r="102" spans="1:14" s="1" customFormat="1" ht="17.100000000000001" customHeight="1" x14ac:dyDescent="0.25">
      <c r="A102" s="9" t="s">
        <v>51</v>
      </c>
      <c r="B102" s="10" t="s">
        <v>52</v>
      </c>
      <c r="C102" s="10">
        <v>2012</v>
      </c>
      <c r="D102" s="11" t="s">
        <v>1757</v>
      </c>
      <c r="E102" s="10" t="s">
        <v>1630</v>
      </c>
      <c r="F102" s="11" t="s">
        <v>2</v>
      </c>
      <c r="G102" s="10" t="s">
        <v>1183</v>
      </c>
      <c r="H102" s="10" t="s">
        <v>2326</v>
      </c>
      <c r="I102" s="12" t="s">
        <v>1029</v>
      </c>
      <c r="J102" s="10" t="s">
        <v>1036</v>
      </c>
      <c r="K102" s="10" t="s">
        <v>1031</v>
      </c>
      <c r="L102" s="10" t="s">
        <v>1247</v>
      </c>
      <c r="M102" s="12" t="s">
        <v>114</v>
      </c>
      <c r="N102" s="13" t="s">
        <v>1072</v>
      </c>
    </row>
    <row r="103" spans="1:14" s="1" customFormat="1" ht="17.100000000000001" customHeight="1" x14ac:dyDescent="0.25">
      <c r="A103" s="9" t="s">
        <v>91</v>
      </c>
      <c r="B103" s="10" t="s">
        <v>92</v>
      </c>
      <c r="C103" s="12">
        <v>2010</v>
      </c>
      <c r="D103" s="11" t="s">
        <v>1745</v>
      </c>
      <c r="E103" s="10" t="s">
        <v>1630</v>
      </c>
      <c r="F103" s="11" t="s">
        <v>2</v>
      </c>
      <c r="G103" s="12" t="s">
        <v>1183</v>
      </c>
      <c r="H103" s="10" t="s">
        <v>2326</v>
      </c>
      <c r="I103" s="12" t="s">
        <v>1029</v>
      </c>
      <c r="J103" s="12" t="s">
        <v>1040</v>
      </c>
      <c r="K103" s="12" t="s">
        <v>1037</v>
      </c>
      <c r="L103" s="10" t="s">
        <v>1032</v>
      </c>
      <c r="M103" s="12" t="s">
        <v>1045</v>
      </c>
      <c r="N103" s="13" t="s">
        <v>1072</v>
      </c>
    </row>
    <row r="104" spans="1:14" s="1" customFormat="1" ht="17.100000000000001" customHeight="1" x14ac:dyDescent="0.25">
      <c r="A104" s="9" t="s">
        <v>73</v>
      </c>
      <c r="B104" s="10" t="s">
        <v>74</v>
      </c>
      <c r="C104" s="32">
        <v>2018</v>
      </c>
      <c r="D104" s="11" t="s">
        <v>1817</v>
      </c>
      <c r="E104" s="10" t="s">
        <v>1630</v>
      </c>
      <c r="F104" s="33" t="s">
        <v>2</v>
      </c>
      <c r="G104" s="10" t="s">
        <v>1094</v>
      </c>
      <c r="H104" s="10" t="s">
        <v>2326</v>
      </c>
      <c r="I104" s="12" t="s">
        <v>1039</v>
      </c>
      <c r="J104" s="10" t="s">
        <v>1117</v>
      </c>
      <c r="K104" s="10" t="s">
        <v>1031</v>
      </c>
      <c r="L104" s="10" t="s">
        <v>2399</v>
      </c>
      <c r="M104" s="10" t="s">
        <v>1120</v>
      </c>
      <c r="N104" s="14" t="s">
        <v>1035</v>
      </c>
    </row>
    <row r="105" spans="1:14" s="1" customFormat="1" ht="17.100000000000001" customHeight="1" x14ac:dyDescent="0.25">
      <c r="A105" s="9" t="s">
        <v>53</v>
      </c>
      <c r="B105" s="10" t="s">
        <v>54</v>
      </c>
      <c r="C105" s="10">
        <v>2014</v>
      </c>
      <c r="D105" s="11" t="s">
        <v>1777</v>
      </c>
      <c r="E105" s="10" t="s">
        <v>1630</v>
      </c>
      <c r="F105" s="11" t="s">
        <v>2</v>
      </c>
      <c r="G105" s="10" t="s">
        <v>1167</v>
      </c>
      <c r="H105" s="10" t="s">
        <v>2326</v>
      </c>
      <c r="I105" s="12" t="s">
        <v>1039</v>
      </c>
      <c r="J105" s="10" t="s">
        <v>1040</v>
      </c>
      <c r="K105" s="10" t="s">
        <v>1031</v>
      </c>
      <c r="L105" s="10" t="s">
        <v>1247</v>
      </c>
      <c r="M105" s="12" t="s">
        <v>114</v>
      </c>
      <c r="N105" s="14" t="s">
        <v>1035</v>
      </c>
    </row>
    <row r="106" spans="1:14" s="1" customFormat="1" ht="17.100000000000001" customHeight="1" x14ac:dyDescent="0.25">
      <c r="A106" s="9" t="s">
        <v>3</v>
      </c>
      <c r="B106" s="10" t="s">
        <v>4</v>
      </c>
      <c r="C106" s="10">
        <v>2013</v>
      </c>
      <c r="D106" s="11" t="s">
        <v>1759</v>
      </c>
      <c r="E106" s="10" t="s">
        <v>1630</v>
      </c>
      <c r="F106" s="11" t="s">
        <v>2</v>
      </c>
      <c r="G106" s="10" t="s">
        <v>2266</v>
      </c>
      <c r="H106" s="10" t="s">
        <v>2326</v>
      </c>
      <c r="I106" s="12" t="s">
        <v>1039</v>
      </c>
      <c r="J106" s="10" t="s">
        <v>1030</v>
      </c>
      <c r="K106" s="10" t="s">
        <v>1031</v>
      </c>
      <c r="L106" s="10" t="s">
        <v>1247</v>
      </c>
      <c r="M106" s="12" t="s">
        <v>114</v>
      </c>
      <c r="N106" s="13" t="s">
        <v>1034</v>
      </c>
    </row>
    <row r="107" spans="1:14" s="1" customFormat="1" ht="17.100000000000001" customHeight="1" x14ac:dyDescent="0.25">
      <c r="A107" s="9" t="s">
        <v>65</v>
      </c>
      <c r="B107" s="10" t="s">
        <v>66</v>
      </c>
      <c r="C107" s="10">
        <v>2013</v>
      </c>
      <c r="D107" s="11" t="s">
        <v>1760</v>
      </c>
      <c r="E107" s="10" t="s">
        <v>1630</v>
      </c>
      <c r="F107" s="11" t="s">
        <v>2</v>
      </c>
      <c r="G107" s="10" t="s">
        <v>2266</v>
      </c>
      <c r="H107" s="10" t="s">
        <v>2326</v>
      </c>
      <c r="I107" s="12" t="s">
        <v>1039</v>
      </c>
      <c r="J107" s="10" t="s">
        <v>1052</v>
      </c>
      <c r="K107" s="10" t="s">
        <v>1031</v>
      </c>
      <c r="L107" s="10" t="s">
        <v>1247</v>
      </c>
      <c r="M107" s="12" t="s">
        <v>114</v>
      </c>
      <c r="N107" s="14" t="s">
        <v>1035</v>
      </c>
    </row>
    <row r="108" spans="1:14" s="1" customFormat="1" ht="17.100000000000001" customHeight="1" x14ac:dyDescent="0.25">
      <c r="A108" s="9" t="s">
        <v>47</v>
      </c>
      <c r="B108" s="38" t="s">
        <v>48</v>
      </c>
      <c r="C108" s="10">
        <v>2012</v>
      </c>
      <c r="D108" s="11" t="s">
        <v>1746</v>
      </c>
      <c r="E108" s="10" t="s">
        <v>1630</v>
      </c>
      <c r="F108" s="11" t="s">
        <v>2</v>
      </c>
      <c r="G108" s="10" t="s">
        <v>2266</v>
      </c>
      <c r="H108" s="10" t="s">
        <v>2326</v>
      </c>
      <c r="I108" s="10" t="s">
        <v>1493</v>
      </c>
      <c r="J108" s="10" t="s">
        <v>1048</v>
      </c>
      <c r="K108" s="10" t="s">
        <v>1031</v>
      </c>
      <c r="L108" s="10" t="s">
        <v>1032</v>
      </c>
      <c r="M108" s="12" t="s">
        <v>114</v>
      </c>
      <c r="N108" s="14" t="s">
        <v>1035</v>
      </c>
    </row>
    <row r="109" spans="1:14" s="1" customFormat="1" ht="17.100000000000001" customHeight="1" x14ac:dyDescent="0.25">
      <c r="A109" s="9" t="s">
        <v>57</v>
      </c>
      <c r="B109" s="10" t="s">
        <v>58</v>
      </c>
      <c r="C109" s="10">
        <v>2012</v>
      </c>
      <c r="D109" s="11" t="s">
        <v>1747</v>
      </c>
      <c r="E109" s="10" t="s">
        <v>1630</v>
      </c>
      <c r="F109" s="11" t="s">
        <v>2</v>
      </c>
      <c r="G109" s="10" t="s">
        <v>2266</v>
      </c>
      <c r="H109" s="10" t="s">
        <v>2326</v>
      </c>
      <c r="I109" s="12" t="s">
        <v>1039</v>
      </c>
      <c r="J109" s="10" t="s">
        <v>1036</v>
      </c>
      <c r="K109" s="10" t="s">
        <v>1031</v>
      </c>
      <c r="L109" s="10" t="s">
        <v>2399</v>
      </c>
      <c r="M109" s="12" t="s">
        <v>114</v>
      </c>
      <c r="N109" s="13" t="s">
        <v>1034</v>
      </c>
    </row>
    <row r="110" spans="1:14" s="1" customFormat="1" ht="17.100000000000001" customHeight="1" x14ac:dyDescent="0.25">
      <c r="A110" s="9" t="s">
        <v>17</v>
      </c>
      <c r="B110" s="10" t="s">
        <v>18</v>
      </c>
      <c r="C110" s="10">
        <v>2013</v>
      </c>
      <c r="D110" s="11" t="s">
        <v>1758</v>
      </c>
      <c r="E110" s="10" t="s">
        <v>1630</v>
      </c>
      <c r="F110" s="11" t="s">
        <v>2</v>
      </c>
      <c r="G110" s="10" t="s">
        <v>2266</v>
      </c>
      <c r="H110" s="10" t="s">
        <v>2326</v>
      </c>
      <c r="I110" s="12" t="s">
        <v>1039</v>
      </c>
      <c r="J110" s="12" t="s">
        <v>1040</v>
      </c>
      <c r="K110" s="10" t="s">
        <v>1031</v>
      </c>
      <c r="L110" s="10" t="s">
        <v>1032</v>
      </c>
      <c r="M110" s="10" t="s">
        <v>1073</v>
      </c>
      <c r="N110" s="14" t="s">
        <v>1035</v>
      </c>
    </row>
    <row r="111" spans="1:14" s="1" customFormat="1" ht="17.100000000000001" customHeight="1" x14ac:dyDescent="0.25">
      <c r="A111" s="9" t="s">
        <v>5</v>
      </c>
      <c r="B111" s="10" t="s">
        <v>6</v>
      </c>
      <c r="C111" s="10">
        <v>2014</v>
      </c>
      <c r="D111" s="11" t="s">
        <v>1778</v>
      </c>
      <c r="E111" s="10" t="s">
        <v>1630</v>
      </c>
      <c r="F111" s="11" t="s">
        <v>2</v>
      </c>
      <c r="G111" s="10" t="s">
        <v>2266</v>
      </c>
      <c r="H111" s="10" t="s">
        <v>2326</v>
      </c>
      <c r="I111" s="12" t="s">
        <v>1029</v>
      </c>
      <c r="J111" s="10" t="s">
        <v>1040</v>
      </c>
      <c r="K111" s="10" t="s">
        <v>1031</v>
      </c>
      <c r="L111" s="10" t="s">
        <v>1032</v>
      </c>
      <c r="M111" s="12" t="s">
        <v>114</v>
      </c>
      <c r="N111" s="14" t="s">
        <v>1035</v>
      </c>
    </row>
    <row r="112" spans="1:14" s="1" customFormat="1" ht="17.100000000000001" customHeight="1" x14ac:dyDescent="0.25">
      <c r="A112" s="9" t="s">
        <v>43</v>
      </c>
      <c r="B112" s="10" t="s">
        <v>44</v>
      </c>
      <c r="C112" s="10">
        <v>2012</v>
      </c>
      <c r="D112" s="11" t="s">
        <v>1714</v>
      </c>
      <c r="E112" s="10" t="s">
        <v>1630</v>
      </c>
      <c r="F112" s="11" t="s">
        <v>2</v>
      </c>
      <c r="G112" s="10" t="s">
        <v>2266</v>
      </c>
      <c r="H112" s="10" t="s">
        <v>2326</v>
      </c>
      <c r="I112" s="12" t="s">
        <v>1039</v>
      </c>
      <c r="J112" s="10" t="s">
        <v>1030</v>
      </c>
      <c r="K112" s="12" t="s">
        <v>1037</v>
      </c>
      <c r="L112" s="10" t="s">
        <v>1032</v>
      </c>
      <c r="M112" s="10" t="s">
        <v>1047</v>
      </c>
      <c r="N112" s="13" t="s">
        <v>1072</v>
      </c>
    </row>
    <row r="113" spans="1:14" s="1" customFormat="1" ht="17.100000000000001" customHeight="1" x14ac:dyDescent="0.25">
      <c r="A113" s="9" t="s">
        <v>49</v>
      </c>
      <c r="B113" s="10" t="s">
        <v>50</v>
      </c>
      <c r="C113" s="32">
        <v>2018</v>
      </c>
      <c r="D113" s="11" t="s">
        <v>1812</v>
      </c>
      <c r="E113" s="10" t="s">
        <v>1630</v>
      </c>
      <c r="F113" s="33" t="s">
        <v>2</v>
      </c>
      <c r="G113" s="10" t="s">
        <v>2266</v>
      </c>
      <c r="H113" s="10" t="s">
        <v>2326</v>
      </c>
      <c r="I113" s="12" t="s">
        <v>1039</v>
      </c>
      <c r="J113" s="10" t="s">
        <v>1693</v>
      </c>
      <c r="K113" s="12" t="s">
        <v>1037</v>
      </c>
      <c r="L113" s="10" t="s">
        <v>1032</v>
      </c>
      <c r="M113" s="12" t="s">
        <v>114</v>
      </c>
      <c r="N113" s="14" t="s">
        <v>1035</v>
      </c>
    </row>
    <row r="114" spans="1:14" s="1" customFormat="1" ht="17.100000000000001" customHeight="1" x14ac:dyDescent="0.25">
      <c r="A114" s="9" t="s">
        <v>85</v>
      </c>
      <c r="B114" s="10" t="s">
        <v>86</v>
      </c>
      <c r="C114" s="32">
        <v>2018</v>
      </c>
      <c r="D114" s="11" t="s">
        <v>1930</v>
      </c>
      <c r="E114" s="10" t="s">
        <v>1630</v>
      </c>
      <c r="F114" s="33" t="s">
        <v>2</v>
      </c>
      <c r="G114" s="10" t="s">
        <v>1538</v>
      </c>
      <c r="H114" s="10" t="s">
        <v>2326</v>
      </c>
      <c r="I114" s="12" t="s">
        <v>1039</v>
      </c>
      <c r="J114" s="10" t="s">
        <v>1117</v>
      </c>
      <c r="K114" s="10" t="s">
        <v>1031</v>
      </c>
      <c r="L114" s="10" t="s">
        <v>1032</v>
      </c>
      <c r="M114" s="12" t="s">
        <v>114</v>
      </c>
      <c r="N114" s="14" t="s">
        <v>1035</v>
      </c>
    </row>
    <row r="115" spans="1:14" s="2" customFormat="1" ht="17.100000000000001" customHeight="1" x14ac:dyDescent="0.25">
      <c r="A115" s="9" t="s">
        <v>109</v>
      </c>
      <c r="B115" s="10" t="s">
        <v>110</v>
      </c>
      <c r="C115" s="10">
        <v>2017</v>
      </c>
      <c r="D115" s="11" t="s">
        <v>1800</v>
      </c>
      <c r="E115" s="10" t="s">
        <v>1630</v>
      </c>
      <c r="F115" s="11" t="s">
        <v>2</v>
      </c>
      <c r="G115" s="10" t="s">
        <v>2275</v>
      </c>
      <c r="H115" s="10" t="s">
        <v>2326</v>
      </c>
      <c r="I115" s="12" t="s">
        <v>1039</v>
      </c>
      <c r="J115" s="10" t="s">
        <v>1030</v>
      </c>
      <c r="K115" s="10" t="s">
        <v>1031</v>
      </c>
      <c r="L115" s="10" t="s">
        <v>1247</v>
      </c>
      <c r="M115" s="10" t="s">
        <v>1113</v>
      </c>
      <c r="N115" s="14" t="s">
        <v>1035</v>
      </c>
    </row>
    <row r="116" spans="1:14" s="1" customFormat="1" ht="17.100000000000001" customHeight="1" x14ac:dyDescent="0.25">
      <c r="A116" s="9" t="s">
        <v>19</v>
      </c>
      <c r="B116" s="10" t="s">
        <v>20</v>
      </c>
      <c r="C116" s="32">
        <v>2018</v>
      </c>
      <c r="D116" s="11" t="s">
        <v>1805</v>
      </c>
      <c r="E116" s="10" t="s">
        <v>1630</v>
      </c>
      <c r="F116" s="33" t="s">
        <v>2</v>
      </c>
      <c r="G116" s="10" t="s">
        <v>2275</v>
      </c>
      <c r="H116" s="10" t="s">
        <v>2326</v>
      </c>
      <c r="I116" s="12" t="s">
        <v>1039</v>
      </c>
      <c r="J116" s="10" t="s">
        <v>1040</v>
      </c>
      <c r="K116" s="10" t="s">
        <v>1031</v>
      </c>
      <c r="L116" s="12" t="s">
        <v>1042</v>
      </c>
      <c r="M116" s="10" t="s">
        <v>1115</v>
      </c>
      <c r="N116" s="14" t="s">
        <v>1035</v>
      </c>
    </row>
    <row r="117" spans="1:14" s="1" customFormat="1" ht="17.100000000000001" customHeight="1" x14ac:dyDescent="0.25">
      <c r="A117" s="9" t="s">
        <v>446</v>
      </c>
      <c r="B117" s="10" t="s">
        <v>447</v>
      </c>
      <c r="C117" s="10">
        <v>2019</v>
      </c>
      <c r="D117" s="11" t="s">
        <v>1844</v>
      </c>
      <c r="E117" s="10" t="s">
        <v>1630</v>
      </c>
      <c r="F117" s="11" t="s">
        <v>2</v>
      </c>
      <c r="G117" s="10" t="s">
        <v>2275</v>
      </c>
      <c r="H117" s="10" t="s">
        <v>2326</v>
      </c>
      <c r="I117" s="12" t="s">
        <v>1039</v>
      </c>
      <c r="J117" s="10" t="s">
        <v>1040</v>
      </c>
      <c r="K117" s="10" t="s">
        <v>1031</v>
      </c>
      <c r="L117" s="10" t="s">
        <v>1032</v>
      </c>
      <c r="M117" s="12" t="s">
        <v>114</v>
      </c>
      <c r="N117" s="13" t="s">
        <v>1041</v>
      </c>
    </row>
    <row r="118" spans="1:14" s="1" customFormat="1" ht="17.100000000000001" customHeight="1" x14ac:dyDescent="0.25">
      <c r="A118" s="9" t="s">
        <v>1585</v>
      </c>
      <c r="B118" s="10" t="s">
        <v>1586</v>
      </c>
      <c r="C118" s="10">
        <v>2012</v>
      </c>
      <c r="D118" s="11" t="s">
        <v>2244</v>
      </c>
      <c r="E118" s="10" t="s">
        <v>1630</v>
      </c>
      <c r="F118" s="11" t="s">
        <v>2</v>
      </c>
      <c r="G118" s="10" t="s">
        <v>2285</v>
      </c>
      <c r="H118" s="10" t="s">
        <v>2326</v>
      </c>
      <c r="I118" s="10" t="s">
        <v>1039</v>
      </c>
      <c r="J118" s="10" t="s">
        <v>1040</v>
      </c>
      <c r="K118" s="12" t="s">
        <v>1037</v>
      </c>
      <c r="L118" s="10" t="s">
        <v>1247</v>
      </c>
      <c r="M118" s="10" t="s">
        <v>114</v>
      </c>
      <c r="N118" s="13" t="s">
        <v>1072</v>
      </c>
    </row>
    <row r="119" spans="1:14" s="1" customFormat="1" ht="17.100000000000001" customHeight="1" x14ac:dyDescent="0.25">
      <c r="A119" s="9" t="s">
        <v>31</v>
      </c>
      <c r="B119" s="10" t="s">
        <v>32</v>
      </c>
      <c r="C119" s="10">
        <v>2018</v>
      </c>
      <c r="D119" s="11" t="s">
        <v>1814</v>
      </c>
      <c r="E119" s="10" t="s">
        <v>1630</v>
      </c>
      <c r="F119" s="11" t="s">
        <v>2</v>
      </c>
      <c r="G119" s="10" t="s">
        <v>1544</v>
      </c>
      <c r="H119" s="10" t="s">
        <v>2326</v>
      </c>
      <c r="I119" s="12" t="s">
        <v>1039</v>
      </c>
      <c r="J119" s="10" t="s">
        <v>1030</v>
      </c>
      <c r="K119" s="10" t="s">
        <v>1031</v>
      </c>
      <c r="L119" s="10" t="s">
        <v>1032</v>
      </c>
      <c r="M119" s="12" t="s">
        <v>114</v>
      </c>
      <c r="N119" s="14" t="s">
        <v>1035</v>
      </c>
    </row>
    <row r="120" spans="1:14" s="1" customFormat="1" ht="17.100000000000001" customHeight="1" x14ac:dyDescent="0.25">
      <c r="A120" s="9" t="s">
        <v>25</v>
      </c>
      <c r="B120" s="10" t="s">
        <v>26</v>
      </c>
      <c r="C120" s="12">
        <v>2017</v>
      </c>
      <c r="D120" s="11" t="s">
        <v>1790</v>
      </c>
      <c r="E120" s="10" t="s">
        <v>1630</v>
      </c>
      <c r="F120" s="11" t="s">
        <v>2</v>
      </c>
      <c r="G120" s="10" t="s">
        <v>1028</v>
      </c>
      <c r="H120" s="10" t="s">
        <v>2326</v>
      </c>
      <c r="I120" s="12" t="s">
        <v>1029</v>
      </c>
      <c r="J120" s="12" t="s">
        <v>1036</v>
      </c>
      <c r="K120" s="10" t="s">
        <v>1031</v>
      </c>
      <c r="L120" s="10" t="s">
        <v>1032</v>
      </c>
      <c r="M120" s="12" t="s">
        <v>1050</v>
      </c>
      <c r="N120" s="14" t="s">
        <v>1035</v>
      </c>
    </row>
    <row r="121" spans="1:14" s="1" customFormat="1" ht="17.100000000000001" customHeight="1" x14ac:dyDescent="0.25">
      <c r="A121" s="9" t="s">
        <v>95</v>
      </c>
      <c r="B121" s="10" t="s">
        <v>96</v>
      </c>
      <c r="C121" s="12">
        <v>2018</v>
      </c>
      <c r="D121" s="11" t="s">
        <v>1803</v>
      </c>
      <c r="E121" s="10" t="s">
        <v>1630</v>
      </c>
      <c r="F121" s="11" t="s">
        <v>2</v>
      </c>
      <c r="G121" s="12" t="s">
        <v>1028</v>
      </c>
      <c r="H121" s="10" t="s">
        <v>2326</v>
      </c>
      <c r="I121" s="12" t="s">
        <v>1029</v>
      </c>
      <c r="J121" s="12" t="s">
        <v>1040</v>
      </c>
      <c r="K121" s="10" t="s">
        <v>1031</v>
      </c>
      <c r="L121" s="10" t="s">
        <v>1032</v>
      </c>
      <c r="M121" s="12" t="s">
        <v>1075</v>
      </c>
      <c r="N121" s="14" t="s">
        <v>1035</v>
      </c>
    </row>
    <row r="122" spans="1:14" s="1" customFormat="1" ht="17.100000000000001" customHeight="1" x14ac:dyDescent="0.25">
      <c r="A122" s="9" t="s">
        <v>55</v>
      </c>
      <c r="B122" s="10" t="s">
        <v>56</v>
      </c>
      <c r="C122" s="10">
        <v>2014</v>
      </c>
      <c r="D122" s="11" t="s">
        <v>1761</v>
      </c>
      <c r="E122" s="10" t="s">
        <v>1630</v>
      </c>
      <c r="F122" s="11" t="s">
        <v>2</v>
      </c>
      <c r="G122" s="10" t="s">
        <v>1028</v>
      </c>
      <c r="H122" s="10" t="s">
        <v>2326</v>
      </c>
      <c r="I122" s="12" t="s">
        <v>1029</v>
      </c>
      <c r="J122" s="12" t="s">
        <v>1040</v>
      </c>
      <c r="K122" s="12" t="s">
        <v>1037</v>
      </c>
      <c r="L122" s="10" t="s">
        <v>2399</v>
      </c>
      <c r="M122" s="10" t="s">
        <v>1074</v>
      </c>
      <c r="N122" s="14" t="s">
        <v>1035</v>
      </c>
    </row>
    <row r="123" spans="1:14" s="1" customFormat="1" ht="17.100000000000001" customHeight="1" x14ac:dyDescent="0.25">
      <c r="A123" s="9" t="s">
        <v>83</v>
      </c>
      <c r="B123" s="10" t="s">
        <v>84</v>
      </c>
      <c r="C123" s="10">
        <v>2014</v>
      </c>
      <c r="D123" s="11" t="s">
        <v>1770</v>
      </c>
      <c r="E123" s="10" t="s">
        <v>1630</v>
      </c>
      <c r="F123" s="11" t="s">
        <v>2</v>
      </c>
      <c r="G123" s="10" t="s">
        <v>1176</v>
      </c>
      <c r="H123" s="10" t="s">
        <v>2326</v>
      </c>
      <c r="I123" s="12" t="s">
        <v>1039</v>
      </c>
      <c r="J123" s="12" t="s">
        <v>1688</v>
      </c>
      <c r="K123" s="12" t="s">
        <v>1037</v>
      </c>
      <c r="L123" s="10" t="s">
        <v>1042</v>
      </c>
      <c r="M123" s="10" t="s">
        <v>1083</v>
      </c>
      <c r="N123" s="13" t="s">
        <v>1034</v>
      </c>
    </row>
    <row r="124" spans="1:14" s="1" customFormat="1" ht="17.100000000000001" customHeight="1" x14ac:dyDescent="0.25">
      <c r="A124" s="9" t="s">
        <v>450</v>
      </c>
      <c r="B124" s="10" t="s">
        <v>451</v>
      </c>
      <c r="C124" s="32">
        <v>2019</v>
      </c>
      <c r="D124" s="11" t="s">
        <v>1845</v>
      </c>
      <c r="E124" s="10" t="s">
        <v>1630</v>
      </c>
      <c r="F124" s="33" t="s">
        <v>2</v>
      </c>
      <c r="G124" s="12" t="s">
        <v>1215</v>
      </c>
      <c r="H124" s="10" t="s">
        <v>2326</v>
      </c>
      <c r="I124" s="12" t="s">
        <v>1029</v>
      </c>
      <c r="J124" s="10" t="s">
        <v>1030</v>
      </c>
      <c r="K124" s="10" t="s">
        <v>1031</v>
      </c>
      <c r="L124" s="10" t="s">
        <v>1032</v>
      </c>
      <c r="M124" s="12" t="s">
        <v>114</v>
      </c>
      <c r="N124" s="13" t="s">
        <v>1041</v>
      </c>
    </row>
    <row r="125" spans="1:14" s="1" customFormat="1" ht="17.100000000000001" customHeight="1" x14ac:dyDescent="0.25">
      <c r="A125" s="9" t="s">
        <v>79</v>
      </c>
      <c r="B125" s="10" t="s">
        <v>80</v>
      </c>
      <c r="C125" s="32">
        <v>2014</v>
      </c>
      <c r="D125" s="11" t="s">
        <v>1779</v>
      </c>
      <c r="E125" s="10" t="s">
        <v>1630</v>
      </c>
      <c r="F125" s="33" t="s">
        <v>2</v>
      </c>
      <c r="G125" s="12" t="s">
        <v>1215</v>
      </c>
      <c r="H125" s="10" t="s">
        <v>2326</v>
      </c>
      <c r="I125" s="12" t="s">
        <v>1029</v>
      </c>
      <c r="J125" s="10" t="s">
        <v>1036</v>
      </c>
      <c r="K125" s="10" t="s">
        <v>1031</v>
      </c>
      <c r="L125" s="10" t="s">
        <v>1032</v>
      </c>
      <c r="M125" s="12" t="s">
        <v>114</v>
      </c>
      <c r="N125" s="14" t="s">
        <v>1035</v>
      </c>
    </row>
    <row r="126" spans="1:14" s="1" customFormat="1" ht="17.100000000000001" customHeight="1" x14ac:dyDescent="0.25">
      <c r="A126" s="9" t="s">
        <v>77</v>
      </c>
      <c r="B126" s="10" t="s">
        <v>78</v>
      </c>
      <c r="C126" s="10">
        <v>2018</v>
      </c>
      <c r="D126" s="11" t="s">
        <v>1963</v>
      </c>
      <c r="E126" s="10" t="s">
        <v>1630</v>
      </c>
      <c r="F126" s="11" t="s">
        <v>2</v>
      </c>
      <c r="G126" s="10" t="s">
        <v>2270</v>
      </c>
      <c r="H126" s="10" t="s">
        <v>2350</v>
      </c>
      <c r="I126" s="12" t="s">
        <v>1039</v>
      </c>
      <c r="J126" s="10" t="s">
        <v>1030</v>
      </c>
      <c r="K126" s="10" t="s">
        <v>1031</v>
      </c>
      <c r="L126" s="10" t="s">
        <v>1247</v>
      </c>
      <c r="M126" s="12" t="s">
        <v>114</v>
      </c>
      <c r="N126" s="14" t="s">
        <v>1035</v>
      </c>
    </row>
    <row r="127" spans="1:14" s="1" customFormat="1" ht="17.100000000000001" customHeight="1" x14ac:dyDescent="0.25">
      <c r="A127" s="9" t="s">
        <v>29</v>
      </c>
      <c r="B127" s="10" t="s">
        <v>30</v>
      </c>
      <c r="C127" s="10">
        <v>2018</v>
      </c>
      <c r="D127" s="11" t="s">
        <v>1813</v>
      </c>
      <c r="E127" s="10" t="s">
        <v>1630</v>
      </c>
      <c r="F127" s="11" t="s">
        <v>2</v>
      </c>
      <c r="G127" s="10" t="s">
        <v>2276</v>
      </c>
      <c r="H127" s="10" t="s">
        <v>2351</v>
      </c>
      <c r="I127" s="12" t="s">
        <v>1029</v>
      </c>
      <c r="J127" s="10" t="s">
        <v>1693</v>
      </c>
      <c r="K127" s="10" t="s">
        <v>1031</v>
      </c>
      <c r="L127" s="10" t="s">
        <v>1032</v>
      </c>
      <c r="M127" s="10" t="s">
        <v>1046</v>
      </c>
      <c r="N127" s="14" t="s">
        <v>1035</v>
      </c>
    </row>
    <row r="128" spans="1:14" s="1" customFormat="1" ht="17.100000000000001" customHeight="1" x14ac:dyDescent="0.25">
      <c r="A128" s="9" t="s">
        <v>97</v>
      </c>
      <c r="B128" s="10" t="s">
        <v>98</v>
      </c>
      <c r="C128" s="12">
        <v>2018</v>
      </c>
      <c r="D128" s="11" t="s">
        <v>1818</v>
      </c>
      <c r="E128" s="10" t="s">
        <v>1630</v>
      </c>
      <c r="F128" s="11" t="s">
        <v>2</v>
      </c>
      <c r="G128" s="12" t="s">
        <v>1176</v>
      </c>
      <c r="H128" s="10" t="s">
        <v>2329</v>
      </c>
      <c r="I128" s="12" t="s">
        <v>1029</v>
      </c>
      <c r="J128" s="10" t="s">
        <v>1040</v>
      </c>
      <c r="K128" s="10" t="s">
        <v>1031</v>
      </c>
      <c r="L128" s="10" t="s">
        <v>1032</v>
      </c>
      <c r="M128" s="12" t="s">
        <v>1121</v>
      </c>
      <c r="N128" s="13" t="s">
        <v>1034</v>
      </c>
    </row>
    <row r="129" spans="1:14" s="1" customFormat="1" ht="17.100000000000001" customHeight="1" x14ac:dyDescent="0.25">
      <c r="A129" s="9" t="s">
        <v>462</v>
      </c>
      <c r="B129" s="10" t="s">
        <v>463</v>
      </c>
      <c r="C129" s="10">
        <v>2019</v>
      </c>
      <c r="D129" s="11" t="s">
        <v>1862</v>
      </c>
      <c r="E129" s="10" t="s">
        <v>1630</v>
      </c>
      <c r="F129" s="11" t="s">
        <v>2</v>
      </c>
      <c r="G129" s="10" t="s">
        <v>1028</v>
      </c>
      <c r="H129" s="10" t="s">
        <v>2356</v>
      </c>
      <c r="I129" s="12" t="s">
        <v>1029</v>
      </c>
      <c r="J129" s="10" t="s">
        <v>1036</v>
      </c>
      <c r="K129" s="10" t="s">
        <v>1031</v>
      </c>
      <c r="L129" s="10" t="s">
        <v>1247</v>
      </c>
      <c r="M129" s="10" t="s">
        <v>1135</v>
      </c>
      <c r="N129" s="14" t="s">
        <v>1035</v>
      </c>
    </row>
    <row r="130" spans="1:14" s="1" customFormat="1" ht="17.100000000000001" customHeight="1" x14ac:dyDescent="0.25">
      <c r="A130" s="9" t="s">
        <v>577</v>
      </c>
      <c r="B130" s="10" t="s">
        <v>578</v>
      </c>
      <c r="C130" s="10">
        <v>2020</v>
      </c>
      <c r="D130" s="11" t="s">
        <v>1865</v>
      </c>
      <c r="E130" s="10" t="s">
        <v>1630</v>
      </c>
      <c r="F130" s="11" t="s">
        <v>2</v>
      </c>
      <c r="G130" s="10" t="s">
        <v>2301</v>
      </c>
      <c r="H130" s="10" t="s">
        <v>1161</v>
      </c>
      <c r="I130" s="10" t="s">
        <v>1039</v>
      </c>
      <c r="J130" s="10" t="s">
        <v>1030</v>
      </c>
      <c r="K130" s="10" t="s">
        <v>1031</v>
      </c>
      <c r="L130" s="10" t="s">
        <v>1247</v>
      </c>
      <c r="M130" s="10" t="s">
        <v>1162</v>
      </c>
      <c r="N130" s="13" t="s">
        <v>1035</v>
      </c>
    </row>
    <row r="131" spans="1:14" s="1" customFormat="1" ht="17.100000000000001" customHeight="1" x14ac:dyDescent="0.25">
      <c r="A131" s="9" t="s">
        <v>1555</v>
      </c>
      <c r="B131" s="10" t="s">
        <v>1556</v>
      </c>
      <c r="C131" s="10">
        <v>2013</v>
      </c>
      <c r="D131" s="11" t="s">
        <v>2224</v>
      </c>
      <c r="E131" s="10" t="s">
        <v>1630</v>
      </c>
      <c r="F131" s="11" t="s">
        <v>2</v>
      </c>
      <c r="G131" s="10" t="s">
        <v>2266</v>
      </c>
      <c r="H131" s="10" t="s">
        <v>1161</v>
      </c>
      <c r="I131" s="10" t="s">
        <v>1493</v>
      </c>
      <c r="J131" s="10" t="s">
        <v>1048</v>
      </c>
      <c r="K131" s="12" t="s">
        <v>1037</v>
      </c>
      <c r="L131" s="10" t="s">
        <v>1247</v>
      </c>
      <c r="M131" s="10" t="s">
        <v>1557</v>
      </c>
      <c r="N131" s="13" t="s">
        <v>1035</v>
      </c>
    </row>
    <row r="132" spans="1:14" s="1" customFormat="1" ht="17.100000000000001" customHeight="1" x14ac:dyDescent="0.25">
      <c r="A132" s="9" t="s">
        <v>1548</v>
      </c>
      <c r="B132" s="10" t="s">
        <v>1549</v>
      </c>
      <c r="C132" s="10">
        <v>2020</v>
      </c>
      <c r="D132" s="11" t="s">
        <v>2221</v>
      </c>
      <c r="E132" s="10" t="s">
        <v>1630</v>
      </c>
      <c r="F132" s="11" t="s">
        <v>2</v>
      </c>
      <c r="G132" s="10" t="s">
        <v>2275</v>
      </c>
      <c r="H132" s="10" t="s">
        <v>1550</v>
      </c>
      <c r="I132" s="10" t="s">
        <v>1493</v>
      </c>
      <c r="J132" s="10" t="s">
        <v>1030</v>
      </c>
      <c r="K132" s="12" t="s">
        <v>1037</v>
      </c>
      <c r="L132" s="10" t="s">
        <v>1247</v>
      </c>
      <c r="M132" s="10" t="s">
        <v>1050</v>
      </c>
      <c r="N132" s="13" t="s">
        <v>1035</v>
      </c>
    </row>
    <row r="133" spans="1:14" s="1" customFormat="1" ht="17.100000000000001" customHeight="1" x14ac:dyDescent="0.25">
      <c r="A133" s="9" t="s">
        <v>99</v>
      </c>
      <c r="B133" s="10" t="s">
        <v>100</v>
      </c>
      <c r="C133" s="10">
        <v>2017</v>
      </c>
      <c r="D133" s="11" t="s">
        <v>2004</v>
      </c>
      <c r="E133" s="10" t="s">
        <v>1630</v>
      </c>
      <c r="F133" s="11" t="s">
        <v>2</v>
      </c>
      <c r="G133" s="10" t="s">
        <v>1028</v>
      </c>
      <c r="H133" s="10" t="s">
        <v>1166</v>
      </c>
      <c r="I133" s="12" t="s">
        <v>1029</v>
      </c>
      <c r="J133" s="10" t="s">
        <v>1030</v>
      </c>
      <c r="K133" s="10" t="s">
        <v>1031</v>
      </c>
      <c r="L133" s="10" t="s">
        <v>1032</v>
      </c>
      <c r="M133" s="10" t="s">
        <v>1206</v>
      </c>
      <c r="N133" s="13" t="s">
        <v>1072</v>
      </c>
    </row>
    <row r="134" spans="1:14" s="1" customFormat="1" ht="17.100000000000001" customHeight="1" x14ac:dyDescent="0.25">
      <c r="A134" s="9" t="s">
        <v>59</v>
      </c>
      <c r="B134" s="10" t="s">
        <v>60</v>
      </c>
      <c r="C134" s="12">
        <v>2018</v>
      </c>
      <c r="D134" s="11" t="s">
        <v>1992</v>
      </c>
      <c r="E134" s="10" t="s">
        <v>1630</v>
      </c>
      <c r="F134" s="11" t="s">
        <v>2</v>
      </c>
      <c r="G134" s="12" t="s">
        <v>1054</v>
      </c>
      <c r="H134" s="10" t="s">
        <v>1057</v>
      </c>
      <c r="I134" s="12" t="s">
        <v>1029</v>
      </c>
      <c r="J134" s="10" t="s">
        <v>1040</v>
      </c>
      <c r="K134" s="12" t="s">
        <v>1037</v>
      </c>
      <c r="L134" s="12" t="s">
        <v>1042</v>
      </c>
      <c r="M134" s="12" t="s">
        <v>1204</v>
      </c>
      <c r="N134" s="13" t="s">
        <v>1034</v>
      </c>
    </row>
    <row r="135" spans="1:14" s="1" customFormat="1" ht="17.100000000000001" customHeight="1" x14ac:dyDescent="0.25">
      <c r="A135" s="9" t="s">
        <v>87</v>
      </c>
      <c r="B135" s="10" t="s">
        <v>88</v>
      </c>
      <c r="C135" s="10">
        <v>2016</v>
      </c>
      <c r="D135" s="11" t="s">
        <v>1947</v>
      </c>
      <c r="E135" s="10" t="s">
        <v>1630</v>
      </c>
      <c r="F135" s="11" t="s">
        <v>2</v>
      </c>
      <c r="G135" s="10" t="s">
        <v>1164</v>
      </c>
      <c r="H135" s="10" t="s">
        <v>1057</v>
      </c>
      <c r="I135" s="10" t="s">
        <v>1493</v>
      </c>
      <c r="J135" s="10" t="s">
        <v>1030</v>
      </c>
      <c r="K135" s="10" t="s">
        <v>1031</v>
      </c>
      <c r="L135" s="10" t="s">
        <v>1032</v>
      </c>
      <c r="M135" s="10" t="s">
        <v>1190</v>
      </c>
      <c r="N135" s="14" t="s">
        <v>1035</v>
      </c>
    </row>
    <row r="136" spans="1:14" s="1" customFormat="1" ht="17.100000000000001" customHeight="1" x14ac:dyDescent="0.25">
      <c r="A136" s="9" t="s">
        <v>15</v>
      </c>
      <c r="B136" s="10" t="s">
        <v>16</v>
      </c>
      <c r="C136" s="10">
        <v>2019</v>
      </c>
      <c r="D136" s="11" t="s">
        <v>1982</v>
      </c>
      <c r="E136" s="10" t="s">
        <v>1630</v>
      </c>
      <c r="F136" s="11" t="s">
        <v>2</v>
      </c>
      <c r="G136" s="10" t="s">
        <v>1164</v>
      </c>
      <c r="H136" s="10" t="s">
        <v>1057</v>
      </c>
      <c r="I136" s="12" t="s">
        <v>1039</v>
      </c>
      <c r="J136" s="10" t="s">
        <v>1069</v>
      </c>
      <c r="K136" s="12" t="s">
        <v>1037</v>
      </c>
      <c r="L136" s="10" t="s">
        <v>1042</v>
      </c>
      <c r="M136" s="10" t="s">
        <v>1199</v>
      </c>
      <c r="N136" s="14" t="s">
        <v>1035</v>
      </c>
    </row>
    <row r="137" spans="1:14" s="1" customFormat="1" ht="17.100000000000001" customHeight="1" x14ac:dyDescent="0.25">
      <c r="A137" s="9" t="s">
        <v>1551</v>
      </c>
      <c r="B137" s="10" t="s">
        <v>1552</v>
      </c>
      <c r="C137" s="10">
        <v>2019</v>
      </c>
      <c r="D137" s="11" t="s">
        <v>2222</v>
      </c>
      <c r="E137" s="10" t="s">
        <v>1630</v>
      </c>
      <c r="F137" s="11" t="s">
        <v>2</v>
      </c>
      <c r="G137" s="10" t="s">
        <v>2266</v>
      </c>
      <c r="H137" s="10" t="s">
        <v>1057</v>
      </c>
      <c r="I137" s="10" t="s">
        <v>1493</v>
      </c>
      <c r="J137" s="10" t="s">
        <v>1030</v>
      </c>
      <c r="K137" s="10" t="s">
        <v>1031</v>
      </c>
      <c r="L137" s="10" t="s">
        <v>1247</v>
      </c>
      <c r="M137" s="10" t="s">
        <v>114</v>
      </c>
      <c r="N137" s="13" t="s">
        <v>1035</v>
      </c>
    </row>
    <row r="138" spans="1:14" s="1" customFormat="1" ht="17.100000000000001" customHeight="1" x14ac:dyDescent="0.25">
      <c r="A138" s="9" t="s">
        <v>75</v>
      </c>
      <c r="B138" s="10" t="s">
        <v>76</v>
      </c>
      <c r="C138" s="10">
        <v>2017</v>
      </c>
      <c r="D138" s="11" t="s">
        <v>1957</v>
      </c>
      <c r="E138" s="10" t="s">
        <v>1630</v>
      </c>
      <c r="F138" s="11" t="s">
        <v>2</v>
      </c>
      <c r="G138" s="10" t="s">
        <v>2266</v>
      </c>
      <c r="H138" s="10" t="s">
        <v>1057</v>
      </c>
      <c r="I138" s="12" t="s">
        <v>1029</v>
      </c>
      <c r="J138" s="10" t="s">
        <v>1030</v>
      </c>
      <c r="K138" s="10" t="s">
        <v>1031</v>
      </c>
      <c r="L138" s="10" t="s">
        <v>1032</v>
      </c>
      <c r="M138" s="10" t="s">
        <v>1194</v>
      </c>
      <c r="N138" s="14" t="s">
        <v>1035</v>
      </c>
    </row>
    <row r="139" spans="1:14" s="1" customFormat="1" ht="17.100000000000001" customHeight="1" x14ac:dyDescent="0.25">
      <c r="A139" s="9" t="s">
        <v>63</v>
      </c>
      <c r="B139" s="10" t="s">
        <v>64</v>
      </c>
      <c r="C139" s="10">
        <v>2018</v>
      </c>
      <c r="D139" s="11" t="s">
        <v>1979</v>
      </c>
      <c r="E139" s="10" t="s">
        <v>1630</v>
      </c>
      <c r="F139" s="11" t="s">
        <v>2</v>
      </c>
      <c r="G139" s="10" t="s">
        <v>2266</v>
      </c>
      <c r="H139" s="10" t="s">
        <v>1057</v>
      </c>
      <c r="I139" s="12" t="s">
        <v>1029</v>
      </c>
      <c r="J139" s="10" t="s">
        <v>1048</v>
      </c>
      <c r="K139" s="10" t="s">
        <v>1031</v>
      </c>
      <c r="L139" s="12" t="s">
        <v>1042</v>
      </c>
      <c r="M139" s="10" t="s">
        <v>1102</v>
      </c>
      <c r="N139" s="13" t="s">
        <v>1072</v>
      </c>
    </row>
    <row r="140" spans="1:14" s="1" customFormat="1" ht="17.100000000000001" customHeight="1" x14ac:dyDescent="0.25">
      <c r="A140" s="9" t="s">
        <v>7</v>
      </c>
      <c r="B140" s="10" t="s">
        <v>8</v>
      </c>
      <c r="C140" s="10">
        <v>2015</v>
      </c>
      <c r="D140" s="11" t="s">
        <v>1993</v>
      </c>
      <c r="E140" s="10" t="s">
        <v>1630</v>
      </c>
      <c r="F140" s="11" t="s">
        <v>2</v>
      </c>
      <c r="G140" s="10" t="s">
        <v>2275</v>
      </c>
      <c r="H140" s="10" t="s">
        <v>1057</v>
      </c>
      <c r="I140" s="12" t="s">
        <v>1039</v>
      </c>
      <c r="J140" s="10" t="s">
        <v>1030</v>
      </c>
      <c r="K140" s="10" t="s">
        <v>1031</v>
      </c>
      <c r="L140" s="10" t="s">
        <v>1247</v>
      </c>
      <c r="M140" s="12" t="s">
        <v>114</v>
      </c>
      <c r="N140" s="14" t="s">
        <v>1035</v>
      </c>
    </row>
    <row r="141" spans="1:14" s="1" customFormat="1" ht="17.100000000000001" customHeight="1" x14ac:dyDescent="0.25">
      <c r="A141" s="9" t="s">
        <v>103</v>
      </c>
      <c r="B141" s="10" t="s">
        <v>104</v>
      </c>
      <c r="C141" s="10">
        <v>2017</v>
      </c>
      <c r="D141" s="11" t="s">
        <v>1996</v>
      </c>
      <c r="E141" s="10" t="s">
        <v>1630</v>
      </c>
      <c r="F141" s="11" t="s">
        <v>2</v>
      </c>
      <c r="G141" s="10" t="s">
        <v>2275</v>
      </c>
      <c r="H141" s="10" t="s">
        <v>1057</v>
      </c>
      <c r="I141" s="12" t="s">
        <v>1029</v>
      </c>
      <c r="J141" s="10" t="s">
        <v>1030</v>
      </c>
      <c r="K141" s="10" t="s">
        <v>1031</v>
      </c>
      <c r="L141" s="10" t="s">
        <v>1032</v>
      </c>
      <c r="M141" s="12" t="s">
        <v>114</v>
      </c>
      <c r="N141" s="14" t="s">
        <v>1035</v>
      </c>
    </row>
    <row r="142" spans="1:14" s="1" customFormat="1" ht="17.100000000000001" customHeight="1" x14ac:dyDescent="0.25">
      <c r="A142" s="9" t="s">
        <v>67</v>
      </c>
      <c r="B142" s="10" t="s">
        <v>68</v>
      </c>
      <c r="C142" s="10">
        <v>2016</v>
      </c>
      <c r="D142" s="11" t="s">
        <v>1994</v>
      </c>
      <c r="E142" s="10" t="s">
        <v>1630</v>
      </c>
      <c r="F142" s="11" t="s">
        <v>2</v>
      </c>
      <c r="G142" s="10" t="s">
        <v>1544</v>
      </c>
      <c r="H142" s="10" t="s">
        <v>1057</v>
      </c>
      <c r="I142" s="12" t="s">
        <v>1039</v>
      </c>
      <c r="J142" s="10" t="s">
        <v>1052</v>
      </c>
      <c r="K142" s="10" t="s">
        <v>1031</v>
      </c>
      <c r="L142" s="10" t="s">
        <v>1032</v>
      </c>
      <c r="M142" s="12" t="s">
        <v>114</v>
      </c>
      <c r="N142" s="14" t="s">
        <v>1035</v>
      </c>
    </row>
    <row r="143" spans="1:14" s="1" customFormat="1" ht="17.100000000000001" customHeight="1" x14ac:dyDescent="0.25">
      <c r="A143" s="9" t="s">
        <v>107</v>
      </c>
      <c r="B143" s="10" t="s">
        <v>108</v>
      </c>
      <c r="C143" s="10">
        <v>2017</v>
      </c>
      <c r="D143" s="11" t="s">
        <v>2002</v>
      </c>
      <c r="E143" s="10" t="s">
        <v>1630</v>
      </c>
      <c r="F143" s="11" t="s">
        <v>2</v>
      </c>
      <c r="G143" s="10" t="s">
        <v>1028</v>
      </c>
      <c r="H143" s="10" t="s">
        <v>1057</v>
      </c>
      <c r="I143" s="12" t="s">
        <v>1039</v>
      </c>
      <c r="J143" s="10" t="s">
        <v>1040</v>
      </c>
      <c r="K143" s="12" t="s">
        <v>1037</v>
      </c>
      <c r="L143" s="10" t="s">
        <v>1032</v>
      </c>
      <c r="M143" s="10" t="s">
        <v>1093</v>
      </c>
      <c r="N143" s="14" t="s">
        <v>1035</v>
      </c>
    </row>
    <row r="144" spans="1:14" s="1" customFormat="1" ht="17.100000000000001" customHeight="1" x14ac:dyDescent="0.25">
      <c r="A144" s="9" t="s">
        <v>105</v>
      </c>
      <c r="B144" s="10" t="s">
        <v>106</v>
      </c>
      <c r="C144" s="10">
        <v>2017</v>
      </c>
      <c r="D144" s="11" t="s">
        <v>2038</v>
      </c>
      <c r="E144" s="10" t="s">
        <v>1630</v>
      </c>
      <c r="F144" s="11" t="s">
        <v>2</v>
      </c>
      <c r="G144" s="10" t="s">
        <v>2266</v>
      </c>
      <c r="H144" s="10" t="s">
        <v>1168</v>
      </c>
      <c r="I144" s="12" t="s">
        <v>1029</v>
      </c>
      <c r="J144" s="10" t="s">
        <v>1052</v>
      </c>
      <c r="K144" s="10" t="s">
        <v>1031</v>
      </c>
      <c r="L144" s="10" t="s">
        <v>1032</v>
      </c>
      <c r="M144" s="10" t="s">
        <v>1220</v>
      </c>
      <c r="N144" s="13" t="s">
        <v>1072</v>
      </c>
    </row>
    <row r="145" spans="1:14" s="1" customFormat="1" ht="17.100000000000001" customHeight="1" x14ac:dyDescent="0.25">
      <c r="A145" s="9" t="s">
        <v>439</v>
      </c>
      <c r="B145" s="10" t="s">
        <v>440</v>
      </c>
      <c r="C145" s="10">
        <v>2019</v>
      </c>
      <c r="D145" s="11" t="s">
        <v>1907</v>
      </c>
      <c r="E145" s="10" t="s">
        <v>1630</v>
      </c>
      <c r="F145" s="11" t="s">
        <v>2</v>
      </c>
      <c r="G145" s="10" t="s">
        <v>1062</v>
      </c>
      <c r="H145" s="10" t="s">
        <v>2422</v>
      </c>
      <c r="I145" s="12" t="s">
        <v>1029</v>
      </c>
      <c r="J145" s="10" t="s">
        <v>1040</v>
      </c>
      <c r="K145" s="10" t="s">
        <v>1031</v>
      </c>
      <c r="L145" s="10" t="s">
        <v>1032</v>
      </c>
      <c r="M145" s="12" t="s">
        <v>114</v>
      </c>
      <c r="N145" s="14" t="s">
        <v>1035</v>
      </c>
    </row>
    <row r="146" spans="1:14" s="1" customFormat="1" ht="17.100000000000001" customHeight="1" x14ac:dyDescent="0.25">
      <c r="A146" s="9" t="s">
        <v>101</v>
      </c>
      <c r="B146" s="10" t="s">
        <v>102</v>
      </c>
      <c r="C146" s="12">
        <v>2018</v>
      </c>
      <c r="D146" s="11" t="s">
        <v>1701</v>
      </c>
      <c r="E146" s="10" t="s">
        <v>1630</v>
      </c>
      <c r="F146" s="11" t="s">
        <v>2</v>
      </c>
      <c r="G146" s="12" t="s">
        <v>1028</v>
      </c>
      <c r="H146" s="10" t="s">
        <v>2421</v>
      </c>
      <c r="I146" s="12" t="s">
        <v>1029</v>
      </c>
      <c r="J146" s="10" t="s">
        <v>1036</v>
      </c>
      <c r="K146" s="10" t="s">
        <v>1031</v>
      </c>
      <c r="L146" s="10" t="s">
        <v>1032</v>
      </c>
      <c r="M146" s="12" t="s">
        <v>1050</v>
      </c>
      <c r="N146" s="14" t="s">
        <v>1035</v>
      </c>
    </row>
    <row r="147" spans="1:14" s="1" customFormat="1" ht="17.100000000000001" customHeight="1" x14ac:dyDescent="0.25">
      <c r="A147" s="9" t="s">
        <v>1540</v>
      </c>
      <c r="B147" s="10" t="s">
        <v>1541</v>
      </c>
      <c r="C147" s="10">
        <v>2021</v>
      </c>
      <c r="D147" s="11" t="s">
        <v>2219</v>
      </c>
      <c r="E147" s="10" t="s">
        <v>1630</v>
      </c>
      <c r="F147" s="11" t="s">
        <v>2</v>
      </c>
      <c r="G147" s="10" t="s">
        <v>1538</v>
      </c>
      <c r="H147" s="10" t="s">
        <v>1230</v>
      </c>
      <c r="I147" s="10" t="s">
        <v>1493</v>
      </c>
      <c r="J147" s="10" t="s">
        <v>1030</v>
      </c>
      <c r="K147" s="10" t="s">
        <v>1031</v>
      </c>
      <c r="L147" s="10" t="s">
        <v>1247</v>
      </c>
      <c r="M147" s="10" t="s">
        <v>1093</v>
      </c>
      <c r="N147" s="13" t="s">
        <v>1035</v>
      </c>
    </row>
    <row r="148" spans="1:14" s="1" customFormat="1" ht="17.100000000000001" customHeight="1" x14ac:dyDescent="0.25">
      <c r="A148" s="9" t="s">
        <v>1542</v>
      </c>
      <c r="B148" s="10" t="s">
        <v>1543</v>
      </c>
      <c r="C148" s="10">
        <v>2022</v>
      </c>
      <c r="D148" s="11" t="s">
        <v>1678</v>
      </c>
      <c r="E148" s="10" t="s">
        <v>1630</v>
      </c>
      <c r="F148" s="11" t="s">
        <v>2</v>
      </c>
      <c r="G148" s="10" t="s">
        <v>1544</v>
      </c>
      <c r="H148" s="10" t="s">
        <v>1230</v>
      </c>
      <c r="I148" s="10" t="s">
        <v>1493</v>
      </c>
      <c r="J148" s="10" t="s">
        <v>1030</v>
      </c>
      <c r="K148" s="12" t="s">
        <v>1037</v>
      </c>
      <c r="L148" s="10" t="s">
        <v>1247</v>
      </c>
      <c r="M148" s="10" t="s">
        <v>114</v>
      </c>
      <c r="N148" s="13" t="s">
        <v>1035</v>
      </c>
    </row>
    <row r="149" spans="1:14" s="1" customFormat="1" ht="17.100000000000001" customHeight="1" x14ac:dyDescent="0.25">
      <c r="A149" s="9" t="s">
        <v>41</v>
      </c>
      <c r="B149" s="10" t="s">
        <v>42</v>
      </c>
      <c r="C149" s="10">
        <v>2018</v>
      </c>
      <c r="D149" s="11" t="s">
        <v>2095</v>
      </c>
      <c r="E149" s="10" t="s">
        <v>1630</v>
      </c>
      <c r="F149" s="11" t="s">
        <v>2</v>
      </c>
      <c r="G149" s="10" t="s">
        <v>1054</v>
      </c>
      <c r="H149" s="10" t="s">
        <v>2340</v>
      </c>
      <c r="I149" s="12" t="s">
        <v>1029</v>
      </c>
      <c r="J149" s="10" t="s">
        <v>1036</v>
      </c>
      <c r="K149" s="10" t="s">
        <v>1031</v>
      </c>
      <c r="L149" s="10" t="s">
        <v>1042</v>
      </c>
      <c r="M149" s="12" t="s">
        <v>114</v>
      </c>
      <c r="N149" s="14" t="s">
        <v>1035</v>
      </c>
    </row>
    <row r="150" spans="1:14" s="1" customFormat="1" ht="17.100000000000001" customHeight="1" x14ac:dyDescent="0.25">
      <c r="A150" s="9" t="s">
        <v>466</v>
      </c>
      <c r="B150" s="10" t="s">
        <v>467</v>
      </c>
      <c r="C150" s="10">
        <v>2019</v>
      </c>
      <c r="D150" s="11" t="s">
        <v>2061</v>
      </c>
      <c r="E150" s="10" t="s">
        <v>1630</v>
      </c>
      <c r="F150" s="11" t="s">
        <v>2</v>
      </c>
      <c r="G150" s="10" t="s">
        <v>1054</v>
      </c>
      <c r="H150" s="10" t="s">
        <v>2340</v>
      </c>
      <c r="I150" s="12" t="s">
        <v>1029</v>
      </c>
      <c r="J150" s="10" t="s">
        <v>1114</v>
      </c>
      <c r="K150" s="10" t="s">
        <v>1031</v>
      </c>
      <c r="L150" s="10" t="s">
        <v>1247</v>
      </c>
      <c r="M150" s="10" t="s">
        <v>1050</v>
      </c>
      <c r="N150" s="14" t="s">
        <v>1035</v>
      </c>
    </row>
    <row r="151" spans="1:14" s="1" customFormat="1" ht="17.100000000000001" customHeight="1" x14ac:dyDescent="0.25">
      <c r="A151" s="9" t="s">
        <v>468</v>
      </c>
      <c r="B151" s="10" t="s">
        <v>469</v>
      </c>
      <c r="C151" s="10">
        <v>2019</v>
      </c>
      <c r="D151" s="11" t="s">
        <v>2101</v>
      </c>
      <c r="E151" s="10" t="s">
        <v>1630</v>
      </c>
      <c r="F151" s="11" t="s">
        <v>2</v>
      </c>
      <c r="G151" s="10" t="s">
        <v>1054</v>
      </c>
      <c r="H151" s="10" t="s">
        <v>2340</v>
      </c>
      <c r="I151" s="12" t="s">
        <v>1029</v>
      </c>
      <c r="J151" s="10" t="s">
        <v>1036</v>
      </c>
      <c r="K151" s="10" t="s">
        <v>1031</v>
      </c>
      <c r="L151" s="10" t="s">
        <v>1247</v>
      </c>
      <c r="M151" s="12" t="s">
        <v>1055</v>
      </c>
      <c r="N151" s="14" t="s">
        <v>1035</v>
      </c>
    </row>
    <row r="152" spans="1:14" s="1" customFormat="1" ht="17.100000000000001" customHeight="1" x14ac:dyDescent="0.25">
      <c r="A152" s="9" t="s">
        <v>432</v>
      </c>
      <c r="B152" s="10" t="s">
        <v>433</v>
      </c>
      <c r="C152" s="10">
        <v>2019</v>
      </c>
      <c r="D152" s="11" t="s">
        <v>2098</v>
      </c>
      <c r="E152" s="10" t="s">
        <v>1630</v>
      </c>
      <c r="F152" s="11" t="s">
        <v>2</v>
      </c>
      <c r="G152" s="10" t="s">
        <v>1054</v>
      </c>
      <c r="H152" s="10" t="s">
        <v>2340</v>
      </c>
      <c r="I152" s="12" t="s">
        <v>1039</v>
      </c>
      <c r="J152" s="10" t="s">
        <v>1036</v>
      </c>
      <c r="K152" s="12" t="s">
        <v>1037</v>
      </c>
      <c r="L152" s="10" t="s">
        <v>1247</v>
      </c>
      <c r="M152" s="10" t="s">
        <v>1216</v>
      </c>
      <c r="N152" s="14" t="s">
        <v>1035</v>
      </c>
    </row>
    <row r="153" spans="1:14" s="1" customFormat="1" ht="17.100000000000001" customHeight="1" x14ac:dyDescent="0.25">
      <c r="A153" s="9" t="s">
        <v>39</v>
      </c>
      <c r="B153" s="10" t="s">
        <v>40</v>
      </c>
      <c r="C153" s="10">
        <v>2017</v>
      </c>
      <c r="D153" s="11" t="s">
        <v>2093</v>
      </c>
      <c r="E153" s="10" t="s">
        <v>1630</v>
      </c>
      <c r="F153" s="11" t="s">
        <v>2</v>
      </c>
      <c r="G153" s="10" t="s">
        <v>1165</v>
      </c>
      <c r="H153" s="10" t="s">
        <v>2340</v>
      </c>
      <c r="I153" s="12" t="s">
        <v>1029</v>
      </c>
      <c r="J153" s="10" t="s">
        <v>1040</v>
      </c>
      <c r="K153" s="10" t="s">
        <v>1031</v>
      </c>
      <c r="L153" s="10" t="s">
        <v>1247</v>
      </c>
      <c r="M153" s="12" t="s">
        <v>114</v>
      </c>
      <c r="N153" s="14" t="s">
        <v>1035</v>
      </c>
    </row>
    <row r="154" spans="1:14" s="1" customFormat="1" ht="17.100000000000001" customHeight="1" x14ac:dyDescent="0.25">
      <c r="A154" s="9" t="s">
        <v>81</v>
      </c>
      <c r="B154" s="10" t="s">
        <v>82</v>
      </c>
      <c r="C154" s="10">
        <v>2017</v>
      </c>
      <c r="D154" s="11" t="s">
        <v>2082</v>
      </c>
      <c r="E154" s="10" t="s">
        <v>1630</v>
      </c>
      <c r="F154" s="11" t="s">
        <v>2</v>
      </c>
      <c r="G154" s="10" t="s">
        <v>1183</v>
      </c>
      <c r="H154" s="10" t="s">
        <v>2340</v>
      </c>
      <c r="I154" s="12" t="s">
        <v>1039</v>
      </c>
      <c r="J154" s="10" t="s">
        <v>1030</v>
      </c>
      <c r="K154" s="10" t="s">
        <v>1031</v>
      </c>
      <c r="L154" s="10" t="s">
        <v>1032</v>
      </c>
      <c r="M154" s="12" t="s">
        <v>1236</v>
      </c>
      <c r="N154" s="14" t="s">
        <v>1035</v>
      </c>
    </row>
    <row r="155" spans="1:14" s="1" customFormat="1" ht="17.100000000000001" customHeight="1" x14ac:dyDescent="0.25">
      <c r="A155" s="9" t="s">
        <v>13</v>
      </c>
      <c r="B155" s="10" t="s">
        <v>14</v>
      </c>
      <c r="C155" s="10">
        <v>2015</v>
      </c>
      <c r="D155" s="11" t="s">
        <v>2078</v>
      </c>
      <c r="E155" s="10" t="s">
        <v>1630</v>
      </c>
      <c r="F155" s="11" t="s">
        <v>2</v>
      </c>
      <c r="G155" s="10" t="s">
        <v>2266</v>
      </c>
      <c r="H155" s="10" t="s">
        <v>2340</v>
      </c>
      <c r="I155" s="12" t="s">
        <v>1039</v>
      </c>
      <c r="J155" s="10" t="s">
        <v>1030</v>
      </c>
      <c r="K155" s="10" t="s">
        <v>1031</v>
      </c>
      <c r="L155" s="10" t="s">
        <v>1042</v>
      </c>
      <c r="M155" s="10" t="s">
        <v>1093</v>
      </c>
      <c r="N155" s="14" t="s">
        <v>1035</v>
      </c>
    </row>
    <row r="156" spans="1:14" s="1" customFormat="1" ht="17.100000000000001" customHeight="1" x14ac:dyDescent="0.25">
      <c r="A156" s="9" t="s">
        <v>27</v>
      </c>
      <c r="B156" s="10" t="s">
        <v>28</v>
      </c>
      <c r="C156" s="10">
        <v>2012</v>
      </c>
      <c r="D156" s="11" t="s">
        <v>2063</v>
      </c>
      <c r="E156" s="10" t="s">
        <v>1630</v>
      </c>
      <c r="F156" s="11" t="s">
        <v>2</v>
      </c>
      <c r="G156" s="10" t="s">
        <v>2266</v>
      </c>
      <c r="H156" s="10" t="s">
        <v>2340</v>
      </c>
      <c r="I156" s="12" t="s">
        <v>1029</v>
      </c>
      <c r="J156" s="10" t="s">
        <v>1030</v>
      </c>
      <c r="K156" s="10" t="s">
        <v>1031</v>
      </c>
      <c r="L156" s="10" t="s">
        <v>1032</v>
      </c>
      <c r="M156" s="10" t="s">
        <v>1046</v>
      </c>
      <c r="N156" s="14" t="s">
        <v>1035</v>
      </c>
    </row>
    <row r="157" spans="1:14" s="1" customFormat="1" ht="17.100000000000001" customHeight="1" x14ac:dyDescent="0.25">
      <c r="A157" s="9" t="s">
        <v>11</v>
      </c>
      <c r="B157" s="10" t="s">
        <v>12</v>
      </c>
      <c r="C157" s="10">
        <v>2016</v>
      </c>
      <c r="D157" s="11" t="s">
        <v>2081</v>
      </c>
      <c r="E157" s="10" t="s">
        <v>1630</v>
      </c>
      <c r="F157" s="11" t="s">
        <v>2</v>
      </c>
      <c r="G157" s="10" t="s">
        <v>1028</v>
      </c>
      <c r="H157" s="10" t="s">
        <v>2340</v>
      </c>
      <c r="I157" s="12" t="s">
        <v>1029</v>
      </c>
      <c r="J157" s="10" t="s">
        <v>1030</v>
      </c>
      <c r="K157" s="10" t="s">
        <v>1031</v>
      </c>
      <c r="L157" s="10" t="s">
        <v>1032</v>
      </c>
      <c r="M157" s="12" t="s">
        <v>114</v>
      </c>
      <c r="N157" s="14" t="s">
        <v>1035</v>
      </c>
    </row>
    <row r="158" spans="1:14" s="1" customFormat="1" ht="17.100000000000001" customHeight="1" x14ac:dyDescent="0.25">
      <c r="A158" s="9" t="s">
        <v>93</v>
      </c>
      <c r="B158" s="10" t="s">
        <v>94</v>
      </c>
      <c r="C158" s="10">
        <v>2017</v>
      </c>
      <c r="D158" s="11" t="s">
        <v>2092</v>
      </c>
      <c r="E158" s="10" t="s">
        <v>1630</v>
      </c>
      <c r="F158" s="11" t="s">
        <v>2</v>
      </c>
      <c r="G158" s="10" t="s">
        <v>1028</v>
      </c>
      <c r="H158" s="10" t="s">
        <v>2340</v>
      </c>
      <c r="I158" s="12" t="s">
        <v>1039</v>
      </c>
      <c r="J158" s="10" t="s">
        <v>1036</v>
      </c>
      <c r="K158" s="10" t="s">
        <v>1031</v>
      </c>
      <c r="L158" s="10" t="s">
        <v>1032</v>
      </c>
      <c r="M158" s="10" t="s">
        <v>1239</v>
      </c>
      <c r="N158" s="14" t="s">
        <v>1035</v>
      </c>
    </row>
    <row r="159" spans="1:14" s="1" customFormat="1" ht="17.100000000000001" customHeight="1" x14ac:dyDescent="0.25">
      <c r="A159" s="9" t="s">
        <v>430</v>
      </c>
      <c r="B159" s="10" t="s">
        <v>431</v>
      </c>
      <c r="C159" s="10">
        <v>2019</v>
      </c>
      <c r="D159" s="11" t="s">
        <v>2097</v>
      </c>
      <c r="E159" s="10" t="s">
        <v>1630</v>
      </c>
      <c r="F159" s="11" t="s">
        <v>2</v>
      </c>
      <c r="G159" s="10" t="s">
        <v>1028</v>
      </c>
      <c r="H159" s="10" t="s">
        <v>2340</v>
      </c>
      <c r="I159" s="12" t="s">
        <v>1039</v>
      </c>
      <c r="J159" s="10" t="s">
        <v>1030</v>
      </c>
      <c r="K159" s="12" t="s">
        <v>1037</v>
      </c>
      <c r="L159" s="10" t="s">
        <v>1247</v>
      </c>
      <c r="M159" s="10" t="s">
        <v>1241</v>
      </c>
      <c r="N159" s="13" t="s">
        <v>1034</v>
      </c>
    </row>
    <row r="160" spans="1:14" s="1" customFormat="1" ht="17.100000000000001" customHeight="1" x14ac:dyDescent="0.25">
      <c r="A160" s="9" t="s">
        <v>69</v>
      </c>
      <c r="B160" s="10" t="s">
        <v>70</v>
      </c>
      <c r="C160" s="10">
        <v>2014</v>
      </c>
      <c r="D160" s="11" t="s">
        <v>2076</v>
      </c>
      <c r="E160" s="10" t="s">
        <v>1630</v>
      </c>
      <c r="F160" s="11" t="s">
        <v>2</v>
      </c>
      <c r="G160" s="10" t="s">
        <v>2266</v>
      </c>
      <c r="H160" s="10" t="s">
        <v>2381</v>
      </c>
      <c r="I160" s="12" t="s">
        <v>1029</v>
      </c>
      <c r="J160" s="10" t="s">
        <v>1030</v>
      </c>
      <c r="K160" s="10" t="s">
        <v>1031</v>
      </c>
      <c r="L160" s="10" t="s">
        <v>1032</v>
      </c>
      <c r="M160" s="10" t="s">
        <v>1050</v>
      </c>
      <c r="N160" s="14" t="s">
        <v>1035</v>
      </c>
    </row>
    <row r="161" spans="1:14" s="1" customFormat="1" ht="17.100000000000001" customHeight="1" x14ac:dyDescent="0.25">
      <c r="A161" s="9" t="s">
        <v>9</v>
      </c>
      <c r="B161" s="10" t="s">
        <v>10</v>
      </c>
      <c r="C161" s="12">
        <v>2018</v>
      </c>
      <c r="D161" s="11" t="s">
        <v>1906</v>
      </c>
      <c r="E161" s="10" t="s">
        <v>1630</v>
      </c>
      <c r="F161" s="11" t="s">
        <v>2</v>
      </c>
      <c r="G161" s="12" t="s">
        <v>1028</v>
      </c>
      <c r="H161" s="10" t="s">
        <v>2379</v>
      </c>
      <c r="I161" s="12" t="s">
        <v>1029</v>
      </c>
      <c r="J161" s="12" t="s">
        <v>1040</v>
      </c>
      <c r="K161" s="10" t="s">
        <v>1031</v>
      </c>
      <c r="L161" s="10" t="s">
        <v>1032</v>
      </c>
      <c r="M161" s="12" t="s">
        <v>1050</v>
      </c>
      <c r="N161" s="14" t="s">
        <v>1035</v>
      </c>
    </row>
    <row r="162" spans="1:14" s="1" customFormat="1" ht="17.100000000000001" customHeight="1" x14ac:dyDescent="0.25">
      <c r="A162" s="9" t="s">
        <v>61</v>
      </c>
      <c r="B162" s="10" t="s">
        <v>62</v>
      </c>
      <c r="C162" s="10">
        <v>2019</v>
      </c>
      <c r="D162" s="11" t="s">
        <v>2096</v>
      </c>
      <c r="E162" s="10" t="s">
        <v>1630</v>
      </c>
      <c r="F162" s="11" t="s">
        <v>2</v>
      </c>
      <c r="G162" s="10" t="s">
        <v>2302</v>
      </c>
      <c r="H162" s="10" t="s">
        <v>2383</v>
      </c>
      <c r="I162" s="12" t="s">
        <v>1039</v>
      </c>
      <c r="J162" s="10" t="s">
        <v>1052</v>
      </c>
      <c r="K162" s="10" t="s">
        <v>1031</v>
      </c>
      <c r="L162" s="10" t="s">
        <v>1032</v>
      </c>
      <c r="M162" s="10" t="s">
        <v>1049</v>
      </c>
      <c r="N162" s="14" t="s">
        <v>1035</v>
      </c>
    </row>
    <row r="163" spans="1:14" s="1" customFormat="1" ht="17.100000000000001" customHeight="1" x14ac:dyDescent="0.25">
      <c r="A163" s="9" t="s">
        <v>444</v>
      </c>
      <c r="B163" s="10" t="s">
        <v>445</v>
      </c>
      <c r="C163" s="10">
        <v>2019</v>
      </c>
      <c r="D163" s="11" t="s">
        <v>1984</v>
      </c>
      <c r="E163" s="10" t="s">
        <v>1630</v>
      </c>
      <c r="F163" s="11" t="s">
        <v>2</v>
      </c>
      <c r="G163" s="10" t="s">
        <v>1201</v>
      </c>
      <c r="H163" s="10" t="s">
        <v>2426</v>
      </c>
      <c r="I163" s="12" t="s">
        <v>1039</v>
      </c>
      <c r="J163" s="10" t="s">
        <v>1030</v>
      </c>
      <c r="K163" s="10" t="s">
        <v>1031</v>
      </c>
      <c r="L163" s="10" t="s">
        <v>2400</v>
      </c>
      <c r="M163" s="10" t="s">
        <v>1202</v>
      </c>
      <c r="N163" s="14" t="s">
        <v>1035</v>
      </c>
    </row>
    <row r="164" spans="1:14" s="1" customFormat="1" ht="17.100000000000001" customHeight="1" x14ac:dyDescent="0.25">
      <c r="A164" s="9" t="s">
        <v>37</v>
      </c>
      <c r="B164" s="10" t="s">
        <v>38</v>
      </c>
      <c r="C164" s="10">
        <v>2018</v>
      </c>
      <c r="D164" s="11" t="s">
        <v>1718</v>
      </c>
      <c r="E164" s="10" t="s">
        <v>1630</v>
      </c>
      <c r="F164" s="11" t="s">
        <v>2</v>
      </c>
      <c r="G164" s="10" t="s">
        <v>1062</v>
      </c>
      <c r="H164" s="10" t="s">
        <v>2320</v>
      </c>
      <c r="I164" s="12" t="s">
        <v>1029</v>
      </c>
      <c r="J164" s="10" t="s">
        <v>1040</v>
      </c>
      <c r="K164" s="10" t="s">
        <v>1031</v>
      </c>
      <c r="L164" s="10" t="s">
        <v>1032</v>
      </c>
      <c r="M164" s="10" t="s">
        <v>1125</v>
      </c>
      <c r="N164" s="13" t="s">
        <v>1072</v>
      </c>
    </row>
    <row r="165" spans="1:14" s="1" customFormat="1" ht="17.100000000000001" customHeight="1" x14ac:dyDescent="0.25">
      <c r="A165" s="9" t="s">
        <v>23</v>
      </c>
      <c r="B165" s="10" t="s">
        <v>24</v>
      </c>
      <c r="C165" s="10">
        <v>2015</v>
      </c>
      <c r="D165" s="11" t="s">
        <v>1904</v>
      </c>
      <c r="E165" s="10" t="s">
        <v>1630</v>
      </c>
      <c r="F165" s="11" t="s">
        <v>2</v>
      </c>
      <c r="G165" s="10" t="s">
        <v>1062</v>
      </c>
      <c r="H165" s="10" t="s">
        <v>2346</v>
      </c>
      <c r="I165" s="12" t="s">
        <v>1029</v>
      </c>
      <c r="J165" s="10" t="s">
        <v>1036</v>
      </c>
      <c r="K165" s="10" t="s">
        <v>1031</v>
      </c>
      <c r="L165" s="10" t="s">
        <v>1032</v>
      </c>
      <c r="M165" s="12" t="s">
        <v>114</v>
      </c>
      <c r="N165" s="13" t="s">
        <v>1034</v>
      </c>
    </row>
    <row r="166" spans="1:14" s="1" customFormat="1" ht="17.100000000000001" customHeight="1" x14ac:dyDescent="0.25">
      <c r="A166" s="9" t="s">
        <v>470</v>
      </c>
      <c r="B166" s="10" t="s">
        <v>471</v>
      </c>
      <c r="C166" s="10">
        <v>2019</v>
      </c>
      <c r="D166" s="11" t="s">
        <v>1704</v>
      </c>
      <c r="E166" s="10" t="s">
        <v>1630</v>
      </c>
      <c r="F166" s="11" t="s">
        <v>2</v>
      </c>
      <c r="G166" s="10" t="s">
        <v>1028</v>
      </c>
      <c r="H166" s="10" t="s">
        <v>2418</v>
      </c>
      <c r="I166" s="12" t="s">
        <v>1039</v>
      </c>
      <c r="J166" s="10" t="s">
        <v>1036</v>
      </c>
      <c r="K166" s="10" t="s">
        <v>1031</v>
      </c>
      <c r="L166" s="10" t="s">
        <v>1247</v>
      </c>
      <c r="M166" s="10" t="s">
        <v>1050</v>
      </c>
      <c r="N166" s="14" t="s">
        <v>1035</v>
      </c>
    </row>
    <row r="167" spans="1:14" s="1" customFormat="1" ht="17.100000000000001" customHeight="1" x14ac:dyDescent="0.25">
      <c r="A167" s="9" t="s">
        <v>502</v>
      </c>
      <c r="B167" s="10" t="s">
        <v>503</v>
      </c>
      <c r="C167" s="10">
        <v>2020</v>
      </c>
      <c r="D167" s="11" t="s">
        <v>1721</v>
      </c>
      <c r="E167" s="10" t="s">
        <v>1630</v>
      </c>
      <c r="F167" s="11" t="s">
        <v>2</v>
      </c>
      <c r="G167" s="10" t="s">
        <v>1028</v>
      </c>
      <c r="H167" s="10" t="s">
        <v>2320</v>
      </c>
      <c r="I167" s="12" t="s">
        <v>1039</v>
      </c>
      <c r="J167" s="10" t="s">
        <v>1040</v>
      </c>
      <c r="K167" s="10" t="s">
        <v>1031</v>
      </c>
      <c r="L167" s="10" t="s">
        <v>1032</v>
      </c>
      <c r="M167" s="12" t="s">
        <v>114</v>
      </c>
      <c r="N167" s="13" t="s">
        <v>1041</v>
      </c>
    </row>
    <row r="168" spans="1:14" s="1" customFormat="1" ht="17.100000000000001" customHeight="1" x14ac:dyDescent="0.25">
      <c r="A168" s="9" t="s">
        <v>530</v>
      </c>
      <c r="B168" s="10" t="s">
        <v>531</v>
      </c>
      <c r="C168" s="10">
        <v>2020</v>
      </c>
      <c r="D168" s="11" t="s">
        <v>1727</v>
      </c>
      <c r="E168" s="10" t="s">
        <v>1630</v>
      </c>
      <c r="F168" s="11" t="s">
        <v>2</v>
      </c>
      <c r="G168" s="10" t="s">
        <v>1028</v>
      </c>
      <c r="H168" s="10" t="s">
        <v>2320</v>
      </c>
      <c r="I168" s="12" t="s">
        <v>1039</v>
      </c>
      <c r="J168" s="10" t="s">
        <v>1040</v>
      </c>
      <c r="K168" s="10" t="s">
        <v>1031</v>
      </c>
      <c r="L168" s="10" t="s">
        <v>1032</v>
      </c>
      <c r="M168" s="12" t="s">
        <v>114</v>
      </c>
      <c r="N168" s="14" t="s">
        <v>1035</v>
      </c>
    </row>
    <row r="169" spans="1:14" s="1" customFormat="1" ht="17.100000000000001" customHeight="1" x14ac:dyDescent="0.25">
      <c r="A169" s="9" t="s">
        <v>504</v>
      </c>
      <c r="B169" s="10" t="s">
        <v>505</v>
      </c>
      <c r="C169" s="10">
        <v>2020</v>
      </c>
      <c r="D169" s="11" t="s">
        <v>1730</v>
      </c>
      <c r="E169" s="10" t="s">
        <v>1630</v>
      </c>
      <c r="F169" s="11" t="s">
        <v>2</v>
      </c>
      <c r="G169" s="10" t="s">
        <v>1634</v>
      </c>
      <c r="H169" s="10" t="s">
        <v>2348</v>
      </c>
      <c r="I169" s="12" t="s">
        <v>1039</v>
      </c>
      <c r="J169" s="10" t="s">
        <v>1030</v>
      </c>
      <c r="K169" s="10" t="s">
        <v>1031</v>
      </c>
      <c r="L169" s="10" t="s">
        <v>1032</v>
      </c>
      <c r="M169" s="12" t="s">
        <v>114</v>
      </c>
      <c r="N169" s="13" t="s">
        <v>1072</v>
      </c>
    </row>
    <row r="170" spans="1:14" s="1" customFormat="1" ht="17.100000000000001" customHeight="1" x14ac:dyDescent="0.25">
      <c r="A170" s="27" t="s">
        <v>1618</v>
      </c>
      <c r="B170" s="34" t="s">
        <v>1619</v>
      </c>
      <c r="C170" s="29">
        <v>2019</v>
      </c>
      <c r="D170" s="11" t="s">
        <v>1681</v>
      </c>
      <c r="E170" s="10" t="s">
        <v>1630</v>
      </c>
      <c r="F170" s="30" t="s">
        <v>2</v>
      </c>
      <c r="G170" s="29" t="s">
        <v>1639</v>
      </c>
      <c r="H170" s="29" t="s">
        <v>2354</v>
      </c>
      <c r="I170" s="29" t="s">
        <v>1493</v>
      </c>
      <c r="J170" s="29" t="s">
        <v>1048</v>
      </c>
      <c r="K170" s="10" t="s">
        <v>1031</v>
      </c>
      <c r="L170" s="10" t="s">
        <v>1032</v>
      </c>
      <c r="M170" s="29" t="s">
        <v>1628</v>
      </c>
      <c r="N170" s="43" t="s">
        <v>1072</v>
      </c>
    </row>
    <row r="171" spans="1:14" s="1" customFormat="1" ht="17.100000000000001" customHeight="1" x14ac:dyDescent="0.25">
      <c r="A171" s="9" t="s">
        <v>89</v>
      </c>
      <c r="B171" s="10" t="s">
        <v>90</v>
      </c>
      <c r="C171" s="10">
        <v>2015</v>
      </c>
      <c r="D171" s="11" t="s">
        <v>1784</v>
      </c>
      <c r="E171" s="10" t="s">
        <v>1630</v>
      </c>
      <c r="F171" s="11" t="s">
        <v>2</v>
      </c>
      <c r="G171" s="10" t="s">
        <v>1054</v>
      </c>
      <c r="H171" s="10" t="s">
        <v>1170</v>
      </c>
      <c r="I171" s="12" t="s">
        <v>1039</v>
      </c>
      <c r="J171" s="10" t="s">
        <v>1036</v>
      </c>
      <c r="K171" s="12" t="s">
        <v>1037</v>
      </c>
      <c r="L171" s="10" t="s">
        <v>1247</v>
      </c>
      <c r="M171" s="12" t="s">
        <v>1092</v>
      </c>
      <c r="N171" s="14" t="s">
        <v>1035</v>
      </c>
    </row>
    <row r="172" spans="1:14" s="1" customFormat="1" ht="17.100000000000001" customHeight="1" x14ac:dyDescent="0.25">
      <c r="A172" s="9" t="s">
        <v>33</v>
      </c>
      <c r="B172" s="10" t="s">
        <v>34</v>
      </c>
      <c r="C172" s="10">
        <v>2018</v>
      </c>
      <c r="D172" s="11" t="s">
        <v>1918</v>
      </c>
      <c r="E172" s="10" t="s">
        <v>1630</v>
      </c>
      <c r="F172" s="11" t="s">
        <v>2</v>
      </c>
      <c r="G172" s="10" t="s">
        <v>1183</v>
      </c>
      <c r="H172" s="10" t="s">
        <v>2331</v>
      </c>
      <c r="I172" s="12" t="s">
        <v>1039</v>
      </c>
      <c r="J172" s="10" t="s">
        <v>1030</v>
      </c>
      <c r="K172" s="10" t="s">
        <v>1031</v>
      </c>
      <c r="L172" s="10" t="s">
        <v>1032</v>
      </c>
      <c r="M172" s="10" t="s">
        <v>1119</v>
      </c>
      <c r="N172" s="14" t="s">
        <v>1035</v>
      </c>
    </row>
    <row r="173" spans="1:14" s="1" customFormat="1" ht="17.100000000000001" customHeight="1" x14ac:dyDescent="0.25">
      <c r="A173" s="9" t="s">
        <v>1324</v>
      </c>
      <c r="B173" s="10" t="s">
        <v>1325</v>
      </c>
      <c r="C173" s="10">
        <v>2018</v>
      </c>
      <c r="D173" s="11" t="s">
        <v>2137</v>
      </c>
      <c r="E173" s="10" t="s">
        <v>1630</v>
      </c>
      <c r="F173" s="11" t="s">
        <v>780</v>
      </c>
      <c r="G173" s="10" t="s">
        <v>1174</v>
      </c>
      <c r="H173" s="10" t="s">
        <v>2326</v>
      </c>
      <c r="I173" s="10" t="s">
        <v>1039</v>
      </c>
      <c r="J173" s="10" t="s">
        <v>1030</v>
      </c>
      <c r="K173" s="10" t="s">
        <v>1031</v>
      </c>
      <c r="L173" s="10" t="s">
        <v>1247</v>
      </c>
      <c r="M173" s="10" t="s">
        <v>114</v>
      </c>
      <c r="N173" s="13" t="s">
        <v>1041</v>
      </c>
    </row>
    <row r="174" spans="1:14" s="1" customFormat="1" ht="17.100000000000001" customHeight="1" x14ac:dyDescent="0.25">
      <c r="A174" s="9" t="s">
        <v>1251</v>
      </c>
      <c r="B174" s="10" t="s">
        <v>1252</v>
      </c>
      <c r="C174" s="10">
        <v>2012</v>
      </c>
      <c r="D174" s="11" t="s">
        <v>2111</v>
      </c>
      <c r="E174" s="10" t="s">
        <v>1630</v>
      </c>
      <c r="F174" s="11" t="s">
        <v>780</v>
      </c>
      <c r="G174" s="10" t="s">
        <v>1253</v>
      </c>
      <c r="H174" s="10" t="s">
        <v>2326</v>
      </c>
      <c r="I174" s="10" t="s">
        <v>1039</v>
      </c>
      <c r="J174" s="10" t="s">
        <v>1040</v>
      </c>
      <c r="K174" s="10" t="s">
        <v>1031</v>
      </c>
      <c r="L174" s="10" t="s">
        <v>1247</v>
      </c>
      <c r="M174" s="10" t="s">
        <v>1254</v>
      </c>
      <c r="N174" s="13" t="s">
        <v>1034</v>
      </c>
    </row>
    <row r="175" spans="1:14" s="1" customFormat="1" ht="17.100000000000001" customHeight="1" x14ac:dyDescent="0.25">
      <c r="A175" s="9" t="s">
        <v>779</v>
      </c>
      <c r="B175" s="10" t="s">
        <v>911</v>
      </c>
      <c r="C175" s="10">
        <v>2022</v>
      </c>
      <c r="D175" s="11" t="s">
        <v>1899</v>
      </c>
      <c r="E175" s="10" t="s">
        <v>1630</v>
      </c>
      <c r="F175" s="11" t="s">
        <v>780</v>
      </c>
      <c r="G175" s="10" t="s">
        <v>2275</v>
      </c>
      <c r="H175" s="10" t="s">
        <v>2326</v>
      </c>
      <c r="I175" s="12" t="s">
        <v>1039</v>
      </c>
      <c r="J175" s="12" t="s">
        <v>1040</v>
      </c>
      <c r="K175" s="12" t="s">
        <v>1037</v>
      </c>
      <c r="L175" s="10" t="s">
        <v>1032</v>
      </c>
      <c r="M175" s="10" t="s">
        <v>1155</v>
      </c>
      <c r="N175" s="13" t="s">
        <v>1041</v>
      </c>
    </row>
    <row r="176" spans="1:14" s="1" customFormat="1" ht="17.100000000000001" customHeight="1" x14ac:dyDescent="0.25">
      <c r="A176" s="9" t="s">
        <v>1313</v>
      </c>
      <c r="B176" s="10" t="s">
        <v>1314</v>
      </c>
      <c r="C176" s="10">
        <v>2020</v>
      </c>
      <c r="D176" s="11" t="s">
        <v>2133</v>
      </c>
      <c r="E176" s="10" t="s">
        <v>1630</v>
      </c>
      <c r="F176" s="11" t="s">
        <v>780</v>
      </c>
      <c r="G176" s="10" t="s">
        <v>2290</v>
      </c>
      <c r="H176" s="10" t="s">
        <v>2326</v>
      </c>
      <c r="I176" s="10" t="s">
        <v>1039</v>
      </c>
      <c r="J176" s="10" t="s">
        <v>1040</v>
      </c>
      <c r="K176" s="12" t="s">
        <v>1037</v>
      </c>
      <c r="L176" s="10" t="s">
        <v>1247</v>
      </c>
      <c r="M176" s="10" t="s">
        <v>1315</v>
      </c>
      <c r="N176" s="13" t="s">
        <v>1072</v>
      </c>
    </row>
    <row r="177" spans="1:14" s="1" customFormat="1" ht="17.100000000000001" customHeight="1" x14ac:dyDescent="0.25">
      <c r="A177" s="9" t="s">
        <v>1417</v>
      </c>
      <c r="B177" s="10" t="s">
        <v>1418</v>
      </c>
      <c r="C177" s="10">
        <v>2019</v>
      </c>
      <c r="D177" s="11" t="s">
        <v>2175</v>
      </c>
      <c r="E177" s="10" t="s">
        <v>1631</v>
      </c>
      <c r="F177" s="11" t="s">
        <v>2314</v>
      </c>
      <c r="G177" s="10" t="s">
        <v>1094</v>
      </c>
      <c r="H177" s="10" t="s">
        <v>2326</v>
      </c>
      <c r="I177" s="10" t="s">
        <v>1039</v>
      </c>
      <c r="J177" s="10" t="s">
        <v>1030</v>
      </c>
      <c r="K177" s="10" t="s">
        <v>1031</v>
      </c>
      <c r="L177" s="10" t="s">
        <v>1032</v>
      </c>
      <c r="M177" s="10" t="s">
        <v>1250</v>
      </c>
      <c r="N177" s="13" t="s">
        <v>1034</v>
      </c>
    </row>
    <row r="178" spans="1:14" s="1" customFormat="1" ht="17.100000000000001" customHeight="1" x14ac:dyDescent="0.25">
      <c r="A178" s="9" t="s">
        <v>689</v>
      </c>
      <c r="B178" s="10" t="s">
        <v>970</v>
      </c>
      <c r="C178" s="10">
        <v>2015</v>
      </c>
      <c r="D178" s="11" t="s">
        <v>1816</v>
      </c>
      <c r="E178" s="10" t="s">
        <v>1631</v>
      </c>
      <c r="F178" s="11" t="s">
        <v>2309</v>
      </c>
      <c r="G178" s="10" t="s">
        <v>1080</v>
      </c>
      <c r="H178" s="10" t="s">
        <v>2326</v>
      </c>
      <c r="I178" s="12" t="s">
        <v>1039</v>
      </c>
      <c r="J178" s="10" t="s">
        <v>1030</v>
      </c>
      <c r="K178" s="10" t="s">
        <v>1031</v>
      </c>
      <c r="L178" s="10" t="s">
        <v>2399</v>
      </c>
      <c r="M178" s="12" t="s">
        <v>114</v>
      </c>
      <c r="N178" s="13" t="s">
        <v>1041</v>
      </c>
    </row>
    <row r="179" spans="1:14" s="1" customFormat="1" ht="17.100000000000001" customHeight="1" x14ac:dyDescent="0.25">
      <c r="A179" s="9" t="s">
        <v>2404</v>
      </c>
      <c r="B179" s="10" t="s">
        <v>930</v>
      </c>
      <c r="C179" s="10">
        <v>2013</v>
      </c>
      <c r="D179" s="11" t="s">
        <v>1766</v>
      </c>
      <c r="E179" s="10" t="s">
        <v>1631</v>
      </c>
      <c r="F179" s="11" t="s">
        <v>2309</v>
      </c>
      <c r="G179" s="10" t="s">
        <v>2276</v>
      </c>
      <c r="H179" s="10" t="s">
        <v>2326</v>
      </c>
      <c r="I179" s="10" t="s">
        <v>1493</v>
      </c>
      <c r="J179" s="10" t="s">
        <v>1030</v>
      </c>
      <c r="K179" s="10" t="s">
        <v>1031</v>
      </c>
      <c r="L179" s="10" t="s">
        <v>1042</v>
      </c>
      <c r="M179" s="12" t="s">
        <v>114</v>
      </c>
      <c r="N179" s="13" t="s">
        <v>1041</v>
      </c>
    </row>
    <row r="180" spans="1:14" s="1" customFormat="1" ht="17.100000000000001" customHeight="1" x14ac:dyDescent="0.25">
      <c r="A180" s="9" t="s">
        <v>660</v>
      </c>
      <c r="B180" s="10" t="s">
        <v>947</v>
      </c>
      <c r="C180" s="10">
        <v>2014</v>
      </c>
      <c r="D180" s="11" t="s">
        <v>1809</v>
      </c>
      <c r="E180" s="10" t="s">
        <v>1631</v>
      </c>
      <c r="F180" s="11" t="s">
        <v>2309</v>
      </c>
      <c r="G180" s="10" t="s">
        <v>2295</v>
      </c>
      <c r="H180" s="10" t="s">
        <v>2326</v>
      </c>
      <c r="I180" s="12" t="s">
        <v>1039</v>
      </c>
      <c r="J180" s="10" t="s">
        <v>1030</v>
      </c>
      <c r="K180" s="10" t="s">
        <v>1031</v>
      </c>
      <c r="L180" s="10" t="s">
        <v>1032</v>
      </c>
      <c r="M180" s="12" t="s">
        <v>114</v>
      </c>
      <c r="N180" s="13" t="s">
        <v>1041</v>
      </c>
    </row>
    <row r="181" spans="1:14" s="1" customFormat="1" ht="17.100000000000001" customHeight="1" x14ac:dyDescent="0.25">
      <c r="A181" s="9" t="s">
        <v>1405</v>
      </c>
      <c r="B181" s="10" t="s">
        <v>1406</v>
      </c>
      <c r="C181" s="10">
        <v>2014</v>
      </c>
      <c r="D181" s="11" t="s">
        <v>2170</v>
      </c>
      <c r="E181" s="10" t="s">
        <v>1631</v>
      </c>
      <c r="F181" s="11" t="s">
        <v>2309</v>
      </c>
      <c r="G181" s="10" t="s">
        <v>2275</v>
      </c>
      <c r="H181" s="10" t="s">
        <v>2326</v>
      </c>
      <c r="I181" s="10" t="s">
        <v>1039</v>
      </c>
      <c r="J181" s="10" t="s">
        <v>1030</v>
      </c>
      <c r="K181" s="12" t="s">
        <v>1037</v>
      </c>
      <c r="L181" s="10" t="s">
        <v>1247</v>
      </c>
      <c r="M181" s="10" t="s">
        <v>1307</v>
      </c>
      <c r="N181" s="13" t="s">
        <v>1034</v>
      </c>
    </row>
    <row r="182" spans="1:14" s="1" customFormat="1" ht="17.100000000000001" customHeight="1" x14ac:dyDescent="0.25">
      <c r="A182" s="9" t="s">
        <v>1395</v>
      </c>
      <c r="B182" s="10" t="s">
        <v>1396</v>
      </c>
      <c r="C182" s="10">
        <v>2015</v>
      </c>
      <c r="D182" s="11" t="s">
        <v>2166</v>
      </c>
      <c r="E182" s="10" t="s">
        <v>1631</v>
      </c>
      <c r="F182" s="11" t="s">
        <v>2309</v>
      </c>
      <c r="G182" s="10" t="s">
        <v>2275</v>
      </c>
      <c r="H182" s="10" t="s">
        <v>2326</v>
      </c>
      <c r="I182" s="10" t="s">
        <v>1039</v>
      </c>
      <c r="J182" s="10" t="s">
        <v>1030</v>
      </c>
      <c r="K182" s="12" t="s">
        <v>1037</v>
      </c>
      <c r="L182" s="10" t="s">
        <v>1247</v>
      </c>
      <c r="M182" s="10" t="s">
        <v>1397</v>
      </c>
      <c r="N182" s="13" t="s">
        <v>1072</v>
      </c>
    </row>
    <row r="183" spans="1:14" s="1" customFormat="1" ht="17.100000000000001" customHeight="1" x14ac:dyDescent="0.25">
      <c r="A183" s="9" t="s">
        <v>665</v>
      </c>
      <c r="B183" s="10" t="s">
        <v>952</v>
      </c>
      <c r="C183" s="10">
        <v>2014</v>
      </c>
      <c r="D183" s="11" t="s">
        <v>1823</v>
      </c>
      <c r="E183" s="10" t="s">
        <v>1631</v>
      </c>
      <c r="F183" s="11" t="s">
        <v>2309</v>
      </c>
      <c r="G183" s="10" t="s">
        <v>2275</v>
      </c>
      <c r="H183" s="10" t="s">
        <v>2326</v>
      </c>
      <c r="I183" s="12" t="s">
        <v>1039</v>
      </c>
      <c r="J183" s="10" t="s">
        <v>1040</v>
      </c>
      <c r="K183" s="12" t="s">
        <v>1037</v>
      </c>
      <c r="L183" s="10" t="s">
        <v>1032</v>
      </c>
      <c r="M183" s="12" t="s">
        <v>114</v>
      </c>
      <c r="N183" s="13" t="s">
        <v>1041</v>
      </c>
    </row>
    <row r="184" spans="1:14" s="1" customFormat="1" ht="17.100000000000001" customHeight="1" x14ac:dyDescent="0.25">
      <c r="A184" s="9" t="s">
        <v>1400</v>
      </c>
      <c r="B184" s="10" t="s">
        <v>1401</v>
      </c>
      <c r="C184" s="10">
        <v>2015</v>
      </c>
      <c r="D184" s="11" t="s">
        <v>2168</v>
      </c>
      <c r="E184" s="10" t="s">
        <v>1631</v>
      </c>
      <c r="F184" s="11" t="s">
        <v>2309</v>
      </c>
      <c r="G184" s="10" t="s">
        <v>2298</v>
      </c>
      <c r="H184" s="10" t="s">
        <v>2328</v>
      </c>
      <c r="I184" s="10" t="s">
        <v>1039</v>
      </c>
      <c r="J184" s="10" t="s">
        <v>1030</v>
      </c>
      <c r="K184" s="12" t="s">
        <v>1037</v>
      </c>
      <c r="L184" s="10" t="s">
        <v>1247</v>
      </c>
      <c r="M184" s="10" t="s">
        <v>1402</v>
      </c>
      <c r="N184" s="13" t="s">
        <v>1034</v>
      </c>
    </row>
    <row r="185" spans="1:14" s="1" customFormat="1" ht="17.100000000000001" customHeight="1" x14ac:dyDescent="0.25">
      <c r="A185" s="9" t="s">
        <v>1373</v>
      </c>
      <c r="B185" s="10" t="s">
        <v>1374</v>
      </c>
      <c r="C185" s="10">
        <v>2014</v>
      </c>
      <c r="D185" s="11" t="s">
        <v>2157</v>
      </c>
      <c r="E185" s="10" t="s">
        <v>1631</v>
      </c>
      <c r="F185" s="11" t="s">
        <v>2309</v>
      </c>
      <c r="G185" s="10" t="s">
        <v>2275</v>
      </c>
      <c r="H185" s="10" t="s">
        <v>1057</v>
      </c>
      <c r="I185" s="10" t="s">
        <v>1039</v>
      </c>
      <c r="J185" s="10" t="s">
        <v>1030</v>
      </c>
      <c r="K185" s="10" t="s">
        <v>1031</v>
      </c>
      <c r="L185" s="10" t="s">
        <v>1247</v>
      </c>
      <c r="M185" s="10" t="s">
        <v>1375</v>
      </c>
      <c r="N185" s="13" t="s">
        <v>1035</v>
      </c>
    </row>
    <row r="186" spans="1:14" s="1" customFormat="1" ht="17.100000000000001" customHeight="1" x14ac:dyDescent="0.25">
      <c r="A186" s="9" t="s">
        <v>659</v>
      </c>
      <c r="B186" s="10" t="s">
        <v>946</v>
      </c>
      <c r="C186" s="10">
        <v>2014</v>
      </c>
      <c r="D186" s="11" t="s">
        <v>1949</v>
      </c>
      <c r="E186" s="10" t="s">
        <v>1631</v>
      </c>
      <c r="F186" s="11" t="s">
        <v>2309</v>
      </c>
      <c r="G186" s="10" t="s">
        <v>1028</v>
      </c>
      <c r="H186" s="10" t="s">
        <v>1057</v>
      </c>
      <c r="I186" s="12" t="s">
        <v>1039</v>
      </c>
      <c r="J186" s="10" t="s">
        <v>1036</v>
      </c>
      <c r="K186" s="10" t="s">
        <v>1031</v>
      </c>
      <c r="L186" s="10" t="s">
        <v>1032</v>
      </c>
      <c r="M186" s="12" t="s">
        <v>114</v>
      </c>
      <c r="N186" s="13" t="s">
        <v>1041</v>
      </c>
    </row>
    <row r="187" spans="1:14" s="1" customFormat="1" ht="17.100000000000001" customHeight="1" x14ac:dyDescent="0.25">
      <c r="A187" s="9" t="s">
        <v>700</v>
      </c>
      <c r="B187" s="10" t="s">
        <v>979</v>
      </c>
      <c r="C187" s="10">
        <v>2016</v>
      </c>
      <c r="D187" s="11" t="s">
        <v>2079</v>
      </c>
      <c r="E187" s="10" t="s">
        <v>1631</v>
      </c>
      <c r="F187" s="11" t="s">
        <v>2309</v>
      </c>
      <c r="G187" s="10" t="s">
        <v>2266</v>
      </c>
      <c r="H187" s="10" t="s">
        <v>2340</v>
      </c>
      <c r="I187" s="12" t="s">
        <v>1039</v>
      </c>
      <c r="J187" s="10" t="s">
        <v>1030</v>
      </c>
      <c r="K187" s="10" t="s">
        <v>1031</v>
      </c>
      <c r="L187" s="10" t="s">
        <v>1032</v>
      </c>
      <c r="M187" s="12" t="s">
        <v>1055</v>
      </c>
      <c r="N187" s="14" t="s">
        <v>1035</v>
      </c>
    </row>
    <row r="188" spans="1:14" s="1" customFormat="1" ht="17.100000000000001" customHeight="1" x14ac:dyDescent="0.25">
      <c r="A188" s="9" t="s">
        <v>686</v>
      </c>
      <c r="B188" s="10" t="s">
        <v>967</v>
      </c>
      <c r="C188" s="10">
        <v>2015</v>
      </c>
      <c r="D188" s="11" t="s">
        <v>1919</v>
      </c>
      <c r="E188" s="10" t="s">
        <v>1631</v>
      </c>
      <c r="F188" s="11" t="s">
        <v>2309</v>
      </c>
      <c r="G188" s="10" t="s">
        <v>1080</v>
      </c>
      <c r="H188" s="10" t="s">
        <v>2331</v>
      </c>
      <c r="I188" s="12" t="s">
        <v>1039</v>
      </c>
      <c r="J188" s="10" t="s">
        <v>1030</v>
      </c>
      <c r="K188" s="10" t="s">
        <v>1031</v>
      </c>
      <c r="L188" s="10" t="s">
        <v>1032</v>
      </c>
      <c r="M188" s="12" t="s">
        <v>114</v>
      </c>
      <c r="N188" s="14" t="s">
        <v>1035</v>
      </c>
    </row>
    <row r="189" spans="1:14" s="1" customFormat="1" ht="17.100000000000001" customHeight="1" x14ac:dyDescent="0.25">
      <c r="A189" s="9" t="s">
        <v>1358</v>
      </c>
      <c r="B189" s="10" t="s">
        <v>1359</v>
      </c>
      <c r="C189" s="10">
        <v>2013</v>
      </c>
      <c r="D189" s="11" t="s">
        <v>2150</v>
      </c>
      <c r="E189" s="10" t="s">
        <v>1631</v>
      </c>
      <c r="F189" s="11" t="s">
        <v>2305</v>
      </c>
      <c r="G189" s="10" t="s">
        <v>2266</v>
      </c>
      <c r="H189" s="10" t="s">
        <v>1057</v>
      </c>
      <c r="I189" s="10" t="s">
        <v>1039</v>
      </c>
      <c r="J189" s="10" t="s">
        <v>1040</v>
      </c>
      <c r="K189" s="10" t="s">
        <v>1031</v>
      </c>
      <c r="L189" s="10" t="s">
        <v>1247</v>
      </c>
      <c r="M189" s="10" t="s">
        <v>1055</v>
      </c>
      <c r="N189" s="13" t="s">
        <v>1072</v>
      </c>
    </row>
    <row r="190" spans="1:14" s="1" customFormat="1" ht="17.100000000000001" customHeight="1" x14ac:dyDescent="0.25">
      <c r="A190" s="9" t="s">
        <v>1437</v>
      </c>
      <c r="B190" s="10" t="s">
        <v>1438</v>
      </c>
      <c r="C190" s="10">
        <v>2016</v>
      </c>
      <c r="D190" s="11" t="s">
        <v>2183</v>
      </c>
      <c r="E190" s="10" t="s">
        <v>1631</v>
      </c>
      <c r="F190" s="11" t="s">
        <v>2304</v>
      </c>
      <c r="G190" s="10" t="s">
        <v>2266</v>
      </c>
      <c r="H190" s="10" t="s">
        <v>2326</v>
      </c>
      <c r="I190" s="10" t="s">
        <v>1039</v>
      </c>
      <c r="J190" s="10" t="s">
        <v>1030</v>
      </c>
      <c r="K190" s="10" t="s">
        <v>1031</v>
      </c>
      <c r="L190" s="10" t="s">
        <v>1247</v>
      </c>
      <c r="M190" s="10" t="s">
        <v>114</v>
      </c>
      <c r="N190" s="13" t="s">
        <v>1072</v>
      </c>
    </row>
    <row r="191" spans="1:14" s="1" customFormat="1" ht="17.100000000000001" customHeight="1" x14ac:dyDescent="0.25">
      <c r="A191" s="9" t="s">
        <v>1350</v>
      </c>
      <c r="B191" s="10" t="s">
        <v>1351</v>
      </c>
      <c r="C191" s="10">
        <v>2016</v>
      </c>
      <c r="D191" s="11" t="s">
        <v>2146</v>
      </c>
      <c r="E191" s="10" t="s">
        <v>1631</v>
      </c>
      <c r="F191" s="11" t="s">
        <v>2304</v>
      </c>
      <c r="G191" s="10" t="s">
        <v>2389</v>
      </c>
      <c r="H191" s="10" t="s">
        <v>2326</v>
      </c>
      <c r="I191" s="10" t="s">
        <v>1039</v>
      </c>
      <c r="J191" s="10" t="s">
        <v>1030</v>
      </c>
      <c r="K191" s="10" t="s">
        <v>1031</v>
      </c>
      <c r="L191" s="10" t="s">
        <v>1247</v>
      </c>
      <c r="M191" s="10" t="s">
        <v>114</v>
      </c>
      <c r="N191" s="13" t="s">
        <v>1041</v>
      </c>
    </row>
    <row r="192" spans="1:14" s="1" customFormat="1" ht="17.100000000000001" customHeight="1" x14ac:dyDescent="0.25">
      <c r="A192" s="9" t="s">
        <v>674</v>
      </c>
      <c r="B192" s="10" t="s">
        <v>959</v>
      </c>
      <c r="C192" s="10">
        <v>2015</v>
      </c>
      <c r="D192" s="11" t="s">
        <v>1901</v>
      </c>
      <c r="E192" s="10" t="s">
        <v>1631</v>
      </c>
      <c r="F192" s="11" t="s">
        <v>2306</v>
      </c>
      <c r="G192" s="10" t="s">
        <v>2275</v>
      </c>
      <c r="H192" s="10" t="s">
        <v>2336</v>
      </c>
      <c r="I192" s="12" t="s">
        <v>1039</v>
      </c>
      <c r="J192" s="12" t="s">
        <v>1030</v>
      </c>
      <c r="K192" s="10" t="s">
        <v>1031</v>
      </c>
      <c r="L192" s="10" t="s">
        <v>1247</v>
      </c>
      <c r="M192" s="12" t="s">
        <v>114</v>
      </c>
      <c r="N192" s="14" t="s">
        <v>1035</v>
      </c>
    </row>
    <row r="193" spans="1:14" s="1" customFormat="1" ht="17.100000000000001" customHeight="1" x14ac:dyDescent="0.25">
      <c r="A193" s="9" t="s">
        <v>688</v>
      </c>
      <c r="B193" s="10" t="s">
        <v>969</v>
      </c>
      <c r="C193" s="10">
        <v>2015</v>
      </c>
      <c r="D193" s="11" t="s">
        <v>1885</v>
      </c>
      <c r="E193" s="10" t="s">
        <v>1631</v>
      </c>
      <c r="F193" s="11" t="s">
        <v>2306</v>
      </c>
      <c r="G193" s="10" t="s">
        <v>2266</v>
      </c>
      <c r="H193" s="10" t="s">
        <v>2338</v>
      </c>
      <c r="I193" s="12" t="s">
        <v>1029</v>
      </c>
      <c r="J193" s="10" t="s">
        <v>1030</v>
      </c>
      <c r="K193" s="10" t="s">
        <v>1031</v>
      </c>
      <c r="L193" s="12" t="s">
        <v>1042</v>
      </c>
      <c r="M193" s="12" t="s">
        <v>114</v>
      </c>
      <c r="N193" s="14" t="s">
        <v>1035</v>
      </c>
    </row>
    <row r="194" spans="1:14" s="1" customFormat="1" ht="17.100000000000001" customHeight="1" x14ac:dyDescent="0.25">
      <c r="A194" s="9" t="s">
        <v>655</v>
      </c>
      <c r="B194" s="10" t="s">
        <v>943</v>
      </c>
      <c r="C194" s="10">
        <v>2014</v>
      </c>
      <c r="D194" s="11" t="s">
        <v>2024</v>
      </c>
      <c r="E194" s="10" t="s">
        <v>1631</v>
      </c>
      <c r="F194" s="11" t="s">
        <v>2306</v>
      </c>
      <c r="G194" s="10" t="s">
        <v>1054</v>
      </c>
      <c r="H194" s="10" t="s">
        <v>2326</v>
      </c>
      <c r="I194" s="12" t="s">
        <v>1039</v>
      </c>
      <c r="J194" s="10" t="s">
        <v>1030</v>
      </c>
      <c r="K194" s="10" t="s">
        <v>1031</v>
      </c>
      <c r="L194" s="10" t="s">
        <v>1247</v>
      </c>
      <c r="M194" s="10" t="s">
        <v>1212</v>
      </c>
      <c r="N194" s="14" t="s">
        <v>1035</v>
      </c>
    </row>
    <row r="195" spans="1:14" s="1" customFormat="1" ht="17.100000000000001" customHeight="1" x14ac:dyDescent="0.25">
      <c r="A195" s="9" t="s">
        <v>1407</v>
      </c>
      <c r="B195" s="10" t="s">
        <v>1408</v>
      </c>
      <c r="C195" s="10">
        <v>2012</v>
      </c>
      <c r="D195" s="11" t="s">
        <v>2171</v>
      </c>
      <c r="E195" s="10" t="s">
        <v>1631</v>
      </c>
      <c r="F195" s="11" t="s">
        <v>2313</v>
      </c>
      <c r="G195" s="10" t="s">
        <v>1094</v>
      </c>
      <c r="H195" s="10" t="s">
        <v>2326</v>
      </c>
      <c r="I195" s="10" t="s">
        <v>1039</v>
      </c>
      <c r="J195" s="10" t="s">
        <v>1030</v>
      </c>
      <c r="K195" s="10" t="s">
        <v>1031</v>
      </c>
      <c r="L195" s="10" t="s">
        <v>1032</v>
      </c>
      <c r="M195" s="10" t="s">
        <v>1409</v>
      </c>
      <c r="N195" s="13" t="s">
        <v>1034</v>
      </c>
    </row>
    <row r="196" spans="1:14" s="1" customFormat="1" ht="17.100000000000001" customHeight="1" x14ac:dyDescent="0.25">
      <c r="A196" s="9" t="s">
        <v>1433</v>
      </c>
      <c r="B196" s="10" t="s">
        <v>1434</v>
      </c>
      <c r="C196" s="10">
        <v>2018</v>
      </c>
      <c r="D196" s="11" t="s">
        <v>2181</v>
      </c>
      <c r="E196" s="10" t="s">
        <v>1631</v>
      </c>
      <c r="F196" s="11" t="s">
        <v>2306</v>
      </c>
      <c r="G196" s="10" t="s">
        <v>2266</v>
      </c>
      <c r="H196" s="10" t="s">
        <v>2326</v>
      </c>
      <c r="I196" s="10" t="s">
        <v>1039</v>
      </c>
      <c r="J196" s="10" t="s">
        <v>1030</v>
      </c>
      <c r="K196" s="10" t="s">
        <v>1031</v>
      </c>
      <c r="L196" s="10" t="s">
        <v>1247</v>
      </c>
      <c r="M196" s="10" t="s">
        <v>114</v>
      </c>
      <c r="N196" s="13" t="s">
        <v>1035</v>
      </c>
    </row>
    <row r="197" spans="1:14" s="1" customFormat="1" ht="17.100000000000001" customHeight="1" x14ac:dyDescent="0.25">
      <c r="A197" s="9" t="s">
        <v>705</v>
      </c>
      <c r="B197" s="10" t="s">
        <v>982</v>
      </c>
      <c r="C197" s="10">
        <v>2016</v>
      </c>
      <c r="D197" s="11" t="s">
        <v>1774</v>
      </c>
      <c r="E197" s="10" t="s">
        <v>1631</v>
      </c>
      <c r="F197" s="11" t="s">
        <v>2306</v>
      </c>
      <c r="G197" s="10" t="s">
        <v>2275</v>
      </c>
      <c r="H197" s="10" t="s">
        <v>2326</v>
      </c>
      <c r="I197" s="12" t="s">
        <v>1039</v>
      </c>
      <c r="J197" s="10" t="s">
        <v>1030</v>
      </c>
      <c r="K197" s="10" t="s">
        <v>1031</v>
      </c>
      <c r="L197" s="10" t="s">
        <v>1042</v>
      </c>
      <c r="M197" s="10" t="s">
        <v>1087</v>
      </c>
      <c r="N197" s="13" t="s">
        <v>1072</v>
      </c>
    </row>
    <row r="198" spans="1:14" s="1" customFormat="1" ht="17.100000000000001" customHeight="1" x14ac:dyDescent="0.25">
      <c r="A198" s="9" t="s">
        <v>711</v>
      </c>
      <c r="B198" s="10" t="s">
        <v>988</v>
      </c>
      <c r="C198" s="10">
        <v>2016</v>
      </c>
      <c r="D198" s="11" t="s">
        <v>1754</v>
      </c>
      <c r="E198" s="10" t="s">
        <v>1631</v>
      </c>
      <c r="F198" s="11" t="s">
        <v>2306</v>
      </c>
      <c r="G198" s="10" t="s">
        <v>2275</v>
      </c>
      <c r="H198" s="10" t="s">
        <v>2326</v>
      </c>
      <c r="I198" s="12" t="s">
        <v>1039</v>
      </c>
      <c r="J198" s="12" t="s">
        <v>1048</v>
      </c>
      <c r="K198" s="10" t="s">
        <v>1031</v>
      </c>
      <c r="L198" s="10" t="s">
        <v>1247</v>
      </c>
      <c r="M198" s="12" t="s">
        <v>1056</v>
      </c>
      <c r="N198" s="13" t="s">
        <v>1072</v>
      </c>
    </row>
    <row r="199" spans="1:14" s="1" customFormat="1" ht="17.100000000000001" customHeight="1" x14ac:dyDescent="0.25">
      <c r="A199" s="9" t="s">
        <v>667</v>
      </c>
      <c r="B199" s="10" t="s">
        <v>668</v>
      </c>
      <c r="C199" s="12">
        <v>2014</v>
      </c>
      <c r="D199" s="11" t="s">
        <v>1859</v>
      </c>
      <c r="E199" s="10" t="s">
        <v>1631</v>
      </c>
      <c r="F199" s="11" t="s">
        <v>2306</v>
      </c>
      <c r="G199" s="12" t="s">
        <v>1028</v>
      </c>
      <c r="H199" s="10" t="s">
        <v>2334</v>
      </c>
      <c r="I199" s="12" t="s">
        <v>1029</v>
      </c>
      <c r="J199" s="12" t="s">
        <v>1040</v>
      </c>
      <c r="K199" s="10" t="s">
        <v>1031</v>
      </c>
      <c r="L199" s="10" t="s">
        <v>1032</v>
      </c>
      <c r="M199" s="12" t="s">
        <v>1044</v>
      </c>
      <c r="N199" s="13" t="s">
        <v>1034</v>
      </c>
    </row>
    <row r="200" spans="1:14" s="1" customFormat="1" ht="17.100000000000001" customHeight="1" x14ac:dyDescent="0.25">
      <c r="A200" s="9" t="s">
        <v>1415</v>
      </c>
      <c r="B200" s="10" t="s">
        <v>1416</v>
      </c>
      <c r="C200" s="10">
        <v>2014</v>
      </c>
      <c r="D200" s="11" t="s">
        <v>2174</v>
      </c>
      <c r="E200" s="10" t="s">
        <v>1631</v>
      </c>
      <c r="F200" s="11" t="s">
        <v>2306</v>
      </c>
      <c r="G200" s="10" t="s">
        <v>1066</v>
      </c>
      <c r="H200" s="10" t="s">
        <v>1161</v>
      </c>
      <c r="I200" s="10" t="s">
        <v>1039</v>
      </c>
      <c r="J200" s="10" t="s">
        <v>1030</v>
      </c>
      <c r="K200" s="10" t="s">
        <v>2406</v>
      </c>
      <c r="L200" s="10" t="s">
        <v>1247</v>
      </c>
      <c r="M200" s="10" t="s">
        <v>114</v>
      </c>
      <c r="N200" s="13" t="s">
        <v>1035</v>
      </c>
    </row>
    <row r="201" spans="1:14" s="1" customFormat="1" ht="17.100000000000001" customHeight="1" x14ac:dyDescent="0.25">
      <c r="A201" s="9" t="s">
        <v>704</v>
      </c>
      <c r="B201" s="10" t="s">
        <v>981</v>
      </c>
      <c r="C201" s="10">
        <v>2016</v>
      </c>
      <c r="D201" s="11" t="s">
        <v>2026</v>
      </c>
      <c r="E201" s="10" t="s">
        <v>1631</v>
      </c>
      <c r="F201" s="11" t="s">
        <v>2306</v>
      </c>
      <c r="G201" s="10" t="s">
        <v>2279</v>
      </c>
      <c r="H201" s="10" t="s">
        <v>1166</v>
      </c>
      <c r="I201" s="12" t="s">
        <v>1039</v>
      </c>
      <c r="J201" s="10" t="s">
        <v>1030</v>
      </c>
      <c r="K201" s="12" t="s">
        <v>1037</v>
      </c>
      <c r="L201" s="10" t="s">
        <v>1247</v>
      </c>
      <c r="M201" s="12" t="s">
        <v>114</v>
      </c>
      <c r="N201" s="14" t="s">
        <v>1035</v>
      </c>
    </row>
    <row r="202" spans="1:14" s="1" customFormat="1" ht="17.100000000000001" customHeight="1" x14ac:dyDescent="0.25">
      <c r="A202" s="9" t="s">
        <v>706</v>
      </c>
      <c r="B202" s="10" t="s">
        <v>983</v>
      </c>
      <c r="C202" s="10">
        <v>2016</v>
      </c>
      <c r="D202" s="11" t="s">
        <v>1952</v>
      </c>
      <c r="E202" s="10" t="s">
        <v>1631</v>
      </c>
      <c r="F202" s="11" t="s">
        <v>2306</v>
      </c>
      <c r="G202" s="10" t="s">
        <v>1164</v>
      </c>
      <c r="H202" s="10" t="s">
        <v>1057</v>
      </c>
      <c r="I202" s="12" t="s">
        <v>1039</v>
      </c>
      <c r="J202" s="12" t="s">
        <v>1030</v>
      </c>
      <c r="K202" s="10" t="s">
        <v>1031</v>
      </c>
      <c r="L202" s="10" t="s">
        <v>1032</v>
      </c>
      <c r="M202" s="12" t="s">
        <v>114</v>
      </c>
      <c r="N202" s="14" t="s">
        <v>1035</v>
      </c>
    </row>
    <row r="203" spans="1:14" s="1" customFormat="1" ht="17.100000000000001" customHeight="1" x14ac:dyDescent="0.25">
      <c r="A203" s="9" t="s">
        <v>1380</v>
      </c>
      <c r="B203" s="10" t="s">
        <v>1381</v>
      </c>
      <c r="C203" s="10">
        <v>2014</v>
      </c>
      <c r="D203" s="11" t="s">
        <v>2160</v>
      </c>
      <c r="E203" s="10" t="s">
        <v>1631</v>
      </c>
      <c r="F203" s="11" t="s">
        <v>2306</v>
      </c>
      <c r="G203" s="10" t="s">
        <v>2266</v>
      </c>
      <c r="H203" s="10" t="s">
        <v>1057</v>
      </c>
      <c r="I203" s="10" t="s">
        <v>1039</v>
      </c>
      <c r="J203" s="10" t="s">
        <v>1030</v>
      </c>
      <c r="K203" s="10" t="s">
        <v>1031</v>
      </c>
      <c r="L203" s="10" t="s">
        <v>1247</v>
      </c>
      <c r="M203" s="10" t="s">
        <v>1382</v>
      </c>
      <c r="N203" s="13" t="s">
        <v>1072</v>
      </c>
    </row>
    <row r="204" spans="1:14" s="1" customFormat="1" ht="17.100000000000001" customHeight="1" x14ac:dyDescent="0.25">
      <c r="A204" s="9" t="s">
        <v>682</v>
      </c>
      <c r="B204" s="10" t="s">
        <v>963</v>
      </c>
      <c r="C204" s="10">
        <v>2015</v>
      </c>
      <c r="D204" s="11" t="s">
        <v>1940</v>
      </c>
      <c r="E204" s="10" t="s">
        <v>1631</v>
      </c>
      <c r="F204" s="11" t="s">
        <v>2306</v>
      </c>
      <c r="G204" s="10" t="s">
        <v>2275</v>
      </c>
      <c r="H204" s="10" t="s">
        <v>1057</v>
      </c>
      <c r="I204" s="12" t="s">
        <v>1039</v>
      </c>
      <c r="J204" s="10" t="s">
        <v>1030</v>
      </c>
      <c r="K204" s="12" t="s">
        <v>1037</v>
      </c>
      <c r="L204" s="10" t="s">
        <v>2400</v>
      </c>
      <c r="M204" s="12" t="s">
        <v>114</v>
      </c>
      <c r="N204" s="13" t="s">
        <v>1041</v>
      </c>
    </row>
    <row r="205" spans="1:14" s="1" customFormat="1" ht="17.100000000000001" customHeight="1" x14ac:dyDescent="0.25">
      <c r="A205" s="9" t="s">
        <v>617</v>
      </c>
      <c r="B205" s="10" t="s">
        <v>924</v>
      </c>
      <c r="C205" s="10">
        <v>2012</v>
      </c>
      <c r="D205" s="11" t="s">
        <v>1953</v>
      </c>
      <c r="E205" s="10" t="s">
        <v>1631</v>
      </c>
      <c r="F205" s="11" t="s">
        <v>2306</v>
      </c>
      <c r="G205" s="10" t="s">
        <v>1028</v>
      </c>
      <c r="H205" s="10" t="s">
        <v>1057</v>
      </c>
      <c r="I205" s="12" t="s">
        <v>1039</v>
      </c>
      <c r="J205" s="10" t="s">
        <v>1030</v>
      </c>
      <c r="K205" s="10" t="s">
        <v>1031</v>
      </c>
      <c r="L205" s="10" t="s">
        <v>1032</v>
      </c>
      <c r="M205" s="10" t="s">
        <v>1192</v>
      </c>
      <c r="N205" s="13" t="s">
        <v>1034</v>
      </c>
    </row>
    <row r="206" spans="1:14" s="1" customFormat="1" ht="17.100000000000001" customHeight="1" x14ac:dyDescent="0.25">
      <c r="A206" s="9" t="s">
        <v>683</v>
      </c>
      <c r="B206" s="10" t="s">
        <v>964</v>
      </c>
      <c r="C206" s="10">
        <v>2015</v>
      </c>
      <c r="D206" s="11" t="s">
        <v>1951</v>
      </c>
      <c r="E206" s="10" t="s">
        <v>1631</v>
      </c>
      <c r="F206" s="11" t="s">
        <v>2306</v>
      </c>
      <c r="G206" s="10" t="s">
        <v>1054</v>
      </c>
      <c r="H206" s="10" t="s">
        <v>1180</v>
      </c>
      <c r="I206" s="12" t="s">
        <v>1039</v>
      </c>
      <c r="J206" s="10" t="s">
        <v>1030</v>
      </c>
      <c r="K206" s="10" t="s">
        <v>1031</v>
      </c>
      <c r="L206" s="10" t="s">
        <v>1042</v>
      </c>
      <c r="M206" s="12" t="s">
        <v>114</v>
      </c>
      <c r="N206" s="14" t="s">
        <v>1035</v>
      </c>
    </row>
    <row r="207" spans="1:14" s="1" customFormat="1" ht="17.100000000000001" customHeight="1" x14ac:dyDescent="0.25">
      <c r="A207" s="9" t="s">
        <v>1386</v>
      </c>
      <c r="B207" s="10" t="s">
        <v>1387</v>
      </c>
      <c r="C207" s="10">
        <v>2014</v>
      </c>
      <c r="D207" s="11" t="s">
        <v>2162</v>
      </c>
      <c r="E207" s="10" t="s">
        <v>1631</v>
      </c>
      <c r="F207" s="11" t="s">
        <v>2306</v>
      </c>
      <c r="G207" s="10" t="s">
        <v>1215</v>
      </c>
      <c r="H207" s="10" t="s">
        <v>1180</v>
      </c>
      <c r="I207" s="10" t="s">
        <v>1039</v>
      </c>
      <c r="J207" s="10" t="s">
        <v>1040</v>
      </c>
      <c r="K207" s="10" t="s">
        <v>1031</v>
      </c>
      <c r="L207" s="10" t="s">
        <v>1247</v>
      </c>
      <c r="M207" s="10" t="s">
        <v>114</v>
      </c>
      <c r="N207" s="13" t="s">
        <v>1041</v>
      </c>
    </row>
    <row r="208" spans="1:14" s="1" customFormat="1" ht="17.100000000000001" customHeight="1" x14ac:dyDescent="0.25">
      <c r="A208" s="9" t="s">
        <v>675</v>
      </c>
      <c r="B208" s="10" t="s">
        <v>960</v>
      </c>
      <c r="C208" s="10">
        <v>2015</v>
      </c>
      <c r="D208" s="11" t="s">
        <v>2075</v>
      </c>
      <c r="E208" s="10" t="s">
        <v>1631</v>
      </c>
      <c r="F208" s="11" t="s">
        <v>2306</v>
      </c>
      <c r="G208" s="10" t="s">
        <v>1028</v>
      </c>
      <c r="H208" s="10" t="s">
        <v>2340</v>
      </c>
      <c r="I208" s="12" t="s">
        <v>1039</v>
      </c>
      <c r="J208" s="10" t="s">
        <v>1030</v>
      </c>
      <c r="K208" s="10" t="s">
        <v>1031</v>
      </c>
      <c r="L208" s="10" t="s">
        <v>1247</v>
      </c>
      <c r="M208" s="12" t="s">
        <v>114</v>
      </c>
      <c r="N208" s="14" t="s">
        <v>1035</v>
      </c>
    </row>
    <row r="209" spans="1:14" s="1" customFormat="1" ht="17.100000000000001" customHeight="1" x14ac:dyDescent="0.25">
      <c r="A209" s="9" t="s">
        <v>1352</v>
      </c>
      <c r="B209" s="10" t="s">
        <v>1353</v>
      </c>
      <c r="C209" s="10">
        <v>2013</v>
      </c>
      <c r="D209" s="11" t="s">
        <v>2147</v>
      </c>
      <c r="E209" s="10" t="s">
        <v>1631</v>
      </c>
      <c r="F209" s="11" t="s">
        <v>2316</v>
      </c>
      <c r="G209" s="10" t="s">
        <v>2266</v>
      </c>
      <c r="H209" s="10" t="s">
        <v>1057</v>
      </c>
      <c r="I209" s="10" t="s">
        <v>1039</v>
      </c>
      <c r="J209" s="10" t="s">
        <v>1030</v>
      </c>
      <c r="K209" s="10" t="s">
        <v>1031</v>
      </c>
      <c r="L209" s="10" t="s">
        <v>1247</v>
      </c>
      <c r="M209" s="10" t="s">
        <v>114</v>
      </c>
      <c r="N209" s="13" t="s">
        <v>1035</v>
      </c>
    </row>
    <row r="210" spans="1:14" s="1" customFormat="1" ht="17.100000000000001" customHeight="1" x14ac:dyDescent="0.25">
      <c r="A210" s="9" t="s">
        <v>638</v>
      </c>
      <c r="B210" s="10" t="s">
        <v>934</v>
      </c>
      <c r="C210" s="10">
        <v>2013</v>
      </c>
      <c r="D210" s="11" t="s">
        <v>2001</v>
      </c>
      <c r="E210" s="10" t="s">
        <v>1631</v>
      </c>
      <c r="F210" s="11" t="s">
        <v>2311</v>
      </c>
      <c r="G210" s="10" t="s">
        <v>2266</v>
      </c>
      <c r="H210" s="10" t="s">
        <v>1205</v>
      </c>
      <c r="I210" s="12" t="s">
        <v>1029</v>
      </c>
      <c r="J210" s="12" t="s">
        <v>1030</v>
      </c>
      <c r="K210" s="10" t="s">
        <v>1031</v>
      </c>
      <c r="L210" s="10" t="s">
        <v>1032</v>
      </c>
      <c r="M210" s="12" t="s">
        <v>114</v>
      </c>
      <c r="N210" s="14" t="s">
        <v>1035</v>
      </c>
    </row>
    <row r="211" spans="1:14" s="1" customFormat="1" ht="17.100000000000001" customHeight="1" x14ac:dyDescent="0.25">
      <c r="A211" s="9" t="s">
        <v>759</v>
      </c>
      <c r="B211" s="10" t="s">
        <v>1007</v>
      </c>
      <c r="C211" s="10">
        <v>2019</v>
      </c>
      <c r="D211" s="11" t="s">
        <v>1652</v>
      </c>
      <c r="E211" s="10" t="s">
        <v>1631</v>
      </c>
      <c r="F211" s="11" t="s">
        <v>2311</v>
      </c>
      <c r="G211" s="10" t="s">
        <v>1080</v>
      </c>
      <c r="H211" s="10" t="s">
        <v>2326</v>
      </c>
      <c r="I211" s="12" t="s">
        <v>1039</v>
      </c>
      <c r="J211" s="10" t="s">
        <v>1040</v>
      </c>
      <c r="K211" s="10" t="s">
        <v>1031</v>
      </c>
      <c r="L211" s="10" t="s">
        <v>1032</v>
      </c>
      <c r="M211" s="12" t="s">
        <v>114</v>
      </c>
      <c r="N211" s="14" t="s">
        <v>1035</v>
      </c>
    </row>
    <row r="212" spans="1:14" s="1" customFormat="1" ht="17.100000000000001" customHeight="1" x14ac:dyDescent="0.25">
      <c r="A212" s="9" t="s">
        <v>1376</v>
      </c>
      <c r="B212" s="10" t="s">
        <v>1377</v>
      </c>
      <c r="C212" s="10">
        <v>2016</v>
      </c>
      <c r="D212" s="11" t="s">
        <v>2158</v>
      </c>
      <c r="E212" s="10" t="s">
        <v>1631</v>
      </c>
      <c r="F212" s="11" t="s">
        <v>2311</v>
      </c>
      <c r="G212" s="10" t="s">
        <v>2298</v>
      </c>
      <c r="H212" s="10" t="s">
        <v>2326</v>
      </c>
      <c r="I212" s="10" t="s">
        <v>1039</v>
      </c>
      <c r="J212" s="10" t="s">
        <v>1030</v>
      </c>
      <c r="K212" s="12" t="s">
        <v>1037</v>
      </c>
      <c r="L212" s="10" t="s">
        <v>1247</v>
      </c>
      <c r="M212" s="10" t="s">
        <v>114</v>
      </c>
      <c r="N212" s="13" t="s">
        <v>1041</v>
      </c>
    </row>
    <row r="213" spans="1:14" s="1" customFormat="1" ht="17.100000000000001" customHeight="1" x14ac:dyDescent="0.25">
      <c r="A213" s="9" t="s">
        <v>721</v>
      </c>
      <c r="B213" s="10" t="s">
        <v>992</v>
      </c>
      <c r="C213" s="10">
        <v>2017</v>
      </c>
      <c r="D213" s="11" t="s">
        <v>1768</v>
      </c>
      <c r="E213" s="10" t="s">
        <v>1631</v>
      </c>
      <c r="F213" s="11" t="s">
        <v>2311</v>
      </c>
      <c r="G213" s="10" t="s">
        <v>2266</v>
      </c>
      <c r="H213" s="10" t="s">
        <v>2326</v>
      </c>
      <c r="I213" s="12" t="s">
        <v>1039</v>
      </c>
      <c r="J213" s="10" t="s">
        <v>1040</v>
      </c>
      <c r="K213" s="10" t="s">
        <v>1031</v>
      </c>
      <c r="L213" s="10" t="s">
        <v>1247</v>
      </c>
      <c r="M213" s="12" t="s">
        <v>114</v>
      </c>
      <c r="N213" s="13" t="s">
        <v>1041</v>
      </c>
    </row>
    <row r="214" spans="1:14" s="1" customFormat="1" ht="17.100000000000001" customHeight="1" x14ac:dyDescent="0.25">
      <c r="A214" s="9" t="s">
        <v>1369</v>
      </c>
      <c r="B214" s="10" t="s">
        <v>1370</v>
      </c>
      <c r="C214" s="10">
        <v>2017</v>
      </c>
      <c r="D214" s="11" t="s">
        <v>2155</v>
      </c>
      <c r="E214" s="10" t="s">
        <v>1631</v>
      </c>
      <c r="F214" s="11" t="s">
        <v>2311</v>
      </c>
      <c r="G214" s="10" t="s">
        <v>1538</v>
      </c>
      <c r="H214" s="10" t="s">
        <v>1230</v>
      </c>
      <c r="I214" s="10" t="s">
        <v>1039</v>
      </c>
      <c r="J214" s="10" t="s">
        <v>1030</v>
      </c>
      <c r="K214" s="10" t="s">
        <v>1031</v>
      </c>
      <c r="L214" s="10" t="s">
        <v>1247</v>
      </c>
      <c r="M214" s="10" t="s">
        <v>114</v>
      </c>
      <c r="N214" s="13" t="s">
        <v>1035</v>
      </c>
    </row>
    <row r="215" spans="1:14" s="1" customFormat="1" ht="17.100000000000001" customHeight="1" x14ac:dyDescent="0.25">
      <c r="A215" s="9" t="s">
        <v>687</v>
      </c>
      <c r="B215" s="10" t="s">
        <v>968</v>
      </c>
      <c r="C215" s="10">
        <v>2015</v>
      </c>
      <c r="D215" s="11" t="s">
        <v>2073</v>
      </c>
      <c r="E215" s="10" t="s">
        <v>1631</v>
      </c>
      <c r="F215" s="11" t="s">
        <v>2311</v>
      </c>
      <c r="G215" s="10" t="s">
        <v>2271</v>
      </c>
      <c r="H215" s="10" t="s">
        <v>2340</v>
      </c>
      <c r="I215" s="12" t="s">
        <v>1039</v>
      </c>
      <c r="J215" s="12" t="s">
        <v>1030</v>
      </c>
      <c r="K215" s="10" t="s">
        <v>1031</v>
      </c>
      <c r="L215" s="10" t="s">
        <v>1032</v>
      </c>
      <c r="M215" s="12" t="s">
        <v>114</v>
      </c>
      <c r="N215" s="14" t="s">
        <v>1035</v>
      </c>
    </row>
    <row r="216" spans="1:14" s="1" customFormat="1" ht="17.100000000000001" customHeight="1" x14ac:dyDescent="0.25">
      <c r="A216" s="9" t="s">
        <v>729</v>
      </c>
      <c r="B216" s="10" t="s">
        <v>997</v>
      </c>
      <c r="C216" s="10">
        <v>2017</v>
      </c>
      <c r="D216" s="11" t="s">
        <v>1706</v>
      </c>
      <c r="E216" s="10" t="s">
        <v>1631</v>
      </c>
      <c r="F216" s="11" t="s">
        <v>4377</v>
      </c>
      <c r="G216" s="10" t="s">
        <v>1054</v>
      </c>
      <c r="H216" s="10" t="s">
        <v>2326</v>
      </c>
      <c r="I216" s="12" t="s">
        <v>1039</v>
      </c>
      <c r="J216" s="10" t="s">
        <v>1030</v>
      </c>
      <c r="K216" s="10" t="s">
        <v>1031</v>
      </c>
      <c r="L216" s="12" t="s">
        <v>1042</v>
      </c>
      <c r="M216" s="10" t="s">
        <v>1056</v>
      </c>
      <c r="N216" s="13" t="s">
        <v>1072</v>
      </c>
    </row>
    <row r="217" spans="1:14" s="1" customFormat="1" ht="17.100000000000001" customHeight="1" x14ac:dyDescent="0.25">
      <c r="A217" s="9" t="s">
        <v>1429</v>
      </c>
      <c r="B217" s="10" t="s">
        <v>1430</v>
      </c>
      <c r="C217" s="10">
        <v>2014</v>
      </c>
      <c r="D217" s="11" t="s">
        <v>2179</v>
      </c>
      <c r="E217" s="10" t="s">
        <v>1631</v>
      </c>
      <c r="F217" s="11" t="s">
        <v>4377</v>
      </c>
      <c r="G217" s="10" t="s">
        <v>1094</v>
      </c>
      <c r="H217" s="10" t="s">
        <v>2326</v>
      </c>
      <c r="I217" s="10" t="s">
        <v>1039</v>
      </c>
      <c r="J217" s="10" t="s">
        <v>1030</v>
      </c>
      <c r="K217" s="10" t="s">
        <v>1031</v>
      </c>
      <c r="L217" s="10" t="s">
        <v>1032</v>
      </c>
      <c r="M217" s="10" t="s">
        <v>114</v>
      </c>
      <c r="N217" s="13" t="s">
        <v>1035</v>
      </c>
    </row>
    <row r="218" spans="1:14" s="1" customFormat="1" ht="17.100000000000001" customHeight="1" x14ac:dyDescent="0.25">
      <c r="A218" s="9" t="s">
        <v>736</v>
      </c>
      <c r="B218" s="10" t="s">
        <v>1000</v>
      </c>
      <c r="C218" s="10">
        <v>2018</v>
      </c>
      <c r="D218" s="11" t="s">
        <v>1868</v>
      </c>
      <c r="E218" s="10" t="s">
        <v>1631</v>
      </c>
      <c r="F218" s="11" t="s">
        <v>4377</v>
      </c>
      <c r="G218" s="10" t="s">
        <v>2275</v>
      </c>
      <c r="H218" s="10" t="s">
        <v>1161</v>
      </c>
      <c r="I218" s="12" t="s">
        <v>1039</v>
      </c>
      <c r="J218" s="10" t="s">
        <v>1030</v>
      </c>
      <c r="K218" s="10" t="s">
        <v>1031</v>
      </c>
      <c r="L218" s="10" t="s">
        <v>1247</v>
      </c>
      <c r="M218" s="10" t="s">
        <v>1099</v>
      </c>
      <c r="N218" s="14" t="s">
        <v>1035</v>
      </c>
    </row>
    <row r="219" spans="1:14" s="1" customFormat="1" ht="17.100000000000001" customHeight="1" x14ac:dyDescent="0.25">
      <c r="A219" s="9" t="s">
        <v>697</v>
      </c>
      <c r="B219" s="10" t="s">
        <v>976</v>
      </c>
      <c r="C219" s="10">
        <v>2015</v>
      </c>
      <c r="D219" s="11" t="s">
        <v>2011</v>
      </c>
      <c r="E219" s="10" t="s">
        <v>1631</v>
      </c>
      <c r="F219" s="11" t="s">
        <v>4377</v>
      </c>
      <c r="G219" s="10" t="s">
        <v>2275</v>
      </c>
      <c r="H219" s="10" t="s">
        <v>1057</v>
      </c>
      <c r="I219" s="12" t="s">
        <v>1029</v>
      </c>
      <c r="J219" s="10" t="s">
        <v>1030</v>
      </c>
      <c r="K219" s="12" t="s">
        <v>1037</v>
      </c>
      <c r="L219" s="10" t="s">
        <v>1032</v>
      </c>
      <c r="M219" s="10" t="s">
        <v>1093</v>
      </c>
      <c r="N219" s="14" t="s">
        <v>1035</v>
      </c>
    </row>
    <row r="220" spans="1:14" s="1" customFormat="1" ht="17.100000000000001" customHeight="1" x14ac:dyDescent="0.25">
      <c r="A220" s="9" t="s">
        <v>728</v>
      </c>
      <c r="B220" s="10" t="s">
        <v>996</v>
      </c>
      <c r="C220" s="10">
        <v>2017</v>
      </c>
      <c r="D220" s="11" t="s">
        <v>1787</v>
      </c>
      <c r="E220" s="10" t="s">
        <v>1631</v>
      </c>
      <c r="F220" s="11" t="s">
        <v>4377</v>
      </c>
      <c r="G220" s="10" t="s">
        <v>1054</v>
      </c>
      <c r="H220" s="10" t="s">
        <v>1171</v>
      </c>
      <c r="I220" s="12" t="s">
        <v>1039</v>
      </c>
      <c r="J220" s="10" t="s">
        <v>1036</v>
      </c>
      <c r="K220" s="12" t="s">
        <v>1037</v>
      </c>
      <c r="L220" s="10" t="s">
        <v>1247</v>
      </c>
      <c r="M220" s="10" t="s">
        <v>1098</v>
      </c>
      <c r="N220" s="14" t="s">
        <v>1035</v>
      </c>
    </row>
    <row r="221" spans="1:14" s="1" customFormat="1" ht="17.100000000000001" customHeight="1" x14ac:dyDescent="0.25">
      <c r="A221" s="9" t="s">
        <v>696</v>
      </c>
      <c r="B221" s="10" t="s">
        <v>975</v>
      </c>
      <c r="C221" s="10">
        <v>2015</v>
      </c>
      <c r="D221" s="11" t="s">
        <v>1783</v>
      </c>
      <c r="E221" s="10" t="s">
        <v>1631</v>
      </c>
      <c r="F221" s="11" t="s">
        <v>4377</v>
      </c>
      <c r="G221" s="10" t="s">
        <v>1054</v>
      </c>
      <c r="H221" s="10" t="s">
        <v>2331</v>
      </c>
      <c r="I221" s="12" t="s">
        <v>1029</v>
      </c>
      <c r="J221" s="10" t="s">
        <v>1036</v>
      </c>
      <c r="K221" s="12" t="s">
        <v>1037</v>
      </c>
      <c r="L221" s="10" t="s">
        <v>1042</v>
      </c>
      <c r="M221" s="12" t="s">
        <v>114</v>
      </c>
      <c r="N221" s="13" t="s">
        <v>1041</v>
      </c>
    </row>
    <row r="222" spans="1:14" s="1" customFormat="1" ht="17.100000000000001" customHeight="1" x14ac:dyDescent="0.25">
      <c r="A222" s="9" t="s">
        <v>713</v>
      </c>
      <c r="B222" s="10" t="s">
        <v>990</v>
      </c>
      <c r="C222" s="10">
        <v>2016</v>
      </c>
      <c r="D222" s="11" t="s">
        <v>2012</v>
      </c>
      <c r="E222" s="10" t="s">
        <v>1631</v>
      </c>
      <c r="F222" s="11" t="s">
        <v>4377</v>
      </c>
      <c r="G222" s="10" t="s">
        <v>1066</v>
      </c>
      <c r="H222" s="10" t="s">
        <v>2331</v>
      </c>
      <c r="I222" s="12" t="s">
        <v>1029</v>
      </c>
      <c r="J222" s="10" t="s">
        <v>1030</v>
      </c>
      <c r="K222" s="10" t="s">
        <v>1031</v>
      </c>
      <c r="L222" s="10" t="s">
        <v>1032</v>
      </c>
      <c r="M222" s="12" t="s">
        <v>114</v>
      </c>
      <c r="N222" s="13" t="s">
        <v>1041</v>
      </c>
    </row>
    <row r="223" spans="1:14" s="1" customFormat="1" ht="17.100000000000001" customHeight="1" x14ac:dyDescent="0.25">
      <c r="A223" s="9" t="s">
        <v>760</v>
      </c>
      <c r="B223" s="10" t="s">
        <v>1008</v>
      </c>
      <c r="C223" s="10">
        <v>2019</v>
      </c>
      <c r="D223" s="11" t="s">
        <v>1663</v>
      </c>
      <c r="E223" s="10" t="s">
        <v>1631</v>
      </c>
      <c r="F223" s="11" t="s">
        <v>4390</v>
      </c>
      <c r="G223" s="10" t="s">
        <v>1066</v>
      </c>
      <c r="H223" s="10" t="s">
        <v>2326</v>
      </c>
      <c r="I223" s="12" t="s">
        <v>1029</v>
      </c>
      <c r="J223" s="10" t="s">
        <v>1036</v>
      </c>
      <c r="K223" s="10" t="s">
        <v>1031</v>
      </c>
      <c r="L223" s="10" t="s">
        <v>1032</v>
      </c>
      <c r="M223" s="12" t="s">
        <v>1142</v>
      </c>
      <c r="N223" s="13" t="s">
        <v>1034</v>
      </c>
    </row>
    <row r="224" spans="1:14" s="1" customFormat="1" ht="17.100000000000001" customHeight="1" x14ac:dyDescent="0.25">
      <c r="A224" s="9" t="s">
        <v>1446</v>
      </c>
      <c r="B224" s="10" t="s">
        <v>1447</v>
      </c>
      <c r="C224" s="10">
        <v>2016</v>
      </c>
      <c r="D224" s="11" t="s">
        <v>2185</v>
      </c>
      <c r="E224" s="10" t="s">
        <v>1631</v>
      </c>
      <c r="F224" s="11" t="s">
        <v>2318</v>
      </c>
      <c r="G224" s="10" t="s">
        <v>1538</v>
      </c>
      <c r="H224" s="10" t="s">
        <v>1230</v>
      </c>
      <c r="I224" s="10" t="s">
        <v>1039</v>
      </c>
      <c r="J224" s="10" t="s">
        <v>1030</v>
      </c>
      <c r="K224" s="10" t="s">
        <v>1031</v>
      </c>
      <c r="L224" s="10" t="s">
        <v>1247</v>
      </c>
      <c r="M224" s="10" t="s">
        <v>114</v>
      </c>
      <c r="N224" s="13" t="s">
        <v>1035</v>
      </c>
    </row>
    <row r="225" spans="1:14" s="1" customFormat="1" ht="17.100000000000001" customHeight="1" x14ac:dyDescent="0.25">
      <c r="A225" s="9" t="s">
        <v>1413</v>
      </c>
      <c r="B225" s="10" t="s">
        <v>1414</v>
      </c>
      <c r="C225" s="10">
        <v>2013</v>
      </c>
      <c r="D225" s="11" t="s">
        <v>2173</v>
      </c>
      <c r="E225" s="10" t="s">
        <v>1631</v>
      </c>
      <c r="F225" s="11" t="s">
        <v>2317</v>
      </c>
      <c r="G225" s="10" t="s">
        <v>2266</v>
      </c>
      <c r="H225" s="10" t="s">
        <v>1057</v>
      </c>
      <c r="I225" s="10" t="s">
        <v>1039</v>
      </c>
      <c r="J225" s="10" t="s">
        <v>1030</v>
      </c>
      <c r="K225" s="10" t="s">
        <v>1031</v>
      </c>
      <c r="L225" s="10" t="s">
        <v>1247</v>
      </c>
      <c r="M225" s="10" t="s">
        <v>114</v>
      </c>
      <c r="N225" s="13" t="s">
        <v>1072</v>
      </c>
    </row>
    <row r="226" spans="1:14" s="1" customFormat="1" ht="17.100000000000001" customHeight="1" x14ac:dyDescent="0.25">
      <c r="A226" s="9" t="s">
        <v>994</v>
      </c>
      <c r="B226" s="10" t="s">
        <v>995</v>
      </c>
      <c r="C226" s="10">
        <v>2017</v>
      </c>
      <c r="D226" s="11" t="s">
        <v>2237</v>
      </c>
      <c r="E226" s="10" t="s">
        <v>1631</v>
      </c>
      <c r="F226" s="46" t="s">
        <v>1156</v>
      </c>
      <c r="G226" s="10" t="s">
        <v>1054</v>
      </c>
      <c r="H226" s="10" t="s">
        <v>2337</v>
      </c>
      <c r="I226" s="10" t="s">
        <v>1493</v>
      </c>
      <c r="J226" s="10" t="s">
        <v>1040</v>
      </c>
      <c r="K226" s="12" t="s">
        <v>1037</v>
      </c>
      <c r="L226" s="10" t="s">
        <v>1247</v>
      </c>
      <c r="M226" s="10" t="s">
        <v>114</v>
      </c>
      <c r="N226" s="13" t="s">
        <v>1035</v>
      </c>
    </row>
    <row r="227" spans="1:14" s="1" customFormat="1" ht="17.100000000000001" customHeight="1" x14ac:dyDescent="0.25">
      <c r="A227" s="9" t="s">
        <v>692</v>
      </c>
      <c r="B227" s="10" t="s">
        <v>971</v>
      </c>
      <c r="C227" s="10">
        <v>2015</v>
      </c>
      <c r="D227" s="11" t="s">
        <v>1887</v>
      </c>
      <c r="E227" s="10" t="s">
        <v>1631</v>
      </c>
      <c r="F227" s="11" t="s">
        <v>1156</v>
      </c>
      <c r="G227" s="10" t="s">
        <v>1054</v>
      </c>
      <c r="H227" s="10" t="s">
        <v>2339</v>
      </c>
      <c r="I227" s="12" t="s">
        <v>1029</v>
      </c>
      <c r="J227" s="10" t="s">
        <v>1030</v>
      </c>
      <c r="K227" s="10" t="s">
        <v>1031</v>
      </c>
      <c r="L227" s="10" t="s">
        <v>1247</v>
      </c>
      <c r="M227" s="12" t="s">
        <v>114</v>
      </c>
      <c r="N227" s="14" t="s">
        <v>1035</v>
      </c>
    </row>
    <row r="228" spans="1:14" s="1" customFormat="1" ht="17.100000000000001" customHeight="1" x14ac:dyDescent="0.25">
      <c r="A228" s="9" t="s">
        <v>606</v>
      </c>
      <c r="B228" s="10" t="s">
        <v>918</v>
      </c>
      <c r="C228" s="10">
        <v>2012</v>
      </c>
      <c r="D228" s="11" t="s">
        <v>1735</v>
      </c>
      <c r="E228" s="10" t="s">
        <v>1631</v>
      </c>
      <c r="F228" s="11" t="s">
        <v>1156</v>
      </c>
      <c r="G228" s="10" t="s">
        <v>1054</v>
      </c>
      <c r="H228" s="10" t="s">
        <v>2325</v>
      </c>
      <c r="I228" s="12" t="s">
        <v>1029</v>
      </c>
      <c r="J228" s="10" t="s">
        <v>1040</v>
      </c>
      <c r="K228" s="10" t="s">
        <v>1031</v>
      </c>
      <c r="L228" s="10" t="s">
        <v>1247</v>
      </c>
      <c r="M228" s="12" t="s">
        <v>114</v>
      </c>
      <c r="N228" s="14" t="s">
        <v>1035</v>
      </c>
    </row>
    <row r="229" spans="1:14" s="1" customFormat="1" ht="17.100000000000001" customHeight="1" x14ac:dyDescent="0.25">
      <c r="A229" s="9" t="s">
        <v>664</v>
      </c>
      <c r="B229" s="10" t="s">
        <v>951</v>
      </c>
      <c r="C229" s="10">
        <v>2014</v>
      </c>
      <c r="D229" s="11" t="s">
        <v>1801</v>
      </c>
      <c r="E229" s="10" t="s">
        <v>1631</v>
      </c>
      <c r="F229" s="11" t="s">
        <v>1156</v>
      </c>
      <c r="G229" s="10" t="s">
        <v>1054</v>
      </c>
      <c r="H229" s="10" t="s">
        <v>2326</v>
      </c>
      <c r="I229" s="12" t="s">
        <v>1029</v>
      </c>
      <c r="J229" s="10" t="s">
        <v>1693</v>
      </c>
      <c r="K229" s="10" t="s">
        <v>1031</v>
      </c>
      <c r="L229" s="10" t="s">
        <v>1247</v>
      </c>
      <c r="M229" s="12" t="s">
        <v>114</v>
      </c>
      <c r="N229" s="13" t="s">
        <v>1041</v>
      </c>
    </row>
    <row r="230" spans="1:14" s="1" customFormat="1" ht="17.100000000000001" customHeight="1" x14ac:dyDescent="0.25">
      <c r="A230" s="9" t="s">
        <v>743</v>
      </c>
      <c r="B230" s="10" t="s">
        <v>1006</v>
      </c>
      <c r="C230" s="10">
        <v>2019</v>
      </c>
      <c r="D230" s="11" t="s">
        <v>1847</v>
      </c>
      <c r="E230" s="10" t="s">
        <v>1631</v>
      </c>
      <c r="F230" s="11" t="s">
        <v>1156</v>
      </c>
      <c r="G230" s="10" t="s">
        <v>1054</v>
      </c>
      <c r="H230" s="10" t="s">
        <v>2326</v>
      </c>
      <c r="I230" s="12" t="s">
        <v>1029</v>
      </c>
      <c r="J230" s="10" t="s">
        <v>1036</v>
      </c>
      <c r="K230" s="10" t="s">
        <v>1031</v>
      </c>
      <c r="L230" s="10" t="s">
        <v>1032</v>
      </c>
      <c r="M230" s="12" t="s">
        <v>114</v>
      </c>
      <c r="N230" s="13" t="s">
        <v>1041</v>
      </c>
    </row>
    <row r="231" spans="1:14" s="1" customFormat="1" ht="17.100000000000001" customHeight="1" x14ac:dyDescent="0.25">
      <c r="A231" s="9" t="s">
        <v>919</v>
      </c>
      <c r="B231" s="10" t="s">
        <v>920</v>
      </c>
      <c r="C231" s="10">
        <v>2012</v>
      </c>
      <c r="D231" s="11" t="s">
        <v>2236</v>
      </c>
      <c r="E231" s="10" t="s">
        <v>1631</v>
      </c>
      <c r="F231" s="46" t="s">
        <v>1156</v>
      </c>
      <c r="G231" s="10" t="s">
        <v>1576</v>
      </c>
      <c r="H231" s="10" t="s">
        <v>2326</v>
      </c>
      <c r="I231" s="12" t="s">
        <v>1029</v>
      </c>
      <c r="J231" s="10" t="s">
        <v>1691</v>
      </c>
      <c r="K231" s="12" t="s">
        <v>1037</v>
      </c>
      <c r="L231" s="10" t="s">
        <v>1247</v>
      </c>
      <c r="M231" s="10" t="s">
        <v>114</v>
      </c>
      <c r="N231" s="13" t="s">
        <v>1041</v>
      </c>
    </row>
    <row r="232" spans="1:14" s="1" customFormat="1" ht="17.100000000000001" customHeight="1" x14ac:dyDescent="0.25">
      <c r="A232" s="9" t="s">
        <v>723</v>
      </c>
      <c r="B232" s="10" t="s">
        <v>724</v>
      </c>
      <c r="C232" s="12">
        <v>2017</v>
      </c>
      <c r="D232" s="11" t="s">
        <v>1744</v>
      </c>
      <c r="E232" s="10" t="s">
        <v>1631</v>
      </c>
      <c r="F232" s="11" t="s">
        <v>1156</v>
      </c>
      <c r="G232" s="12" t="s">
        <v>1028</v>
      </c>
      <c r="H232" s="10" t="s">
        <v>2326</v>
      </c>
      <c r="I232" s="12" t="s">
        <v>1039</v>
      </c>
      <c r="J232" s="12" t="s">
        <v>1040</v>
      </c>
      <c r="K232" s="10" t="s">
        <v>1031</v>
      </c>
      <c r="L232" s="10" t="s">
        <v>1032</v>
      </c>
      <c r="M232" s="12" t="s">
        <v>114</v>
      </c>
      <c r="N232" s="13" t="s">
        <v>1034</v>
      </c>
    </row>
    <row r="233" spans="1:14" s="1" customFormat="1" ht="17.100000000000001" customHeight="1" x14ac:dyDescent="0.25">
      <c r="A233" s="9" t="s">
        <v>653</v>
      </c>
      <c r="B233" s="10" t="s">
        <v>654</v>
      </c>
      <c r="C233" s="10">
        <v>2014</v>
      </c>
      <c r="D233" s="11" t="s">
        <v>1716</v>
      </c>
      <c r="E233" s="10" t="s">
        <v>1631</v>
      </c>
      <c r="F233" s="11" t="s">
        <v>1156</v>
      </c>
      <c r="G233" s="10" t="s">
        <v>1028</v>
      </c>
      <c r="H233" s="10" t="s">
        <v>2335</v>
      </c>
      <c r="I233" s="12" t="s">
        <v>1029</v>
      </c>
      <c r="J233" s="10" t="s">
        <v>1040</v>
      </c>
      <c r="K233" s="10" t="s">
        <v>1031</v>
      </c>
      <c r="L233" s="10" t="s">
        <v>1247</v>
      </c>
      <c r="M233" s="12" t="s">
        <v>114</v>
      </c>
      <c r="N233" s="14" t="s">
        <v>1035</v>
      </c>
    </row>
    <row r="234" spans="1:14" s="1" customFormat="1" ht="17.100000000000001" customHeight="1" x14ac:dyDescent="0.25">
      <c r="A234" s="9" t="s">
        <v>722</v>
      </c>
      <c r="B234" s="10" t="s">
        <v>993</v>
      </c>
      <c r="C234" s="10">
        <v>2017</v>
      </c>
      <c r="D234" s="11" t="s">
        <v>1867</v>
      </c>
      <c r="E234" s="10" t="s">
        <v>1631</v>
      </c>
      <c r="F234" s="11" t="s">
        <v>1156</v>
      </c>
      <c r="G234" s="10" t="s">
        <v>1611</v>
      </c>
      <c r="H234" s="10" t="s">
        <v>1161</v>
      </c>
      <c r="I234" s="12" t="s">
        <v>1039</v>
      </c>
      <c r="J234" s="10" t="s">
        <v>1030</v>
      </c>
      <c r="K234" s="12" t="s">
        <v>1037</v>
      </c>
      <c r="L234" s="10" t="s">
        <v>1247</v>
      </c>
      <c r="M234" s="12" t="s">
        <v>114</v>
      </c>
      <c r="N234" s="14" t="s">
        <v>1035</v>
      </c>
    </row>
    <row r="235" spans="1:14" s="1" customFormat="1" ht="17.100000000000001" customHeight="1" x14ac:dyDescent="0.25">
      <c r="A235" s="9" t="s">
        <v>701</v>
      </c>
      <c r="B235" s="10" t="s">
        <v>980</v>
      </c>
      <c r="C235" s="10">
        <v>2016</v>
      </c>
      <c r="D235" s="11" t="s">
        <v>2036</v>
      </c>
      <c r="E235" s="10" t="s">
        <v>1631</v>
      </c>
      <c r="F235" s="11" t="s">
        <v>1156</v>
      </c>
      <c r="G235" s="10" t="s">
        <v>1054</v>
      </c>
      <c r="H235" s="10" t="s">
        <v>1166</v>
      </c>
      <c r="I235" s="12" t="s">
        <v>1029</v>
      </c>
      <c r="J235" s="10" t="s">
        <v>1030</v>
      </c>
      <c r="K235" s="10" t="s">
        <v>1031</v>
      </c>
      <c r="L235" s="10" t="s">
        <v>1042</v>
      </c>
      <c r="M235" s="12" t="s">
        <v>1055</v>
      </c>
      <c r="N235" s="14" t="s">
        <v>1035</v>
      </c>
    </row>
    <row r="236" spans="1:14" s="1" customFormat="1" ht="17.100000000000001" customHeight="1" x14ac:dyDescent="0.25">
      <c r="A236" s="9" t="s">
        <v>984</v>
      </c>
      <c r="B236" s="10" t="s">
        <v>985</v>
      </c>
      <c r="C236" s="10">
        <v>2016</v>
      </c>
      <c r="D236" s="11" t="s">
        <v>2238</v>
      </c>
      <c r="E236" s="10" t="s">
        <v>1631</v>
      </c>
      <c r="F236" s="46" t="s">
        <v>1156</v>
      </c>
      <c r="G236" s="10" t="s">
        <v>1054</v>
      </c>
      <c r="H236" s="10" t="s">
        <v>1166</v>
      </c>
      <c r="I236" s="12" t="s">
        <v>1029</v>
      </c>
      <c r="J236" s="10" t="s">
        <v>1040</v>
      </c>
      <c r="K236" s="12" t="s">
        <v>1037</v>
      </c>
      <c r="L236" s="10" t="s">
        <v>1042</v>
      </c>
      <c r="M236" s="10" t="s">
        <v>114</v>
      </c>
      <c r="N236" s="13" t="s">
        <v>1041</v>
      </c>
    </row>
    <row r="237" spans="1:14" s="1" customFormat="1" ht="17.100000000000001" customHeight="1" x14ac:dyDescent="0.25">
      <c r="A237" s="9" t="s">
        <v>783</v>
      </c>
      <c r="B237" s="10" t="s">
        <v>1017</v>
      </c>
      <c r="C237" s="10">
        <v>2021</v>
      </c>
      <c r="D237" s="11" t="s">
        <v>2033</v>
      </c>
      <c r="E237" s="10" t="s">
        <v>1631</v>
      </c>
      <c r="F237" s="11" t="s">
        <v>1156</v>
      </c>
      <c r="G237" s="10" t="s">
        <v>1054</v>
      </c>
      <c r="H237" s="10" t="s">
        <v>1166</v>
      </c>
      <c r="I237" s="12" t="s">
        <v>1029</v>
      </c>
      <c r="J237" s="10" t="s">
        <v>1040</v>
      </c>
      <c r="K237" s="12" t="s">
        <v>1037</v>
      </c>
      <c r="L237" s="10" t="s">
        <v>1032</v>
      </c>
      <c r="M237" s="10" t="s">
        <v>1218</v>
      </c>
      <c r="N237" s="13" t="s">
        <v>1034</v>
      </c>
    </row>
    <row r="238" spans="1:14" s="1" customFormat="1" ht="17.100000000000001" customHeight="1" x14ac:dyDescent="0.25">
      <c r="A238" s="9" t="s">
        <v>782</v>
      </c>
      <c r="B238" s="10" t="s">
        <v>1016</v>
      </c>
      <c r="C238" s="10">
        <v>2019</v>
      </c>
      <c r="D238" s="11" t="s">
        <v>2034</v>
      </c>
      <c r="E238" s="10" t="s">
        <v>1631</v>
      </c>
      <c r="F238" s="11" t="s">
        <v>1156</v>
      </c>
      <c r="G238" s="10" t="s">
        <v>1054</v>
      </c>
      <c r="H238" s="10" t="s">
        <v>2330</v>
      </c>
      <c r="I238" s="12" t="s">
        <v>1029</v>
      </c>
      <c r="J238" s="10" t="s">
        <v>1040</v>
      </c>
      <c r="K238" s="10" t="s">
        <v>1031</v>
      </c>
      <c r="L238" s="10" t="s">
        <v>1042</v>
      </c>
      <c r="M238" s="12" t="s">
        <v>114</v>
      </c>
      <c r="N238" s="14" t="s">
        <v>1035</v>
      </c>
    </row>
    <row r="239" spans="1:14" s="1" customFormat="1" ht="17.100000000000001" customHeight="1" x14ac:dyDescent="0.25">
      <c r="A239" s="9" t="s">
        <v>941</v>
      </c>
      <c r="B239" s="10" t="s">
        <v>942</v>
      </c>
      <c r="C239" s="10">
        <v>2014</v>
      </c>
      <c r="D239" s="11" t="s">
        <v>2253</v>
      </c>
      <c r="E239" s="10" t="s">
        <v>1631</v>
      </c>
      <c r="F239" s="46" t="s">
        <v>1156</v>
      </c>
      <c r="G239" s="10" t="s">
        <v>1094</v>
      </c>
      <c r="H239" s="10" t="s">
        <v>1057</v>
      </c>
      <c r="I239" s="12" t="s">
        <v>1029</v>
      </c>
      <c r="J239" s="10" t="s">
        <v>1040</v>
      </c>
      <c r="K239" s="10" t="s">
        <v>1031</v>
      </c>
      <c r="L239" s="10" t="s">
        <v>1032</v>
      </c>
      <c r="M239" s="10" t="s">
        <v>1055</v>
      </c>
      <c r="N239" s="13" t="s">
        <v>1035</v>
      </c>
    </row>
    <row r="240" spans="1:14" s="1" customFormat="1" ht="17.100000000000001" customHeight="1" x14ac:dyDescent="0.25">
      <c r="A240" s="9" t="s">
        <v>781</v>
      </c>
      <c r="B240" s="10" t="s">
        <v>1015</v>
      </c>
      <c r="C240" s="10">
        <v>2020</v>
      </c>
      <c r="D240" s="11" t="s">
        <v>1900</v>
      </c>
      <c r="E240" s="10" t="s">
        <v>1631</v>
      </c>
      <c r="F240" s="11" t="s">
        <v>1156</v>
      </c>
      <c r="G240" s="10" t="s">
        <v>1028</v>
      </c>
      <c r="H240" s="10" t="s">
        <v>1057</v>
      </c>
      <c r="I240" s="12" t="s">
        <v>1039</v>
      </c>
      <c r="J240" s="10" t="s">
        <v>1030</v>
      </c>
      <c r="K240" s="10" t="s">
        <v>1031</v>
      </c>
      <c r="L240" s="10" t="s">
        <v>1032</v>
      </c>
      <c r="M240" s="12" t="s">
        <v>114</v>
      </c>
      <c r="N240" s="13" t="s">
        <v>1041</v>
      </c>
    </row>
    <row r="241" spans="1:14" s="1" customFormat="1" ht="17.100000000000001" customHeight="1" x14ac:dyDescent="0.25">
      <c r="A241" s="9" t="s">
        <v>600</v>
      </c>
      <c r="B241" s="10" t="s">
        <v>914</v>
      </c>
      <c r="C241" s="10">
        <v>2011</v>
      </c>
      <c r="D241" s="11" t="s">
        <v>1955</v>
      </c>
      <c r="E241" s="10" t="s">
        <v>1631</v>
      </c>
      <c r="F241" s="11" t="s">
        <v>1156</v>
      </c>
      <c r="G241" s="10" t="s">
        <v>1028</v>
      </c>
      <c r="H241" s="10" t="s">
        <v>1057</v>
      </c>
      <c r="I241" s="12" t="s">
        <v>1039</v>
      </c>
      <c r="J241" s="10" t="s">
        <v>1036</v>
      </c>
      <c r="K241" s="10" t="s">
        <v>1031</v>
      </c>
      <c r="L241" s="10" t="s">
        <v>1032</v>
      </c>
      <c r="M241" s="12" t="s">
        <v>114</v>
      </c>
      <c r="N241" s="14" t="s">
        <v>1035</v>
      </c>
    </row>
    <row r="242" spans="1:14" s="1" customFormat="1" ht="17.100000000000001" customHeight="1" x14ac:dyDescent="0.25">
      <c r="A242" s="9" t="s">
        <v>948</v>
      </c>
      <c r="B242" s="10" t="s">
        <v>949</v>
      </c>
      <c r="C242" s="10">
        <v>2014</v>
      </c>
      <c r="D242" s="11" t="s">
        <v>2241</v>
      </c>
      <c r="E242" s="10" t="s">
        <v>1631</v>
      </c>
      <c r="F242" s="46" t="s">
        <v>1156</v>
      </c>
      <c r="G242" s="10" t="s">
        <v>1028</v>
      </c>
      <c r="H242" s="10" t="s">
        <v>1057</v>
      </c>
      <c r="I242" s="12" t="s">
        <v>1029</v>
      </c>
      <c r="J242" s="10" t="s">
        <v>1040</v>
      </c>
      <c r="K242" s="10" t="s">
        <v>1031</v>
      </c>
      <c r="L242" s="10" t="s">
        <v>1032</v>
      </c>
      <c r="M242" s="10" t="s">
        <v>114</v>
      </c>
      <c r="N242" s="13" t="s">
        <v>1035</v>
      </c>
    </row>
    <row r="243" spans="1:14" s="1" customFormat="1" ht="17.100000000000001" customHeight="1" x14ac:dyDescent="0.25">
      <c r="A243" s="9" t="s">
        <v>628</v>
      </c>
      <c r="B243" s="10" t="s">
        <v>931</v>
      </c>
      <c r="C243" s="10">
        <v>2013</v>
      </c>
      <c r="D243" s="11" t="s">
        <v>2080</v>
      </c>
      <c r="E243" s="10" t="s">
        <v>1631</v>
      </c>
      <c r="F243" s="11" t="s">
        <v>1156</v>
      </c>
      <c r="G243" s="12" t="s">
        <v>2272</v>
      </c>
      <c r="H243" s="10" t="s">
        <v>1168</v>
      </c>
      <c r="I243" s="12" t="s">
        <v>1039</v>
      </c>
      <c r="J243" s="10" t="s">
        <v>1040</v>
      </c>
      <c r="K243" s="10" t="s">
        <v>1031</v>
      </c>
      <c r="L243" s="10" t="s">
        <v>1042</v>
      </c>
      <c r="M243" s="12" t="s">
        <v>114</v>
      </c>
      <c r="N243" s="14" t="s">
        <v>1035</v>
      </c>
    </row>
    <row r="244" spans="1:14" s="1" customFormat="1" ht="17.100000000000001" customHeight="1" x14ac:dyDescent="0.25">
      <c r="A244" s="9" t="s">
        <v>742</v>
      </c>
      <c r="B244" s="10" t="s">
        <v>1005</v>
      </c>
      <c r="C244" s="10">
        <v>2019</v>
      </c>
      <c r="D244" s="11" t="s">
        <v>1931</v>
      </c>
      <c r="E244" s="10" t="s">
        <v>1631</v>
      </c>
      <c r="F244" s="11" t="s">
        <v>1156</v>
      </c>
      <c r="G244" s="10" t="s">
        <v>1054</v>
      </c>
      <c r="H244" s="10" t="s">
        <v>1178</v>
      </c>
      <c r="I244" s="12" t="s">
        <v>1029</v>
      </c>
      <c r="J244" s="10" t="s">
        <v>1036</v>
      </c>
      <c r="K244" s="10" t="s">
        <v>1031</v>
      </c>
      <c r="L244" s="10" t="s">
        <v>1247</v>
      </c>
      <c r="M244" s="12" t="s">
        <v>114</v>
      </c>
      <c r="N244" s="14" t="s">
        <v>1035</v>
      </c>
    </row>
    <row r="245" spans="1:14" s="1" customFormat="1" ht="17.100000000000001" customHeight="1" x14ac:dyDescent="0.25">
      <c r="A245" s="9" t="s">
        <v>1439</v>
      </c>
      <c r="B245" s="10" t="s">
        <v>1440</v>
      </c>
      <c r="C245" s="10">
        <v>2020</v>
      </c>
      <c r="D245" s="11" t="s">
        <v>2141</v>
      </c>
      <c r="E245" s="10" t="s">
        <v>1631</v>
      </c>
      <c r="F245" s="11" t="s">
        <v>1156</v>
      </c>
      <c r="G245" s="10" t="s">
        <v>2266</v>
      </c>
      <c r="H245" s="10" t="s">
        <v>1180</v>
      </c>
      <c r="I245" s="10" t="s">
        <v>1039</v>
      </c>
      <c r="J245" s="10" t="s">
        <v>1030</v>
      </c>
      <c r="K245" s="10" t="s">
        <v>1031</v>
      </c>
      <c r="L245" s="10" t="s">
        <v>1247</v>
      </c>
      <c r="M245" s="10" t="s">
        <v>114</v>
      </c>
      <c r="N245" s="13" t="s">
        <v>1035</v>
      </c>
    </row>
    <row r="246" spans="1:14" s="1" customFormat="1" ht="17.100000000000001" customHeight="1" x14ac:dyDescent="0.25">
      <c r="A246" s="9" t="s">
        <v>693</v>
      </c>
      <c r="B246" s="10" t="s">
        <v>972</v>
      </c>
      <c r="C246" s="10">
        <v>2015</v>
      </c>
      <c r="D246" s="11" t="s">
        <v>1786</v>
      </c>
      <c r="E246" s="10" t="s">
        <v>1631</v>
      </c>
      <c r="F246" s="11" t="s">
        <v>1156</v>
      </c>
      <c r="G246" s="10" t="s">
        <v>1054</v>
      </c>
      <c r="H246" s="10" t="s">
        <v>1169</v>
      </c>
      <c r="I246" s="12" t="s">
        <v>1039</v>
      </c>
      <c r="J246" s="10" t="s">
        <v>1036</v>
      </c>
      <c r="K246" s="10" t="s">
        <v>1031</v>
      </c>
      <c r="L246" s="10" t="s">
        <v>1247</v>
      </c>
      <c r="M246" s="12" t="s">
        <v>114</v>
      </c>
      <c r="N246" s="14" t="s">
        <v>1035</v>
      </c>
    </row>
    <row r="247" spans="1:14" s="1" customFormat="1" ht="17.100000000000001" customHeight="1" x14ac:dyDescent="0.25">
      <c r="A247" s="9" t="s">
        <v>579</v>
      </c>
      <c r="B247" s="10" t="s">
        <v>912</v>
      </c>
      <c r="C247" s="10">
        <v>2009</v>
      </c>
      <c r="D247" s="11" t="s">
        <v>1915</v>
      </c>
      <c r="E247" s="10" t="s">
        <v>1631</v>
      </c>
      <c r="F247" s="11" t="s">
        <v>1156</v>
      </c>
      <c r="G247" s="10" t="s">
        <v>1054</v>
      </c>
      <c r="H247" s="10" t="s">
        <v>2331</v>
      </c>
      <c r="I247" s="12" t="s">
        <v>1029</v>
      </c>
      <c r="J247" s="10" t="s">
        <v>1036</v>
      </c>
      <c r="K247" s="10" t="s">
        <v>1031</v>
      </c>
      <c r="L247" s="10" t="s">
        <v>1032</v>
      </c>
      <c r="M247" s="10" t="s">
        <v>1095</v>
      </c>
      <c r="N247" s="14" t="s">
        <v>1035</v>
      </c>
    </row>
    <row r="248" spans="1:14" s="1" customFormat="1" ht="17.100000000000001" customHeight="1" x14ac:dyDescent="0.25">
      <c r="A248" s="9" t="s">
        <v>618</v>
      </c>
      <c r="B248" s="10" t="s">
        <v>925</v>
      </c>
      <c r="C248" s="10">
        <v>2012</v>
      </c>
      <c r="D248" s="11" t="s">
        <v>1920</v>
      </c>
      <c r="E248" s="10" t="s">
        <v>1631</v>
      </c>
      <c r="F248" s="11" t="s">
        <v>1156</v>
      </c>
      <c r="G248" s="10" t="s">
        <v>1183</v>
      </c>
      <c r="H248" s="10" t="s">
        <v>2331</v>
      </c>
      <c r="I248" s="12" t="s">
        <v>1029</v>
      </c>
      <c r="J248" s="10" t="s">
        <v>1040</v>
      </c>
      <c r="K248" s="10" t="s">
        <v>1031</v>
      </c>
      <c r="L248" s="10" t="s">
        <v>1032</v>
      </c>
      <c r="M248" s="10" t="s">
        <v>1122</v>
      </c>
      <c r="N248" s="13" t="s">
        <v>1034</v>
      </c>
    </row>
    <row r="249" spans="1:14" s="1" customFormat="1" ht="17.100000000000001" customHeight="1" x14ac:dyDescent="0.25">
      <c r="A249" s="9" t="s">
        <v>111</v>
      </c>
      <c r="B249" s="10" t="s">
        <v>801</v>
      </c>
      <c r="C249" s="10">
        <v>2015</v>
      </c>
      <c r="D249" s="11" t="s">
        <v>1826</v>
      </c>
      <c r="E249" s="10" t="s">
        <v>1630</v>
      </c>
      <c r="F249" s="11" t="s">
        <v>112</v>
      </c>
      <c r="G249" s="10" t="s">
        <v>1054</v>
      </c>
      <c r="H249" s="10" t="s">
        <v>2326</v>
      </c>
      <c r="I249" s="12" t="s">
        <v>1029</v>
      </c>
      <c r="J249" s="10" t="s">
        <v>1693</v>
      </c>
      <c r="K249" s="10" t="s">
        <v>1031</v>
      </c>
      <c r="L249" s="12" t="s">
        <v>1042</v>
      </c>
      <c r="M249" s="12" t="s">
        <v>114</v>
      </c>
      <c r="N249" s="14" t="s">
        <v>1035</v>
      </c>
    </row>
    <row r="250" spans="1:14" s="1" customFormat="1" ht="17.100000000000001" customHeight="1" x14ac:dyDescent="0.25">
      <c r="A250" s="9" t="s">
        <v>1285</v>
      </c>
      <c r="B250" s="10" t="s">
        <v>1286</v>
      </c>
      <c r="C250" s="10">
        <v>2017</v>
      </c>
      <c r="D250" s="11" t="s">
        <v>2123</v>
      </c>
      <c r="E250" s="10" t="s">
        <v>1630</v>
      </c>
      <c r="F250" s="11" t="s">
        <v>112</v>
      </c>
      <c r="G250" s="10" t="s">
        <v>2275</v>
      </c>
      <c r="H250" s="10" t="s">
        <v>2326</v>
      </c>
      <c r="I250" s="10" t="s">
        <v>1039</v>
      </c>
      <c r="J250" s="10" t="s">
        <v>1030</v>
      </c>
      <c r="K250" s="10" t="s">
        <v>1031</v>
      </c>
      <c r="L250" s="10" t="s">
        <v>1247</v>
      </c>
      <c r="M250" s="10" t="s">
        <v>114</v>
      </c>
      <c r="N250" s="13" t="s">
        <v>1041</v>
      </c>
    </row>
    <row r="251" spans="1:14" s="1" customFormat="1" ht="17.100000000000001" customHeight="1" x14ac:dyDescent="0.25">
      <c r="A251" s="9" t="s">
        <v>1600</v>
      </c>
      <c r="B251" s="10" t="s">
        <v>1607</v>
      </c>
      <c r="C251" s="10">
        <v>2009</v>
      </c>
      <c r="D251" s="11" t="s">
        <v>2260</v>
      </c>
      <c r="E251" s="10" t="s">
        <v>1630</v>
      </c>
      <c r="F251" s="11" t="s">
        <v>112</v>
      </c>
      <c r="G251" s="10" t="s">
        <v>2275</v>
      </c>
      <c r="H251" s="10" t="s">
        <v>2326</v>
      </c>
      <c r="I251" s="10" t="s">
        <v>1493</v>
      </c>
      <c r="J251" s="10" t="s">
        <v>1030</v>
      </c>
      <c r="K251" s="12" t="s">
        <v>1037</v>
      </c>
      <c r="L251" s="10" t="s">
        <v>1247</v>
      </c>
      <c r="M251" s="10" t="s">
        <v>114</v>
      </c>
      <c r="N251" s="13" t="s">
        <v>1072</v>
      </c>
    </row>
    <row r="252" spans="1:14" s="1" customFormat="1" ht="17.100000000000001" customHeight="1" x14ac:dyDescent="0.25">
      <c r="A252" s="9" t="s">
        <v>201</v>
      </c>
      <c r="B252" s="10" t="s">
        <v>825</v>
      </c>
      <c r="C252" s="10">
        <v>2018</v>
      </c>
      <c r="D252" s="11" t="s">
        <v>1696</v>
      </c>
      <c r="E252" s="10" t="s">
        <v>1630</v>
      </c>
      <c r="F252" s="11" t="s">
        <v>192</v>
      </c>
      <c r="G252" s="10" t="s">
        <v>1054</v>
      </c>
      <c r="H252" s="10" t="s">
        <v>2341</v>
      </c>
      <c r="I252" s="12" t="s">
        <v>1039</v>
      </c>
      <c r="J252" s="10" t="s">
        <v>1030</v>
      </c>
      <c r="K252" s="10" t="s">
        <v>1031</v>
      </c>
      <c r="L252" s="10" t="s">
        <v>1042</v>
      </c>
      <c r="M252" s="12" t="s">
        <v>1055</v>
      </c>
      <c r="N252" s="14" t="s">
        <v>1035</v>
      </c>
    </row>
    <row r="253" spans="1:14" s="1" customFormat="1" ht="17.100000000000001" customHeight="1" x14ac:dyDescent="0.25">
      <c r="A253" s="9" t="s">
        <v>1245</v>
      </c>
      <c r="B253" s="10" t="s">
        <v>1246</v>
      </c>
      <c r="C253" s="10">
        <v>2020</v>
      </c>
      <c r="D253" s="11" t="s">
        <v>2109</v>
      </c>
      <c r="E253" s="10" t="s">
        <v>1630</v>
      </c>
      <c r="F253" s="11" t="s">
        <v>192</v>
      </c>
      <c r="G253" s="10" t="s">
        <v>2267</v>
      </c>
      <c r="H253" s="10" t="s">
        <v>2336</v>
      </c>
      <c r="I253" s="10" t="s">
        <v>1039</v>
      </c>
      <c r="J253" s="10" t="s">
        <v>1030</v>
      </c>
      <c r="K253" s="10" t="s">
        <v>1031</v>
      </c>
      <c r="L253" s="10" t="s">
        <v>1247</v>
      </c>
      <c r="M253" s="10" t="s">
        <v>114</v>
      </c>
      <c r="N253" s="13" t="s">
        <v>1035</v>
      </c>
    </row>
    <row r="254" spans="1:14" s="1" customFormat="1" ht="17.100000000000001" customHeight="1" x14ac:dyDescent="0.25">
      <c r="A254" s="9" t="s">
        <v>777</v>
      </c>
      <c r="B254" s="10" t="s">
        <v>907</v>
      </c>
      <c r="C254" s="10">
        <v>2021</v>
      </c>
      <c r="D254" s="11" t="s">
        <v>1878</v>
      </c>
      <c r="E254" s="10" t="s">
        <v>1630</v>
      </c>
      <c r="F254" s="11" t="s">
        <v>192</v>
      </c>
      <c r="G254" s="10" t="s">
        <v>1028</v>
      </c>
      <c r="H254" s="10" t="s">
        <v>2336</v>
      </c>
      <c r="I254" s="12" t="s">
        <v>1029</v>
      </c>
      <c r="J254" s="12" t="s">
        <v>1030</v>
      </c>
      <c r="K254" s="12" t="s">
        <v>1037</v>
      </c>
      <c r="L254" s="10" t="s">
        <v>1032</v>
      </c>
      <c r="M254" s="10" t="s">
        <v>1116</v>
      </c>
      <c r="N254" s="13" t="s">
        <v>1035</v>
      </c>
    </row>
    <row r="255" spans="1:14" s="1" customFormat="1" ht="17.100000000000001" customHeight="1" x14ac:dyDescent="0.25">
      <c r="A255" s="9" t="s">
        <v>486</v>
      </c>
      <c r="B255" s="10" t="s">
        <v>856</v>
      </c>
      <c r="C255" s="10">
        <v>2019</v>
      </c>
      <c r="D255" s="11" t="s">
        <v>1659</v>
      </c>
      <c r="E255" s="10" t="s">
        <v>1630</v>
      </c>
      <c r="F255" s="11" t="s">
        <v>192</v>
      </c>
      <c r="G255" s="10" t="s">
        <v>2266</v>
      </c>
      <c r="H255" s="10" t="s">
        <v>2337</v>
      </c>
      <c r="I255" s="12" t="s">
        <v>1039</v>
      </c>
      <c r="J255" s="10" t="s">
        <v>1040</v>
      </c>
      <c r="K255" s="12" t="s">
        <v>1037</v>
      </c>
      <c r="L255" s="10" t="s">
        <v>1032</v>
      </c>
      <c r="M255" s="12" t="s">
        <v>114</v>
      </c>
      <c r="N255" s="14" t="s">
        <v>1035</v>
      </c>
    </row>
    <row r="256" spans="1:14" s="1" customFormat="1" ht="17.100000000000001" customHeight="1" x14ac:dyDescent="0.25">
      <c r="A256" s="9" t="s">
        <v>882</v>
      </c>
      <c r="B256" s="10" t="s">
        <v>883</v>
      </c>
      <c r="C256" s="10">
        <v>2020</v>
      </c>
      <c r="D256" s="11" t="s">
        <v>1896</v>
      </c>
      <c r="E256" s="10" t="s">
        <v>1630</v>
      </c>
      <c r="F256" s="11" t="s">
        <v>192</v>
      </c>
      <c r="G256" s="10" t="s">
        <v>2266</v>
      </c>
      <c r="H256" s="10" t="s">
        <v>2369</v>
      </c>
      <c r="I256" s="12" t="s">
        <v>1029</v>
      </c>
      <c r="J256" s="12" t="s">
        <v>1040</v>
      </c>
      <c r="K256" s="10" t="s">
        <v>1031</v>
      </c>
      <c r="L256" s="10" t="s">
        <v>1032</v>
      </c>
      <c r="M256" s="10" t="s">
        <v>1152</v>
      </c>
      <c r="N256" s="14" t="s">
        <v>1035</v>
      </c>
    </row>
    <row r="257" spans="1:14" s="1" customFormat="1" ht="17.100000000000001" customHeight="1" x14ac:dyDescent="0.25">
      <c r="A257" s="9" t="s">
        <v>481</v>
      </c>
      <c r="B257" s="10" t="s">
        <v>853</v>
      </c>
      <c r="C257" s="10">
        <v>2019</v>
      </c>
      <c r="D257" s="11" t="s">
        <v>1669</v>
      </c>
      <c r="E257" s="10" t="s">
        <v>1630</v>
      </c>
      <c r="F257" s="11" t="s">
        <v>192</v>
      </c>
      <c r="G257" s="10" t="s">
        <v>2266</v>
      </c>
      <c r="H257" s="10" t="s">
        <v>2370</v>
      </c>
      <c r="I257" s="12" t="s">
        <v>1029</v>
      </c>
      <c r="J257" s="10" t="s">
        <v>1030</v>
      </c>
      <c r="K257" s="10" t="s">
        <v>1031</v>
      </c>
      <c r="L257" s="10" t="s">
        <v>1032</v>
      </c>
      <c r="M257" s="12" t="s">
        <v>114</v>
      </c>
      <c r="N257" s="14" t="s">
        <v>1035</v>
      </c>
    </row>
    <row r="258" spans="1:14" s="1" customFormat="1" ht="17.100000000000001" customHeight="1" x14ac:dyDescent="0.25">
      <c r="A258" s="9" t="s">
        <v>1303</v>
      </c>
      <c r="B258" s="10" t="s">
        <v>1304</v>
      </c>
      <c r="C258" s="10">
        <v>2014</v>
      </c>
      <c r="D258" s="11" t="s">
        <v>2129</v>
      </c>
      <c r="E258" s="10" t="s">
        <v>1630</v>
      </c>
      <c r="F258" s="11" t="s">
        <v>192</v>
      </c>
      <c r="G258" s="10" t="s">
        <v>2275</v>
      </c>
      <c r="H258" s="10" t="s">
        <v>2371</v>
      </c>
      <c r="I258" s="10" t="s">
        <v>1039</v>
      </c>
      <c r="J258" s="10" t="s">
        <v>1040</v>
      </c>
      <c r="K258" s="12" t="s">
        <v>1037</v>
      </c>
      <c r="L258" s="10" t="s">
        <v>1247</v>
      </c>
      <c r="M258" s="10" t="s">
        <v>114</v>
      </c>
      <c r="N258" s="13" t="s">
        <v>1035</v>
      </c>
    </row>
    <row r="259" spans="1:14" s="1" customFormat="1" ht="17.100000000000001" customHeight="1" x14ac:dyDescent="0.25">
      <c r="A259" s="9" t="s">
        <v>1290</v>
      </c>
      <c r="B259" s="10" t="s">
        <v>1291</v>
      </c>
      <c r="C259" s="10">
        <v>2017</v>
      </c>
      <c r="D259" s="11" t="s">
        <v>2125</v>
      </c>
      <c r="E259" s="10" t="s">
        <v>1630</v>
      </c>
      <c r="F259" s="11" t="s">
        <v>192</v>
      </c>
      <c r="G259" s="10" t="s">
        <v>1544</v>
      </c>
      <c r="H259" s="10" t="s">
        <v>2371</v>
      </c>
      <c r="I259" s="10" t="s">
        <v>1039</v>
      </c>
      <c r="J259" s="10" t="s">
        <v>1030</v>
      </c>
      <c r="K259" s="10" t="s">
        <v>1031</v>
      </c>
      <c r="L259" s="10" t="s">
        <v>1247</v>
      </c>
      <c r="M259" s="10" t="s">
        <v>1075</v>
      </c>
      <c r="N259" s="13" t="s">
        <v>1035</v>
      </c>
    </row>
    <row r="260" spans="1:14" s="1" customFormat="1" ht="17.100000000000001" customHeight="1" x14ac:dyDescent="0.25">
      <c r="A260" s="9" t="s">
        <v>194</v>
      </c>
      <c r="B260" s="10" t="s">
        <v>819</v>
      </c>
      <c r="C260" s="10">
        <v>2017</v>
      </c>
      <c r="D260" s="11" t="s">
        <v>1829</v>
      </c>
      <c r="E260" s="10" t="s">
        <v>1630</v>
      </c>
      <c r="F260" s="11" t="s">
        <v>192</v>
      </c>
      <c r="G260" s="10" t="s">
        <v>1174</v>
      </c>
      <c r="H260" s="10" t="s">
        <v>2326</v>
      </c>
      <c r="I260" s="12" t="s">
        <v>1029</v>
      </c>
      <c r="J260" s="10" t="s">
        <v>1030</v>
      </c>
      <c r="K260" s="10" t="s">
        <v>1031</v>
      </c>
      <c r="L260" s="10" t="s">
        <v>1032</v>
      </c>
      <c r="M260" s="12" t="s">
        <v>114</v>
      </c>
      <c r="N260" s="13" t="s">
        <v>1034</v>
      </c>
    </row>
    <row r="261" spans="1:14" s="1" customFormat="1" ht="17.100000000000001" customHeight="1" x14ac:dyDescent="0.25">
      <c r="A261" s="9" t="s">
        <v>561</v>
      </c>
      <c r="B261" s="10" t="s">
        <v>886</v>
      </c>
      <c r="C261" s="10">
        <v>2022</v>
      </c>
      <c r="D261" s="11" t="s">
        <v>1855</v>
      </c>
      <c r="E261" s="10" t="s">
        <v>1630</v>
      </c>
      <c r="F261" s="11" t="s">
        <v>192</v>
      </c>
      <c r="G261" s="10" t="s">
        <v>1054</v>
      </c>
      <c r="H261" s="10" t="s">
        <v>2326</v>
      </c>
      <c r="I261" s="12" t="s">
        <v>1039</v>
      </c>
      <c r="J261" s="10" t="s">
        <v>1030</v>
      </c>
      <c r="K261" s="12" t="s">
        <v>1037</v>
      </c>
      <c r="L261" s="10" t="s">
        <v>2399</v>
      </c>
      <c r="M261" s="10" t="s">
        <v>1153</v>
      </c>
      <c r="N261" s="14" t="s">
        <v>1035</v>
      </c>
    </row>
    <row r="262" spans="1:14" s="1" customFormat="1" ht="17.100000000000001" customHeight="1" x14ac:dyDescent="0.25">
      <c r="A262" s="9" t="s">
        <v>1337</v>
      </c>
      <c r="B262" s="10" t="s">
        <v>1338</v>
      </c>
      <c r="C262" s="10">
        <v>2018</v>
      </c>
      <c r="D262" s="11" t="s">
        <v>2143</v>
      </c>
      <c r="E262" s="10" t="s">
        <v>1630</v>
      </c>
      <c r="F262" s="11" t="s">
        <v>192</v>
      </c>
      <c r="G262" s="10" t="s">
        <v>1094</v>
      </c>
      <c r="H262" s="10" t="s">
        <v>2326</v>
      </c>
      <c r="I262" s="10" t="s">
        <v>1039</v>
      </c>
      <c r="J262" s="10" t="s">
        <v>1030</v>
      </c>
      <c r="K262" s="10" t="s">
        <v>1031</v>
      </c>
      <c r="L262" s="10" t="s">
        <v>1032</v>
      </c>
      <c r="M262" s="10" t="s">
        <v>1339</v>
      </c>
      <c r="N262" s="13" t="s">
        <v>1034</v>
      </c>
    </row>
    <row r="263" spans="1:14" s="1" customFormat="1" ht="17.100000000000001" customHeight="1" x14ac:dyDescent="0.25">
      <c r="A263" s="9" t="s">
        <v>1334</v>
      </c>
      <c r="B263" s="10" t="s">
        <v>1335</v>
      </c>
      <c r="C263" s="10">
        <v>2019</v>
      </c>
      <c r="D263" s="11" t="s">
        <v>2142</v>
      </c>
      <c r="E263" s="10" t="s">
        <v>1630</v>
      </c>
      <c r="F263" s="11" t="s">
        <v>192</v>
      </c>
      <c r="G263" s="10" t="s">
        <v>1094</v>
      </c>
      <c r="H263" s="10" t="s">
        <v>2326</v>
      </c>
      <c r="I263" s="10" t="s">
        <v>1039</v>
      </c>
      <c r="J263" s="10" t="s">
        <v>1040</v>
      </c>
      <c r="K263" s="10" t="s">
        <v>1031</v>
      </c>
      <c r="L263" s="10" t="s">
        <v>1032</v>
      </c>
      <c r="M263" s="10" t="s">
        <v>1336</v>
      </c>
      <c r="N263" s="13" t="s">
        <v>1034</v>
      </c>
    </row>
    <row r="264" spans="1:14" s="1" customFormat="1" ht="17.100000000000001" customHeight="1" x14ac:dyDescent="0.25">
      <c r="A264" s="9" t="s">
        <v>480</v>
      </c>
      <c r="B264" s="10" t="s">
        <v>852</v>
      </c>
      <c r="C264" s="10">
        <v>2019</v>
      </c>
      <c r="D264" s="11" t="s">
        <v>1658</v>
      </c>
      <c r="E264" s="10" t="s">
        <v>1630</v>
      </c>
      <c r="F264" s="11" t="s">
        <v>192</v>
      </c>
      <c r="G264" s="10" t="s">
        <v>2266</v>
      </c>
      <c r="H264" s="10" t="s">
        <v>2326</v>
      </c>
      <c r="I264" s="12" t="s">
        <v>1029</v>
      </c>
      <c r="J264" s="10" t="s">
        <v>1693</v>
      </c>
      <c r="K264" s="10" t="s">
        <v>1031</v>
      </c>
      <c r="L264" s="10" t="s">
        <v>1032</v>
      </c>
      <c r="M264" s="12" t="s">
        <v>1055</v>
      </c>
      <c r="N264" s="14" t="s">
        <v>1035</v>
      </c>
    </row>
    <row r="265" spans="1:14" s="1" customFormat="1" ht="17.100000000000001" customHeight="1" x14ac:dyDescent="0.25">
      <c r="A265" s="9" t="s">
        <v>1311</v>
      </c>
      <c r="B265" s="10" t="s">
        <v>1312</v>
      </c>
      <c r="C265" s="10">
        <v>2015</v>
      </c>
      <c r="D265" s="11" t="s">
        <v>2132</v>
      </c>
      <c r="E265" s="10" t="s">
        <v>1630</v>
      </c>
      <c r="F265" s="11" t="s">
        <v>192</v>
      </c>
      <c r="G265" s="10" t="s">
        <v>2275</v>
      </c>
      <c r="H265" s="10" t="s">
        <v>2326</v>
      </c>
      <c r="I265" s="10" t="s">
        <v>1039</v>
      </c>
      <c r="J265" s="10" t="s">
        <v>1030</v>
      </c>
      <c r="K265" s="10" t="s">
        <v>1031</v>
      </c>
      <c r="L265" s="10" t="s">
        <v>1247</v>
      </c>
      <c r="M265" s="10" t="s">
        <v>1307</v>
      </c>
      <c r="N265" s="13" t="s">
        <v>1034</v>
      </c>
    </row>
    <row r="266" spans="1:14" s="1" customFormat="1" ht="17.100000000000001" customHeight="1" x14ac:dyDescent="0.25">
      <c r="A266" s="9" t="s">
        <v>1305</v>
      </c>
      <c r="B266" s="10" t="s">
        <v>1306</v>
      </c>
      <c r="C266" s="10">
        <v>2018</v>
      </c>
      <c r="D266" s="11" t="s">
        <v>2130</v>
      </c>
      <c r="E266" s="10" t="s">
        <v>1630</v>
      </c>
      <c r="F266" s="11" t="s">
        <v>192</v>
      </c>
      <c r="G266" s="10" t="s">
        <v>2266</v>
      </c>
      <c r="H266" s="10" t="s">
        <v>2350</v>
      </c>
      <c r="I266" s="10" t="s">
        <v>1039</v>
      </c>
      <c r="J266" s="10" t="s">
        <v>1030</v>
      </c>
      <c r="K266" s="10" t="s">
        <v>1031</v>
      </c>
      <c r="L266" s="10" t="s">
        <v>1247</v>
      </c>
      <c r="M266" s="10" t="s">
        <v>1307</v>
      </c>
      <c r="N266" s="13" t="s">
        <v>1034</v>
      </c>
    </row>
    <row r="267" spans="1:14" s="1" customFormat="1" ht="17.100000000000001" customHeight="1" x14ac:dyDescent="0.25">
      <c r="A267" s="9" t="s">
        <v>202</v>
      </c>
      <c r="B267" s="10" t="s">
        <v>826</v>
      </c>
      <c r="C267" s="10">
        <v>2014</v>
      </c>
      <c r="D267" s="11" t="s">
        <v>2087</v>
      </c>
      <c r="E267" s="10" t="s">
        <v>1630</v>
      </c>
      <c r="F267" s="11" t="s">
        <v>192</v>
      </c>
      <c r="G267" s="10" t="s">
        <v>1054</v>
      </c>
      <c r="H267" s="10" t="s">
        <v>2382</v>
      </c>
      <c r="I267" s="12" t="s">
        <v>1039</v>
      </c>
      <c r="J267" s="10" t="s">
        <v>1030</v>
      </c>
      <c r="K267" s="10" t="s">
        <v>1031</v>
      </c>
      <c r="L267" s="10" t="s">
        <v>1247</v>
      </c>
      <c r="M267" s="12" t="s">
        <v>114</v>
      </c>
      <c r="N267" s="14" t="s">
        <v>1035</v>
      </c>
    </row>
    <row r="268" spans="1:14" s="1" customFormat="1" ht="17.100000000000001" customHeight="1" x14ac:dyDescent="0.25">
      <c r="A268" s="9" t="s">
        <v>191</v>
      </c>
      <c r="B268" s="10" t="s">
        <v>817</v>
      </c>
      <c r="C268" s="10">
        <v>2017</v>
      </c>
      <c r="D268" s="11" t="s">
        <v>2000</v>
      </c>
      <c r="E268" s="10" t="s">
        <v>1630</v>
      </c>
      <c r="F268" s="11" t="s">
        <v>192</v>
      </c>
      <c r="G268" s="10" t="s">
        <v>1066</v>
      </c>
      <c r="H268" s="10" t="s">
        <v>1161</v>
      </c>
      <c r="I268" s="12" t="s">
        <v>1029</v>
      </c>
      <c r="J268" s="10" t="s">
        <v>1052</v>
      </c>
      <c r="K268" s="12" t="s">
        <v>1037</v>
      </c>
      <c r="L268" s="10" t="s">
        <v>1032</v>
      </c>
      <c r="M268" s="12" t="s">
        <v>114</v>
      </c>
      <c r="N268" s="14" t="s">
        <v>1035</v>
      </c>
    </row>
    <row r="269" spans="1:14" s="1" customFormat="1" ht="17.100000000000001" customHeight="1" x14ac:dyDescent="0.25">
      <c r="A269" s="9" t="s">
        <v>563</v>
      </c>
      <c r="B269" s="10" t="s">
        <v>891</v>
      </c>
      <c r="C269" s="10">
        <v>2021</v>
      </c>
      <c r="D269" s="11" t="s">
        <v>1875</v>
      </c>
      <c r="E269" s="10" t="s">
        <v>1630</v>
      </c>
      <c r="F269" s="11" t="s">
        <v>192</v>
      </c>
      <c r="G269" s="10" t="s">
        <v>2275</v>
      </c>
      <c r="H269" s="10" t="s">
        <v>1161</v>
      </c>
      <c r="I269" s="12" t="s">
        <v>1039</v>
      </c>
      <c r="J269" s="10" t="s">
        <v>1030</v>
      </c>
      <c r="K269" s="10" t="s">
        <v>1031</v>
      </c>
      <c r="L269" s="10" t="s">
        <v>1042</v>
      </c>
      <c r="M269" s="12" t="s">
        <v>114</v>
      </c>
      <c r="N269" s="14" t="s">
        <v>1035</v>
      </c>
    </row>
    <row r="270" spans="1:14" s="1" customFormat="1" ht="17.100000000000001" customHeight="1" x14ac:dyDescent="0.25">
      <c r="A270" s="9" t="s">
        <v>1287</v>
      </c>
      <c r="B270" s="10" t="s">
        <v>1288</v>
      </c>
      <c r="C270" s="10">
        <v>2015</v>
      </c>
      <c r="D270" s="11" t="s">
        <v>2124</v>
      </c>
      <c r="E270" s="10" t="s">
        <v>1630</v>
      </c>
      <c r="F270" s="11" t="s">
        <v>192</v>
      </c>
      <c r="G270" s="10" t="s">
        <v>2275</v>
      </c>
      <c r="H270" s="10" t="s">
        <v>1289</v>
      </c>
      <c r="I270" s="10" t="s">
        <v>1039</v>
      </c>
      <c r="J270" s="10" t="s">
        <v>1030</v>
      </c>
      <c r="K270" s="10" t="s">
        <v>1031</v>
      </c>
      <c r="L270" s="10" t="s">
        <v>1247</v>
      </c>
      <c r="M270" s="10" t="s">
        <v>114</v>
      </c>
      <c r="N270" s="13" t="s">
        <v>1035</v>
      </c>
    </row>
    <row r="271" spans="1:14" s="1" customFormat="1" ht="17.100000000000001" customHeight="1" x14ac:dyDescent="0.25">
      <c r="A271" s="9" t="s">
        <v>1292</v>
      </c>
      <c r="B271" s="10" t="s">
        <v>1293</v>
      </c>
      <c r="C271" s="10">
        <v>2021</v>
      </c>
      <c r="D271" s="11" t="s">
        <v>2124</v>
      </c>
      <c r="E271" s="10" t="s">
        <v>1630</v>
      </c>
      <c r="F271" s="11" t="s">
        <v>192</v>
      </c>
      <c r="G271" s="10" t="s">
        <v>2275</v>
      </c>
      <c r="H271" s="10" t="s">
        <v>1289</v>
      </c>
      <c r="I271" s="10" t="s">
        <v>1039</v>
      </c>
      <c r="J271" s="10" t="s">
        <v>1030</v>
      </c>
      <c r="K271" s="10" t="s">
        <v>1031</v>
      </c>
      <c r="L271" s="10" t="s">
        <v>1247</v>
      </c>
      <c r="M271" s="10" t="s">
        <v>114</v>
      </c>
      <c r="N271" s="13" t="s">
        <v>1035</v>
      </c>
    </row>
    <row r="272" spans="1:14" s="1" customFormat="1" ht="17.100000000000001" customHeight="1" x14ac:dyDescent="0.25">
      <c r="A272" s="9" t="s">
        <v>195</v>
      </c>
      <c r="B272" s="10" t="s">
        <v>820</v>
      </c>
      <c r="C272" s="10">
        <v>2018</v>
      </c>
      <c r="D272" s="11" t="s">
        <v>1960</v>
      </c>
      <c r="E272" s="10" t="s">
        <v>1630</v>
      </c>
      <c r="F272" s="11" t="s">
        <v>192</v>
      </c>
      <c r="G272" s="10" t="s">
        <v>1054</v>
      </c>
      <c r="H272" s="10" t="s">
        <v>1057</v>
      </c>
      <c r="I272" s="12" t="s">
        <v>1039</v>
      </c>
      <c r="J272" s="10" t="s">
        <v>1030</v>
      </c>
      <c r="K272" s="10" t="s">
        <v>1031</v>
      </c>
      <c r="L272" s="10" t="s">
        <v>1247</v>
      </c>
      <c r="M272" s="12" t="s">
        <v>114</v>
      </c>
      <c r="N272" s="14" t="s">
        <v>1035</v>
      </c>
    </row>
    <row r="273" spans="1:14" s="1" customFormat="1" ht="17.100000000000001" customHeight="1" x14ac:dyDescent="0.25">
      <c r="A273" s="9" t="s">
        <v>200</v>
      </c>
      <c r="B273" s="10" t="s">
        <v>824</v>
      </c>
      <c r="C273" s="10">
        <v>2018</v>
      </c>
      <c r="D273" s="11" t="s">
        <v>1961</v>
      </c>
      <c r="E273" s="10" t="s">
        <v>1630</v>
      </c>
      <c r="F273" s="11" t="s">
        <v>192</v>
      </c>
      <c r="G273" s="10" t="s">
        <v>1054</v>
      </c>
      <c r="H273" s="10" t="s">
        <v>1057</v>
      </c>
      <c r="I273" s="12" t="s">
        <v>1039</v>
      </c>
      <c r="J273" s="10" t="s">
        <v>1036</v>
      </c>
      <c r="K273" s="10" t="s">
        <v>1031</v>
      </c>
      <c r="L273" s="10" t="s">
        <v>1247</v>
      </c>
      <c r="M273" s="10" t="s">
        <v>1195</v>
      </c>
      <c r="N273" s="14" t="s">
        <v>1035</v>
      </c>
    </row>
    <row r="274" spans="1:14" s="1" customFormat="1" ht="17.100000000000001" customHeight="1" x14ac:dyDescent="0.25">
      <c r="A274" s="9" t="s">
        <v>1340</v>
      </c>
      <c r="B274" s="10" t="s">
        <v>1341</v>
      </c>
      <c r="C274" s="10">
        <v>2022</v>
      </c>
      <c r="D274" s="11" t="s">
        <v>2144</v>
      </c>
      <c r="E274" s="10" t="s">
        <v>1630</v>
      </c>
      <c r="F274" s="11" t="s">
        <v>192</v>
      </c>
      <c r="G274" s="10" t="s">
        <v>2266</v>
      </c>
      <c r="H274" s="10" t="s">
        <v>1057</v>
      </c>
      <c r="I274" s="10" t="s">
        <v>1039</v>
      </c>
      <c r="J274" s="10" t="s">
        <v>1030</v>
      </c>
      <c r="K274" s="10" t="s">
        <v>1031</v>
      </c>
      <c r="L274" s="10" t="s">
        <v>1247</v>
      </c>
      <c r="M274" s="10" t="s">
        <v>1049</v>
      </c>
      <c r="N274" s="13" t="s">
        <v>1035</v>
      </c>
    </row>
    <row r="275" spans="1:14" s="1" customFormat="1" ht="17.100000000000001" customHeight="1" x14ac:dyDescent="0.25">
      <c r="A275" s="9" t="s">
        <v>484</v>
      </c>
      <c r="B275" s="10" t="s">
        <v>485</v>
      </c>
      <c r="C275" s="10">
        <v>2019</v>
      </c>
      <c r="D275" s="11" t="s">
        <v>1667</v>
      </c>
      <c r="E275" s="10" t="s">
        <v>1630</v>
      </c>
      <c r="F275" s="11" t="s">
        <v>192</v>
      </c>
      <c r="G275" s="10" t="s">
        <v>2266</v>
      </c>
      <c r="H275" s="10" t="s">
        <v>1057</v>
      </c>
      <c r="I275" s="10" t="s">
        <v>1493</v>
      </c>
      <c r="J275" s="10" t="s">
        <v>1030</v>
      </c>
      <c r="K275" s="10" t="s">
        <v>1031</v>
      </c>
      <c r="L275" s="10" t="s">
        <v>1032</v>
      </c>
      <c r="M275" s="12" t="s">
        <v>1055</v>
      </c>
      <c r="N275" s="14" t="s">
        <v>1035</v>
      </c>
    </row>
    <row r="276" spans="1:14" s="1" customFormat="1" ht="17.100000000000001" customHeight="1" x14ac:dyDescent="0.25">
      <c r="A276" s="9" t="s">
        <v>884</v>
      </c>
      <c r="B276" s="10" t="s">
        <v>885</v>
      </c>
      <c r="C276" s="10">
        <v>2021</v>
      </c>
      <c r="D276" s="11" t="s">
        <v>1968</v>
      </c>
      <c r="E276" s="10" t="s">
        <v>1630</v>
      </c>
      <c r="F276" s="11" t="s">
        <v>192</v>
      </c>
      <c r="G276" s="10" t="s">
        <v>2266</v>
      </c>
      <c r="H276" s="10" t="s">
        <v>1057</v>
      </c>
      <c r="I276" s="12" t="s">
        <v>1039</v>
      </c>
      <c r="J276" s="10" t="s">
        <v>1030</v>
      </c>
      <c r="K276" s="12" t="s">
        <v>1037</v>
      </c>
      <c r="L276" s="10" t="s">
        <v>1247</v>
      </c>
      <c r="M276" s="12" t="s">
        <v>114</v>
      </c>
      <c r="N276" s="13" t="s">
        <v>1041</v>
      </c>
    </row>
    <row r="277" spans="1:14" s="1" customFormat="1" ht="17.100000000000001" customHeight="1" x14ac:dyDescent="0.25">
      <c r="A277" s="9" t="s">
        <v>1283</v>
      </c>
      <c r="B277" s="10" t="s">
        <v>1284</v>
      </c>
      <c r="C277" s="10">
        <v>2022</v>
      </c>
      <c r="D277" s="11" t="s">
        <v>1874</v>
      </c>
      <c r="E277" s="10" t="s">
        <v>1630</v>
      </c>
      <c r="F277" s="11" t="s">
        <v>192</v>
      </c>
      <c r="G277" s="10" t="s">
        <v>2275</v>
      </c>
      <c r="H277" s="10" t="s">
        <v>1057</v>
      </c>
      <c r="I277" s="10" t="s">
        <v>1039</v>
      </c>
      <c r="J277" s="10" t="s">
        <v>1030</v>
      </c>
      <c r="K277" s="10" t="s">
        <v>1031</v>
      </c>
      <c r="L277" s="10" t="s">
        <v>1247</v>
      </c>
      <c r="M277" s="10" t="s">
        <v>1088</v>
      </c>
      <c r="N277" s="13" t="s">
        <v>1035</v>
      </c>
    </row>
    <row r="278" spans="1:14" s="1" customFormat="1" ht="17.100000000000001" customHeight="1" x14ac:dyDescent="0.25">
      <c r="A278" s="9" t="s">
        <v>482</v>
      </c>
      <c r="B278" s="10" t="s">
        <v>854</v>
      </c>
      <c r="C278" s="10">
        <v>2019</v>
      </c>
      <c r="D278" s="11" t="s">
        <v>1670</v>
      </c>
      <c r="E278" s="10" t="s">
        <v>1630</v>
      </c>
      <c r="F278" s="11" t="s">
        <v>192</v>
      </c>
      <c r="G278" s="10" t="s">
        <v>2275</v>
      </c>
      <c r="H278" s="10" t="s">
        <v>1057</v>
      </c>
      <c r="I278" s="12" t="s">
        <v>1039</v>
      </c>
      <c r="J278" s="10" t="s">
        <v>1030</v>
      </c>
      <c r="K278" s="10" t="s">
        <v>1031</v>
      </c>
      <c r="L278" s="10" t="s">
        <v>1032</v>
      </c>
      <c r="M278" s="12" t="s">
        <v>114</v>
      </c>
      <c r="N278" s="14" t="s">
        <v>1035</v>
      </c>
    </row>
    <row r="279" spans="1:14" s="1" customFormat="1" ht="17.100000000000001" customHeight="1" x14ac:dyDescent="0.25">
      <c r="A279" s="9" t="s">
        <v>562</v>
      </c>
      <c r="B279" s="10" t="s">
        <v>890</v>
      </c>
      <c r="C279" s="10">
        <v>2019</v>
      </c>
      <c r="D279" s="11" t="s">
        <v>1856</v>
      </c>
      <c r="E279" s="10" t="s">
        <v>1630</v>
      </c>
      <c r="F279" s="11" t="s">
        <v>192</v>
      </c>
      <c r="G279" s="10" t="s">
        <v>1028</v>
      </c>
      <c r="H279" s="10" t="s">
        <v>1057</v>
      </c>
      <c r="I279" s="12" t="s">
        <v>1039</v>
      </c>
      <c r="J279" s="12" t="s">
        <v>1040</v>
      </c>
      <c r="K279" s="10" t="s">
        <v>1031</v>
      </c>
      <c r="L279" s="10" t="s">
        <v>1247</v>
      </c>
      <c r="M279" s="12" t="s">
        <v>114</v>
      </c>
      <c r="N279" s="14" t="s">
        <v>1035</v>
      </c>
    </row>
    <row r="280" spans="1:14" s="1" customFormat="1" ht="17.100000000000001" customHeight="1" x14ac:dyDescent="0.25">
      <c r="A280" s="9" t="s">
        <v>1330</v>
      </c>
      <c r="B280" s="10" t="s">
        <v>1331</v>
      </c>
      <c r="C280" s="10">
        <v>2015</v>
      </c>
      <c r="D280" s="11" t="s">
        <v>2140</v>
      </c>
      <c r="E280" s="10" t="s">
        <v>1630</v>
      </c>
      <c r="F280" s="11" t="s">
        <v>192</v>
      </c>
      <c r="G280" s="10" t="s">
        <v>2272</v>
      </c>
      <c r="H280" s="10" t="s">
        <v>1057</v>
      </c>
      <c r="I280" s="10" t="s">
        <v>1039</v>
      </c>
      <c r="J280" s="10" t="s">
        <v>1030</v>
      </c>
      <c r="K280" s="10" t="s">
        <v>1031</v>
      </c>
      <c r="L280" s="10" t="s">
        <v>1247</v>
      </c>
      <c r="M280" s="10" t="s">
        <v>114</v>
      </c>
      <c r="N280" s="13" t="s">
        <v>1035</v>
      </c>
    </row>
    <row r="281" spans="1:14" s="1" customFormat="1" ht="17.100000000000001" customHeight="1" x14ac:dyDescent="0.25">
      <c r="A281" s="9" t="s">
        <v>198</v>
      </c>
      <c r="B281" s="10" t="s">
        <v>887</v>
      </c>
      <c r="C281" s="10">
        <v>2021</v>
      </c>
      <c r="D281" s="11" t="s">
        <v>2032</v>
      </c>
      <c r="E281" s="10" t="s">
        <v>1630</v>
      </c>
      <c r="F281" s="11" t="s">
        <v>192</v>
      </c>
      <c r="G281" s="12" t="s">
        <v>1028</v>
      </c>
      <c r="H281" s="10" t="s">
        <v>1217</v>
      </c>
      <c r="I281" s="10" t="s">
        <v>1493</v>
      </c>
      <c r="J281" s="10" t="s">
        <v>1030</v>
      </c>
      <c r="K281" s="12" t="s">
        <v>1037</v>
      </c>
      <c r="L281" s="10" t="s">
        <v>1247</v>
      </c>
      <c r="M281" s="12" t="s">
        <v>1055</v>
      </c>
      <c r="N281" s="14" t="s">
        <v>1035</v>
      </c>
    </row>
    <row r="282" spans="1:14" s="1" customFormat="1" ht="17.100000000000001" customHeight="1" x14ac:dyDescent="0.25">
      <c r="A282" s="9" t="s">
        <v>475</v>
      </c>
      <c r="B282" s="10" t="s">
        <v>849</v>
      </c>
      <c r="C282" s="10">
        <v>2019</v>
      </c>
      <c r="D282" s="11" t="s">
        <v>2050</v>
      </c>
      <c r="E282" s="10" t="s">
        <v>1630</v>
      </c>
      <c r="F282" s="11" t="s">
        <v>192</v>
      </c>
      <c r="G282" s="10" t="s">
        <v>2266</v>
      </c>
      <c r="H282" s="10" t="s">
        <v>1168</v>
      </c>
      <c r="I282" s="12" t="s">
        <v>1039</v>
      </c>
      <c r="J282" s="10" t="s">
        <v>1030</v>
      </c>
      <c r="K282" s="10" t="s">
        <v>1031</v>
      </c>
      <c r="L282" s="10" t="s">
        <v>1247</v>
      </c>
      <c r="M282" s="10" t="s">
        <v>1091</v>
      </c>
      <c r="N282" s="14" t="s">
        <v>1035</v>
      </c>
    </row>
    <row r="283" spans="1:14" s="1" customFormat="1" ht="17.100000000000001" customHeight="1" x14ac:dyDescent="0.25">
      <c r="A283" s="9" t="s">
        <v>474</v>
      </c>
      <c r="B283" s="10" t="s">
        <v>848</v>
      </c>
      <c r="C283" s="10">
        <v>2019</v>
      </c>
      <c r="D283" s="11" t="s">
        <v>1651</v>
      </c>
      <c r="E283" s="10" t="s">
        <v>1630</v>
      </c>
      <c r="F283" s="11" t="s">
        <v>192</v>
      </c>
      <c r="G283" s="10" t="s">
        <v>1028</v>
      </c>
      <c r="H283" s="10" t="s">
        <v>2423</v>
      </c>
      <c r="I283" s="12" t="s">
        <v>1029</v>
      </c>
      <c r="J283" s="10" t="s">
        <v>1030</v>
      </c>
      <c r="K283" s="10" t="s">
        <v>1031</v>
      </c>
      <c r="L283" s="10" t="s">
        <v>1032</v>
      </c>
      <c r="M283" s="12" t="s">
        <v>114</v>
      </c>
      <c r="N283" s="14" t="s">
        <v>1035</v>
      </c>
    </row>
    <row r="284" spans="1:14" s="1" customFormat="1" ht="17.100000000000001" customHeight="1" x14ac:dyDescent="0.25">
      <c r="A284" s="9" t="s">
        <v>1273</v>
      </c>
      <c r="B284" s="10" t="s">
        <v>1274</v>
      </c>
      <c r="C284" s="10">
        <v>2015</v>
      </c>
      <c r="D284" s="11" t="s">
        <v>2118</v>
      </c>
      <c r="E284" s="10" t="s">
        <v>1630</v>
      </c>
      <c r="F284" s="11" t="s">
        <v>192</v>
      </c>
      <c r="G284" s="10" t="s">
        <v>1538</v>
      </c>
      <c r="H284" s="10" t="s">
        <v>1230</v>
      </c>
      <c r="I284" s="10" t="s">
        <v>1039</v>
      </c>
      <c r="J284" s="10" t="s">
        <v>1030</v>
      </c>
      <c r="K284" s="10" t="s">
        <v>1031</v>
      </c>
      <c r="L284" s="10" t="s">
        <v>1247</v>
      </c>
      <c r="M284" s="10" t="s">
        <v>1049</v>
      </c>
      <c r="N284" s="13" t="s">
        <v>1035</v>
      </c>
    </row>
    <row r="285" spans="1:14" s="1" customFormat="1" ht="17.100000000000001" customHeight="1" x14ac:dyDescent="0.25">
      <c r="A285" s="9" t="s">
        <v>1279</v>
      </c>
      <c r="B285" s="10" t="s">
        <v>1280</v>
      </c>
      <c r="C285" s="10">
        <v>2021</v>
      </c>
      <c r="D285" s="11" t="s">
        <v>2121</v>
      </c>
      <c r="E285" s="10" t="s">
        <v>1630</v>
      </c>
      <c r="F285" s="11" t="s">
        <v>192</v>
      </c>
      <c r="G285" s="10" t="s">
        <v>1538</v>
      </c>
      <c r="H285" s="10" t="s">
        <v>1230</v>
      </c>
      <c r="I285" s="10" t="s">
        <v>1039</v>
      </c>
      <c r="J285" s="10" t="s">
        <v>1030</v>
      </c>
      <c r="K285" s="10" t="s">
        <v>1031</v>
      </c>
      <c r="L285" s="10" t="s">
        <v>1247</v>
      </c>
      <c r="M285" s="10" t="s">
        <v>114</v>
      </c>
      <c r="N285" s="13" t="s">
        <v>1035</v>
      </c>
    </row>
    <row r="286" spans="1:14" s="1" customFormat="1" ht="17.100000000000001" customHeight="1" x14ac:dyDescent="0.25">
      <c r="A286" s="9" t="s">
        <v>193</v>
      </c>
      <c r="B286" s="10" t="s">
        <v>818</v>
      </c>
      <c r="C286" s="10">
        <v>2018</v>
      </c>
      <c r="D286" s="11" t="s">
        <v>2057</v>
      </c>
      <c r="E286" s="10" t="s">
        <v>1630</v>
      </c>
      <c r="F286" s="11" t="s">
        <v>192</v>
      </c>
      <c r="G286" s="10" t="s">
        <v>1538</v>
      </c>
      <c r="H286" s="10" t="s">
        <v>1230</v>
      </c>
      <c r="I286" s="10" t="s">
        <v>1493</v>
      </c>
      <c r="J286" s="12" t="s">
        <v>1030</v>
      </c>
      <c r="K286" s="10" t="s">
        <v>1031</v>
      </c>
      <c r="L286" s="10" t="s">
        <v>1032</v>
      </c>
      <c r="M286" s="12" t="s">
        <v>114</v>
      </c>
      <c r="N286" s="14" t="s">
        <v>1035</v>
      </c>
    </row>
    <row r="287" spans="1:14" s="1" customFormat="1" ht="17.100000000000001" customHeight="1" x14ac:dyDescent="0.25">
      <c r="A287" s="9" t="s">
        <v>483</v>
      </c>
      <c r="B287" s="10" t="s">
        <v>855</v>
      </c>
      <c r="C287" s="10">
        <v>2019</v>
      </c>
      <c r="D287" s="11" t="s">
        <v>1673</v>
      </c>
      <c r="E287" s="10" t="s">
        <v>1630</v>
      </c>
      <c r="F287" s="11" t="s">
        <v>192</v>
      </c>
      <c r="G287" s="10" t="s">
        <v>1538</v>
      </c>
      <c r="H287" s="10" t="s">
        <v>1230</v>
      </c>
      <c r="I287" s="12" t="s">
        <v>1039</v>
      </c>
      <c r="J287" s="10" t="s">
        <v>1030</v>
      </c>
      <c r="K287" s="12" t="s">
        <v>1037</v>
      </c>
      <c r="L287" s="10" t="s">
        <v>1032</v>
      </c>
      <c r="M287" s="12" t="s">
        <v>114</v>
      </c>
      <c r="N287" s="14" t="s">
        <v>1035</v>
      </c>
    </row>
    <row r="288" spans="1:14" s="1" customFormat="1" ht="17.100000000000001" customHeight="1" x14ac:dyDescent="0.25">
      <c r="A288" s="9" t="s">
        <v>197</v>
      </c>
      <c r="B288" s="10" t="s">
        <v>822</v>
      </c>
      <c r="C288" s="10">
        <v>2016</v>
      </c>
      <c r="D288" s="11" t="s">
        <v>1736</v>
      </c>
      <c r="E288" s="10" t="s">
        <v>1630</v>
      </c>
      <c r="F288" s="11" t="s">
        <v>192</v>
      </c>
      <c r="G288" s="10" t="s">
        <v>1054</v>
      </c>
      <c r="H288" s="10" t="s">
        <v>2377</v>
      </c>
      <c r="I288" s="12" t="s">
        <v>1039</v>
      </c>
      <c r="J288" s="10" t="s">
        <v>1036</v>
      </c>
      <c r="K288" s="10" t="s">
        <v>1031</v>
      </c>
      <c r="L288" s="10" t="s">
        <v>1247</v>
      </c>
      <c r="M288" s="10" t="s">
        <v>1106</v>
      </c>
      <c r="N288" s="14" t="s">
        <v>1035</v>
      </c>
    </row>
    <row r="289" spans="1:14" s="1" customFormat="1" ht="17.100000000000001" customHeight="1" x14ac:dyDescent="0.25">
      <c r="A289" s="9" t="s">
        <v>775</v>
      </c>
      <c r="B289" s="10" t="s">
        <v>903</v>
      </c>
      <c r="C289" s="10">
        <v>2022</v>
      </c>
      <c r="D289" s="11" t="s">
        <v>1877</v>
      </c>
      <c r="E289" s="10" t="s">
        <v>1630</v>
      </c>
      <c r="F289" s="11" t="s">
        <v>192</v>
      </c>
      <c r="G289" s="10" t="s">
        <v>1028</v>
      </c>
      <c r="H289" s="10" t="s">
        <v>1161</v>
      </c>
      <c r="I289" s="12" t="s">
        <v>1029</v>
      </c>
      <c r="J289" s="12" t="s">
        <v>1040</v>
      </c>
      <c r="K289" s="10" t="s">
        <v>1031</v>
      </c>
      <c r="L289" s="10" t="s">
        <v>1032</v>
      </c>
      <c r="M289" s="12" t="s">
        <v>114</v>
      </c>
      <c r="N289" s="13" t="s">
        <v>1041</v>
      </c>
    </row>
    <row r="290" spans="1:14" s="1" customFormat="1" ht="17.100000000000001" customHeight="1" x14ac:dyDescent="0.25">
      <c r="A290" s="9" t="s">
        <v>905</v>
      </c>
      <c r="B290" s="10" t="s">
        <v>906</v>
      </c>
      <c r="C290" s="10">
        <v>2021</v>
      </c>
      <c r="D290" s="11" t="s">
        <v>2254</v>
      </c>
      <c r="E290" s="10" t="s">
        <v>1630</v>
      </c>
      <c r="F290" s="11" t="s">
        <v>192</v>
      </c>
      <c r="G290" s="10" t="s">
        <v>2266</v>
      </c>
      <c r="H290" s="10" t="s">
        <v>1180</v>
      </c>
      <c r="I290" s="10" t="s">
        <v>1039</v>
      </c>
      <c r="J290" s="10" t="s">
        <v>1030</v>
      </c>
      <c r="K290" s="10" t="s">
        <v>1031</v>
      </c>
      <c r="L290" s="10" t="s">
        <v>1247</v>
      </c>
      <c r="M290" s="10" t="s">
        <v>114</v>
      </c>
      <c r="N290" s="13" t="s">
        <v>1035</v>
      </c>
    </row>
    <row r="291" spans="1:14" s="1" customFormat="1" ht="17.100000000000001" customHeight="1" x14ac:dyDescent="0.25">
      <c r="A291" s="9" t="s">
        <v>776</v>
      </c>
      <c r="B291" s="10" t="s">
        <v>904</v>
      </c>
      <c r="C291" s="10">
        <v>2021</v>
      </c>
      <c r="D291" s="11" t="s">
        <v>2106</v>
      </c>
      <c r="E291" s="10" t="s">
        <v>1630</v>
      </c>
      <c r="F291" s="11" t="s">
        <v>192</v>
      </c>
      <c r="G291" s="10" t="s">
        <v>2266</v>
      </c>
      <c r="H291" s="10" t="s">
        <v>2380</v>
      </c>
      <c r="I291" s="12" t="s">
        <v>1039</v>
      </c>
      <c r="J291" s="10" t="s">
        <v>1030</v>
      </c>
      <c r="K291" s="10" t="s">
        <v>1031</v>
      </c>
      <c r="L291" s="10" t="s">
        <v>1247</v>
      </c>
      <c r="M291" s="10" t="s">
        <v>1244</v>
      </c>
      <c r="N291" s="13" t="s">
        <v>1035</v>
      </c>
    </row>
    <row r="292" spans="1:14" s="1" customFormat="1" ht="17.100000000000001" customHeight="1" x14ac:dyDescent="0.25">
      <c r="A292" s="9" t="s">
        <v>1308</v>
      </c>
      <c r="B292" s="10" t="s">
        <v>1309</v>
      </c>
      <c r="C292" s="10">
        <v>2020</v>
      </c>
      <c r="D292" s="11" t="s">
        <v>2131</v>
      </c>
      <c r="E292" s="10" t="s">
        <v>1630</v>
      </c>
      <c r="F292" s="11" t="s">
        <v>192</v>
      </c>
      <c r="G292" s="10" t="s">
        <v>2266</v>
      </c>
      <c r="H292" s="10" t="s">
        <v>1310</v>
      </c>
      <c r="I292" s="10" t="s">
        <v>1039</v>
      </c>
      <c r="J292" s="10" t="s">
        <v>1030</v>
      </c>
      <c r="K292" s="10" t="s">
        <v>1031</v>
      </c>
      <c r="L292" s="10" t="s">
        <v>1247</v>
      </c>
      <c r="M292" s="10" t="s">
        <v>1049</v>
      </c>
      <c r="N292" s="13" t="s">
        <v>1645</v>
      </c>
    </row>
    <row r="293" spans="1:14" s="1" customFormat="1" ht="17.100000000000001" customHeight="1" x14ac:dyDescent="0.25">
      <c r="A293" s="9" t="s">
        <v>473</v>
      </c>
      <c r="B293" s="10" t="s">
        <v>847</v>
      </c>
      <c r="C293" s="10">
        <v>2019</v>
      </c>
      <c r="D293" s="11" t="s">
        <v>1665</v>
      </c>
      <c r="E293" s="10" t="s">
        <v>1630</v>
      </c>
      <c r="F293" s="11" t="s">
        <v>192</v>
      </c>
      <c r="G293" s="10" t="s">
        <v>1028</v>
      </c>
      <c r="H293" s="10" t="s">
        <v>2320</v>
      </c>
      <c r="I293" s="12" t="s">
        <v>1039</v>
      </c>
      <c r="J293" s="10" t="s">
        <v>1036</v>
      </c>
      <c r="K293" s="10" t="s">
        <v>1031</v>
      </c>
      <c r="L293" s="10" t="s">
        <v>1032</v>
      </c>
      <c r="M293" s="12" t="s">
        <v>114</v>
      </c>
      <c r="N293" s="14" t="s">
        <v>1035</v>
      </c>
    </row>
    <row r="294" spans="1:14" s="1" customFormat="1" ht="17.100000000000001" customHeight="1" x14ac:dyDescent="0.25">
      <c r="A294" s="9" t="s">
        <v>888</v>
      </c>
      <c r="B294" s="10" t="s">
        <v>889</v>
      </c>
      <c r="C294" s="10">
        <v>2021</v>
      </c>
      <c r="D294" s="11" t="s">
        <v>2255</v>
      </c>
      <c r="E294" s="10" t="s">
        <v>1630</v>
      </c>
      <c r="F294" s="11" t="s">
        <v>192</v>
      </c>
      <c r="G294" s="10" t="s">
        <v>1094</v>
      </c>
      <c r="H294" s="10" t="s">
        <v>1594</v>
      </c>
      <c r="I294" s="10" t="s">
        <v>1039</v>
      </c>
      <c r="J294" s="10" t="s">
        <v>1030</v>
      </c>
      <c r="K294" s="10" t="s">
        <v>1031</v>
      </c>
      <c r="L294" s="10" t="s">
        <v>1032</v>
      </c>
      <c r="M294" s="10" t="s">
        <v>1595</v>
      </c>
      <c r="N294" s="13" t="s">
        <v>1034</v>
      </c>
    </row>
    <row r="295" spans="1:14" s="1" customFormat="1" ht="17.100000000000001" customHeight="1" x14ac:dyDescent="0.25">
      <c r="A295" s="9" t="s">
        <v>199</v>
      </c>
      <c r="B295" s="10" t="s">
        <v>823</v>
      </c>
      <c r="C295" s="10">
        <v>2015</v>
      </c>
      <c r="D295" s="11" t="s">
        <v>1976</v>
      </c>
      <c r="E295" s="10" t="s">
        <v>1630</v>
      </c>
      <c r="F295" s="11" t="s">
        <v>192</v>
      </c>
      <c r="G295" s="12" t="s">
        <v>2280</v>
      </c>
      <c r="H295" s="10" t="s">
        <v>2375</v>
      </c>
      <c r="I295" s="12" t="s">
        <v>1039</v>
      </c>
      <c r="J295" s="10" t="s">
        <v>1036</v>
      </c>
      <c r="K295" s="10" t="s">
        <v>1031</v>
      </c>
      <c r="L295" s="10" t="s">
        <v>1032</v>
      </c>
      <c r="M295" s="12" t="s">
        <v>114</v>
      </c>
      <c r="N295" s="14" t="s">
        <v>1035</v>
      </c>
    </row>
    <row r="296" spans="1:14" s="1" customFormat="1" ht="17.100000000000001" customHeight="1" x14ac:dyDescent="0.25">
      <c r="A296" s="9" t="s">
        <v>196</v>
      </c>
      <c r="B296" s="10" t="s">
        <v>821</v>
      </c>
      <c r="C296" s="10">
        <v>2017</v>
      </c>
      <c r="D296" s="11" t="s">
        <v>1917</v>
      </c>
      <c r="E296" s="10" t="s">
        <v>1630</v>
      </c>
      <c r="F296" s="11" t="s">
        <v>192</v>
      </c>
      <c r="G296" s="10" t="s">
        <v>1182</v>
      </c>
      <c r="H296" s="10" t="s">
        <v>2331</v>
      </c>
      <c r="I296" s="12" t="s">
        <v>1039</v>
      </c>
      <c r="J296" s="10" t="s">
        <v>1036</v>
      </c>
      <c r="K296" s="10" t="s">
        <v>1031</v>
      </c>
      <c r="L296" s="10" t="s">
        <v>2400</v>
      </c>
      <c r="M296" s="10" t="s">
        <v>1108</v>
      </c>
      <c r="N296" s="14" t="s">
        <v>1035</v>
      </c>
    </row>
    <row r="297" spans="1:14" s="1" customFormat="1" ht="17.100000000000001" customHeight="1" x14ac:dyDescent="0.25">
      <c r="A297" s="9" t="s">
        <v>568</v>
      </c>
      <c r="B297" s="10" t="s">
        <v>851</v>
      </c>
      <c r="C297" s="10">
        <v>2021</v>
      </c>
      <c r="D297" s="11" t="s">
        <v>1898</v>
      </c>
      <c r="E297" s="10" t="s">
        <v>1630</v>
      </c>
      <c r="F297" s="11" t="s">
        <v>289</v>
      </c>
      <c r="G297" s="10" t="s">
        <v>2266</v>
      </c>
      <c r="H297" s="10" t="s">
        <v>2337</v>
      </c>
      <c r="I297" s="12" t="s">
        <v>1039</v>
      </c>
      <c r="J297" s="10" t="s">
        <v>1030</v>
      </c>
      <c r="K297" s="10" t="s">
        <v>1031</v>
      </c>
      <c r="L297" s="10" t="s">
        <v>1042</v>
      </c>
      <c r="M297" s="12" t="s">
        <v>114</v>
      </c>
      <c r="N297" s="13" t="s">
        <v>1041</v>
      </c>
    </row>
    <row r="298" spans="1:14" s="1" customFormat="1" ht="17.100000000000001" customHeight="1" x14ac:dyDescent="0.25">
      <c r="A298" s="9" t="s">
        <v>567</v>
      </c>
      <c r="B298" s="10" t="s">
        <v>895</v>
      </c>
      <c r="C298" s="10">
        <v>2019</v>
      </c>
      <c r="D298" s="11" t="s">
        <v>1897</v>
      </c>
      <c r="E298" s="10" t="s">
        <v>1630</v>
      </c>
      <c r="F298" s="11" t="s">
        <v>289</v>
      </c>
      <c r="G298" s="10" t="s">
        <v>2266</v>
      </c>
      <c r="H298" s="10" t="s">
        <v>2326</v>
      </c>
      <c r="I298" s="12" t="s">
        <v>1029</v>
      </c>
      <c r="J298" s="12" t="s">
        <v>1040</v>
      </c>
      <c r="K298" s="10" t="s">
        <v>1031</v>
      </c>
      <c r="L298" s="10" t="s">
        <v>1032</v>
      </c>
      <c r="M298" s="12" t="s">
        <v>114</v>
      </c>
      <c r="N298" s="13" t="s">
        <v>1035</v>
      </c>
    </row>
    <row r="299" spans="1:14" s="1" customFormat="1" ht="17.100000000000001" customHeight="1" x14ac:dyDescent="0.25">
      <c r="A299" s="9" t="s">
        <v>287</v>
      </c>
      <c r="B299" s="10" t="s">
        <v>288</v>
      </c>
      <c r="C299" s="12">
        <v>2017</v>
      </c>
      <c r="D299" s="11" t="s">
        <v>1880</v>
      </c>
      <c r="E299" s="10" t="s">
        <v>1630</v>
      </c>
      <c r="F299" s="11" t="s">
        <v>289</v>
      </c>
      <c r="G299" s="12" t="s">
        <v>1028</v>
      </c>
      <c r="H299" s="10" t="s">
        <v>2358</v>
      </c>
      <c r="I299" s="12" t="s">
        <v>1029</v>
      </c>
      <c r="J299" s="12" t="s">
        <v>1040</v>
      </c>
      <c r="K299" s="10" t="s">
        <v>1031</v>
      </c>
      <c r="L299" s="12" t="s">
        <v>1042</v>
      </c>
      <c r="M299" s="12" t="s">
        <v>1053</v>
      </c>
      <c r="N299" s="14" t="s">
        <v>1035</v>
      </c>
    </row>
    <row r="300" spans="1:14" s="1" customFormat="1" ht="17.100000000000001" customHeight="1" x14ac:dyDescent="0.25">
      <c r="A300" s="9" t="s">
        <v>491</v>
      </c>
      <c r="B300" s="10" t="s">
        <v>492</v>
      </c>
      <c r="C300" s="10">
        <v>2019</v>
      </c>
      <c r="D300" s="11" t="s">
        <v>1661</v>
      </c>
      <c r="E300" s="10" t="s">
        <v>1630</v>
      </c>
      <c r="F300" s="11" t="s">
        <v>291</v>
      </c>
      <c r="G300" s="10" t="s">
        <v>2289</v>
      </c>
      <c r="H300" s="10" t="s">
        <v>2326</v>
      </c>
      <c r="I300" s="12" t="s">
        <v>1029</v>
      </c>
      <c r="J300" s="12" t="s">
        <v>1040</v>
      </c>
      <c r="K300" s="12" t="s">
        <v>1037</v>
      </c>
      <c r="L300" s="10" t="s">
        <v>1032</v>
      </c>
      <c r="M300" s="12" t="s">
        <v>1055</v>
      </c>
      <c r="N300" s="14" t="s">
        <v>1035</v>
      </c>
    </row>
    <row r="301" spans="1:14" s="1" customFormat="1" ht="17.100000000000001" customHeight="1" x14ac:dyDescent="0.25">
      <c r="A301" s="9" t="s">
        <v>566</v>
      </c>
      <c r="B301" s="10" t="s">
        <v>894</v>
      </c>
      <c r="C301" s="10">
        <v>2022</v>
      </c>
      <c r="D301" s="11" t="s">
        <v>1876</v>
      </c>
      <c r="E301" s="10" t="s">
        <v>1630</v>
      </c>
      <c r="F301" s="11" t="s">
        <v>291</v>
      </c>
      <c r="G301" s="10" t="s">
        <v>2275</v>
      </c>
      <c r="H301" s="10" t="s">
        <v>1161</v>
      </c>
      <c r="I301" s="10" t="s">
        <v>1039</v>
      </c>
      <c r="J301" s="12" t="s">
        <v>1040</v>
      </c>
      <c r="K301" s="12" t="s">
        <v>1037</v>
      </c>
      <c r="L301" s="10" t="s">
        <v>1032</v>
      </c>
      <c r="M301" s="10" t="s">
        <v>1154</v>
      </c>
      <c r="N301" s="13" t="s">
        <v>1035</v>
      </c>
    </row>
    <row r="302" spans="1:14" s="1" customFormat="1" ht="17.100000000000001" customHeight="1" x14ac:dyDescent="0.25">
      <c r="A302" s="9" t="s">
        <v>867</v>
      </c>
      <c r="B302" s="10" t="s">
        <v>909</v>
      </c>
      <c r="C302" s="10">
        <v>2022</v>
      </c>
      <c r="D302" s="11" t="s">
        <v>2248</v>
      </c>
      <c r="E302" s="10" t="s">
        <v>1630</v>
      </c>
      <c r="F302" s="11" t="s">
        <v>291</v>
      </c>
      <c r="G302" s="10" t="s">
        <v>1054</v>
      </c>
      <c r="H302" s="10" t="s">
        <v>1057</v>
      </c>
      <c r="I302" s="10" t="s">
        <v>1039</v>
      </c>
      <c r="J302" s="10" t="s">
        <v>1040</v>
      </c>
      <c r="K302" s="10" t="s">
        <v>1031</v>
      </c>
      <c r="L302" s="10" t="s">
        <v>1247</v>
      </c>
      <c r="M302" s="10" t="s">
        <v>1067</v>
      </c>
      <c r="N302" s="13" t="s">
        <v>1035</v>
      </c>
    </row>
    <row r="303" spans="1:14" s="1" customFormat="1" ht="17.100000000000001" customHeight="1" x14ac:dyDescent="0.25">
      <c r="A303" s="9" t="s">
        <v>290</v>
      </c>
      <c r="B303" s="10" t="s">
        <v>834</v>
      </c>
      <c r="C303" s="12">
        <v>2013</v>
      </c>
      <c r="D303" s="11" t="s">
        <v>2065</v>
      </c>
      <c r="E303" s="10" t="s">
        <v>1630</v>
      </c>
      <c r="F303" s="11" t="s">
        <v>291</v>
      </c>
      <c r="G303" s="12" t="s">
        <v>1054</v>
      </c>
      <c r="H303" s="10" t="s">
        <v>2340</v>
      </c>
      <c r="I303" s="12" t="s">
        <v>1029</v>
      </c>
      <c r="J303" s="12" t="s">
        <v>1040</v>
      </c>
      <c r="K303" s="10" t="s">
        <v>1031</v>
      </c>
      <c r="L303" s="12" t="s">
        <v>1042</v>
      </c>
      <c r="M303" s="12" t="s">
        <v>114</v>
      </c>
      <c r="N303" s="14" t="s">
        <v>1035</v>
      </c>
    </row>
    <row r="304" spans="1:14" s="1" customFormat="1" ht="17.100000000000001" customHeight="1" x14ac:dyDescent="0.25">
      <c r="A304" s="9" t="s">
        <v>778</v>
      </c>
      <c r="B304" s="10" t="s">
        <v>910</v>
      </c>
      <c r="C304" s="10">
        <v>2022</v>
      </c>
      <c r="D304" s="11" t="s">
        <v>2045</v>
      </c>
      <c r="E304" s="10" t="s">
        <v>1630</v>
      </c>
      <c r="F304" s="11" t="s">
        <v>291</v>
      </c>
      <c r="G304" s="10" t="s">
        <v>2266</v>
      </c>
      <c r="H304" s="10" t="s">
        <v>2340</v>
      </c>
      <c r="I304" s="12" t="s">
        <v>1029</v>
      </c>
      <c r="J304" s="10" t="s">
        <v>1030</v>
      </c>
      <c r="K304" s="12" t="s">
        <v>1037</v>
      </c>
      <c r="L304" s="10" t="s">
        <v>1032</v>
      </c>
      <c r="M304" s="12" t="s">
        <v>114</v>
      </c>
      <c r="N304" s="13" t="s">
        <v>1035</v>
      </c>
    </row>
    <row r="305" spans="1:14" s="1" customFormat="1" ht="17.100000000000001" customHeight="1" x14ac:dyDescent="0.25">
      <c r="A305" s="9" t="s">
        <v>523</v>
      </c>
      <c r="B305" s="10" t="s">
        <v>908</v>
      </c>
      <c r="C305" s="10">
        <v>2022</v>
      </c>
      <c r="D305" s="11" t="s">
        <v>1725</v>
      </c>
      <c r="E305" s="10" t="s">
        <v>1630</v>
      </c>
      <c r="F305" s="11" t="s">
        <v>291</v>
      </c>
      <c r="G305" s="10" t="s">
        <v>1028</v>
      </c>
      <c r="H305" s="10" t="s">
        <v>2340</v>
      </c>
      <c r="I305" s="12" t="s">
        <v>1029</v>
      </c>
      <c r="J305" s="12" t="s">
        <v>1040</v>
      </c>
      <c r="K305" s="10" t="s">
        <v>1031</v>
      </c>
      <c r="L305" s="10" t="s">
        <v>1042</v>
      </c>
      <c r="M305" s="10" t="s">
        <v>1147</v>
      </c>
      <c r="N305" s="14" t="s">
        <v>1035</v>
      </c>
    </row>
    <row r="306" spans="1:14" s="1" customFormat="1" ht="17.100000000000001" customHeight="1" x14ac:dyDescent="0.25">
      <c r="A306" s="9" t="s">
        <v>1264</v>
      </c>
      <c r="B306" s="10" t="s">
        <v>1265</v>
      </c>
      <c r="C306" s="10">
        <v>2014</v>
      </c>
      <c r="D306" s="11" t="s">
        <v>2114</v>
      </c>
      <c r="E306" s="10" t="s">
        <v>1630</v>
      </c>
      <c r="F306" s="11" t="s">
        <v>291</v>
      </c>
      <c r="G306" s="10" t="s">
        <v>1263</v>
      </c>
      <c r="H306" s="10" t="s">
        <v>1161</v>
      </c>
      <c r="I306" s="12" t="s">
        <v>1029</v>
      </c>
      <c r="J306" s="10" t="s">
        <v>1040</v>
      </c>
      <c r="K306" s="10" t="s">
        <v>1031</v>
      </c>
      <c r="L306" s="10" t="s">
        <v>1247</v>
      </c>
      <c r="M306" s="10" t="s">
        <v>1055</v>
      </c>
      <c r="N306" s="13" t="s">
        <v>1035</v>
      </c>
    </row>
    <row r="307" spans="1:14" s="1" customFormat="1" ht="17.100000000000001" customHeight="1" x14ac:dyDescent="0.25">
      <c r="A307" s="9" t="s">
        <v>790</v>
      </c>
      <c r="B307" s="10" t="s">
        <v>791</v>
      </c>
      <c r="C307" s="10">
        <v>2022</v>
      </c>
      <c r="D307" s="11" t="s">
        <v>1881</v>
      </c>
      <c r="E307" s="10" t="s">
        <v>1630</v>
      </c>
      <c r="F307" s="11" t="s">
        <v>1163</v>
      </c>
      <c r="G307" s="10" t="s">
        <v>1028</v>
      </c>
      <c r="H307" s="10" t="s">
        <v>2363</v>
      </c>
      <c r="I307" s="10" t="s">
        <v>1039</v>
      </c>
      <c r="J307" s="10" t="s">
        <v>1030</v>
      </c>
      <c r="K307" s="10" t="s">
        <v>1031</v>
      </c>
      <c r="L307" s="10" t="s">
        <v>1247</v>
      </c>
      <c r="M307" s="10" t="s">
        <v>114</v>
      </c>
      <c r="N307" s="13" t="s">
        <v>1035</v>
      </c>
    </row>
    <row r="308" spans="1:14" s="1" customFormat="1" ht="17.100000000000001" customHeight="1" x14ac:dyDescent="0.25">
      <c r="A308" s="9" t="s">
        <v>1298</v>
      </c>
      <c r="B308" s="10" t="s">
        <v>1299</v>
      </c>
      <c r="C308" s="10">
        <v>2018</v>
      </c>
      <c r="D308" s="11" t="s">
        <v>2127</v>
      </c>
      <c r="E308" s="10" t="s">
        <v>1630</v>
      </c>
      <c r="F308" s="11" t="s">
        <v>570</v>
      </c>
      <c r="G308" s="10" t="s">
        <v>2266</v>
      </c>
      <c r="H308" s="10" t="s">
        <v>2364</v>
      </c>
      <c r="I308" s="10" t="s">
        <v>1039</v>
      </c>
      <c r="J308" s="10" t="s">
        <v>1030</v>
      </c>
      <c r="K308" s="10" t="s">
        <v>1031</v>
      </c>
      <c r="L308" s="10" t="s">
        <v>1247</v>
      </c>
      <c r="M308" s="10" t="s">
        <v>114</v>
      </c>
      <c r="N308" s="13" t="s">
        <v>1035</v>
      </c>
    </row>
    <row r="309" spans="1:14" s="1" customFormat="1" ht="17.100000000000001" customHeight="1" x14ac:dyDescent="0.25">
      <c r="A309" s="9" t="s">
        <v>1322</v>
      </c>
      <c r="B309" s="10" t="s">
        <v>1323</v>
      </c>
      <c r="C309" s="10">
        <v>2022</v>
      </c>
      <c r="D309" s="11" t="s">
        <v>2136</v>
      </c>
      <c r="E309" s="10" t="s">
        <v>1630</v>
      </c>
      <c r="F309" s="11" t="s">
        <v>570</v>
      </c>
      <c r="G309" s="10" t="s">
        <v>2266</v>
      </c>
      <c r="H309" s="10" t="s">
        <v>1057</v>
      </c>
      <c r="I309" s="10" t="s">
        <v>1039</v>
      </c>
      <c r="J309" s="10" t="s">
        <v>1562</v>
      </c>
      <c r="K309" s="10" t="s">
        <v>1031</v>
      </c>
      <c r="L309" s="10" t="s">
        <v>1247</v>
      </c>
      <c r="M309" s="10" t="s">
        <v>1250</v>
      </c>
      <c r="N309" s="13" t="s">
        <v>1034</v>
      </c>
    </row>
    <row r="310" spans="1:14" s="1" customFormat="1" ht="17.100000000000001" customHeight="1" x14ac:dyDescent="0.25">
      <c r="A310" s="9" t="s">
        <v>792</v>
      </c>
      <c r="B310" s="10" t="s">
        <v>793</v>
      </c>
      <c r="C310" s="10">
        <v>2022</v>
      </c>
      <c r="D310" s="11" t="s">
        <v>1676</v>
      </c>
      <c r="E310" s="10" t="s">
        <v>1630</v>
      </c>
      <c r="F310" s="11" t="s">
        <v>1163</v>
      </c>
      <c r="G310" s="10" t="s">
        <v>2266</v>
      </c>
      <c r="H310" s="10" t="s">
        <v>2340</v>
      </c>
      <c r="I310" s="12" t="s">
        <v>1029</v>
      </c>
      <c r="J310" s="10" t="s">
        <v>1030</v>
      </c>
      <c r="K310" s="12" t="s">
        <v>1037</v>
      </c>
      <c r="L310" s="10" t="s">
        <v>1042</v>
      </c>
      <c r="M310" s="10" t="s">
        <v>1067</v>
      </c>
      <c r="N310" s="13" t="s">
        <v>1035</v>
      </c>
    </row>
    <row r="311" spans="1:14" s="1" customFormat="1" ht="17.100000000000001" customHeight="1" x14ac:dyDescent="0.25">
      <c r="A311" s="9" t="s">
        <v>564</v>
      </c>
      <c r="B311" s="10" t="s">
        <v>892</v>
      </c>
      <c r="C311" s="10">
        <v>2020</v>
      </c>
      <c r="D311" s="11" t="s">
        <v>1734</v>
      </c>
      <c r="E311" s="10" t="s">
        <v>1630</v>
      </c>
      <c r="F311" s="11" t="s">
        <v>118</v>
      </c>
      <c r="G311" s="10" t="s">
        <v>1054</v>
      </c>
      <c r="H311" s="10" t="s">
        <v>2341</v>
      </c>
      <c r="I311" s="12" t="s">
        <v>1029</v>
      </c>
      <c r="J311" s="10" t="s">
        <v>1040</v>
      </c>
      <c r="K311" s="10" t="s">
        <v>1031</v>
      </c>
      <c r="L311" s="10" t="s">
        <v>1042</v>
      </c>
      <c r="M311" s="12" t="s">
        <v>114</v>
      </c>
      <c r="N311" s="13" t="s">
        <v>1644</v>
      </c>
    </row>
    <row r="312" spans="1:14" s="1" customFormat="1" ht="17.100000000000001" customHeight="1" x14ac:dyDescent="0.25">
      <c r="A312" s="9" t="s">
        <v>124</v>
      </c>
      <c r="B312" s="10" t="s">
        <v>125</v>
      </c>
      <c r="C312" s="12">
        <v>2015</v>
      </c>
      <c r="D312" s="11" t="s">
        <v>1697</v>
      </c>
      <c r="E312" s="10" t="s">
        <v>1630</v>
      </c>
      <c r="F312" s="11" t="s">
        <v>118</v>
      </c>
      <c r="G312" s="10" t="s">
        <v>2266</v>
      </c>
      <c r="H312" s="10" t="s">
        <v>2343</v>
      </c>
      <c r="I312" s="12" t="s">
        <v>1029</v>
      </c>
      <c r="J312" s="12" t="s">
        <v>1030</v>
      </c>
      <c r="K312" s="10" t="s">
        <v>1031</v>
      </c>
      <c r="L312" s="10" t="s">
        <v>1032</v>
      </c>
      <c r="M312" s="12" t="s">
        <v>1055</v>
      </c>
      <c r="N312" s="14" t="s">
        <v>1035</v>
      </c>
    </row>
    <row r="313" spans="1:14" s="1" customFormat="1" ht="17.100000000000001" customHeight="1" x14ac:dyDescent="0.25">
      <c r="A313" s="9" t="s">
        <v>133</v>
      </c>
      <c r="B313" s="10" t="s">
        <v>134</v>
      </c>
      <c r="C313" s="10">
        <v>2018</v>
      </c>
      <c r="D313" s="11" t="s">
        <v>2019</v>
      </c>
      <c r="E313" s="10" t="s">
        <v>1630</v>
      </c>
      <c r="F313" s="11" t="s">
        <v>118</v>
      </c>
      <c r="G313" s="10" t="s">
        <v>1054</v>
      </c>
      <c r="H313" s="10" t="s">
        <v>2364</v>
      </c>
      <c r="I313" s="10" t="s">
        <v>1493</v>
      </c>
      <c r="J313" s="10" t="s">
        <v>1040</v>
      </c>
      <c r="K313" s="10" t="s">
        <v>1031</v>
      </c>
      <c r="L313" s="10" t="s">
        <v>1247</v>
      </c>
      <c r="M313" s="10" t="s">
        <v>1210</v>
      </c>
      <c r="N313" s="14" t="s">
        <v>1035</v>
      </c>
    </row>
    <row r="314" spans="1:14" s="1" customFormat="1" ht="17.100000000000001" customHeight="1" x14ac:dyDescent="0.25">
      <c r="A314" s="9" t="s">
        <v>1342</v>
      </c>
      <c r="B314" s="10" t="s">
        <v>1343</v>
      </c>
      <c r="C314" s="10">
        <v>2022</v>
      </c>
      <c r="D314" s="11" t="s">
        <v>2141</v>
      </c>
      <c r="E314" s="10" t="s">
        <v>1630</v>
      </c>
      <c r="F314" s="11" t="s">
        <v>118</v>
      </c>
      <c r="G314" s="10" t="s">
        <v>2266</v>
      </c>
      <c r="H314" s="10" t="s">
        <v>2367</v>
      </c>
      <c r="I314" s="10" t="s">
        <v>1039</v>
      </c>
      <c r="J314" s="10" t="s">
        <v>1030</v>
      </c>
      <c r="K314" s="10" t="s">
        <v>1031</v>
      </c>
      <c r="L314" s="10" t="s">
        <v>1247</v>
      </c>
      <c r="M314" s="10" t="s">
        <v>114</v>
      </c>
      <c r="N314" s="13" t="s">
        <v>1035</v>
      </c>
    </row>
    <row r="315" spans="1:14" s="1" customFormat="1" ht="17.100000000000001" customHeight="1" x14ac:dyDescent="0.25">
      <c r="A315" s="9" t="s">
        <v>1248</v>
      </c>
      <c r="B315" s="10" t="s">
        <v>1249</v>
      </c>
      <c r="C315" s="10">
        <v>2018</v>
      </c>
      <c r="D315" s="11" t="s">
        <v>2110</v>
      </c>
      <c r="E315" s="10" t="s">
        <v>1630</v>
      </c>
      <c r="F315" s="11" t="s">
        <v>118</v>
      </c>
      <c r="G315" s="10" t="s">
        <v>2266</v>
      </c>
      <c r="H315" s="10" t="s">
        <v>2326</v>
      </c>
      <c r="I315" s="10" t="s">
        <v>1039</v>
      </c>
      <c r="J315" s="10" t="s">
        <v>1036</v>
      </c>
      <c r="K315" s="10" t="s">
        <v>1031</v>
      </c>
      <c r="L315" s="10" t="s">
        <v>1247</v>
      </c>
      <c r="M315" s="10" t="s">
        <v>1250</v>
      </c>
      <c r="N315" s="13" t="s">
        <v>1034</v>
      </c>
    </row>
    <row r="316" spans="1:14" s="1" customFormat="1" ht="17.100000000000001" customHeight="1" x14ac:dyDescent="0.25">
      <c r="A316" s="9" t="s">
        <v>120</v>
      </c>
      <c r="B316" s="10" t="s">
        <v>805</v>
      </c>
      <c r="C316" s="10">
        <v>2015</v>
      </c>
      <c r="D316" s="11" t="s">
        <v>2054</v>
      </c>
      <c r="E316" s="10" t="s">
        <v>1630</v>
      </c>
      <c r="F316" s="11" t="s">
        <v>118</v>
      </c>
      <c r="G316" s="10" t="s">
        <v>1028</v>
      </c>
      <c r="H316" s="10" t="s">
        <v>2326</v>
      </c>
      <c r="I316" s="12" t="s">
        <v>1039</v>
      </c>
      <c r="J316" s="10" t="s">
        <v>1030</v>
      </c>
      <c r="K316" s="10" t="s">
        <v>1031</v>
      </c>
      <c r="L316" s="10" t="s">
        <v>1032</v>
      </c>
      <c r="M316" s="10" t="s">
        <v>1047</v>
      </c>
      <c r="N316" s="13" t="s">
        <v>1034</v>
      </c>
    </row>
    <row r="317" spans="1:14" s="1" customFormat="1" ht="17.100000000000001" customHeight="1" x14ac:dyDescent="0.25">
      <c r="A317" s="9" t="s">
        <v>406</v>
      </c>
      <c r="B317" s="10" t="s">
        <v>844</v>
      </c>
      <c r="C317" s="10">
        <v>2019</v>
      </c>
      <c r="D317" s="11" t="s">
        <v>1846</v>
      </c>
      <c r="E317" s="10" t="s">
        <v>1630</v>
      </c>
      <c r="F317" s="11" t="s">
        <v>118</v>
      </c>
      <c r="G317" s="10" t="s">
        <v>1028</v>
      </c>
      <c r="H317" s="10" t="s">
        <v>2326</v>
      </c>
      <c r="I317" s="12" t="s">
        <v>1029</v>
      </c>
      <c r="J317" s="10" t="s">
        <v>1040</v>
      </c>
      <c r="K317" s="10" t="s">
        <v>1031</v>
      </c>
      <c r="L317" s="10" t="s">
        <v>1042</v>
      </c>
      <c r="M317" s="12" t="s">
        <v>114</v>
      </c>
      <c r="N317" s="14" t="s">
        <v>1035</v>
      </c>
    </row>
    <row r="318" spans="1:14" s="1" customFormat="1" ht="17.100000000000001" customHeight="1" x14ac:dyDescent="0.25">
      <c r="A318" s="9" t="s">
        <v>802</v>
      </c>
      <c r="B318" s="10" t="s">
        <v>803</v>
      </c>
      <c r="C318" s="10">
        <v>2014</v>
      </c>
      <c r="D318" s="11" t="s">
        <v>2234</v>
      </c>
      <c r="E318" s="10" t="s">
        <v>1630</v>
      </c>
      <c r="F318" s="11" t="s">
        <v>118</v>
      </c>
      <c r="G318" s="10" t="s">
        <v>2275</v>
      </c>
      <c r="H318" s="10" t="s">
        <v>1161</v>
      </c>
      <c r="I318" s="10" t="s">
        <v>1493</v>
      </c>
      <c r="J318" s="10" t="s">
        <v>1030</v>
      </c>
      <c r="K318" s="10" t="s">
        <v>1031</v>
      </c>
      <c r="L318" s="10" t="s">
        <v>1247</v>
      </c>
      <c r="M318" s="10" t="s">
        <v>114</v>
      </c>
      <c r="N318" s="13" t="s">
        <v>1035</v>
      </c>
    </row>
    <row r="319" spans="1:14" s="1" customFormat="1" ht="17.100000000000001" customHeight="1" x14ac:dyDescent="0.25">
      <c r="A319" s="9" t="s">
        <v>128</v>
      </c>
      <c r="B319" s="10" t="s">
        <v>129</v>
      </c>
      <c r="C319" s="10">
        <v>2017</v>
      </c>
      <c r="D319" s="11" t="s">
        <v>2007</v>
      </c>
      <c r="E319" s="10" t="s">
        <v>1630</v>
      </c>
      <c r="F319" s="11" t="s">
        <v>118</v>
      </c>
      <c r="G319" s="10" t="s">
        <v>2266</v>
      </c>
      <c r="H319" s="10" t="s">
        <v>1166</v>
      </c>
      <c r="I319" s="10" t="s">
        <v>1493</v>
      </c>
      <c r="J319" s="10" t="s">
        <v>1036</v>
      </c>
      <c r="K319" s="10" t="s">
        <v>1031</v>
      </c>
      <c r="L319" s="10" t="s">
        <v>1032</v>
      </c>
      <c r="M319" s="12" t="s">
        <v>114</v>
      </c>
      <c r="N319" s="14" t="s">
        <v>1035</v>
      </c>
    </row>
    <row r="320" spans="1:14" s="1" customFormat="1" ht="17.100000000000001" customHeight="1" x14ac:dyDescent="0.25">
      <c r="A320" s="9" t="s">
        <v>119</v>
      </c>
      <c r="B320" s="10" t="s">
        <v>804</v>
      </c>
      <c r="C320" s="10">
        <v>2016</v>
      </c>
      <c r="D320" s="11" t="s">
        <v>1798</v>
      </c>
      <c r="E320" s="10" t="s">
        <v>1630</v>
      </c>
      <c r="F320" s="11" t="s">
        <v>118</v>
      </c>
      <c r="G320" s="10" t="s">
        <v>1066</v>
      </c>
      <c r="H320" s="10" t="s">
        <v>1057</v>
      </c>
      <c r="I320" s="12" t="s">
        <v>1039</v>
      </c>
      <c r="J320" s="10" t="s">
        <v>1069</v>
      </c>
      <c r="K320" s="10" t="s">
        <v>1031</v>
      </c>
      <c r="L320" s="10" t="s">
        <v>1247</v>
      </c>
      <c r="M320" s="10" t="s">
        <v>1049</v>
      </c>
      <c r="N320" s="13" t="s">
        <v>1072</v>
      </c>
    </row>
    <row r="321" spans="1:14" s="1" customFormat="1" ht="17.100000000000001" customHeight="1" x14ac:dyDescent="0.25">
      <c r="A321" s="9" t="s">
        <v>116</v>
      </c>
      <c r="B321" s="10" t="s">
        <v>117</v>
      </c>
      <c r="C321" s="10">
        <v>2019</v>
      </c>
      <c r="D321" s="11" t="s">
        <v>1733</v>
      </c>
      <c r="E321" s="10" t="s">
        <v>1630</v>
      </c>
      <c r="F321" s="11" t="s">
        <v>118</v>
      </c>
      <c r="G321" s="10" t="s">
        <v>1066</v>
      </c>
      <c r="H321" s="10" t="s">
        <v>1057</v>
      </c>
      <c r="I321" s="12" t="s">
        <v>1029</v>
      </c>
      <c r="J321" s="10" t="s">
        <v>1030</v>
      </c>
      <c r="K321" s="12" t="s">
        <v>1037</v>
      </c>
      <c r="L321" s="10" t="s">
        <v>1032</v>
      </c>
      <c r="M321" s="12" t="s">
        <v>114</v>
      </c>
      <c r="N321" s="13" t="s">
        <v>1041</v>
      </c>
    </row>
    <row r="322" spans="1:14" s="1" customFormat="1" ht="17.100000000000001" customHeight="1" x14ac:dyDescent="0.25">
      <c r="A322" s="9" t="s">
        <v>122</v>
      </c>
      <c r="B322" s="10" t="s">
        <v>123</v>
      </c>
      <c r="C322" s="10">
        <v>2016</v>
      </c>
      <c r="D322" s="11" t="s">
        <v>1939</v>
      </c>
      <c r="E322" s="10" t="s">
        <v>1630</v>
      </c>
      <c r="F322" s="11" t="s">
        <v>118</v>
      </c>
      <c r="G322" s="10" t="s">
        <v>1538</v>
      </c>
      <c r="H322" s="10" t="s">
        <v>1057</v>
      </c>
      <c r="I322" s="12" t="s">
        <v>1039</v>
      </c>
      <c r="J322" s="10" t="s">
        <v>1030</v>
      </c>
      <c r="K322" s="10" t="s">
        <v>1031</v>
      </c>
      <c r="L322" s="10" t="s">
        <v>1032</v>
      </c>
      <c r="M322" s="10" t="s">
        <v>1075</v>
      </c>
      <c r="N322" s="14" t="s">
        <v>1035</v>
      </c>
    </row>
    <row r="323" spans="1:14" s="1" customFormat="1" ht="17.100000000000001" customHeight="1" x14ac:dyDescent="0.25">
      <c r="A323" s="9" t="s">
        <v>121</v>
      </c>
      <c r="B323" s="10" t="s">
        <v>806</v>
      </c>
      <c r="C323" s="10">
        <v>2017</v>
      </c>
      <c r="D323" s="11" t="s">
        <v>1946</v>
      </c>
      <c r="E323" s="10" t="s">
        <v>1630</v>
      </c>
      <c r="F323" s="11" t="s">
        <v>118</v>
      </c>
      <c r="G323" s="10" t="s">
        <v>2275</v>
      </c>
      <c r="H323" s="10" t="s">
        <v>1057</v>
      </c>
      <c r="I323" s="10" t="s">
        <v>1039</v>
      </c>
      <c r="J323" s="10" t="s">
        <v>1030</v>
      </c>
      <c r="K323" s="12" t="s">
        <v>1037</v>
      </c>
      <c r="L323" s="10" t="s">
        <v>1032</v>
      </c>
      <c r="M323" s="10" t="s">
        <v>1189</v>
      </c>
      <c r="N323" s="14" t="s">
        <v>1035</v>
      </c>
    </row>
    <row r="324" spans="1:14" s="1" customFormat="1" ht="17.100000000000001" customHeight="1" x14ac:dyDescent="0.25">
      <c r="A324" s="9" t="s">
        <v>135</v>
      </c>
      <c r="B324" s="10" t="s">
        <v>136</v>
      </c>
      <c r="C324" s="10">
        <v>2013</v>
      </c>
      <c r="D324" s="11" t="s">
        <v>1903</v>
      </c>
      <c r="E324" s="10" t="s">
        <v>1630</v>
      </c>
      <c r="F324" s="11" t="s">
        <v>118</v>
      </c>
      <c r="G324" s="10" t="s">
        <v>1028</v>
      </c>
      <c r="H324" s="10" t="s">
        <v>1217</v>
      </c>
      <c r="I324" s="12" t="s">
        <v>1029</v>
      </c>
      <c r="J324" s="10" t="s">
        <v>1036</v>
      </c>
      <c r="K324" s="10" t="s">
        <v>1031</v>
      </c>
      <c r="L324" s="10" t="s">
        <v>1032</v>
      </c>
      <c r="M324" s="10" t="s">
        <v>1103</v>
      </c>
      <c r="N324" s="13" t="s">
        <v>1072</v>
      </c>
    </row>
    <row r="325" spans="1:14" s="1" customFormat="1" ht="17.100000000000001" customHeight="1" x14ac:dyDescent="0.25">
      <c r="A325" s="9" t="s">
        <v>130</v>
      </c>
      <c r="B325" s="10" t="s">
        <v>807</v>
      </c>
      <c r="C325" s="10">
        <v>2015</v>
      </c>
      <c r="D325" s="11" t="s">
        <v>2037</v>
      </c>
      <c r="E325" s="10" t="s">
        <v>1630</v>
      </c>
      <c r="F325" s="11" t="s">
        <v>118</v>
      </c>
      <c r="G325" s="10" t="s">
        <v>1613</v>
      </c>
      <c r="H325" s="10" t="s">
        <v>1168</v>
      </c>
      <c r="I325" s="10" t="s">
        <v>1039</v>
      </c>
      <c r="J325" s="10" t="s">
        <v>1040</v>
      </c>
      <c r="K325" s="10" t="s">
        <v>1031</v>
      </c>
      <c r="L325" s="10" t="s">
        <v>1247</v>
      </c>
      <c r="M325" s="12" t="s">
        <v>114</v>
      </c>
      <c r="N325" s="14" t="s">
        <v>1035</v>
      </c>
    </row>
    <row r="326" spans="1:14" s="1" customFormat="1" ht="17.100000000000001" customHeight="1" x14ac:dyDescent="0.25">
      <c r="A326" s="9" t="s">
        <v>137</v>
      </c>
      <c r="B326" s="10" t="s">
        <v>808</v>
      </c>
      <c r="C326" s="10">
        <v>2018</v>
      </c>
      <c r="D326" s="11" t="s">
        <v>1785</v>
      </c>
      <c r="E326" s="10" t="s">
        <v>1630</v>
      </c>
      <c r="F326" s="11" t="s">
        <v>118</v>
      </c>
      <c r="G326" s="10" t="s">
        <v>1062</v>
      </c>
      <c r="H326" s="10" t="s">
        <v>1168</v>
      </c>
      <c r="I326" s="12" t="s">
        <v>1029</v>
      </c>
      <c r="J326" s="10" t="s">
        <v>1040</v>
      </c>
      <c r="K326" s="12" t="s">
        <v>1037</v>
      </c>
      <c r="L326" s="10" t="s">
        <v>1032</v>
      </c>
      <c r="M326" s="12" t="s">
        <v>114</v>
      </c>
      <c r="N326" s="14" t="s">
        <v>1035</v>
      </c>
    </row>
    <row r="327" spans="1:14" s="1" customFormat="1" ht="17.100000000000001" customHeight="1" x14ac:dyDescent="0.25">
      <c r="A327" s="9" t="s">
        <v>131</v>
      </c>
      <c r="B327" s="10" t="s">
        <v>132</v>
      </c>
      <c r="C327" s="10">
        <v>2018</v>
      </c>
      <c r="D327" s="11" t="s">
        <v>1791</v>
      </c>
      <c r="E327" s="10" t="s">
        <v>1630</v>
      </c>
      <c r="F327" s="11" t="s">
        <v>118</v>
      </c>
      <c r="G327" s="10" t="s">
        <v>2266</v>
      </c>
      <c r="H327" s="10" t="s">
        <v>1172</v>
      </c>
      <c r="I327" s="12" t="s">
        <v>1029</v>
      </c>
      <c r="J327" s="10" t="s">
        <v>1030</v>
      </c>
      <c r="K327" s="10" t="s">
        <v>1031</v>
      </c>
      <c r="L327" s="10" t="s">
        <v>1032</v>
      </c>
      <c r="M327" s="10" t="s">
        <v>1059</v>
      </c>
      <c r="N327" s="14" t="s">
        <v>1035</v>
      </c>
    </row>
    <row r="328" spans="1:14" s="1" customFormat="1" ht="17.100000000000001" customHeight="1" x14ac:dyDescent="0.25">
      <c r="A328" s="9" t="s">
        <v>1277</v>
      </c>
      <c r="B328" s="10" t="s">
        <v>1278</v>
      </c>
      <c r="C328" s="10">
        <v>2016</v>
      </c>
      <c r="D328" s="11" t="s">
        <v>2120</v>
      </c>
      <c r="E328" s="10" t="s">
        <v>1630</v>
      </c>
      <c r="F328" s="11" t="s">
        <v>118</v>
      </c>
      <c r="G328" s="10" t="s">
        <v>1538</v>
      </c>
      <c r="H328" s="10" t="s">
        <v>1230</v>
      </c>
      <c r="I328" s="10" t="s">
        <v>1039</v>
      </c>
      <c r="J328" s="10" t="s">
        <v>1030</v>
      </c>
      <c r="K328" s="10" t="s">
        <v>1031</v>
      </c>
      <c r="L328" s="10" t="s">
        <v>1247</v>
      </c>
      <c r="M328" s="10" t="s">
        <v>114</v>
      </c>
      <c r="N328" s="13" t="s">
        <v>1035</v>
      </c>
    </row>
    <row r="329" spans="1:14" s="1" customFormat="1" ht="17.100000000000001" customHeight="1" x14ac:dyDescent="0.25">
      <c r="A329" s="9" t="s">
        <v>1275</v>
      </c>
      <c r="B329" s="10" t="s">
        <v>1276</v>
      </c>
      <c r="C329" s="10">
        <v>2017</v>
      </c>
      <c r="D329" s="11" t="s">
        <v>2119</v>
      </c>
      <c r="E329" s="10" t="s">
        <v>1630</v>
      </c>
      <c r="F329" s="11" t="s">
        <v>118</v>
      </c>
      <c r="G329" s="10" t="s">
        <v>1538</v>
      </c>
      <c r="H329" s="10" t="s">
        <v>1230</v>
      </c>
      <c r="I329" s="10" t="s">
        <v>1039</v>
      </c>
      <c r="J329" s="10" t="s">
        <v>1030</v>
      </c>
      <c r="K329" s="10" t="s">
        <v>1031</v>
      </c>
      <c r="L329" s="10" t="s">
        <v>1247</v>
      </c>
      <c r="M329" s="10" t="s">
        <v>114</v>
      </c>
      <c r="N329" s="13" t="s">
        <v>1035</v>
      </c>
    </row>
    <row r="330" spans="1:14" s="1" customFormat="1" ht="17.100000000000001" customHeight="1" x14ac:dyDescent="0.25">
      <c r="A330" s="9" t="s">
        <v>2429</v>
      </c>
      <c r="B330" s="10" t="s">
        <v>1267</v>
      </c>
      <c r="C330" s="10">
        <v>2018</v>
      </c>
      <c r="D330" s="11" t="s">
        <v>2115</v>
      </c>
      <c r="E330" s="10" t="s">
        <v>1630</v>
      </c>
      <c r="F330" s="11" t="s">
        <v>118</v>
      </c>
      <c r="G330" s="10" t="s">
        <v>1538</v>
      </c>
      <c r="H330" s="10" t="s">
        <v>1230</v>
      </c>
      <c r="I330" s="10" t="s">
        <v>1039</v>
      </c>
      <c r="J330" s="10" t="s">
        <v>1030</v>
      </c>
      <c r="K330" s="10" t="s">
        <v>1031</v>
      </c>
      <c r="L330" s="10" t="s">
        <v>1247</v>
      </c>
      <c r="M330" s="10" t="s">
        <v>114</v>
      </c>
      <c r="N330" s="13" t="s">
        <v>1035</v>
      </c>
    </row>
    <row r="331" spans="1:14" s="1" customFormat="1" ht="17.100000000000001" customHeight="1" x14ac:dyDescent="0.25">
      <c r="A331" s="9" t="s">
        <v>565</v>
      </c>
      <c r="B331" s="10" t="s">
        <v>893</v>
      </c>
      <c r="C331" s="10">
        <v>2020</v>
      </c>
      <c r="D331" s="11" t="s">
        <v>2044</v>
      </c>
      <c r="E331" s="10" t="s">
        <v>1630</v>
      </c>
      <c r="F331" s="11" t="s">
        <v>118</v>
      </c>
      <c r="G331" s="10" t="s">
        <v>1054</v>
      </c>
      <c r="H331" s="10" t="s">
        <v>1180</v>
      </c>
      <c r="I331" s="12" t="s">
        <v>1039</v>
      </c>
      <c r="J331" s="10" t="s">
        <v>1030</v>
      </c>
      <c r="K331" s="10" t="s">
        <v>1031</v>
      </c>
      <c r="L331" s="10" t="s">
        <v>1042</v>
      </c>
      <c r="M331" s="12" t="s">
        <v>114</v>
      </c>
      <c r="N331" s="13" t="s">
        <v>1041</v>
      </c>
    </row>
    <row r="332" spans="1:14" s="1" customFormat="1" ht="17.100000000000001" customHeight="1" x14ac:dyDescent="0.25">
      <c r="A332" s="9" t="s">
        <v>1332</v>
      </c>
      <c r="B332" s="10" t="s">
        <v>1333</v>
      </c>
      <c r="C332" s="10">
        <v>2020</v>
      </c>
      <c r="D332" s="11" t="s">
        <v>2141</v>
      </c>
      <c r="E332" s="10" t="s">
        <v>1630</v>
      </c>
      <c r="F332" s="11" t="s">
        <v>118</v>
      </c>
      <c r="G332" s="10" t="s">
        <v>2287</v>
      </c>
      <c r="H332" s="10" t="s">
        <v>1180</v>
      </c>
      <c r="I332" s="10" t="s">
        <v>1039</v>
      </c>
      <c r="J332" s="10" t="s">
        <v>1030</v>
      </c>
      <c r="K332" s="10" t="s">
        <v>1031</v>
      </c>
      <c r="L332" s="10" t="s">
        <v>1247</v>
      </c>
      <c r="M332" s="10" t="s">
        <v>114</v>
      </c>
      <c r="N332" s="13" t="s">
        <v>1035</v>
      </c>
    </row>
    <row r="333" spans="1:14" s="1" customFormat="1" ht="17.100000000000001" customHeight="1" x14ac:dyDescent="0.25">
      <c r="A333" s="9" t="s">
        <v>138</v>
      </c>
      <c r="B333" s="10" t="s">
        <v>809</v>
      </c>
      <c r="C333" s="10">
        <v>2016</v>
      </c>
      <c r="D333" s="11" t="s">
        <v>2083</v>
      </c>
      <c r="E333" s="10" t="s">
        <v>1630</v>
      </c>
      <c r="F333" s="11" t="s">
        <v>118</v>
      </c>
      <c r="G333" s="10" t="s">
        <v>1054</v>
      </c>
      <c r="H333" s="10" t="s">
        <v>2340</v>
      </c>
      <c r="I333" s="12" t="s">
        <v>1039</v>
      </c>
      <c r="J333" s="10" t="s">
        <v>1040</v>
      </c>
      <c r="K333" s="10" t="s">
        <v>1031</v>
      </c>
      <c r="L333" s="10" t="s">
        <v>1247</v>
      </c>
      <c r="M333" s="10" t="s">
        <v>1104</v>
      </c>
      <c r="N333" s="14" t="s">
        <v>1035</v>
      </c>
    </row>
    <row r="334" spans="1:14" s="1" customFormat="1" ht="17.100000000000001" customHeight="1" x14ac:dyDescent="0.25">
      <c r="A334" s="9" t="s">
        <v>126</v>
      </c>
      <c r="B334" s="10" t="s">
        <v>127</v>
      </c>
      <c r="C334" s="12">
        <v>2017</v>
      </c>
      <c r="D334" s="11" t="s">
        <v>2091</v>
      </c>
      <c r="E334" s="10" t="s">
        <v>1630</v>
      </c>
      <c r="F334" s="11" t="s">
        <v>118</v>
      </c>
      <c r="G334" s="10" t="s">
        <v>1640</v>
      </c>
      <c r="H334" s="10" t="s">
        <v>2340</v>
      </c>
      <c r="I334" s="12" t="s">
        <v>1039</v>
      </c>
      <c r="J334" s="10" t="s">
        <v>1040</v>
      </c>
      <c r="K334" s="10" t="s">
        <v>1031</v>
      </c>
      <c r="L334" s="10" t="s">
        <v>1247</v>
      </c>
      <c r="M334" s="12" t="s">
        <v>114</v>
      </c>
      <c r="N334" s="13" t="s">
        <v>1034</v>
      </c>
    </row>
    <row r="335" spans="1:14" s="1" customFormat="1" ht="17.100000000000001" customHeight="1" x14ac:dyDescent="0.25">
      <c r="A335" s="9" t="s">
        <v>161</v>
      </c>
      <c r="B335" s="10" t="s">
        <v>162</v>
      </c>
      <c r="C335" s="10">
        <v>2018</v>
      </c>
      <c r="D335" s="11" t="s">
        <v>1794</v>
      </c>
      <c r="E335" s="10" t="s">
        <v>1630</v>
      </c>
      <c r="F335" s="11" t="s">
        <v>149</v>
      </c>
      <c r="G335" s="10" t="s">
        <v>1608</v>
      </c>
      <c r="H335" s="10" t="s">
        <v>2374</v>
      </c>
      <c r="I335" s="12" t="s">
        <v>1029</v>
      </c>
      <c r="J335" s="10" t="s">
        <v>1036</v>
      </c>
      <c r="K335" s="10" t="s">
        <v>1031</v>
      </c>
      <c r="L335" s="10" t="s">
        <v>1032</v>
      </c>
      <c r="M335" s="10" t="s">
        <v>1107</v>
      </c>
      <c r="N335" s="14" t="s">
        <v>1035</v>
      </c>
    </row>
    <row r="336" spans="1:14" s="1" customFormat="1" ht="17.100000000000001" customHeight="1" x14ac:dyDescent="0.25">
      <c r="A336" s="9" t="s">
        <v>478</v>
      </c>
      <c r="B336" s="10" t="s">
        <v>850</v>
      </c>
      <c r="C336" s="10">
        <v>2019</v>
      </c>
      <c r="D336" s="11" t="s">
        <v>1883</v>
      </c>
      <c r="E336" s="10" t="s">
        <v>1630</v>
      </c>
      <c r="F336" s="11" t="s">
        <v>149</v>
      </c>
      <c r="G336" s="10" t="s">
        <v>1054</v>
      </c>
      <c r="H336" s="10" t="s">
        <v>2338</v>
      </c>
      <c r="I336" s="12" t="s">
        <v>1029</v>
      </c>
      <c r="J336" s="10" t="s">
        <v>1030</v>
      </c>
      <c r="K336" s="10" t="s">
        <v>1031</v>
      </c>
      <c r="L336" s="10" t="s">
        <v>1247</v>
      </c>
      <c r="M336" s="10" t="s">
        <v>1143</v>
      </c>
      <c r="N336" s="13" t="s">
        <v>1645</v>
      </c>
    </row>
    <row r="337" spans="1:14" s="1" customFormat="1" ht="17.100000000000001" customHeight="1" x14ac:dyDescent="0.25">
      <c r="A337" s="9" t="s">
        <v>157</v>
      </c>
      <c r="B337" s="10" t="s">
        <v>158</v>
      </c>
      <c r="C337" s="10">
        <v>2021</v>
      </c>
      <c r="D337" s="11" t="s">
        <v>1732</v>
      </c>
      <c r="E337" s="10" t="s">
        <v>1630</v>
      </c>
      <c r="F337" s="11" t="s">
        <v>149</v>
      </c>
      <c r="G337" s="10" t="s">
        <v>1054</v>
      </c>
      <c r="H337" s="10" t="s">
        <v>2368</v>
      </c>
      <c r="I337" s="12" t="s">
        <v>1029</v>
      </c>
      <c r="J337" s="10" t="s">
        <v>1030</v>
      </c>
      <c r="K337" s="12" t="s">
        <v>1037</v>
      </c>
      <c r="L337" s="10" t="s">
        <v>1042</v>
      </c>
      <c r="M337" s="10" t="s">
        <v>1106</v>
      </c>
      <c r="N337" s="14" t="s">
        <v>1035</v>
      </c>
    </row>
    <row r="338" spans="1:14" s="1" customFormat="1" ht="17.100000000000001" customHeight="1" x14ac:dyDescent="0.25">
      <c r="A338" s="9" t="s">
        <v>879</v>
      </c>
      <c r="B338" s="10" t="s">
        <v>880</v>
      </c>
      <c r="C338" s="10">
        <v>2019</v>
      </c>
      <c r="D338" s="11" t="s">
        <v>1854</v>
      </c>
      <c r="E338" s="10" t="s">
        <v>1630</v>
      </c>
      <c r="F338" s="11" t="s">
        <v>149</v>
      </c>
      <c r="G338" s="10" t="s">
        <v>1054</v>
      </c>
      <c r="H338" s="10" t="s">
        <v>2326</v>
      </c>
      <c r="I338" s="12" t="s">
        <v>1029</v>
      </c>
      <c r="J338" s="10" t="s">
        <v>1036</v>
      </c>
      <c r="K338" s="10" t="s">
        <v>1031</v>
      </c>
      <c r="L338" s="10" t="s">
        <v>1032</v>
      </c>
      <c r="M338" s="10" t="s">
        <v>1067</v>
      </c>
      <c r="N338" s="13" t="s">
        <v>1034</v>
      </c>
    </row>
    <row r="339" spans="1:14" s="1" customFormat="1" ht="17.100000000000001" customHeight="1" x14ac:dyDescent="0.25">
      <c r="A339" s="9" t="s">
        <v>147</v>
      </c>
      <c r="B339" s="10" t="s">
        <v>148</v>
      </c>
      <c r="C339" s="10">
        <v>2012</v>
      </c>
      <c r="D339" s="11" t="s">
        <v>1792</v>
      </c>
      <c r="E339" s="10" t="s">
        <v>1630</v>
      </c>
      <c r="F339" s="11" t="s">
        <v>149</v>
      </c>
      <c r="G339" s="10" t="s">
        <v>1182</v>
      </c>
      <c r="H339" s="10" t="s">
        <v>2326</v>
      </c>
      <c r="I339" s="12" t="s">
        <v>1039</v>
      </c>
      <c r="J339" s="10" t="s">
        <v>1036</v>
      </c>
      <c r="K339" s="12" t="s">
        <v>1037</v>
      </c>
      <c r="L339" s="10" t="s">
        <v>1247</v>
      </c>
      <c r="M339" s="12" t="s">
        <v>1055</v>
      </c>
      <c r="N339" s="14" t="s">
        <v>1035</v>
      </c>
    </row>
    <row r="340" spans="1:14" s="1" customFormat="1" ht="17.100000000000001" customHeight="1" x14ac:dyDescent="0.25">
      <c r="A340" s="9" t="s">
        <v>151</v>
      </c>
      <c r="B340" s="10" t="s">
        <v>152</v>
      </c>
      <c r="C340" s="10">
        <v>2014</v>
      </c>
      <c r="D340" s="11" t="s">
        <v>1793</v>
      </c>
      <c r="E340" s="10" t="s">
        <v>1630</v>
      </c>
      <c r="F340" s="11" t="s">
        <v>149</v>
      </c>
      <c r="G340" s="10" t="s">
        <v>1560</v>
      </c>
      <c r="H340" s="10" t="s">
        <v>2326</v>
      </c>
      <c r="I340" s="12" t="s">
        <v>1029</v>
      </c>
      <c r="J340" s="10" t="s">
        <v>1036</v>
      </c>
      <c r="K340" s="10" t="s">
        <v>1031</v>
      </c>
      <c r="L340" s="10" t="s">
        <v>1042</v>
      </c>
      <c r="M340" s="10" t="s">
        <v>1105</v>
      </c>
      <c r="N340" s="14" t="s">
        <v>1035</v>
      </c>
    </row>
    <row r="341" spans="1:14" s="1" customFormat="1" ht="17.100000000000001" customHeight="1" x14ac:dyDescent="0.25">
      <c r="A341" s="9" t="s">
        <v>490</v>
      </c>
      <c r="B341" s="10" t="s">
        <v>860</v>
      </c>
      <c r="C341" s="10">
        <v>2019</v>
      </c>
      <c r="D341" s="11" t="s">
        <v>1660</v>
      </c>
      <c r="E341" s="10" t="s">
        <v>1630</v>
      </c>
      <c r="F341" s="11" t="s">
        <v>149</v>
      </c>
      <c r="G341" s="10" t="s">
        <v>2266</v>
      </c>
      <c r="H341" s="10" t="s">
        <v>2326</v>
      </c>
      <c r="I341" s="12" t="s">
        <v>1039</v>
      </c>
      <c r="J341" s="10" t="s">
        <v>1030</v>
      </c>
      <c r="K341" s="10" t="s">
        <v>1031</v>
      </c>
      <c r="L341" s="10" t="s">
        <v>1032</v>
      </c>
      <c r="M341" s="10" t="s">
        <v>1139</v>
      </c>
      <c r="N341" s="14" t="s">
        <v>1035</v>
      </c>
    </row>
    <row r="342" spans="1:14" s="1" customFormat="1" ht="17.100000000000001" customHeight="1" x14ac:dyDescent="0.25">
      <c r="A342" s="9" t="s">
        <v>1255</v>
      </c>
      <c r="B342" s="10" t="s">
        <v>1256</v>
      </c>
      <c r="C342" s="10">
        <v>2018</v>
      </c>
      <c r="D342" s="11" t="s">
        <v>2112</v>
      </c>
      <c r="E342" s="10" t="s">
        <v>1630</v>
      </c>
      <c r="F342" s="11" t="s">
        <v>149</v>
      </c>
      <c r="G342" s="10" t="s">
        <v>2266</v>
      </c>
      <c r="H342" s="10" t="s">
        <v>2326</v>
      </c>
      <c r="I342" s="10" t="s">
        <v>1039</v>
      </c>
      <c r="J342" s="10" t="s">
        <v>1030</v>
      </c>
      <c r="K342" s="12" t="s">
        <v>1037</v>
      </c>
      <c r="L342" s="10" t="s">
        <v>1247</v>
      </c>
      <c r="M342" s="12" t="s">
        <v>1055</v>
      </c>
      <c r="N342" s="13" t="s">
        <v>1035</v>
      </c>
    </row>
    <row r="343" spans="1:14" s="1" customFormat="1" ht="17.100000000000001" customHeight="1" x14ac:dyDescent="0.25">
      <c r="A343" s="9" t="s">
        <v>560</v>
      </c>
      <c r="B343" s="10" t="s">
        <v>876</v>
      </c>
      <c r="C343" s="10">
        <v>2022</v>
      </c>
      <c r="D343" s="11" t="s">
        <v>1853</v>
      </c>
      <c r="E343" s="10" t="s">
        <v>1630</v>
      </c>
      <c r="F343" s="11" t="s">
        <v>149</v>
      </c>
      <c r="G343" s="10" t="s">
        <v>1177</v>
      </c>
      <c r="H343" s="10" t="s">
        <v>2326</v>
      </c>
      <c r="I343" s="12" t="s">
        <v>1039</v>
      </c>
      <c r="J343" s="10" t="s">
        <v>1036</v>
      </c>
      <c r="K343" s="10" t="s">
        <v>1031</v>
      </c>
      <c r="L343" s="10" t="s">
        <v>1247</v>
      </c>
      <c r="M343" s="10" t="s">
        <v>1150</v>
      </c>
      <c r="N343" s="13" t="s">
        <v>1034</v>
      </c>
    </row>
    <row r="344" spans="1:14" s="1" customFormat="1" ht="17.100000000000001" customHeight="1" x14ac:dyDescent="0.25">
      <c r="A344" s="27" t="s">
        <v>1614</v>
      </c>
      <c r="B344" s="28" t="s">
        <v>1615</v>
      </c>
      <c r="C344" s="29">
        <v>2018</v>
      </c>
      <c r="D344" s="11" t="s">
        <v>1680</v>
      </c>
      <c r="E344" s="28" t="s">
        <v>1630</v>
      </c>
      <c r="F344" s="30" t="s">
        <v>149</v>
      </c>
      <c r="G344" s="29" t="s">
        <v>2266</v>
      </c>
      <c r="H344" s="29" t="s">
        <v>2334</v>
      </c>
      <c r="I344" s="29" t="s">
        <v>1493</v>
      </c>
      <c r="J344" s="29" t="s">
        <v>1040</v>
      </c>
      <c r="K344" s="12" t="s">
        <v>1037</v>
      </c>
      <c r="L344" s="10" t="s">
        <v>1247</v>
      </c>
      <c r="M344" s="29" t="s">
        <v>1627</v>
      </c>
      <c r="N344" s="43" t="s">
        <v>1035</v>
      </c>
    </row>
    <row r="345" spans="1:14" s="1" customFormat="1" ht="17.100000000000001" customHeight="1" x14ac:dyDescent="0.25">
      <c r="A345" s="9" t="s">
        <v>150</v>
      </c>
      <c r="B345" s="10" t="s">
        <v>873</v>
      </c>
      <c r="C345" s="10">
        <v>2021</v>
      </c>
      <c r="D345" s="11" t="s">
        <v>1874</v>
      </c>
      <c r="E345" s="10" t="s">
        <v>1630</v>
      </c>
      <c r="F345" s="11" t="s">
        <v>149</v>
      </c>
      <c r="G345" s="10" t="s">
        <v>2275</v>
      </c>
      <c r="H345" s="10" t="s">
        <v>1161</v>
      </c>
      <c r="I345" s="12" t="s">
        <v>1039</v>
      </c>
      <c r="J345" s="10" t="s">
        <v>1030</v>
      </c>
      <c r="K345" s="10" t="s">
        <v>1031</v>
      </c>
      <c r="L345" s="10" t="s">
        <v>1247</v>
      </c>
      <c r="M345" s="10" t="s">
        <v>1067</v>
      </c>
      <c r="N345" s="14" t="s">
        <v>1035</v>
      </c>
    </row>
    <row r="346" spans="1:14" s="1" customFormat="1" ht="17.100000000000001" customHeight="1" x14ac:dyDescent="0.25">
      <c r="A346" s="9" t="s">
        <v>1328</v>
      </c>
      <c r="B346" s="10" t="s">
        <v>1329</v>
      </c>
      <c r="C346" s="10">
        <v>2017</v>
      </c>
      <c r="D346" s="11" t="s">
        <v>2139</v>
      </c>
      <c r="E346" s="10" t="s">
        <v>1630</v>
      </c>
      <c r="F346" s="11" t="s">
        <v>149</v>
      </c>
      <c r="G346" s="10" t="s">
        <v>2283</v>
      </c>
      <c r="H346" s="10" t="s">
        <v>1161</v>
      </c>
      <c r="I346" s="10" t="s">
        <v>1039</v>
      </c>
      <c r="J346" s="10" t="s">
        <v>1030</v>
      </c>
      <c r="K346" s="12" t="s">
        <v>1037</v>
      </c>
      <c r="L346" s="10" t="s">
        <v>1247</v>
      </c>
      <c r="M346" s="10" t="s">
        <v>114</v>
      </c>
      <c r="N346" s="13" t="s">
        <v>1035</v>
      </c>
    </row>
    <row r="347" spans="1:14" s="1" customFormat="1" ht="17.100000000000001" customHeight="1" x14ac:dyDescent="0.25">
      <c r="A347" s="9" t="s">
        <v>326</v>
      </c>
      <c r="B347" s="10" t="s">
        <v>875</v>
      </c>
      <c r="C347" s="10">
        <v>2019</v>
      </c>
      <c r="D347" s="11" t="s">
        <v>2031</v>
      </c>
      <c r="E347" s="10" t="s">
        <v>1630</v>
      </c>
      <c r="F347" s="11" t="s">
        <v>149</v>
      </c>
      <c r="G347" s="12" t="s">
        <v>1028</v>
      </c>
      <c r="H347" s="10" t="s">
        <v>1166</v>
      </c>
      <c r="I347" s="12" t="s">
        <v>1029</v>
      </c>
      <c r="J347" s="10" t="s">
        <v>1040</v>
      </c>
      <c r="K347" s="10" t="s">
        <v>1031</v>
      </c>
      <c r="L347" s="10" t="s">
        <v>1032</v>
      </c>
      <c r="M347" s="10" t="s">
        <v>1216</v>
      </c>
      <c r="N347" s="13" t="s">
        <v>1034</v>
      </c>
    </row>
    <row r="348" spans="1:14" s="1" customFormat="1" ht="17.100000000000001" customHeight="1" x14ac:dyDescent="0.25">
      <c r="A348" s="9" t="s">
        <v>1300</v>
      </c>
      <c r="B348" s="10" t="s">
        <v>1301</v>
      </c>
      <c r="C348" s="10">
        <v>2017</v>
      </c>
      <c r="D348" s="11" t="s">
        <v>2128</v>
      </c>
      <c r="E348" s="10" t="s">
        <v>1630</v>
      </c>
      <c r="F348" s="11" t="s">
        <v>149</v>
      </c>
      <c r="G348" s="10" t="s">
        <v>2266</v>
      </c>
      <c r="H348" s="10" t="s">
        <v>1057</v>
      </c>
      <c r="I348" s="10" t="s">
        <v>1039</v>
      </c>
      <c r="J348" s="10" t="s">
        <v>1030</v>
      </c>
      <c r="K348" s="10" t="s">
        <v>1031</v>
      </c>
      <c r="L348" s="10" t="s">
        <v>1247</v>
      </c>
      <c r="M348" s="10" t="s">
        <v>1302</v>
      </c>
      <c r="N348" s="13" t="s">
        <v>1035</v>
      </c>
    </row>
    <row r="349" spans="1:14" s="1" customFormat="1" ht="17.100000000000001" customHeight="1" x14ac:dyDescent="0.25">
      <c r="A349" s="9" t="s">
        <v>325</v>
      </c>
      <c r="B349" s="10" t="s">
        <v>877</v>
      </c>
      <c r="C349" s="10">
        <v>2021</v>
      </c>
      <c r="D349" s="11" t="s">
        <v>1972</v>
      </c>
      <c r="E349" s="10" t="s">
        <v>1630</v>
      </c>
      <c r="F349" s="11" t="s">
        <v>149</v>
      </c>
      <c r="G349" s="10" t="s">
        <v>2266</v>
      </c>
      <c r="H349" s="10" t="s">
        <v>1057</v>
      </c>
      <c r="I349" s="12" t="s">
        <v>1029</v>
      </c>
      <c r="J349" s="10" t="s">
        <v>1030</v>
      </c>
      <c r="K349" s="10" t="s">
        <v>1031</v>
      </c>
      <c r="L349" s="10" t="s">
        <v>1032</v>
      </c>
      <c r="M349" s="12" t="s">
        <v>114</v>
      </c>
      <c r="N349" s="14" t="s">
        <v>1035</v>
      </c>
    </row>
    <row r="350" spans="1:14" s="1" customFormat="1" ht="17.100000000000001" customHeight="1" x14ac:dyDescent="0.25">
      <c r="A350" s="9" t="s">
        <v>479</v>
      </c>
      <c r="B350" s="10" t="s">
        <v>881</v>
      </c>
      <c r="C350" s="10">
        <v>2019</v>
      </c>
      <c r="D350" s="11" t="s">
        <v>1967</v>
      </c>
      <c r="E350" s="10" t="s">
        <v>1630</v>
      </c>
      <c r="F350" s="11" t="s">
        <v>149</v>
      </c>
      <c r="G350" s="10" t="s">
        <v>1028</v>
      </c>
      <c r="H350" s="10" t="s">
        <v>1057</v>
      </c>
      <c r="I350" s="12" t="s">
        <v>1029</v>
      </c>
      <c r="J350" s="10" t="s">
        <v>1036</v>
      </c>
      <c r="K350" s="10" t="s">
        <v>1031</v>
      </c>
      <c r="L350" s="10" t="s">
        <v>1247</v>
      </c>
      <c r="M350" s="10" t="s">
        <v>1104</v>
      </c>
      <c r="N350" s="14" t="s">
        <v>1035</v>
      </c>
    </row>
    <row r="351" spans="1:14" s="1" customFormat="1" ht="17.100000000000001" customHeight="1" x14ac:dyDescent="0.25">
      <c r="A351" s="9" t="s">
        <v>154</v>
      </c>
      <c r="B351" s="10" t="s">
        <v>811</v>
      </c>
      <c r="C351" s="12">
        <v>2015</v>
      </c>
      <c r="D351" s="11" t="s">
        <v>1748</v>
      </c>
      <c r="E351" s="10" t="s">
        <v>1630</v>
      </c>
      <c r="F351" s="11" t="s">
        <v>149</v>
      </c>
      <c r="G351" s="12" t="s">
        <v>1028</v>
      </c>
      <c r="H351" s="10" t="s">
        <v>1057</v>
      </c>
      <c r="I351" s="12" t="s">
        <v>1029</v>
      </c>
      <c r="J351" s="12" t="s">
        <v>1040</v>
      </c>
      <c r="K351" s="10" t="s">
        <v>1031</v>
      </c>
      <c r="L351" s="12" t="s">
        <v>1042</v>
      </c>
      <c r="M351" s="12" t="s">
        <v>114</v>
      </c>
      <c r="N351" s="14" t="s">
        <v>1035</v>
      </c>
    </row>
    <row r="352" spans="1:14" s="1" customFormat="1" ht="17.100000000000001" customHeight="1" x14ac:dyDescent="0.25">
      <c r="A352" s="9" t="s">
        <v>878</v>
      </c>
      <c r="B352" s="10" t="s">
        <v>540</v>
      </c>
      <c r="C352" s="10">
        <v>2022</v>
      </c>
      <c r="D352" s="11" t="s">
        <v>2256</v>
      </c>
      <c r="E352" s="10" t="s">
        <v>1630</v>
      </c>
      <c r="F352" s="11" t="s">
        <v>149</v>
      </c>
      <c r="G352" s="10" t="s">
        <v>1177</v>
      </c>
      <c r="H352" s="10" t="s">
        <v>1057</v>
      </c>
      <c r="I352" s="10" t="s">
        <v>1039</v>
      </c>
      <c r="J352" s="10" t="s">
        <v>1040</v>
      </c>
      <c r="K352" s="10" t="s">
        <v>1031</v>
      </c>
      <c r="L352" s="10" t="s">
        <v>1247</v>
      </c>
      <c r="M352" s="10" t="s">
        <v>1055</v>
      </c>
      <c r="N352" s="13" t="s">
        <v>1035</v>
      </c>
    </row>
    <row r="353" spans="1:14" s="1" customFormat="1" ht="17.100000000000001" customHeight="1" x14ac:dyDescent="0.25">
      <c r="A353" s="9" t="s">
        <v>472</v>
      </c>
      <c r="B353" s="10" t="s">
        <v>874</v>
      </c>
      <c r="C353" s="10">
        <v>2021</v>
      </c>
      <c r="D353" s="11" t="s">
        <v>1942</v>
      </c>
      <c r="E353" s="10" t="s">
        <v>1630</v>
      </c>
      <c r="F353" s="11" t="s">
        <v>149</v>
      </c>
      <c r="G353" s="12" t="s">
        <v>1028</v>
      </c>
      <c r="H353" s="10" t="s">
        <v>1168</v>
      </c>
      <c r="I353" s="10" t="s">
        <v>1493</v>
      </c>
      <c r="J353" s="10" t="s">
        <v>1030</v>
      </c>
      <c r="K353" s="10" t="s">
        <v>1031</v>
      </c>
      <c r="L353" s="10" t="s">
        <v>1032</v>
      </c>
      <c r="M353" s="10" t="s">
        <v>1221</v>
      </c>
      <c r="N353" s="13" t="s">
        <v>1041</v>
      </c>
    </row>
    <row r="354" spans="1:14" s="1" customFormat="1" ht="17.100000000000001" customHeight="1" x14ac:dyDescent="0.25">
      <c r="A354" s="9" t="s">
        <v>159</v>
      </c>
      <c r="B354" s="10" t="s">
        <v>814</v>
      </c>
      <c r="C354" s="10">
        <v>2018</v>
      </c>
      <c r="D354" s="11" t="s">
        <v>2047</v>
      </c>
      <c r="E354" s="10" t="s">
        <v>1630</v>
      </c>
      <c r="F354" s="11" t="s">
        <v>149</v>
      </c>
      <c r="G354" s="10" t="s">
        <v>1062</v>
      </c>
      <c r="H354" s="10" t="s">
        <v>2419</v>
      </c>
      <c r="I354" s="12" t="s">
        <v>1029</v>
      </c>
      <c r="J354" s="10" t="s">
        <v>1036</v>
      </c>
      <c r="K354" s="10" t="s">
        <v>1031</v>
      </c>
      <c r="L354" s="10" t="s">
        <v>1032</v>
      </c>
      <c r="M354" s="10" t="s">
        <v>1106</v>
      </c>
      <c r="N354" s="14" t="s">
        <v>1035</v>
      </c>
    </row>
    <row r="355" spans="1:14" s="1" customFormat="1" ht="17.100000000000001" customHeight="1" x14ac:dyDescent="0.25">
      <c r="A355" s="9" t="s">
        <v>836</v>
      </c>
      <c r="B355" s="10" t="s">
        <v>837</v>
      </c>
      <c r="C355" s="10">
        <v>2018</v>
      </c>
      <c r="D355" s="11" t="s">
        <v>2235</v>
      </c>
      <c r="E355" s="10" t="s">
        <v>1630</v>
      </c>
      <c r="F355" s="11" t="s">
        <v>149</v>
      </c>
      <c r="G355" s="10" t="s">
        <v>1054</v>
      </c>
      <c r="H355" s="10" t="s">
        <v>1172</v>
      </c>
      <c r="I355" s="12" t="s">
        <v>1029</v>
      </c>
      <c r="J355" s="10" t="s">
        <v>1036</v>
      </c>
      <c r="K355" s="10" t="s">
        <v>1031</v>
      </c>
      <c r="L355" s="10" t="s">
        <v>1247</v>
      </c>
      <c r="M355" s="10" t="s">
        <v>114</v>
      </c>
      <c r="N355" s="13" t="s">
        <v>1035</v>
      </c>
    </row>
    <row r="356" spans="1:14" s="1" customFormat="1" ht="17.100000000000001" customHeight="1" x14ac:dyDescent="0.25">
      <c r="A356" s="9" t="s">
        <v>160</v>
      </c>
      <c r="B356" s="10" t="s">
        <v>815</v>
      </c>
      <c r="C356" s="10">
        <v>2016</v>
      </c>
      <c r="D356" s="11" t="s">
        <v>1927</v>
      </c>
      <c r="E356" s="10" t="s">
        <v>1630</v>
      </c>
      <c r="F356" s="11" t="s">
        <v>149</v>
      </c>
      <c r="G356" s="10" t="s">
        <v>1054</v>
      </c>
      <c r="H356" s="10" t="s">
        <v>1178</v>
      </c>
      <c r="I356" s="12" t="s">
        <v>1039</v>
      </c>
      <c r="J356" s="12" t="s">
        <v>1689</v>
      </c>
      <c r="K356" s="10" t="s">
        <v>1031</v>
      </c>
      <c r="L356" s="10" t="s">
        <v>1247</v>
      </c>
      <c r="M356" s="10" t="s">
        <v>1089</v>
      </c>
      <c r="N356" s="14" t="s">
        <v>1035</v>
      </c>
    </row>
    <row r="357" spans="1:14" s="1" customFormat="1" ht="17.100000000000001" customHeight="1" x14ac:dyDescent="0.25">
      <c r="A357" s="9" t="s">
        <v>1268</v>
      </c>
      <c r="B357" s="10" t="s">
        <v>1269</v>
      </c>
      <c r="C357" s="10">
        <v>2018</v>
      </c>
      <c r="D357" s="11" t="s">
        <v>2116</v>
      </c>
      <c r="E357" s="10" t="s">
        <v>1630</v>
      </c>
      <c r="F357" s="11" t="s">
        <v>149</v>
      </c>
      <c r="G357" s="10" t="s">
        <v>2277</v>
      </c>
      <c r="H357" s="10" t="s">
        <v>1270</v>
      </c>
      <c r="I357" s="10" t="s">
        <v>1039</v>
      </c>
      <c r="J357" s="10" t="s">
        <v>1030</v>
      </c>
      <c r="K357" s="10" t="s">
        <v>1031</v>
      </c>
      <c r="L357" s="10" t="s">
        <v>1247</v>
      </c>
      <c r="M357" s="10" t="s">
        <v>114</v>
      </c>
      <c r="N357" s="13" t="s">
        <v>1035</v>
      </c>
    </row>
    <row r="358" spans="1:14" s="1" customFormat="1" ht="17.100000000000001" customHeight="1" x14ac:dyDescent="0.25">
      <c r="A358" s="9" t="s">
        <v>155</v>
      </c>
      <c r="B358" s="10" t="s">
        <v>812</v>
      </c>
      <c r="C358" s="10">
        <v>2018</v>
      </c>
      <c r="D358" s="11" t="s">
        <v>2084</v>
      </c>
      <c r="E358" s="10" t="s">
        <v>1630</v>
      </c>
      <c r="F358" s="11" t="s">
        <v>149</v>
      </c>
      <c r="G358" s="10" t="s">
        <v>2266</v>
      </c>
      <c r="H358" s="10" t="s">
        <v>2359</v>
      </c>
      <c r="I358" s="12" t="s">
        <v>1029</v>
      </c>
      <c r="J358" s="10" t="s">
        <v>1030</v>
      </c>
      <c r="K358" s="10" t="s">
        <v>1031</v>
      </c>
      <c r="L358" s="10" t="s">
        <v>1032</v>
      </c>
      <c r="M358" s="10" t="s">
        <v>1237</v>
      </c>
      <c r="N358" s="14" t="s">
        <v>1035</v>
      </c>
    </row>
    <row r="359" spans="1:14" s="1" customFormat="1" ht="17.100000000000001" customHeight="1" x14ac:dyDescent="0.25">
      <c r="A359" s="9" t="s">
        <v>1271</v>
      </c>
      <c r="B359" s="10" t="s">
        <v>1272</v>
      </c>
      <c r="C359" s="10">
        <v>2015</v>
      </c>
      <c r="D359" s="11" t="s">
        <v>2117</v>
      </c>
      <c r="E359" s="10" t="s">
        <v>1630</v>
      </c>
      <c r="F359" s="11" t="s">
        <v>149</v>
      </c>
      <c r="G359" s="10" t="s">
        <v>1538</v>
      </c>
      <c r="H359" s="10" t="s">
        <v>1230</v>
      </c>
      <c r="I359" s="10" t="s">
        <v>1039</v>
      </c>
      <c r="J359" s="10" t="s">
        <v>1030</v>
      </c>
      <c r="K359" s="10" t="s">
        <v>1031</v>
      </c>
      <c r="L359" s="10" t="s">
        <v>1247</v>
      </c>
      <c r="M359" s="10" t="s">
        <v>1050</v>
      </c>
      <c r="N359" s="13" t="s">
        <v>1035</v>
      </c>
    </row>
    <row r="360" spans="1:14" s="1" customFormat="1" ht="17.100000000000001" customHeight="1" x14ac:dyDescent="0.25">
      <c r="A360" s="9" t="s">
        <v>1233</v>
      </c>
      <c r="B360" s="10" t="s">
        <v>459</v>
      </c>
      <c r="C360" s="10">
        <v>2022</v>
      </c>
      <c r="D360" s="11" t="s">
        <v>2060</v>
      </c>
      <c r="E360" s="10" t="s">
        <v>1630</v>
      </c>
      <c r="F360" s="11" t="s">
        <v>149</v>
      </c>
      <c r="G360" s="10" t="s">
        <v>1538</v>
      </c>
      <c r="H360" s="10" t="s">
        <v>1230</v>
      </c>
      <c r="I360" s="12" t="s">
        <v>1039</v>
      </c>
      <c r="J360" s="10" t="s">
        <v>1030</v>
      </c>
      <c r="K360" s="10" t="s">
        <v>1031</v>
      </c>
      <c r="L360" s="10" t="s">
        <v>1247</v>
      </c>
      <c r="M360" s="10" t="s">
        <v>1151</v>
      </c>
      <c r="N360" s="14" t="s">
        <v>1035</v>
      </c>
    </row>
    <row r="361" spans="1:14" s="1" customFormat="1" ht="17.100000000000001" customHeight="1" x14ac:dyDescent="0.25">
      <c r="A361" s="9" t="s">
        <v>327</v>
      </c>
      <c r="B361" s="10" t="s">
        <v>835</v>
      </c>
      <c r="C361" s="10">
        <v>2018</v>
      </c>
      <c r="D361" s="11" t="s">
        <v>2035</v>
      </c>
      <c r="E361" s="10" t="s">
        <v>1630</v>
      </c>
      <c r="F361" s="11" t="s">
        <v>149</v>
      </c>
      <c r="G361" s="10" t="s">
        <v>1538</v>
      </c>
      <c r="H361" s="10" t="s">
        <v>1230</v>
      </c>
      <c r="I361" s="12" t="s">
        <v>1039</v>
      </c>
      <c r="J361" s="10" t="s">
        <v>1114</v>
      </c>
      <c r="K361" s="10" t="s">
        <v>1031</v>
      </c>
      <c r="L361" s="10" t="s">
        <v>1247</v>
      </c>
      <c r="M361" s="10" t="s">
        <v>1232</v>
      </c>
      <c r="N361" s="14" t="s">
        <v>1035</v>
      </c>
    </row>
    <row r="362" spans="1:14" s="1" customFormat="1" ht="17.100000000000001" customHeight="1" x14ac:dyDescent="0.25">
      <c r="A362" s="9" t="s">
        <v>487</v>
      </c>
      <c r="B362" s="10" t="s">
        <v>857</v>
      </c>
      <c r="C362" s="10">
        <v>2019</v>
      </c>
      <c r="D362" s="11" t="s">
        <v>1674</v>
      </c>
      <c r="E362" s="10" t="s">
        <v>1630</v>
      </c>
      <c r="F362" s="11" t="s">
        <v>149</v>
      </c>
      <c r="G362" s="10" t="s">
        <v>1538</v>
      </c>
      <c r="H362" s="10" t="s">
        <v>1230</v>
      </c>
      <c r="I362" s="12" t="s">
        <v>1039</v>
      </c>
      <c r="J362" s="10" t="s">
        <v>1040</v>
      </c>
      <c r="K362" s="10" t="s">
        <v>1031</v>
      </c>
      <c r="L362" s="10" t="s">
        <v>1032</v>
      </c>
      <c r="M362" s="10" t="s">
        <v>1093</v>
      </c>
      <c r="N362" s="14" t="s">
        <v>1035</v>
      </c>
    </row>
    <row r="363" spans="1:14" s="1" customFormat="1" ht="17.100000000000001" customHeight="1" x14ac:dyDescent="0.25">
      <c r="A363" s="9" t="s">
        <v>489</v>
      </c>
      <c r="B363" s="10" t="s">
        <v>859</v>
      </c>
      <c r="C363" s="10">
        <v>2019</v>
      </c>
      <c r="D363" s="11" t="s">
        <v>1675</v>
      </c>
      <c r="E363" s="10" t="s">
        <v>1630</v>
      </c>
      <c r="F363" s="11" t="s">
        <v>149</v>
      </c>
      <c r="G363" s="10" t="s">
        <v>1538</v>
      </c>
      <c r="H363" s="10" t="s">
        <v>1230</v>
      </c>
      <c r="I363" s="12" t="s">
        <v>1029</v>
      </c>
      <c r="J363" s="10" t="s">
        <v>1040</v>
      </c>
      <c r="K363" s="10" t="s">
        <v>1031</v>
      </c>
      <c r="L363" s="10" t="s">
        <v>1032</v>
      </c>
      <c r="M363" s="12" t="s">
        <v>114</v>
      </c>
      <c r="N363" s="14" t="s">
        <v>1035</v>
      </c>
    </row>
    <row r="364" spans="1:14" s="1" customFormat="1" ht="17.100000000000001" customHeight="1" x14ac:dyDescent="0.25">
      <c r="A364" s="9" t="s">
        <v>1316</v>
      </c>
      <c r="B364" s="10" t="s">
        <v>1317</v>
      </c>
      <c r="C364" s="10">
        <v>2021</v>
      </c>
      <c r="D364" s="11" t="s">
        <v>2134</v>
      </c>
      <c r="E364" s="10" t="s">
        <v>1630</v>
      </c>
      <c r="F364" s="11" t="s">
        <v>149</v>
      </c>
      <c r="G364" s="10" t="s">
        <v>1544</v>
      </c>
      <c r="H364" s="10" t="s">
        <v>1318</v>
      </c>
      <c r="I364" s="10" t="s">
        <v>1039</v>
      </c>
      <c r="J364" s="10" t="s">
        <v>1030</v>
      </c>
      <c r="K364" s="10" t="s">
        <v>1031</v>
      </c>
      <c r="L364" s="10" t="s">
        <v>1247</v>
      </c>
      <c r="M364" s="10" t="s">
        <v>1055</v>
      </c>
      <c r="N364" s="13" t="s">
        <v>1035</v>
      </c>
    </row>
    <row r="365" spans="1:14" s="1" customFormat="1" ht="17.100000000000001" customHeight="1" x14ac:dyDescent="0.25">
      <c r="A365" s="9" t="s">
        <v>1326</v>
      </c>
      <c r="B365" s="10" t="s">
        <v>1327</v>
      </c>
      <c r="C365" s="10">
        <v>2018</v>
      </c>
      <c r="D365" s="11" t="s">
        <v>2138</v>
      </c>
      <c r="E365" s="10" t="s">
        <v>1630</v>
      </c>
      <c r="F365" s="11" t="s">
        <v>149</v>
      </c>
      <c r="G365" s="10" t="s">
        <v>2284</v>
      </c>
      <c r="H365" s="10" t="s">
        <v>1161</v>
      </c>
      <c r="I365" s="10" t="s">
        <v>1039</v>
      </c>
      <c r="J365" s="10" t="s">
        <v>1040</v>
      </c>
      <c r="K365" s="12" t="s">
        <v>1037</v>
      </c>
      <c r="L365" s="10" t="s">
        <v>1247</v>
      </c>
      <c r="M365" s="10" t="s">
        <v>1050</v>
      </c>
      <c r="N365" s="13" t="s">
        <v>1035</v>
      </c>
    </row>
    <row r="366" spans="1:14" s="1" customFormat="1" ht="17.100000000000001" customHeight="1" x14ac:dyDescent="0.25">
      <c r="A366" s="9" t="s">
        <v>163</v>
      </c>
      <c r="B366" s="10" t="s">
        <v>164</v>
      </c>
      <c r="C366" s="10">
        <v>2018</v>
      </c>
      <c r="D366" s="11" t="s">
        <v>1887</v>
      </c>
      <c r="E366" s="10" t="s">
        <v>1630</v>
      </c>
      <c r="F366" s="11" t="s">
        <v>149</v>
      </c>
      <c r="G366" s="10" t="s">
        <v>1054</v>
      </c>
      <c r="H366" s="10" t="s">
        <v>2340</v>
      </c>
      <c r="I366" s="12" t="s">
        <v>1029</v>
      </c>
      <c r="J366" s="10" t="s">
        <v>1030</v>
      </c>
      <c r="K366" s="10" t="s">
        <v>1031</v>
      </c>
      <c r="L366" s="10" t="s">
        <v>1247</v>
      </c>
      <c r="M366" s="12" t="s">
        <v>1055</v>
      </c>
      <c r="N366" s="14" t="s">
        <v>1035</v>
      </c>
    </row>
    <row r="367" spans="1:14" s="1" customFormat="1" ht="17.100000000000001" customHeight="1" x14ac:dyDescent="0.25">
      <c r="A367" s="9" t="s">
        <v>156</v>
      </c>
      <c r="B367" s="10" t="s">
        <v>813</v>
      </c>
      <c r="C367" s="10">
        <v>2014</v>
      </c>
      <c r="D367" s="11" t="s">
        <v>2085</v>
      </c>
      <c r="E367" s="10" t="s">
        <v>1630</v>
      </c>
      <c r="F367" s="11" t="s">
        <v>149</v>
      </c>
      <c r="G367" s="10" t="s">
        <v>1054</v>
      </c>
      <c r="H367" s="10" t="s">
        <v>2340</v>
      </c>
      <c r="I367" s="12" t="s">
        <v>1039</v>
      </c>
      <c r="J367" s="10" t="s">
        <v>1040</v>
      </c>
      <c r="K367" s="10" t="s">
        <v>1031</v>
      </c>
      <c r="L367" s="10" t="s">
        <v>1247</v>
      </c>
      <c r="M367" s="12" t="s">
        <v>114</v>
      </c>
      <c r="N367" s="14" t="s">
        <v>1035</v>
      </c>
    </row>
    <row r="368" spans="1:14" s="1" customFormat="1" ht="17.100000000000001" customHeight="1" x14ac:dyDescent="0.25">
      <c r="A368" s="9" t="s">
        <v>488</v>
      </c>
      <c r="B368" s="10" t="s">
        <v>858</v>
      </c>
      <c r="C368" s="10">
        <v>2019</v>
      </c>
      <c r="D368" s="11" t="s">
        <v>1671</v>
      </c>
      <c r="E368" s="10" t="s">
        <v>1630</v>
      </c>
      <c r="F368" s="11" t="s">
        <v>149</v>
      </c>
      <c r="G368" s="10" t="s">
        <v>2275</v>
      </c>
      <c r="H368" s="10" t="s">
        <v>1648</v>
      </c>
      <c r="I368" s="12" t="s">
        <v>1029</v>
      </c>
      <c r="J368" s="10" t="s">
        <v>1030</v>
      </c>
      <c r="K368" s="10" t="s">
        <v>1031</v>
      </c>
      <c r="L368" s="10" t="s">
        <v>1032</v>
      </c>
      <c r="M368" s="12" t="s">
        <v>1055</v>
      </c>
      <c r="N368" s="14" t="s">
        <v>1035</v>
      </c>
    </row>
    <row r="369" spans="1:14" s="1" customFormat="1" ht="17.100000000000001" customHeight="1" x14ac:dyDescent="0.25">
      <c r="A369" s="9" t="s">
        <v>774</v>
      </c>
      <c r="B369" s="10" t="s">
        <v>902</v>
      </c>
      <c r="C369" s="10">
        <v>2021</v>
      </c>
      <c r="D369" s="11" t="s">
        <v>1926</v>
      </c>
      <c r="E369" s="10" t="s">
        <v>1630</v>
      </c>
      <c r="F369" s="11" t="s">
        <v>149</v>
      </c>
      <c r="G369" s="10" t="s">
        <v>1028</v>
      </c>
      <c r="H369" s="10" t="s">
        <v>2344</v>
      </c>
      <c r="I369" s="12" t="s">
        <v>1029</v>
      </c>
      <c r="J369" s="10" t="s">
        <v>1040</v>
      </c>
      <c r="K369" s="10" t="s">
        <v>1031</v>
      </c>
      <c r="L369" s="10" t="s">
        <v>1042</v>
      </c>
      <c r="M369" s="12" t="s">
        <v>114</v>
      </c>
      <c r="N369" s="13" t="s">
        <v>1041</v>
      </c>
    </row>
    <row r="370" spans="1:14" s="1" customFormat="1" ht="17.100000000000001" customHeight="1" x14ac:dyDescent="0.25">
      <c r="A370" s="9" t="s">
        <v>476</v>
      </c>
      <c r="B370" s="10" t="s">
        <v>477</v>
      </c>
      <c r="C370" s="10">
        <v>2019</v>
      </c>
      <c r="D370" s="11" t="s">
        <v>1911</v>
      </c>
      <c r="E370" s="10" t="s">
        <v>1630</v>
      </c>
      <c r="F370" s="11" t="s">
        <v>149</v>
      </c>
      <c r="G370" s="10" t="s">
        <v>1028</v>
      </c>
      <c r="H370" s="10" t="s">
        <v>2322</v>
      </c>
      <c r="I370" s="12" t="s">
        <v>1039</v>
      </c>
      <c r="J370" s="10" t="s">
        <v>1040</v>
      </c>
      <c r="K370" s="10" t="s">
        <v>1031</v>
      </c>
      <c r="L370" s="10" t="s">
        <v>1032</v>
      </c>
      <c r="M370" s="12" t="s">
        <v>114</v>
      </c>
      <c r="N370" s="14" t="s">
        <v>1035</v>
      </c>
    </row>
    <row r="371" spans="1:14" s="1" customFormat="1" ht="17.100000000000001" customHeight="1" x14ac:dyDescent="0.25">
      <c r="A371" s="9" t="s">
        <v>153</v>
      </c>
      <c r="B371" s="10" t="s">
        <v>810</v>
      </c>
      <c r="C371" s="10">
        <v>2016</v>
      </c>
      <c r="D371" s="11" t="s">
        <v>1893</v>
      </c>
      <c r="E371" s="10" t="s">
        <v>1630</v>
      </c>
      <c r="F371" s="11" t="s">
        <v>149</v>
      </c>
      <c r="G371" s="31" t="s">
        <v>1184</v>
      </c>
      <c r="H371" s="31" t="s">
        <v>2265</v>
      </c>
      <c r="I371" s="12" t="s">
        <v>1039</v>
      </c>
      <c r="J371" s="10" t="s">
        <v>1040</v>
      </c>
      <c r="K371" s="10" t="s">
        <v>1031</v>
      </c>
      <c r="L371" s="10" t="s">
        <v>1247</v>
      </c>
      <c r="M371" s="10" t="s">
        <v>1104</v>
      </c>
      <c r="N371" s="14" t="s">
        <v>1035</v>
      </c>
    </row>
    <row r="372" spans="1:14" s="1" customFormat="1" ht="17.100000000000001" customHeight="1" x14ac:dyDescent="0.25">
      <c r="A372" s="9" t="s">
        <v>1360</v>
      </c>
      <c r="B372" s="10" t="s">
        <v>1361</v>
      </c>
      <c r="C372" s="10">
        <v>2012</v>
      </c>
      <c r="D372" s="11" t="s">
        <v>2151</v>
      </c>
      <c r="E372" s="10" t="s">
        <v>1631</v>
      </c>
      <c r="F372" s="11" t="s">
        <v>773</v>
      </c>
      <c r="G372" s="10" t="s">
        <v>2275</v>
      </c>
      <c r="H372" s="10" t="s">
        <v>2337</v>
      </c>
      <c r="I372" s="10" t="s">
        <v>1039</v>
      </c>
      <c r="J372" s="10" t="s">
        <v>1030</v>
      </c>
      <c r="K372" s="10" t="s">
        <v>1031</v>
      </c>
      <c r="L372" s="10" t="s">
        <v>1247</v>
      </c>
      <c r="M372" s="10" t="s">
        <v>114</v>
      </c>
      <c r="N372" s="13" t="s">
        <v>1035</v>
      </c>
    </row>
    <row r="373" spans="1:14" s="1" customFormat="1" ht="17.100000000000001" customHeight="1" x14ac:dyDescent="0.25">
      <c r="A373" s="9" t="s">
        <v>669</v>
      </c>
      <c r="B373" s="10" t="s">
        <v>956</v>
      </c>
      <c r="C373" s="10">
        <v>2014</v>
      </c>
      <c r="D373" s="11" t="s">
        <v>1824</v>
      </c>
      <c r="E373" s="10" t="s">
        <v>1631</v>
      </c>
      <c r="F373" s="11" t="s">
        <v>773</v>
      </c>
      <c r="G373" s="10" t="s">
        <v>1054</v>
      </c>
      <c r="H373" s="10" t="s">
        <v>2326</v>
      </c>
      <c r="I373" s="12" t="s">
        <v>1029</v>
      </c>
      <c r="J373" s="10" t="s">
        <v>1048</v>
      </c>
      <c r="K373" s="10" t="s">
        <v>1031</v>
      </c>
      <c r="L373" s="10" t="s">
        <v>1032</v>
      </c>
      <c r="M373" s="10" t="s">
        <v>1124</v>
      </c>
      <c r="N373" s="14" t="s">
        <v>1035</v>
      </c>
    </row>
    <row r="374" spans="1:14" s="1" customFormat="1" ht="17.100000000000001" customHeight="1" x14ac:dyDescent="0.25">
      <c r="A374" s="9" t="s">
        <v>1564</v>
      </c>
      <c r="B374" s="10" t="s">
        <v>1565</v>
      </c>
      <c r="C374" s="10">
        <v>2019</v>
      </c>
      <c r="D374" s="11" t="s">
        <v>2226</v>
      </c>
      <c r="E374" s="10" t="s">
        <v>1631</v>
      </c>
      <c r="F374" s="11" t="s">
        <v>773</v>
      </c>
      <c r="G374" s="10" t="s">
        <v>1054</v>
      </c>
      <c r="H374" s="10" t="s">
        <v>2326</v>
      </c>
      <c r="I374" s="10" t="s">
        <v>1493</v>
      </c>
      <c r="J374" s="10" t="s">
        <v>1048</v>
      </c>
      <c r="K374" s="10" t="s">
        <v>1031</v>
      </c>
      <c r="L374" s="10" t="s">
        <v>1042</v>
      </c>
      <c r="M374" s="10" t="s">
        <v>114</v>
      </c>
      <c r="N374" s="13" t="s">
        <v>1072</v>
      </c>
    </row>
    <row r="375" spans="1:14" s="1" customFormat="1" ht="17.100000000000001" customHeight="1" x14ac:dyDescent="0.25">
      <c r="A375" s="9" t="s">
        <v>1571</v>
      </c>
      <c r="B375" s="10" t="s">
        <v>1572</v>
      </c>
      <c r="C375" s="10">
        <v>2013</v>
      </c>
      <c r="D375" s="11" t="s">
        <v>2229</v>
      </c>
      <c r="E375" s="10" t="s">
        <v>1631</v>
      </c>
      <c r="F375" s="11" t="s">
        <v>773</v>
      </c>
      <c r="G375" s="10" t="s">
        <v>2288</v>
      </c>
      <c r="H375" s="10" t="s">
        <v>2326</v>
      </c>
      <c r="I375" s="10" t="s">
        <v>1493</v>
      </c>
      <c r="J375" s="10" t="s">
        <v>1030</v>
      </c>
      <c r="K375" s="10" t="s">
        <v>1031</v>
      </c>
      <c r="L375" s="10" t="s">
        <v>1032</v>
      </c>
      <c r="M375" s="10" t="s">
        <v>1573</v>
      </c>
      <c r="N375" s="13" t="s">
        <v>1035</v>
      </c>
    </row>
    <row r="376" spans="1:14" s="1" customFormat="1" ht="17.100000000000001" customHeight="1" x14ac:dyDescent="0.25">
      <c r="A376" s="9" t="s">
        <v>1390</v>
      </c>
      <c r="B376" s="10" t="s">
        <v>1391</v>
      </c>
      <c r="C376" s="10">
        <v>2014</v>
      </c>
      <c r="D376" s="11" t="s">
        <v>2164</v>
      </c>
      <c r="E376" s="10" t="s">
        <v>1631</v>
      </c>
      <c r="F376" s="11" t="s">
        <v>773</v>
      </c>
      <c r="G376" s="10" t="s">
        <v>2299</v>
      </c>
      <c r="H376" s="10" t="s">
        <v>2326</v>
      </c>
      <c r="I376" s="10" t="s">
        <v>1039</v>
      </c>
      <c r="J376" s="10" t="s">
        <v>1030</v>
      </c>
      <c r="K376" s="10" t="s">
        <v>1031</v>
      </c>
      <c r="L376" s="10" t="s">
        <v>1247</v>
      </c>
      <c r="M376" s="10" t="s">
        <v>114</v>
      </c>
      <c r="N376" s="13" t="s">
        <v>1041</v>
      </c>
    </row>
    <row r="377" spans="1:14" s="1" customFormat="1" ht="17.100000000000001" customHeight="1" x14ac:dyDescent="0.25">
      <c r="A377" s="9" t="s">
        <v>987</v>
      </c>
      <c r="B377" s="10" t="s">
        <v>1592</v>
      </c>
      <c r="C377" s="10">
        <v>2016</v>
      </c>
      <c r="D377" s="11" t="s">
        <v>2249</v>
      </c>
      <c r="E377" s="10" t="s">
        <v>1631</v>
      </c>
      <c r="F377" s="11" t="s">
        <v>773</v>
      </c>
      <c r="G377" s="10" t="s">
        <v>1593</v>
      </c>
      <c r="H377" s="10" t="s">
        <v>2326</v>
      </c>
      <c r="I377" s="10" t="s">
        <v>1039</v>
      </c>
      <c r="J377" s="10" t="s">
        <v>1030</v>
      </c>
      <c r="K377" s="10" t="s">
        <v>1031</v>
      </c>
      <c r="L377" s="10" t="s">
        <v>1032</v>
      </c>
      <c r="M377" s="10" t="s">
        <v>114</v>
      </c>
      <c r="N377" s="13" t="s">
        <v>1072</v>
      </c>
    </row>
    <row r="378" spans="1:14" s="1" customFormat="1" ht="17.100000000000001" customHeight="1" x14ac:dyDescent="0.25">
      <c r="A378" s="9" t="s">
        <v>954</v>
      </c>
      <c r="B378" s="10" t="s">
        <v>955</v>
      </c>
      <c r="C378" s="10">
        <v>2014</v>
      </c>
      <c r="D378" s="11" t="s">
        <v>2240</v>
      </c>
      <c r="E378" s="10" t="s">
        <v>1631</v>
      </c>
      <c r="F378" s="11" t="s">
        <v>773</v>
      </c>
      <c r="G378" s="10" t="s">
        <v>1062</v>
      </c>
      <c r="H378" s="10" t="s">
        <v>2326</v>
      </c>
      <c r="I378" s="10" t="s">
        <v>1493</v>
      </c>
      <c r="J378" s="10" t="s">
        <v>1690</v>
      </c>
      <c r="K378" s="10" t="s">
        <v>1031</v>
      </c>
      <c r="L378" s="10" t="s">
        <v>1032</v>
      </c>
      <c r="M378" s="10" t="s">
        <v>1580</v>
      </c>
      <c r="N378" s="13" t="s">
        <v>1072</v>
      </c>
    </row>
    <row r="379" spans="1:14" s="1" customFormat="1" ht="17.100000000000001" customHeight="1" x14ac:dyDescent="0.25">
      <c r="A379" s="9" t="s">
        <v>1419</v>
      </c>
      <c r="B379" s="10" t="s">
        <v>1420</v>
      </c>
      <c r="C379" s="10">
        <v>2013</v>
      </c>
      <c r="D379" s="11" t="s">
        <v>2176</v>
      </c>
      <c r="E379" s="10" t="s">
        <v>1631</v>
      </c>
      <c r="F379" s="11" t="s">
        <v>773</v>
      </c>
      <c r="G379" s="10" t="s">
        <v>2266</v>
      </c>
      <c r="H379" s="10" t="s">
        <v>2326</v>
      </c>
      <c r="I379" s="10" t="s">
        <v>1039</v>
      </c>
      <c r="J379" s="10" t="s">
        <v>1030</v>
      </c>
      <c r="K379" s="10" t="s">
        <v>1031</v>
      </c>
      <c r="L379" s="10" t="s">
        <v>1247</v>
      </c>
      <c r="M379" s="10" t="s">
        <v>1421</v>
      </c>
      <c r="N379" s="13" t="s">
        <v>1034</v>
      </c>
    </row>
    <row r="380" spans="1:14" s="1" customFormat="1" ht="17.100000000000001" customHeight="1" x14ac:dyDescent="0.25">
      <c r="A380" s="9" t="s">
        <v>684</v>
      </c>
      <c r="B380" s="10" t="s">
        <v>965</v>
      </c>
      <c r="C380" s="10">
        <v>2015</v>
      </c>
      <c r="D380" s="11" t="s">
        <v>1755</v>
      </c>
      <c r="E380" s="10" t="s">
        <v>1631</v>
      </c>
      <c r="F380" s="11" t="s">
        <v>773</v>
      </c>
      <c r="G380" s="10" t="s">
        <v>2266</v>
      </c>
      <c r="H380" s="10" t="s">
        <v>2326</v>
      </c>
      <c r="I380" s="12" t="s">
        <v>1039</v>
      </c>
      <c r="J380" s="12" t="s">
        <v>1688</v>
      </c>
      <c r="K380" s="10" t="s">
        <v>1031</v>
      </c>
      <c r="L380" s="12" t="s">
        <v>1042</v>
      </c>
      <c r="M380" s="12" t="s">
        <v>114</v>
      </c>
      <c r="N380" s="13" t="s">
        <v>1041</v>
      </c>
    </row>
    <row r="381" spans="1:14" s="1" customFormat="1" ht="17.100000000000001" customHeight="1" x14ac:dyDescent="0.25">
      <c r="A381" s="9" t="s">
        <v>608</v>
      </c>
      <c r="B381" s="10" t="s">
        <v>922</v>
      </c>
      <c r="C381" s="10">
        <v>2012</v>
      </c>
      <c r="D381" s="11" t="s">
        <v>1811</v>
      </c>
      <c r="E381" s="10" t="s">
        <v>1631</v>
      </c>
      <c r="F381" s="11" t="s">
        <v>773</v>
      </c>
      <c r="G381" s="10" t="s">
        <v>2266</v>
      </c>
      <c r="H381" s="10" t="s">
        <v>2326</v>
      </c>
      <c r="I381" s="12" t="s">
        <v>1039</v>
      </c>
      <c r="J381" s="10" t="s">
        <v>1048</v>
      </c>
      <c r="K381" s="10" t="s">
        <v>1031</v>
      </c>
      <c r="L381" s="10" t="s">
        <v>1032</v>
      </c>
      <c r="M381" s="10" t="s">
        <v>1073</v>
      </c>
      <c r="N381" s="13" t="s">
        <v>1034</v>
      </c>
    </row>
    <row r="382" spans="1:14" s="1" customFormat="1" ht="17.100000000000001" customHeight="1" x14ac:dyDescent="0.25">
      <c r="A382" s="9" t="s">
        <v>601</v>
      </c>
      <c r="B382" s="10" t="s">
        <v>915</v>
      </c>
      <c r="C382" s="10">
        <v>2011</v>
      </c>
      <c r="D382" s="11" t="s">
        <v>2025</v>
      </c>
      <c r="E382" s="10" t="s">
        <v>1631</v>
      </c>
      <c r="F382" s="11" t="s">
        <v>773</v>
      </c>
      <c r="G382" s="10" t="s">
        <v>2266</v>
      </c>
      <c r="H382" s="10" t="s">
        <v>2326</v>
      </c>
      <c r="I382" s="12" t="s">
        <v>1039</v>
      </c>
      <c r="J382" s="12" t="s">
        <v>1030</v>
      </c>
      <c r="K382" s="12" t="s">
        <v>1037</v>
      </c>
      <c r="L382" s="10" t="s">
        <v>1032</v>
      </c>
      <c r="M382" s="10" t="s">
        <v>1213</v>
      </c>
      <c r="N382" s="14" t="s">
        <v>1035</v>
      </c>
    </row>
    <row r="383" spans="1:14" s="1" customFormat="1" ht="17.100000000000001" customHeight="1" x14ac:dyDescent="0.25">
      <c r="A383" s="9" t="s">
        <v>607</v>
      </c>
      <c r="B383" s="10" t="s">
        <v>921</v>
      </c>
      <c r="C383" s="10">
        <v>2012</v>
      </c>
      <c r="D383" s="11" t="s">
        <v>1815</v>
      </c>
      <c r="E383" s="10" t="s">
        <v>1631</v>
      </c>
      <c r="F383" s="11" t="s">
        <v>773</v>
      </c>
      <c r="G383" s="10" t="s">
        <v>2275</v>
      </c>
      <c r="H383" s="10" t="s">
        <v>2326</v>
      </c>
      <c r="I383" s="12" t="s">
        <v>1029</v>
      </c>
      <c r="J383" s="10" t="s">
        <v>1030</v>
      </c>
      <c r="K383" s="10" t="s">
        <v>1031</v>
      </c>
      <c r="L383" s="10" t="s">
        <v>1032</v>
      </c>
      <c r="M383" s="10" t="s">
        <v>1047</v>
      </c>
      <c r="N383" s="13" t="s">
        <v>1034</v>
      </c>
    </row>
    <row r="384" spans="1:14" s="1" customFormat="1" ht="17.100000000000001" customHeight="1" x14ac:dyDescent="0.25">
      <c r="A384" s="9" t="s">
        <v>631</v>
      </c>
      <c r="B384" s="10" t="s">
        <v>932</v>
      </c>
      <c r="C384" s="10">
        <v>2013</v>
      </c>
      <c r="D384" s="11" t="s">
        <v>1753</v>
      </c>
      <c r="E384" s="10" t="s">
        <v>1631</v>
      </c>
      <c r="F384" s="11" t="s">
        <v>773</v>
      </c>
      <c r="G384" s="10" t="s">
        <v>2275</v>
      </c>
      <c r="H384" s="10" t="s">
        <v>2326</v>
      </c>
      <c r="I384" s="12" t="s">
        <v>1029</v>
      </c>
      <c r="J384" s="12" t="s">
        <v>1030</v>
      </c>
      <c r="K384" s="10" t="s">
        <v>1031</v>
      </c>
      <c r="L384" s="10" t="s">
        <v>1032</v>
      </c>
      <c r="M384" s="12" t="s">
        <v>1065</v>
      </c>
      <c r="N384" s="14" t="s">
        <v>1035</v>
      </c>
    </row>
    <row r="385" spans="1:14" s="1" customFormat="1" ht="17.100000000000001" customHeight="1" x14ac:dyDescent="0.25">
      <c r="A385" s="9" t="s">
        <v>1398</v>
      </c>
      <c r="B385" s="10" t="s">
        <v>1399</v>
      </c>
      <c r="C385" s="10">
        <v>2014</v>
      </c>
      <c r="D385" s="11" t="s">
        <v>2167</v>
      </c>
      <c r="E385" s="10" t="s">
        <v>1631</v>
      </c>
      <c r="F385" s="11" t="s">
        <v>773</v>
      </c>
      <c r="G385" s="10" t="s">
        <v>2275</v>
      </c>
      <c r="H385" s="10" t="s">
        <v>2326</v>
      </c>
      <c r="I385" s="10" t="s">
        <v>1039</v>
      </c>
      <c r="J385" s="10" t="s">
        <v>1030</v>
      </c>
      <c r="K385" s="10" t="s">
        <v>1031</v>
      </c>
      <c r="L385" s="10" t="s">
        <v>1247</v>
      </c>
      <c r="M385" s="10" t="s">
        <v>114</v>
      </c>
      <c r="N385" s="13" t="s">
        <v>1041</v>
      </c>
    </row>
    <row r="386" spans="1:14" s="1" customFormat="1" ht="17.100000000000001" customHeight="1" x14ac:dyDescent="0.25">
      <c r="A386" s="9" t="s">
        <v>597</v>
      </c>
      <c r="B386" s="10" t="s">
        <v>913</v>
      </c>
      <c r="C386" s="10">
        <v>2011</v>
      </c>
      <c r="D386" s="11" t="s">
        <v>1810</v>
      </c>
      <c r="E386" s="10" t="s">
        <v>1631</v>
      </c>
      <c r="F386" s="11" t="s">
        <v>773</v>
      </c>
      <c r="G386" s="10" t="s">
        <v>2275</v>
      </c>
      <c r="H386" s="10" t="s">
        <v>2326</v>
      </c>
      <c r="I386" s="12" t="s">
        <v>1039</v>
      </c>
      <c r="J386" s="10" t="s">
        <v>1040</v>
      </c>
      <c r="K386" s="10" t="s">
        <v>1031</v>
      </c>
      <c r="L386" s="10" t="s">
        <v>1032</v>
      </c>
      <c r="M386" s="12" t="s">
        <v>114</v>
      </c>
      <c r="N386" s="14" t="s">
        <v>1035</v>
      </c>
    </row>
    <row r="387" spans="1:14" s="1" customFormat="1" ht="17.100000000000001" customHeight="1" x14ac:dyDescent="0.25">
      <c r="A387" s="9" t="s">
        <v>666</v>
      </c>
      <c r="B387" s="10" t="s">
        <v>953</v>
      </c>
      <c r="C387" s="10">
        <v>2014</v>
      </c>
      <c r="D387" s="11" t="s">
        <v>1836</v>
      </c>
      <c r="E387" s="10" t="s">
        <v>1631</v>
      </c>
      <c r="F387" s="11" t="s">
        <v>773</v>
      </c>
      <c r="G387" s="10" t="s">
        <v>2292</v>
      </c>
      <c r="H387" s="10" t="s">
        <v>2326</v>
      </c>
      <c r="I387" s="12" t="s">
        <v>1039</v>
      </c>
      <c r="J387" s="10" t="s">
        <v>1127</v>
      </c>
      <c r="K387" s="10" t="s">
        <v>1031</v>
      </c>
      <c r="L387" s="10" t="s">
        <v>1247</v>
      </c>
      <c r="M387" s="12" t="s">
        <v>114</v>
      </c>
      <c r="N387" s="13" t="s">
        <v>1041</v>
      </c>
    </row>
    <row r="388" spans="1:14" s="1" customFormat="1" ht="17.100000000000001" customHeight="1" x14ac:dyDescent="0.25">
      <c r="A388" s="9" t="s">
        <v>1354</v>
      </c>
      <c r="B388" s="10" t="s">
        <v>1355</v>
      </c>
      <c r="C388" s="10">
        <v>2013</v>
      </c>
      <c r="D388" s="11" t="s">
        <v>2148</v>
      </c>
      <c r="E388" s="10" t="s">
        <v>1631</v>
      </c>
      <c r="F388" s="11" t="s">
        <v>773</v>
      </c>
      <c r="G388" s="10" t="s">
        <v>1028</v>
      </c>
      <c r="H388" s="10" t="s">
        <v>2326</v>
      </c>
      <c r="I388" s="10" t="s">
        <v>1039</v>
      </c>
      <c r="J388" s="10" t="s">
        <v>1030</v>
      </c>
      <c r="K388" s="10" t="s">
        <v>1031</v>
      </c>
      <c r="L388" s="10" t="s">
        <v>1247</v>
      </c>
      <c r="M388" s="10" t="s">
        <v>114</v>
      </c>
      <c r="N388" s="13" t="s">
        <v>1034</v>
      </c>
    </row>
    <row r="389" spans="1:14" s="1" customFormat="1" ht="17.100000000000001" customHeight="1" x14ac:dyDescent="0.25">
      <c r="A389" s="9" t="s">
        <v>1111</v>
      </c>
      <c r="B389" s="10" t="s">
        <v>961</v>
      </c>
      <c r="C389" s="10">
        <v>2015</v>
      </c>
      <c r="D389" s="11" t="s">
        <v>1797</v>
      </c>
      <c r="E389" s="10" t="s">
        <v>1631</v>
      </c>
      <c r="F389" s="11" t="s">
        <v>773</v>
      </c>
      <c r="G389" s="10" t="s">
        <v>1609</v>
      </c>
      <c r="H389" s="10" t="s">
        <v>2326</v>
      </c>
      <c r="I389" s="12" t="s">
        <v>1039</v>
      </c>
      <c r="J389" s="10" t="s">
        <v>1036</v>
      </c>
      <c r="K389" s="10" t="s">
        <v>1031</v>
      </c>
      <c r="L389" s="10" t="s">
        <v>1247</v>
      </c>
      <c r="M389" s="12" t="s">
        <v>114</v>
      </c>
      <c r="N389" s="13" t="s">
        <v>1041</v>
      </c>
    </row>
    <row r="390" spans="1:14" s="1" customFormat="1" ht="17.100000000000001" customHeight="1" x14ac:dyDescent="0.25">
      <c r="A390" s="9" t="s">
        <v>757</v>
      </c>
      <c r="B390" s="10" t="s">
        <v>758</v>
      </c>
      <c r="C390" s="10">
        <v>2019</v>
      </c>
      <c r="D390" s="11" t="s">
        <v>1849</v>
      </c>
      <c r="E390" s="10" t="s">
        <v>1631</v>
      </c>
      <c r="F390" s="11" t="s">
        <v>773</v>
      </c>
      <c r="G390" s="10" t="s">
        <v>1639</v>
      </c>
      <c r="H390" s="10" t="s">
        <v>2326</v>
      </c>
      <c r="I390" s="12" t="s">
        <v>1029</v>
      </c>
      <c r="J390" s="10" t="s">
        <v>1114</v>
      </c>
      <c r="K390" s="10" t="s">
        <v>1031</v>
      </c>
      <c r="L390" s="10" t="s">
        <v>1032</v>
      </c>
      <c r="M390" s="12" t="s">
        <v>1055</v>
      </c>
      <c r="N390" s="14" t="s">
        <v>1035</v>
      </c>
    </row>
    <row r="391" spans="1:14" s="1" customFormat="1" ht="17.100000000000001" customHeight="1" x14ac:dyDescent="0.25">
      <c r="A391" s="9" t="s">
        <v>685</v>
      </c>
      <c r="B391" s="10" t="s">
        <v>966</v>
      </c>
      <c r="C391" s="10">
        <v>2015</v>
      </c>
      <c r="D391" s="11" t="s">
        <v>1980</v>
      </c>
      <c r="E391" s="10" t="s">
        <v>1631</v>
      </c>
      <c r="F391" s="11" t="s">
        <v>773</v>
      </c>
      <c r="G391" s="10" t="s">
        <v>2275</v>
      </c>
      <c r="H391" s="10" t="s">
        <v>2327</v>
      </c>
      <c r="I391" s="12" t="s">
        <v>1039</v>
      </c>
      <c r="J391" s="10" t="s">
        <v>1030</v>
      </c>
      <c r="K391" s="10" t="s">
        <v>1031</v>
      </c>
      <c r="L391" s="10" t="s">
        <v>1247</v>
      </c>
      <c r="M391" s="12" t="s">
        <v>114</v>
      </c>
      <c r="N391" s="13" t="s">
        <v>1034</v>
      </c>
    </row>
    <row r="392" spans="1:14" s="1" customFormat="1" ht="17.100000000000001" customHeight="1" x14ac:dyDescent="0.25">
      <c r="A392" s="9" t="s">
        <v>771</v>
      </c>
      <c r="B392" s="10" t="s">
        <v>772</v>
      </c>
      <c r="C392" s="10">
        <v>2021</v>
      </c>
      <c r="D392" s="11" t="s">
        <v>1974</v>
      </c>
      <c r="E392" s="10" t="s">
        <v>1631</v>
      </c>
      <c r="F392" s="11" t="s">
        <v>773</v>
      </c>
      <c r="G392" s="10" t="s">
        <v>1028</v>
      </c>
      <c r="H392" s="10" t="s">
        <v>2327</v>
      </c>
      <c r="I392" s="12" t="s">
        <v>1029</v>
      </c>
      <c r="J392" s="10" t="s">
        <v>1030</v>
      </c>
      <c r="K392" s="10" t="s">
        <v>1031</v>
      </c>
      <c r="L392" s="10" t="s">
        <v>1032</v>
      </c>
      <c r="M392" s="12" t="s">
        <v>114</v>
      </c>
      <c r="N392" s="14" t="s">
        <v>1035</v>
      </c>
    </row>
    <row r="393" spans="1:14" s="1" customFormat="1" ht="17.100000000000001" customHeight="1" x14ac:dyDescent="0.25">
      <c r="A393" s="9" t="s">
        <v>1371</v>
      </c>
      <c r="B393" s="10" t="s">
        <v>1372</v>
      </c>
      <c r="C393" s="10">
        <v>2012</v>
      </c>
      <c r="D393" s="11" t="s">
        <v>2156</v>
      </c>
      <c r="E393" s="10" t="s">
        <v>1631</v>
      </c>
      <c r="F393" s="11" t="s">
        <v>773</v>
      </c>
      <c r="G393" s="10" t="s">
        <v>2275</v>
      </c>
      <c r="H393" s="10" t="s">
        <v>1289</v>
      </c>
      <c r="I393" s="10" t="s">
        <v>1039</v>
      </c>
      <c r="J393" s="10" t="s">
        <v>1030</v>
      </c>
      <c r="K393" s="10" t="s">
        <v>1031</v>
      </c>
      <c r="L393" s="10" t="s">
        <v>1247</v>
      </c>
      <c r="M393" s="10" t="s">
        <v>114</v>
      </c>
      <c r="N393" s="13" t="s">
        <v>1035</v>
      </c>
    </row>
    <row r="394" spans="1:14" s="1" customFormat="1" ht="17.100000000000001" customHeight="1" x14ac:dyDescent="0.25">
      <c r="A394" s="9" t="s">
        <v>750</v>
      </c>
      <c r="B394" s="10" t="s">
        <v>751</v>
      </c>
      <c r="C394" s="10">
        <v>2019</v>
      </c>
      <c r="D394" s="11" t="s">
        <v>1966</v>
      </c>
      <c r="E394" s="10" t="s">
        <v>1631</v>
      </c>
      <c r="F394" s="11" t="s">
        <v>773</v>
      </c>
      <c r="G394" s="10" t="s">
        <v>1183</v>
      </c>
      <c r="H394" s="10" t="s">
        <v>1057</v>
      </c>
      <c r="I394" s="12" t="s">
        <v>1029</v>
      </c>
      <c r="J394" s="10" t="s">
        <v>1030</v>
      </c>
      <c r="K394" s="10" t="s">
        <v>1031</v>
      </c>
      <c r="L394" s="10" t="s">
        <v>1032</v>
      </c>
      <c r="M394" s="10" t="s">
        <v>1196</v>
      </c>
      <c r="N394" s="14" t="s">
        <v>1035</v>
      </c>
    </row>
    <row r="395" spans="1:14" s="1" customFormat="1" ht="17.100000000000001" customHeight="1" x14ac:dyDescent="0.25">
      <c r="A395" s="9" t="s">
        <v>1441</v>
      </c>
      <c r="B395" s="10" t="s">
        <v>1442</v>
      </c>
      <c r="C395" s="10">
        <v>2014</v>
      </c>
      <c r="D395" s="11" t="s">
        <v>2005</v>
      </c>
      <c r="E395" s="10" t="s">
        <v>1631</v>
      </c>
      <c r="F395" s="11" t="s">
        <v>773</v>
      </c>
      <c r="G395" s="10" t="s">
        <v>2266</v>
      </c>
      <c r="H395" s="10" t="s">
        <v>1057</v>
      </c>
      <c r="I395" s="10" t="s">
        <v>1039</v>
      </c>
      <c r="J395" s="10" t="s">
        <v>1030</v>
      </c>
      <c r="K395" s="10" t="s">
        <v>1031</v>
      </c>
      <c r="L395" s="10" t="s">
        <v>1247</v>
      </c>
      <c r="M395" s="10" t="s">
        <v>114</v>
      </c>
      <c r="N395" s="13" t="s">
        <v>1035</v>
      </c>
    </row>
    <row r="396" spans="1:14" s="1" customFormat="1" ht="17.100000000000001" customHeight="1" x14ac:dyDescent="0.25">
      <c r="A396" s="9" t="s">
        <v>637</v>
      </c>
      <c r="B396" s="10" t="s">
        <v>933</v>
      </c>
      <c r="C396" s="10">
        <v>2013</v>
      </c>
      <c r="D396" s="11" t="s">
        <v>1998</v>
      </c>
      <c r="E396" s="10" t="s">
        <v>1631</v>
      </c>
      <c r="F396" s="11" t="s">
        <v>773</v>
      </c>
      <c r="G396" s="10" t="s">
        <v>2266</v>
      </c>
      <c r="H396" s="10" t="s">
        <v>1057</v>
      </c>
      <c r="I396" s="12" t="s">
        <v>1039</v>
      </c>
      <c r="J396" s="10" t="s">
        <v>1040</v>
      </c>
      <c r="K396" s="12" t="s">
        <v>1037</v>
      </c>
      <c r="L396" s="10" t="s">
        <v>1247</v>
      </c>
      <c r="M396" s="12" t="s">
        <v>114</v>
      </c>
      <c r="N396" s="14" t="s">
        <v>1035</v>
      </c>
    </row>
    <row r="397" spans="1:14" s="1" customFormat="1" ht="17.100000000000001" customHeight="1" x14ac:dyDescent="0.25">
      <c r="A397" s="9" t="s">
        <v>1568</v>
      </c>
      <c r="B397" s="10" t="s">
        <v>1569</v>
      </c>
      <c r="C397" s="10">
        <v>2013</v>
      </c>
      <c r="D397" s="11" t="s">
        <v>2228</v>
      </c>
      <c r="E397" s="10" t="s">
        <v>1631</v>
      </c>
      <c r="F397" s="11" t="s">
        <v>773</v>
      </c>
      <c r="G397" s="10" t="s">
        <v>2296</v>
      </c>
      <c r="H397" s="10" t="s">
        <v>1057</v>
      </c>
      <c r="I397" s="10" t="s">
        <v>1493</v>
      </c>
      <c r="J397" s="10" t="s">
        <v>1036</v>
      </c>
      <c r="K397" s="12" t="s">
        <v>1037</v>
      </c>
      <c r="L397" s="10" t="s">
        <v>1247</v>
      </c>
      <c r="M397" s="10" t="s">
        <v>1570</v>
      </c>
      <c r="N397" s="13" t="s">
        <v>1035</v>
      </c>
    </row>
    <row r="398" spans="1:14" s="1" customFormat="1" ht="17.100000000000001" customHeight="1" x14ac:dyDescent="0.25">
      <c r="A398" s="9" t="s">
        <v>663</v>
      </c>
      <c r="B398" s="10" t="s">
        <v>950</v>
      </c>
      <c r="C398" s="10">
        <v>2014</v>
      </c>
      <c r="D398" s="11" t="s">
        <v>1941</v>
      </c>
      <c r="E398" s="10" t="s">
        <v>1631</v>
      </c>
      <c r="F398" s="11" t="s">
        <v>773</v>
      </c>
      <c r="G398" s="10" t="s">
        <v>2275</v>
      </c>
      <c r="H398" s="10" t="s">
        <v>1057</v>
      </c>
      <c r="I398" s="12" t="s">
        <v>1039</v>
      </c>
      <c r="J398" s="10" t="s">
        <v>1030</v>
      </c>
      <c r="K398" s="12" t="s">
        <v>1037</v>
      </c>
      <c r="L398" s="10" t="s">
        <v>1247</v>
      </c>
      <c r="M398" s="10" t="s">
        <v>1081</v>
      </c>
      <c r="N398" s="14" t="s">
        <v>1035</v>
      </c>
    </row>
    <row r="399" spans="1:14" s="1" customFormat="1" ht="17.100000000000001" customHeight="1" x14ac:dyDescent="0.25">
      <c r="A399" s="9" t="s">
        <v>752</v>
      </c>
      <c r="B399" s="10" t="s">
        <v>753</v>
      </c>
      <c r="C399" s="10">
        <v>2019</v>
      </c>
      <c r="D399" s="11" t="s">
        <v>2016</v>
      </c>
      <c r="E399" s="10" t="s">
        <v>1631</v>
      </c>
      <c r="F399" s="11" t="s">
        <v>773</v>
      </c>
      <c r="G399" s="10" t="s">
        <v>1028</v>
      </c>
      <c r="H399" s="10" t="s">
        <v>1057</v>
      </c>
      <c r="I399" s="12" t="s">
        <v>1029</v>
      </c>
      <c r="J399" s="10" t="s">
        <v>1030</v>
      </c>
      <c r="K399" s="10" t="s">
        <v>1031</v>
      </c>
      <c r="L399" s="10" t="s">
        <v>1032</v>
      </c>
      <c r="M399" s="12" t="s">
        <v>114</v>
      </c>
      <c r="N399" s="14" t="s">
        <v>1035</v>
      </c>
    </row>
    <row r="400" spans="1:14" s="1" customFormat="1" ht="17.100000000000001" customHeight="1" x14ac:dyDescent="0.25">
      <c r="A400" s="9" t="s">
        <v>1367</v>
      </c>
      <c r="B400" s="10" t="s">
        <v>1368</v>
      </c>
      <c r="C400" s="10">
        <v>2013</v>
      </c>
      <c r="D400" s="11" t="s">
        <v>2154</v>
      </c>
      <c r="E400" s="10" t="s">
        <v>1631</v>
      </c>
      <c r="F400" s="11" t="s">
        <v>773</v>
      </c>
      <c r="G400" s="10" t="s">
        <v>1263</v>
      </c>
      <c r="H400" s="10" t="s">
        <v>1057</v>
      </c>
      <c r="I400" s="12" t="s">
        <v>1029</v>
      </c>
      <c r="J400" s="10" t="s">
        <v>1048</v>
      </c>
      <c r="K400" s="10" t="s">
        <v>1031</v>
      </c>
      <c r="L400" s="10" t="s">
        <v>1247</v>
      </c>
      <c r="M400" s="10" t="s">
        <v>114</v>
      </c>
      <c r="N400" s="13" t="s">
        <v>1035</v>
      </c>
    </row>
    <row r="401" spans="1:14" s="1" customFormat="1" ht="17.100000000000001" customHeight="1" x14ac:dyDescent="0.25">
      <c r="A401" s="9" t="s">
        <v>1566</v>
      </c>
      <c r="B401" s="10" t="s">
        <v>1567</v>
      </c>
      <c r="C401" s="10">
        <v>2013</v>
      </c>
      <c r="D401" s="11" t="s">
        <v>2227</v>
      </c>
      <c r="E401" s="10" t="s">
        <v>1631</v>
      </c>
      <c r="F401" s="11" t="s">
        <v>773</v>
      </c>
      <c r="G401" s="10" t="s">
        <v>2266</v>
      </c>
      <c r="H401" s="10" t="s">
        <v>1509</v>
      </c>
      <c r="I401" s="10" t="s">
        <v>1493</v>
      </c>
      <c r="J401" s="10" t="s">
        <v>1030</v>
      </c>
      <c r="K401" s="12" t="s">
        <v>1037</v>
      </c>
      <c r="L401" s="10" t="s">
        <v>1247</v>
      </c>
      <c r="M401" s="10" t="s">
        <v>114</v>
      </c>
      <c r="N401" s="13" t="s">
        <v>1034</v>
      </c>
    </row>
    <row r="402" spans="1:14" s="1" customFormat="1" ht="17.100000000000001" customHeight="1" x14ac:dyDescent="0.25">
      <c r="A402" s="9" t="s">
        <v>1558</v>
      </c>
      <c r="B402" s="10" t="s">
        <v>1559</v>
      </c>
      <c r="C402" s="10">
        <v>2021</v>
      </c>
      <c r="D402" s="11" t="s">
        <v>2225</v>
      </c>
      <c r="E402" s="10" t="s">
        <v>1631</v>
      </c>
      <c r="F402" s="11" t="s">
        <v>773</v>
      </c>
      <c r="G402" s="10" t="s">
        <v>1560</v>
      </c>
      <c r="H402" s="10" t="s">
        <v>1561</v>
      </c>
      <c r="I402" s="10" t="s">
        <v>1493</v>
      </c>
      <c r="J402" s="10" t="s">
        <v>1562</v>
      </c>
      <c r="K402" s="10" t="s">
        <v>1031</v>
      </c>
      <c r="L402" s="10" t="s">
        <v>1247</v>
      </c>
      <c r="M402" s="10" t="s">
        <v>1563</v>
      </c>
      <c r="N402" s="13" t="s">
        <v>1034</v>
      </c>
    </row>
    <row r="403" spans="1:14" s="1" customFormat="1" ht="17.100000000000001" customHeight="1" x14ac:dyDescent="0.25">
      <c r="A403" s="9" t="s">
        <v>1403</v>
      </c>
      <c r="B403" s="10" t="s">
        <v>1404</v>
      </c>
      <c r="C403" s="10">
        <v>2012</v>
      </c>
      <c r="D403" s="11" t="s">
        <v>2169</v>
      </c>
      <c r="E403" s="10" t="s">
        <v>1631</v>
      </c>
      <c r="F403" s="11" t="s">
        <v>773</v>
      </c>
      <c r="G403" s="10" t="s">
        <v>2275</v>
      </c>
      <c r="H403" s="10" t="s">
        <v>1229</v>
      </c>
      <c r="I403" s="10" t="s">
        <v>1039</v>
      </c>
      <c r="J403" s="10" t="s">
        <v>1030</v>
      </c>
      <c r="K403" s="10" t="s">
        <v>1031</v>
      </c>
      <c r="L403" s="10" t="s">
        <v>1247</v>
      </c>
      <c r="M403" s="10" t="s">
        <v>1049</v>
      </c>
      <c r="N403" s="13" t="s">
        <v>1035</v>
      </c>
    </row>
    <row r="404" spans="1:14" s="1" customFormat="1" ht="17.100000000000001" customHeight="1" x14ac:dyDescent="0.25">
      <c r="A404" s="9" t="s">
        <v>1435</v>
      </c>
      <c r="B404" s="10" t="s">
        <v>1436</v>
      </c>
      <c r="C404" s="10">
        <v>2011</v>
      </c>
      <c r="D404" s="11" t="s">
        <v>2182</v>
      </c>
      <c r="E404" s="10" t="s">
        <v>1631</v>
      </c>
      <c r="F404" s="11" t="s">
        <v>773</v>
      </c>
      <c r="G404" s="10" t="s">
        <v>2266</v>
      </c>
      <c r="H404" s="10" t="s">
        <v>1180</v>
      </c>
      <c r="I404" s="10" t="s">
        <v>1039</v>
      </c>
      <c r="J404" s="10" t="s">
        <v>1030</v>
      </c>
      <c r="K404" s="10" t="s">
        <v>1031</v>
      </c>
      <c r="L404" s="10" t="s">
        <v>1247</v>
      </c>
      <c r="M404" s="10" t="s">
        <v>114</v>
      </c>
      <c r="N404" s="13" t="s">
        <v>1035</v>
      </c>
    </row>
    <row r="405" spans="1:14" s="1" customFormat="1" ht="17.100000000000001" customHeight="1" x14ac:dyDescent="0.25">
      <c r="A405" s="9" t="s">
        <v>986</v>
      </c>
      <c r="B405" s="10" t="s">
        <v>1577</v>
      </c>
      <c r="C405" s="10">
        <v>2016</v>
      </c>
      <c r="D405" s="11" t="s">
        <v>2239</v>
      </c>
      <c r="E405" s="10" t="s">
        <v>1631</v>
      </c>
      <c r="F405" s="11" t="s">
        <v>773</v>
      </c>
      <c r="G405" s="10" t="s">
        <v>1578</v>
      </c>
      <c r="H405" s="10" t="s">
        <v>2322</v>
      </c>
      <c r="I405" s="12" t="s">
        <v>1029</v>
      </c>
      <c r="J405" s="10" t="s">
        <v>1030</v>
      </c>
      <c r="K405" s="10" t="s">
        <v>1031</v>
      </c>
      <c r="L405" s="10" t="s">
        <v>1032</v>
      </c>
      <c r="M405" s="10" t="s">
        <v>1579</v>
      </c>
      <c r="N405" s="13" t="s">
        <v>1035</v>
      </c>
    </row>
    <row r="406" spans="1:14" s="1" customFormat="1" ht="17.100000000000001" customHeight="1" x14ac:dyDescent="0.25">
      <c r="A406" s="9" t="s">
        <v>670</v>
      </c>
      <c r="B406" s="10" t="s">
        <v>957</v>
      </c>
      <c r="C406" s="10">
        <v>2014</v>
      </c>
      <c r="D406" s="11" t="s">
        <v>2053</v>
      </c>
      <c r="E406" s="10" t="s">
        <v>1631</v>
      </c>
      <c r="F406" s="11" t="s">
        <v>773</v>
      </c>
      <c r="G406" s="10" t="s">
        <v>1215</v>
      </c>
      <c r="H406" s="10" t="s">
        <v>2334</v>
      </c>
      <c r="I406" s="12" t="s">
        <v>1039</v>
      </c>
      <c r="J406" s="10" t="s">
        <v>1040</v>
      </c>
      <c r="K406" s="10" t="s">
        <v>1031</v>
      </c>
      <c r="L406" s="10" t="s">
        <v>1032</v>
      </c>
      <c r="M406" s="10" t="s">
        <v>1227</v>
      </c>
      <c r="N406" s="14" t="s">
        <v>1035</v>
      </c>
    </row>
    <row r="407" spans="1:14" s="1" customFormat="1" ht="17.100000000000001" customHeight="1" x14ac:dyDescent="0.25">
      <c r="A407" s="9" t="s">
        <v>1365</v>
      </c>
      <c r="B407" s="10" t="s">
        <v>1366</v>
      </c>
      <c r="C407" s="10">
        <v>2013</v>
      </c>
      <c r="D407" s="11" t="s">
        <v>2153</v>
      </c>
      <c r="E407" s="10" t="s">
        <v>1631</v>
      </c>
      <c r="F407" s="11" t="s">
        <v>773</v>
      </c>
      <c r="G407" s="10" t="s">
        <v>1215</v>
      </c>
      <c r="H407" s="10" t="s">
        <v>2321</v>
      </c>
      <c r="I407" s="12" t="s">
        <v>1029</v>
      </c>
      <c r="J407" s="10" t="s">
        <v>1040</v>
      </c>
      <c r="K407" s="10" t="s">
        <v>1031</v>
      </c>
      <c r="L407" s="10" t="s">
        <v>1247</v>
      </c>
      <c r="M407" s="10" t="s">
        <v>114</v>
      </c>
      <c r="N407" s="13" t="s">
        <v>1035</v>
      </c>
    </row>
    <row r="408" spans="1:14" s="1" customFormat="1" ht="17.100000000000001" customHeight="1" x14ac:dyDescent="0.25">
      <c r="A408" s="9" t="s">
        <v>735</v>
      </c>
      <c r="B408" s="10" t="s">
        <v>999</v>
      </c>
      <c r="C408" s="10">
        <v>2018</v>
      </c>
      <c r="D408" s="11" t="s">
        <v>2010</v>
      </c>
      <c r="E408" s="10" t="s">
        <v>1631</v>
      </c>
      <c r="F408" s="11" t="s">
        <v>773</v>
      </c>
      <c r="G408" s="12" t="s">
        <v>1028</v>
      </c>
      <c r="H408" s="10" t="s">
        <v>1208</v>
      </c>
      <c r="I408" s="12" t="s">
        <v>1039</v>
      </c>
      <c r="J408" s="10" t="s">
        <v>1040</v>
      </c>
      <c r="K408" s="10" t="s">
        <v>1031</v>
      </c>
      <c r="L408" s="10" t="s">
        <v>1032</v>
      </c>
      <c r="M408" s="12" t="s">
        <v>114</v>
      </c>
      <c r="N408" s="14" t="s">
        <v>1035</v>
      </c>
    </row>
    <row r="409" spans="1:14" s="1" customFormat="1" ht="17.100000000000001" customHeight="1" x14ac:dyDescent="0.25">
      <c r="A409" s="9" t="s">
        <v>652</v>
      </c>
      <c r="B409" s="10" t="s">
        <v>940</v>
      </c>
      <c r="C409" s="10">
        <v>2014</v>
      </c>
      <c r="D409" s="11" t="s">
        <v>1923</v>
      </c>
      <c r="E409" s="10" t="s">
        <v>1631</v>
      </c>
      <c r="F409" s="11" t="s">
        <v>773</v>
      </c>
      <c r="G409" s="10" t="s">
        <v>2293</v>
      </c>
      <c r="H409" s="10" t="s">
        <v>2332</v>
      </c>
      <c r="I409" s="12" t="s">
        <v>1029</v>
      </c>
      <c r="J409" s="10" t="s">
        <v>1040</v>
      </c>
      <c r="K409" s="12" t="s">
        <v>1037</v>
      </c>
      <c r="L409" s="10" t="s">
        <v>1042</v>
      </c>
      <c r="M409" s="12" t="s">
        <v>114</v>
      </c>
      <c r="N409" s="14" t="s">
        <v>1035</v>
      </c>
    </row>
    <row r="410" spans="1:14" s="1" customFormat="1" ht="17.100000000000001" customHeight="1" x14ac:dyDescent="0.25">
      <c r="A410" s="9" t="s">
        <v>1589</v>
      </c>
      <c r="B410" s="10" t="s">
        <v>1455</v>
      </c>
      <c r="C410" s="10">
        <v>2022</v>
      </c>
      <c r="D410" s="11" t="s">
        <v>2246</v>
      </c>
      <c r="E410" s="10" t="s">
        <v>1631</v>
      </c>
      <c r="F410" s="47" t="s">
        <v>800</v>
      </c>
      <c r="G410" s="10" t="s">
        <v>1094</v>
      </c>
      <c r="H410" s="10" t="s">
        <v>2326</v>
      </c>
      <c r="I410" s="10" t="s">
        <v>1039</v>
      </c>
      <c r="J410" s="10" t="s">
        <v>1040</v>
      </c>
      <c r="K410" s="10" t="s">
        <v>1031</v>
      </c>
      <c r="L410" s="10" t="s">
        <v>1247</v>
      </c>
      <c r="M410" s="10" t="s">
        <v>1590</v>
      </c>
      <c r="N410" s="13" t="s">
        <v>1034</v>
      </c>
    </row>
    <row r="411" spans="1:14" s="1" customFormat="1" ht="17.100000000000001" customHeight="1" x14ac:dyDescent="0.25">
      <c r="A411" s="9" t="s">
        <v>1356</v>
      </c>
      <c r="B411" s="10" t="s">
        <v>1357</v>
      </c>
      <c r="C411" s="10">
        <v>2018</v>
      </c>
      <c r="D411" s="11" t="s">
        <v>2149</v>
      </c>
      <c r="E411" s="10" t="s">
        <v>1631</v>
      </c>
      <c r="F411" s="11" t="s">
        <v>800</v>
      </c>
      <c r="G411" s="10" t="s">
        <v>1094</v>
      </c>
      <c r="H411" s="10" t="s">
        <v>2326</v>
      </c>
      <c r="I411" s="10" t="s">
        <v>1039</v>
      </c>
      <c r="J411" s="10" t="s">
        <v>1030</v>
      </c>
      <c r="K411" s="10" t="s">
        <v>1037</v>
      </c>
      <c r="L411" s="10" t="s">
        <v>1032</v>
      </c>
      <c r="M411" s="10" t="s">
        <v>114</v>
      </c>
      <c r="N411" s="13" t="s">
        <v>1041</v>
      </c>
    </row>
    <row r="412" spans="1:14" s="1" customFormat="1" ht="17.100000000000001" customHeight="1" x14ac:dyDescent="0.25">
      <c r="A412" s="9" t="s">
        <v>1424</v>
      </c>
      <c r="B412" s="10" t="s">
        <v>1425</v>
      </c>
      <c r="C412" s="10">
        <v>2015</v>
      </c>
      <c r="D412" s="11" t="s">
        <v>2178</v>
      </c>
      <c r="E412" s="10" t="s">
        <v>1631</v>
      </c>
      <c r="F412" s="11" t="s">
        <v>800</v>
      </c>
      <c r="G412" s="10" t="s">
        <v>2266</v>
      </c>
      <c r="H412" s="10" t="s">
        <v>2326</v>
      </c>
      <c r="I412" s="10" t="s">
        <v>1039</v>
      </c>
      <c r="J412" s="10" t="s">
        <v>1030</v>
      </c>
      <c r="K412" s="12" t="s">
        <v>1037</v>
      </c>
      <c r="L412" s="10" t="s">
        <v>1247</v>
      </c>
      <c r="M412" s="10" t="s">
        <v>1307</v>
      </c>
      <c r="N412" s="13" t="s">
        <v>1072</v>
      </c>
    </row>
    <row r="413" spans="1:14" s="1" customFormat="1" ht="17.100000000000001" customHeight="1" x14ac:dyDescent="0.25">
      <c r="A413" s="9" t="s">
        <v>1453</v>
      </c>
      <c r="B413" s="10" t="s">
        <v>1454</v>
      </c>
      <c r="C413" s="10">
        <v>2015</v>
      </c>
      <c r="D413" s="11" t="s">
        <v>2188</v>
      </c>
      <c r="E413" s="10" t="s">
        <v>1631</v>
      </c>
      <c r="F413" s="11" t="s">
        <v>800</v>
      </c>
      <c r="G413" s="10" t="s">
        <v>2266</v>
      </c>
      <c r="H413" s="10" t="s">
        <v>2326</v>
      </c>
      <c r="I413" s="10" t="s">
        <v>1039</v>
      </c>
      <c r="J413" s="10" t="s">
        <v>1036</v>
      </c>
      <c r="K413" s="12" t="s">
        <v>1037</v>
      </c>
      <c r="L413" s="10" t="s">
        <v>1042</v>
      </c>
      <c r="M413" s="10" t="s">
        <v>1049</v>
      </c>
      <c r="N413" s="13" t="s">
        <v>1035</v>
      </c>
    </row>
    <row r="414" spans="1:14" s="1" customFormat="1" ht="17.100000000000001" customHeight="1" x14ac:dyDescent="0.25">
      <c r="A414" s="9" t="s">
        <v>1383</v>
      </c>
      <c r="B414" s="10" t="s">
        <v>1384</v>
      </c>
      <c r="C414" s="10">
        <v>2015</v>
      </c>
      <c r="D414" s="11" t="s">
        <v>2161</v>
      </c>
      <c r="E414" s="10" t="s">
        <v>1631</v>
      </c>
      <c r="F414" s="11" t="s">
        <v>800</v>
      </c>
      <c r="G414" s="10" t="s">
        <v>1260</v>
      </c>
      <c r="H414" s="10" t="s">
        <v>2326</v>
      </c>
      <c r="I414" s="10" t="s">
        <v>1039</v>
      </c>
      <c r="J414" s="10" t="s">
        <v>1030</v>
      </c>
      <c r="K414" s="10" t="s">
        <v>1031</v>
      </c>
      <c r="L414" s="10" t="s">
        <v>1032</v>
      </c>
      <c r="M414" s="10" t="s">
        <v>1385</v>
      </c>
      <c r="N414" s="13" t="s">
        <v>1072</v>
      </c>
    </row>
    <row r="415" spans="1:14" s="1" customFormat="1" ht="17.100000000000001" customHeight="1" x14ac:dyDescent="0.25">
      <c r="A415" s="9" t="s">
        <v>798</v>
      </c>
      <c r="B415" s="38" t="s">
        <v>799</v>
      </c>
      <c r="C415" s="10">
        <v>2022</v>
      </c>
      <c r="D415" s="11" t="s">
        <v>1970</v>
      </c>
      <c r="E415" s="10" t="s">
        <v>1631</v>
      </c>
      <c r="F415" s="11" t="s">
        <v>800</v>
      </c>
      <c r="G415" s="10" t="s">
        <v>1028</v>
      </c>
      <c r="H415" s="10" t="s">
        <v>1057</v>
      </c>
      <c r="I415" s="12" t="s">
        <v>1039</v>
      </c>
      <c r="J415" s="10" t="s">
        <v>1030</v>
      </c>
      <c r="K415" s="10" t="s">
        <v>1031</v>
      </c>
      <c r="L415" s="10" t="s">
        <v>1032</v>
      </c>
      <c r="M415" s="10"/>
      <c r="N415" s="13" t="s">
        <v>1035</v>
      </c>
    </row>
    <row r="416" spans="1:14" s="1" customFormat="1" ht="17.100000000000001" customHeight="1" x14ac:dyDescent="0.25">
      <c r="A416" s="9" t="s">
        <v>1426</v>
      </c>
      <c r="B416" s="10"/>
      <c r="C416" s="10">
        <v>2016</v>
      </c>
      <c r="D416" s="11" t="s">
        <v>1677</v>
      </c>
      <c r="E416" s="10" t="s">
        <v>1631</v>
      </c>
      <c r="F416" s="11" t="s">
        <v>800</v>
      </c>
      <c r="G416" s="10" t="s">
        <v>2275</v>
      </c>
      <c r="H416" s="10" t="s">
        <v>1229</v>
      </c>
      <c r="I416" s="10" t="s">
        <v>1039</v>
      </c>
      <c r="J416" s="10" t="s">
        <v>1030</v>
      </c>
      <c r="K416" s="10" t="s">
        <v>1031</v>
      </c>
      <c r="L416" s="10" t="s">
        <v>1247</v>
      </c>
      <c r="M416" s="10" t="s">
        <v>114</v>
      </c>
      <c r="N416" s="13" t="s">
        <v>1035</v>
      </c>
    </row>
    <row r="417" spans="1:14" s="1" customFormat="1" ht="17.100000000000001" customHeight="1" x14ac:dyDescent="0.25">
      <c r="A417" s="9" t="s">
        <v>1347</v>
      </c>
      <c r="B417" s="10" t="s">
        <v>1348</v>
      </c>
      <c r="C417" s="10">
        <v>2018</v>
      </c>
      <c r="D417" s="11" t="s">
        <v>2145</v>
      </c>
      <c r="E417" s="10" t="s">
        <v>1631</v>
      </c>
      <c r="F417" s="11" t="s">
        <v>800</v>
      </c>
      <c r="G417" s="10" t="s">
        <v>2275</v>
      </c>
      <c r="H417" s="10" t="s">
        <v>1349</v>
      </c>
      <c r="I417" s="10" t="s">
        <v>1039</v>
      </c>
      <c r="J417" s="10" t="s">
        <v>1030</v>
      </c>
      <c r="K417" s="12" t="s">
        <v>1037</v>
      </c>
      <c r="L417" s="10" t="s">
        <v>1247</v>
      </c>
      <c r="M417" s="10" t="s">
        <v>114</v>
      </c>
      <c r="N417" s="13" t="s">
        <v>1035</v>
      </c>
    </row>
    <row r="418" spans="1:14" s="1" customFormat="1" ht="17.100000000000001" customHeight="1" x14ac:dyDescent="0.25">
      <c r="A418" s="9" t="s">
        <v>1362</v>
      </c>
      <c r="B418" s="10" t="s">
        <v>1363</v>
      </c>
      <c r="C418" s="10">
        <v>2015</v>
      </c>
      <c r="D418" s="11" t="s">
        <v>2152</v>
      </c>
      <c r="E418" s="10" t="s">
        <v>1631</v>
      </c>
      <c r="F418" s="11" t="s">
        <v>800</v>
      </c>
      <c r="G418" s="10" t="s">
        <v>1215</v>
      </c>
      <c r="H418" s="10" t="s">
        <v>2321</v>
      </c>
      <c r="I418" s="10" t="s">
        <v>1039</v>
      </c>
      <c r="J418" s="10" t="s">
        <v>1040</v>
      </c>
      <c r="K418" s="10" t="s">
        <v>1031</v>
      </c>
      <c r="L418" s="10" t="s">
        <v>1247</v>
      </c>
      <c r="M418" s="10" t="s">
        <v>1364</v>
      </c>
      <c r="N418" s="13" t="s">
        <v>1035</v>
      </c>
    </row>
    <row r="419" spans="1:14" s="1" customFormat="1" ht="17.100000000000001" customHeight="1" x14ac:dyDescent="0.25">
      <c r="A419" s="9" t="s">
        <v>699</v>
      </c>
      <c r="B419" s="10" t="s">
        <v>978</v>
      </c>
      <c r="C419" s="10">
        <v>2015</v>
      </c>
      <c r="D419" s="11" t="s">
        <v>1756</v>
      </c>
      <c r="E419" s="10" t="s">
        <v>1631</v>
      </c>
      <c r="F419" s="11" t="s">
        <v>626</v>
      </c>
      <c r="G419" s="10" t="s">
        <v>2266</v>
      </c>
      <c r="H419" s="10" t="s">
        <v>2326</v>
      </c>
      <c r="I419" s="12" t="s">
        <v>1029</v>
      </c>
      <c r="J419" s="12" t="s">
        <v>1030</v>
      </c>
      <c r="K419" s="10" t="s">
        <v>1031</v>
      </c>
      <c r="L419" s="10" t="s">
        <v>1032</v>
      </c>
      <c r="M419" s="12" t="s">
        <v>114</v>
      </c>
      <c r="N419" s="14" t="s">
        <v>1035</v>
      </c>
    </row>
    <row r="420" spans="1:14" s="1" customFormat="1" ht="17.100000000000001" customHeight="1" x14ac:dyDescent="0.25">
      <c r="A420" s="9" t="s">
        <v>1597</v>
      </c>
      <c r="B420" s="10" t="s">
        <v>1606</v>
      </c>
      <c r="C420" s="10">
        <v>2010</v>
      </c>
      <c r="D420" s="11" t="s">
        <v>2258</v>
      </c>
      <c r="E420" s="10" t="s">
        <v>1631</v>
      </c>
      <c r="F420" s="11" t="s">
        <v>626</v>
      </c>
      <c r="G420" s="10" t="s">
        <v>2266</v>
      </c>
      <c r="H420" s="10" t="s">
        <v>2326</v>
      </c>
      <c r="I420" s="10" t="s">
        <v>1493</v>
      </c>
      <c r="J420" s="10" t="s">
        <v>1040</v>
      </c>
      <c r="K420" s="10" t="s">
        <v>1031</v>
      </c>
      <c r="L420" s="10" t="s">
        <v>1247</v>
      </c>
      <c r="M420" s="10" t="s">
        <v>114</v>
      </c>
      <c r="N420" s="13" t="s">
        <v>1041</v>
      </c>
    </row>
    <row r="421" spans="1:14" s="1" customFormat="1" ht="17.100000000000001" customHeight="1" x14ac:dyDescent="0.25">
      <c r="A421" s="9" t="s">
        <v>625</v>
      </c>
      <c r="B421" s="10" t="s">
        <v>928</v>
      </c>
      <c r="C421" s="10">
        <v>2012</v>
      </c>
      <c r="D421" s="11" t="s">
        <v>1872</v>
      </c>
      <c r="E421" s="10" t="s">
        <v>1631</v>
      </c>
      <c r="F421" s="11" t="s">
        <v>626</v>
      </c>
      <c r="G421" s="10" t="s">
        <v>1066</v>
      </c>
      <c r="H421" s="10" t="s">
        <v>1161</v>
      </c>
      <c r="I421" s="12" t="s">
        <v>1039</v>
      </c>
      <c r="J421" s="10" t="s">
        <v>1030</v>
      </c>
      <c r="K421" s="10" t="s">
        <v>1031</v>
      </c>
      <c r="L421" s="10" t="s">
        <v>1247</v>
      </c>
      <c r="M421" s="12" t="s">
        <v>114</v>
      </c>
      <c r="N421" s="13" t="s">
        <v>1041</v>
      </c>
    </row>
    <row r="422" spans="1:14" s="1" customFormat="1" ht="17.100000000000001" customHeight="1" x14ac:dyDescent="0.25">
      <c r="A422" s="9" t="s">
        <v>627</v>
      </c>
      <c r="B422" s="10" t="s">
        <v>929</v>
      </c>
      <c r="C422" s="10">
        <v>2012</v>
      </c>
      <c r="D422" s="11" t="s">
        <v>1936</v>
      </c>
      <c r="E422" s="10" t="s">
        <v>1631</v>
      </c>
      <c r="F422" s="11" t="s">
        <v>626</v>
      </c>
      <c r="G422" s="10" t="s">
        <v>2266</v>
      </c>
      <c r="H422" s="10" t="s">
        <v>1057</v>
      </c>
      <c r="I422" s="12" t="s">
        <v>1029</v>
      </c>
      <c r="J422" s="12" t="s">
        <v>1030</v>
      </c>
      <c r="K422" s="10" t="s">
        <v>1031</v>
      </c>
      <c r="L422" s="10" t="s">
        <v>1247</v>
      </c>
      <c r="M422" s="12" t="s">
        <v>114</v>
      </c>
      <c r="N422" s="14" t="s">
        <v>1035</v>
      </c>
    </row>
    <row r="423" spans="1:14" s="1" customFormat="1" ht="17.100000000000001" customHeight="1" x14ac:dyDescent="0.25">
      <c r="A423" s="9" t="s">
        <v>698</v>
      </c>
      <c r="B423" s="10" t="s">
        <v>977</v>
      </c>
      <c r="C423" s="10">
        <v>2015</v>
      </c>
      <c r="D423" s="11" t="s">
        <v>1996</v>
      </c>
      <c r="E423" s="10" t="s">
        <v>1631</v>
      </c>
      <c r="F423" s="11" t="s">
        <v>626</v>
      </c>
      <c r="G423" s="10" t="s">
        <v>2266</v>
      </c>
      <c r="H423" s="10" t="s">
        <v>1057</v>
      </c>
      <c r="I423" s="12" t="s">
        <v>1029</v>
      </c>
      <c r="J423" s="12" t="s">
        <v>1030</v>
      </c>
      <c r="K423" s="10" t="s">
        <v>1031</v>
      </c>
      <c r="L423" s="10" t="s">
        <v>1032</v>
      </c>
      <c r="M423" s="12" t="s">
        <v>114</v>
      </c>
      <c r="N423" s="14" t="s">
        <v>1035</v>
      </c>
    </row>
    <row r="424" spans="1:14" s="1" customFormat="1" ht="17.100000000000001" customHeight="1" x14ac:dyDescent="0.25">
      <c r="A424" s="9" t="s">
        <v>740</v>
      </c>
      <c r="B424" s="10" t="s">
        <v>1003</v>
      </c>
      <c r="C424" s="10">
        <v>2018</v>
      </c>
      <c r="D424" s="11" t="s">
        <v>1942</v>
      </c>
      <c r="E424" s="10" t="s">
        <v>1631</v>
      </c>
      <c r="F424" s="11" t="s">
        <v>626</v>
      </c>
      <c r="G424" s="10" t="s">
        <v>2266</v>
      </c>
      <c r="H424" s="10" t="s">
        <v>1057</v>
      </c>
      <c r="I424" s="10" t="s">
        <v>1493</v>
      </c>
      <c r="J424" s="10" t="s">
        <v>1030</v>
      </c>
      <c r="K424" s="12" t="s">
        <v>1037</v>
      </c>
      <c r="L424" s="10" t="s">
        <v>1032</v>
      </c>
      <c r="M424" s="10" t="s">
        <v>1186</v>
      </c>
      <c r="N424" s="14" t="s">
        <v>1035</v>
      </c>
    </row>
    <row r="425" spans="1:14" s="1" customFormat="1" ht="17.100000000000001" customHeight="1" x14ac:dyDescent="0.25">
      <c r="A425" s="9" t="s">
        <v>770</v>
      </c>
      <c r="B425" s="10" t="s">
        <v>1198</v>
      </c>
      <c r="C425" s="10">
        <v>2020</v>
      </c>
      <c r="D425" s="11" t="s">
        <v>1973</v>
      </c>
      <c r="E425" s="10" t="s">
        <v>1631</v>
      </c>
      <c r="F425" s="11" t="s">
        <v>626</v>
      </c>
      <c r="G425" s="10" t="s">
        <v>1028</v>
      </c>
      <c r="H425" s="10" t="s">
        <v>1057</v>
      </c>
      <c r="I425" s="12" t="s">
        <v>1039</v>
      </c>
      <c r="J425" s="10" t="s">
        <v>1030</v>
      </c>
      <c r="K425" s="12" t="s">
        <v>1037</v>
      </c>
      <c r="L425" s="10" t="s">
        <v>1247</v>
      </c>
      <c r="M425" s="12" t="s">
        <v>114</v>
      </c>
      <c r="N425" s="14" t="s">
        <v>1035</v>
      </c>
    </row>
    <row r="426" spans="1:14" s="1" customFormat="1" ht="17.100000000000001" customHeight="1" x14ac:dyDescent="0.25">
      <c r="A426" s="9" t="s">
        <v>649</v>
      </c>
      <c r="B426" s="10" t="s">
        <v>938</v>
      </c>
      <c r="C426" s="10">
        <v>2013</v>
      </c>
      <c r="D426" s="11" t="s">
        <v>1937</v>
      </c>
      <c r="E426" s="10" t="s">
        <v>1631</v>
      </c>
      <c r="F426" s="11" t="s">
        <v>626</v>
      </c>
      <c r="G426" s="12" t="s">
        <v>1215</v>
      </c>
      <c r="H426" s="10" t="s">
        <v>1057</v>
      </c>
      <c r="I426" s="12" t="s">
        <v>1039</v>
      </c>
      <c r="J426" s="12" t="s">
        <v>1036</v>
      </c>
      <c r="K426" s="10" t="s">
        <v>1031</v>
      </c>
      <c r="L426" s="10" t="s">
        <v>1032</v>
      </c>
      <c r="M426" s="12" t="s">
        <v>114</v>
      </c>
      <c r="N426" s="14" t="s">
        <v>1035</v>
      </c>
    </row>
    <row r="427" spans="1:14" s="1" customFormat="1" ht="17.100000000000001" customHeight="1" x14ac:dyDescent="0.25">
      <c r="A427" s="9" t="s">
        <v>1624</v>
      </c>
      <c r="B427" s="27" t="s">
        <v>1625</v>
      </c>
      <c r="C427" s="10">
        <v>2017</v>
      </c>
      <c r="D427" s="11" t="s">
        <v>1684</v>
      </c>
      <c r="E427" s="10" t="s">
        <v>1631</v>
      </c>
      <c r="F427" s="11" t="s">
        <v>626</v>
      </c>
      <c r="G427" s="10" t="s">
        <v>1028</v>
      </c>
      <c r="H427" s="10" t="s">
        <v>1168</v>
      </c>
      <c r="I427" s="12" t="s">
        <v>1029</v>
      </c>
      <c r="J427" s="10" t="s">
        <v>1040</v>
      </c>
      <c r="K427" s="10" t="s">
        <v>1031</v>
      </c>
      <c r="L427" s="10" t="s">
        <v>1042</v>
      </c>
      <c r="M427" s="10" t="s">
        <v>114</v>
      </c>
      <c r="N427" s="13" t="s">
        <v>1041</v>
      </c>
    </row>
    <row r="428" spans="1:14" s="1" customFormat="1" ht="17.100000000000001" customHeight="1" x14ac:dyDescent="0.25">
      <c r="A428" s="9" t="s">
        <v>1296</v>
      </c>
      <c r="B428" s="10" t="s">
        <v>1297</v>
      </c>
      <c r="C428" s="10">
        <v>2019</v>
      </c>
      <c r="D428" s="11" t="s">
        <v>1901</v>
      </c>
      <c r="E428" s="10" t="s">
        <v>1630</v>
      </c>
      <c r="F428" s="11" t="s">
        <v>1266</v>
      </c>
      <c r="G428" s="10" t="s">
        <v>2275</v>
      </c>
      <c r="H428" s="10" t="s">
        <v>1161</v>
      </c>
      <c r="I428" s="10" t="s">
        <v>1039</v>
      </c>
      <c r="J428" s="10" t="s">
        <v>1030</v>
      </c>
      <c r="K428" s="10" t="s">
        <v>1031</v>
      </c>
      <c r="L428" s="10" t="s">
        <v>1247</v>
      </c>
      <c r="M428" s="10" t="s">
        <v>114</v>
      </c>
      <c r="N428" s="13" t="s">
        <v>1035</v>
      </c>
    </row>
    <row r="429" spans="1:14" x14ac:dyDescent="0.25">
      <c r="A429" s="9" t="s">
        <v>1281</v>
      </c>
      <c r="B429" s="10" t="s">
        <v>1282</v>
      </c>
      <c r="C429" s="10">
        <v>2018</v>
      </c>
      <c r="D429" s="11" t="s">
        <v>2122</v>
      </c>
      <c r="E429" s="10" t="s">
        <v>1630</v>
      </c>
      <c r="F429" s="11" t="s">
        <v>1266</v>
      </c>
      <c r="G429" s="10" t="s">
        <v>1538</v>
      </c>
      <c r="H429" s="10" t="s">
        <v>1230</v>
      </c>
      <c r="I429" s="10" t="s">
        <v>1039</v>
      </c>
      <c r="J429" s="10" t="s">
        <v>1030</v>
      </c>
      <c r="K429" s="10" t="s">
        <v>1031</v>
      </c>
      <c r="L429" s="10" t="s">
        <v>1247</v>
      </c>
      <c r="M429" s="10" t="s">
        <v>1632</v>
      </c>
      <c r="N429" s="13" t="s">
        <v>1035</v>
      </c>
    </row>
    <row r="430" spans="1:14" x14ac:dyDescent="0.25">
      <c r="A430" s="9" t="s">
        <v>1294</v>
      </c>
      <c r="B430" s="10" t="s">
        <v>1295</v>
      </c>
      <c r="C430" s="10">
        <v>2016</v>
      </c>
      <c r="D430" s="11" t="s">
        <v>2126</v>
      </c>
      <c r="E430" s="10" t="s">
        <v>1630</v>
      </c>
      <c r="F430" s="11" t="s">
        <v>1266</v>
      </c>
      <c r="G430" s="10" t="s">
        <v>1544</v>
      </c>
      <c r="H430" s="10" t="s">
        <v>2372</v>
      </c>
      <c r="I430" s="10" t="s">
        <v>1039</v>
      </c>
      <c r="J430" s="10" t="s">
        <v>1030</v>
      </c>
      <c r="K430" s="10" t="s">
        <v>1031</v>
      </c>
      <c r="L430" s="10" t="s">
        <v>1247</v>
      </c>
      <c r="M430" s="10" t="s">
        <v>114</v>
      </c>
      <c r="N430" s="13" t="s">
        <v>1035</v>
      </c>
    </row>
    <row r="431" spans="1:14" x14ac:dyDescent="0.25">
      <c r="A431" s="9" t="s">
        <v>1451</v>
      </c>
      <c r="B431" s="10" t="s">
        <v>1452</v>
      </c>
      <c r="C431" s="10">
        <v>2019</v>
      </c>
      <c r="D431" s="11" t="s">
        <v>2187</v>
      </c>
      <c r="E431" s="10" t="s">
        <v>1631</v>
      </c>
      <c r="F431" s="11" t="s">
        <v>2310</v>
      </c>
      <c r="G431" s="10" t="s">
        <v>1174</v>
      </c>
      <c r="H431" s="10" t="s">
        <v>2326</v>
      </c>
      <c r="I431" s="10" t="s">
        <v>1039</v>
      </c>
      <c r="J431" s="10" t="s">
        <v>1030</v>
      </c>
      <c r="K431" s="10" t="s">
        <v>1031</v>
      </c>
      <c r="L431" s="10" t="s">
        <v>1247</v>
      </c>
      <c r="M431" s="10" t="s">
        <v>114</v>
      </c>
      <c r="N431" s="13" t="s">
        <v>1072</v>
      </c>
    </row>
    <row r="432" spans="1:14" x14ac:dyDescent="0.25">
      <c r="A432" s="9" t="s">
        <v>1431</v>
      </c>
      <c r="B432" s="10" t="s">
        <v>1432</v>
      </c>
      <c r="C432" s="10">
        <v>2018</v>
      </c>
      <c r="D432" s="11" t="s">
        <v>2180</v>
      </c>
      <c r="E432" s="10" t="s">
        <v>1631</v>
      </c>
      <c r="F432" s="11" t="s">
        <v>2315</v>
      </c>
      <c r="G432" s="10" t="s">
        <v>1215</v>
      </c>
      <c r="H432" s="10" t="s">
        <v>2326</v>
      </c>
      <c r="I432" s="10" t="s">
        <v>1039</v>
      </c>
      <c r="J432" s="10" t="s">
        <v>1036</v>
      </c>
      <c r="K432" s="10" t="s">
        <v>1031</v>
      </c>
      <c r="L432" s="10" t="s">
        <v>1247</v>
      </c>
      <c r="M432" s="10" t="s">
        <v>114</v>
      </c>
      <c r="N432" s="13" t="s">
        <v>1072</v>
      </c>
    </row>
    <row r="433" spans="1:14" x14ac:dyDescent="0.25">
      <c r="A433" s="9" t="s">
        <v>1344</v>
      </c>
      <c r="B433" s="10" t="s">
        <v>1345</v>
      </c>
      <c r="C433" s="10">
        <v>2017</v>
      </c>
      <c r="D433" s="11" t="s">
        <v>1942</v>
      </c>
      <c r="E433" s="10" t="s">
        <v>1631</v>
      </c>
      <c r="F433" s="11" t="s">
        <v>2315</v>
      </c>
      <c r="G433" s="10" t="s">
        <v>1062</v>
      </c>
      <c r="H433" s="10" t="s">
        <v>1057</v>
      </c>
      <c r="I433" s="10" t="s">
        <v>1039</v>
      </c>
      <c r="J433" s="10" t="s">
        <v>1030</v>
      </c>
      <c r="K433" s="10" t="s">
        <v>1031</v>
      </c>
      <c r="L433" s="10" t="s">
        <v>1247</v>
      </c>
      <c r="M433" s="10" t="s">
        <v>1346</v>
      </c>
      <c r="N433" s="13" t="s">
        <v>1072</v>
      </c>
    </row>
    <row r="434" spans="1:14" x14ac:dyDescent="0.25">
      <c r="A434" s="9" t="s">
        <v>270</v>
      </c>
      <c r="B434" s="10" t="s">
        <v>271</v>
      </c>
      <c r="C434" s="10">
        <v>2014</v>
      </c>
      <c r="D434" s="11" t="s">
        <v>1831</v>
      </c>
      <c r="E434" s="10" t="s">
        <v>1630</v>
      </c>
      <c r="F434" s="11" t="s">
        <v>1633</v>
      </c>
      <c r="G434" s="10" t="s">
        <v>1054</v>
      </c>
      <c r="H434" s="10" t="s">
        <v>2326</v>
      </c>
      <c r="I434" s="12" t="s">
        <v>1029</v>
      </c>
      <c r="J434" s="10" t="s">
        <v>1692</v>
      </c>
      <c r="K434" s="12" t="s">
        <v>1037</v>
      </c>
      <c r="L434" s="10" t="s">
        <v>1247</v>
      </c>
      <c r="M434" s="12" t="s">
        <v>114</v>
      </c>
      <c r="N434" s="14" t="s">
        <v>1035</v>
      </c>
    </row>
    <row r="435" spans="1:14" x14ac:dyDescent="0.25">
      <c r="A435" s="9" t="s">
        <v>266</v>
      </c>
      <c r="B435" s="10" t="s">
        <v>267</v>
      </c>
      <c r="C435" s="10">
        <v>2013</v>
      </c>
      <c r="D435" s="11" t="s">
        <v>1830</v>
      </c>
      <c r="E435" s="10" t="s">
        <v>1630</v>
      </c>
      <c r="F435" s="11" t="s">
        <v>1633</v>
      </c>
      <c r="G435" s="10" t="s">
        <v>1636</v>
      </c>
      <c r="H435" s="10" t="s">
        <v>2326</v>
      </c>
      <c r="I435" s="12" t="s">
        <v>1029</v>
      </c>
      <c r="J435" s="10" t="s">
        <v>1040</v>
      </c>
      <c r="K435" s="10" t="s">
        <v>1031</v>
      </c>
      <c r="L435" s="10" t="s">
        <v>1032</v>
      </c>
      <c r="M435" s="12" t="s">
        <v>114</v>
      </c>
      <c r="N435" s="14" t="s">
        <v>1035</v>
      </c>
    </row>
    <row r="436" spans="1:14" x14ac:dyDescent="0.25">
      <c r="A436" s="9" t="s">
        <v>268</v>
      </c>
      <c r="B436" s="10" t="s">
        <v>269</v>
      </c>
      <c r="C436" s="10">
        <v>2016</v>
      </c>
      <c r="D436" s="11" t="s">
        <v>2090</v>
      </c>
      <c r="E436" s="10" t="s">
        <v>1630</v>
      </c>
      <c r="F436" s="11" t="s">
        <v>1633</v>
      </c>
      <c r="G436" s="10" t="s">
        <v>1054</v>
      </c>
      <c r="H436" s="10" t="s">
        <v>2340</v>
      </c>
      <c r="I436" s="12" t="s">
        <v>1029</v>
      </c>
      <c r="J436" s="10" t="s">
        <v>1040</v>
      </c>
      <c r="K436" s="10" t="s">
        <v>1031</v>
      </c>
      <c r="L436" s="10" t="s">
        <v>1247</v>
      </c>
      <c r="M436" s="10" t="s">
        <v>1238</v>
      </c>
      <c r="N436" s="14" t="s">
        <v>1035</v>
      </c>
    </row>
    <row r="437" spans="1:14" x14ac:dyDescent="0.25">
      <c r="A437" s="9" t="s">
        <v>520</v>
      </c>
      <c r="B437" s="10" t="s">
        <v>521</v>
      </c>
      <c r="C437" s="10">
        <v>2022</v>
      </c>
      <c r="D437" s="11" t="s">
        <v>1723</v>
      </c>
      <c r="E437" s="10" t="s">
        <v>1630</v>
      </c>
      <c r="F437" s="11" t="s">
        <v>1633</v>
      </c>
      <c r="G437" s="10" t="s">
        <v>1028</v>
      </c>
      <c r="H437" s="10" t="s">
        <v>2320</v>
      </c>
      <c r="I437" s="12" t="s">
        <v>1039</v>
      </c>
      <c r="J437" s="10" t="s">
        <v>1036</v>
      </c>
      <c r="K437" s="10" t="s">
        <v>1031</v>
      </c>
      <c r="L437" s="10" t="s">
        <v>1042</v>
      </c>
      <c r="M437" s="12" t="s">
        <v>114</v>
      </c>
      <c r="N437" s="13" t="s">
        <v>1041</v>
      </c>
    </row>
    <row r="438" spans="1:14" x14ac:dyDescent="0.25">
      <c r="A438" s="9" t="s">
        <v>532</v>
      </c>
      <c r="B438" s="10" t="s">
        <v>533</v>
      </c>
      <c r="C438" s="10">
        <v>2021</v>
      </c>
      <c r="D438" s="11" t="s">
        <v>1728</v>
      </c>
      <c r="E438" s="10" t="s">
        <v>1630</v>
      </c>
      <c r="F438" s="11" t="s">
        <v>1633</v>
      </c>
      <c r="G438" s="10" t="s">
        <v>1028</v>
      </c>
      <c r="H438" s="10" t="s">
        <v>2320</v>
      </c>
      <c r="I438" s="12" t="s">
        <v>1039</v>
      </c>
      <c r="J438" s="10" t="s">
        <v>1040</v>
      </c>
      <c r="K438" s="10" t="s">
        <v>1031</v>
      </c>
      <c r="L438" s="10" t="s">
        <v>1032</v>
      </c>
      <c r="M438" s="10" t="s">
        <v>1067</v>
      </c>
      <c r="N438" s="14" t="s">
        <v>1035</v>
      </c>
    </row>
    <row r="439" spans="1:14" x14ac:dyDescent="0.25">
      <c r="A439" s="9" t="s">
        <v>1207</v>
      </c>
      <c r="B439" s="10" t="s">
        <v>634</v>
      </c>
      <c r="C439" s="10">
        <v>2013</v>
      </c>
      <c r="D439" s="11" t="s">
        <v>2009</v>
      </c>
      <c r="E439" s="10" t="s">
        <v>1631</v>
      </c>
      <c r="F439" s="11" t="s">
        <v>583</v>
      </c>
      <c r="G439" s="10" t="s">
        <v>2266</v>
      </c>
      <c r="H439" s="10" t="s">
        <v>1057</v>
      </c>
      <c r="I439" s="12" t="s">
        <v>1029</v>
      </c>
      <c r="J439" s="12" t="s">
        <v>1030</v>
      </c>
      <c r="K439" s="10" t="s">
        <v>1031</v>
      </c>
      <c r="L439" s="10" t="s">
        <v>1032</v>
      </c>
      <c r="M439" s="12" t="s">
        <v>114</v>
      </c>
      <c r="N439" s="14" t="s">
        <v>1035</v>
      </c>
    </row>
    <row r="440" spans="1:14" x14ac:dyDescent="0.25">
      <c r="A440" s="9" t="s">
        <v>623</v>
      </c>
      <c r="B440" s="10" t="s">
        <v>927</v>
      </c>
      <c r="C440" s="10">
        <v>2012</v>
      </c>
      <c r="D440" s="11" t="s">
        <v>1938</v>
      </c>
      <c r="E440" s="10" t="s">
        <v>1631</v>
      </c>
      <c r="F440" s="11" t="s">
        <v>624</v>
      </c>
      <c r="G440" s="10" t="s">
        <v>1054</v>
      </c>
      <c r="H440" s="10" t="s">
        <v>1057</v>
      </c>
      <c r="I440" s="12" t="s">
        <v>1039</v>
      </c>
      <c r="J440" s="10" t="s">
        <v>1069</v>
      </c>
      <c r="K440" s="12" t="s">
        <v>1037</v>
      </c>
      <c r="L440" s="12" t="s">
        <v>1042</v>
      </c>
      <c r="M440" s="12" t="s">
        <v>114</v>
      </c>
      <c r="N440" s="13" t="s">
        <v>1041</v>
      </c>
    </row>
    <row r="441" spans="1:14" x14ac:dyDescent="0.25">
      <c r="A441" s="9" t="s">
        <v>656</v>
      </c>
      <c r="B441" s="10" t="s">
        <v>944</v>
      </c>
      <c r="C441" s="10">
        <v>2014</v>
      </c>
      <c r="D441" s="11" t="s">
        <v>1767</v>
      </c>
      <c r="E441" s="10" t="s">
        <v>1631</v>
      </c>
      <c r="F441" s="11" t="s">
        <v>651</v>
      </c>
      <c r="G441" s="10" t="s">
        <v>2266</v>
      </c>
      <c r="H441" s="10" t="s">
        <v>2326</v>
      </c>
      <c r="I441" s="10" t="s">
        <v>1039</v>
      </c>
      <c r="J441" s="10" t="s">
        <v>1030</v>
      </c>
      <c r="K441" s="12" t="s">
        <v>1037</v>
      </c>
      <c r="L441" s="10" t="s">
        <v>2398</v>
      </c>
      <c r="M441" s="10" t="s">
        <v>1081</v>
      </c>
      <c r="N441" s="14" t="s">
        <v>1035</v>
      </c>
    </row>
    <row r="442" spans="1:14" x14ac:dyDescent="0.25">
      <c r="A442" s="9" t="s">
        <v>681</v>
      </c>
      <c r="B442" s="10" t="s">
        <v>962</v>
      </c>
      <c r="C442" s="10">
        <v>2015</v>
      </c>
      <c r="D442" s="11" t="s">
        <v>1808</v>
      </c>
      <c r="E442" s="10" t="s">
        <v>1631</v>
      </c>
      <c r="F442" s="11" t="s">
        <v>651</v>
      </c>
      <c r="G442" s="10" t="s">
        <v>1538</v>
      </c>
      <c r="H442" s="10" t="s">
        <v>2326</v>
      </c>
      <c r="I442" s="12" t="s">
        <v>1039</v>
      </c>
      <c r="J442" s="10" t="s">
        <v>1040</v>
      </c>
      <c r="K442" s="10" t="s">
        <v>1031</v>
      </c>
      <c r="L442" s="10" t="s">
        <v>1032</v>
      </c>
      <c r="M442" s="12" t="s">
        <v>114</v>
      </c>
      <c r="N442" s="14" t="s">
        <v>1035</v>
      </c>
    </row>
    <row r="443" spans="1:14" x14ac:dyDescent="0.25">
      <c r="A443" s="9" t="s">
        <v>730</v>
      </c>
      <c r="B443" s="10" t="s">
        <v>998</v>
      </c>
      <c r="C443" s="10">
        <v>2018</v>
      </c>
      <c r="D443" s="11" t="s">
        <v>1710</v>
      </c>
      <c r="E443" s="10" t="s">
        <v>1631</v>
      </c>
      <c r="F443" s="11" t="s">
        <v>651</v>
      </c>
      <c r="G443" s="10" t="s">
        <v>1054</v>
      </c>
      <c r="H443" s="10" t="s">
        <v>2340</v>
      </c>
      <c r="I443" s="12" t="s">
        <v>1029</v>
      </c>
      <c r="J443" s="10" t="s">
        <v>1040</v>
      </c>
      <c r="K443" s="10" t="s">
        <v>1031</v>
      </c>
      <c r="L443" s="10" t="s">
        <v>1247</v>
      </c>
      <c r="M443" s="12" t="s">
        <v>114</v>
      </c>
      <c r="N443" s="13" t="s">
        <v>1041</v>
      </c>
    </row>
    <row r="444" spans="1:14" x14ac:dyDescent="0.25">
      <c r="A444" s="9" t="s">
        <v>650</v>
      </c>
      <c r="B444" s="10" t="s">
        <v>939</v>
      </c>
      <c r="C444" s="10">
        <v>2014</v>
      </c>
      <c r="D444" s="11" t="s">
        <v>1905</v>
      </c>
      <c r="E444" s="10" t="s">
        <v>1631</v>
      </c>
      <c r="F444" s="11" t="s">
        <v>651</v>
      </c>
      <c r="G444" s="10" t="s">
        <v>1028</v>
      </c>
      <c r="H444" s="10" t="s">
        <v>2322</v>
      </c>
      <c r="I444" s="12" t="s">
        <v>1029</v>
      </c>
      <c r="J444" s="10" t="s">
        <v>1030</v>
      </c>
      <c r="K444" s="10" t="s">
        <v>1031</v>
      </c>
      <c r="L444" s="10" t="s">
        <v>1032</v>
      </c>
      <c r="M444" s="10" t="s">
        <v>1089</v>
      </c>
      <c r="N444" s="14" t="s">
        <v>1035</v>
      </c>
    </row>
    <row r="445" spans="1:14" x14ac:dyDescent="0.25">
      <c r="A445" s="9" t="s">
        <v>1448</v>
      </c>
      <c r="B445" s="10" t="s">
        <v>1449</v>
      </c>
      <c r="C445" s="10">
        <v>2018</v>
      </c>
      <c r="D445" s="11" t="s">
        <v>2186</v>
      </c>
      <c r="E445" s="10" t="s">
        <v>1631</v>
      </c>
      <c r="F445" s="11" t="s">
        <v>2307</v>
      </c>
      <c r="G445" s="10" t="s">
        <v>2275</v>
      </c>
      <c r="H445" s="10" t="s">
        <v>2326</v>
      </c>
      <c r="I445" s="10" t="s">
        <v>1039</v>
      </c>
      <c r="J445" s="10" t="s">
        <v>1036</v>
      </c>
      <c r="K445" s="10" t="s">
        <v>1031</v>
      </c>
      <c r="L445" s="10" t="s">
        <v>1247</v>
      </c>
      <c r="M445" s="10" t="s">
        <v>1450</v>
      </c>
      <c r="N445" s="13" t="s">
        <v>1072</v>
      </c>
    </row>
    <row r="446" spans="1:14" x14ac:dyDescent="0.25">
      <c r="A446" s="9" t="s">
        <v>1378</v>
      </c>
      <c r="B446" s="10" t="s">
        <v>1379</v>
      </c>
      <c r="C446" s="10">
        <v>2014</v>
      </c>
      <c r="D446" s="11" t="s">
        <v>2159</v>
      </c>
      <c r="E446" s="10" t="s">
        <v>1631</v>
      </c>
      <c r="F446" s="11" t="s">
        <v>2307</v>
      </c>
      <c r="G446" s="10" t="s">
        <v>2266</v>
      </c>
      <c r="H446" s="10" t="s">
        <v>1057</v>
      </c>
      <c r="I446" s="10" t="s">
        <v>1039</v>
      </c>
      <c r="J446" s="10" t="s">
        <v>1030</v>
      </c>
      <c r="K446" s="10" t="s">
        <v>1031</v>
      </c>
      <c r="L446" s="10" t="s">
        <v>1247</v>
      </c>
      <c r="M446" s="10" t="s">
        <v>1049</v>
      </c>
      <c r="N446" s="13" t="s">
        <v>1035</v>
      </c>
    </row>
    <row r="447" spans="1:14" x14ac:dyDescent="0.25">
      <c r="A447" s="9" t="s">
        <v>1427</v>
      </c>
      <c r="B447" s="10" t="s">
        <v>1428</v>
      </c>
      <c r="C447" s="10">
        <v>2014</v>
      </c>
      <c r="D447" s="11" t="s">
        <v>2006</v>
      </c>
      <c r="E447" s="10" t="s">
        <v>1631</v>
      </c>
      <c r="F447" s="11" t="s">
        <v>2307</v>
      </c>
      <c r="G447" s="10" t="s">
        <v>2266</v>
      </c>
      <c r="H447" s="10" t="s">
        <v>1057</v>
      </c>
      <c r="I447" s="10" t="s">
        <v>1039</v>
      </c>
      <c r="J447" s="10" t="s">
        <v>1030</v>
      </c>
      <c r="K447" s="10" t="s">
        <v>1031</v>
      </c>
      <c r="L447" s="10" t="s">
        <v>1247</v>
      </c>
      <c r="M447" s="10" t="s">
        <v>1050</v>
      </c>
      <c r="N447" s="13" t="s">
        <v>1035</v>
      </c>
    </row>
    <row r="448" spans="1:14" x14ac:dyDescent="0.25">
      <c r="A448" s="9" t="s">
        <v>748</v>
      </c>
      <c r="B448" s="10" t="s">
        <v>749</v>
      </c>
      <c r="C448" s="10">
        <v>2019</v>
      </c>
      <c r="D448" s="11" t="s">
        <v>2017</v>
      </c>
      <c r="E448" s="10" t="s">
        <v>1631</v>
      </c>
      <c r="F448" s="11" t="s">
        <v>673</v>
      </c>
      <c r="G448" s="10" t="s">
        <v>2266</v>
      </c>
      <c r="H448" s="10" t="s">
        <v>1057</v>
      </c>
      <c r="I448" s="12" t="s">
        <v>1029</v>
      </c>
      <c r="J448" s="10" t="s">
        <v>1030</v>
      </c>
      <c r="K448" s="10" t="s">
        <v>1031</v>
      </c>
      <c r="L448" s="10" t="s">
        <v>1032</v>
      </c>
      <c r="M448" s="10" t="s">
        <v>1209</v>
      </c>
      <c r="N448" s="14" t="s">
        <v>1035</v>
      </c>
    </row>
    <row r="449" spans="1:14" x14ac:dyDescent="0.25">
      <c r="A449" s="9" t="s">
        <v>641</v>
      </c>
      <c r="B449" s="10" t="s">
        <v>935</v>
      </c>
      <c r="C449" s="10">
        <v>2013</v>
      </c>
      <c r="D449" s="11" t="s">
        <v>1782</v>
      </c>
      <c r="E449" s="10" t="s">
        <v>1631</v>
      </c>
      <c r="F449" s="11" t="s">
        <v>642</v>
      </c>
      <c r="G449" s="10" t="s">
        <v>1028</v>
      </c>
      <c r="H449" s="10" t="s">
        <v>2326</v>
      </c>
      <c r="I449" s="12" t="s">
        <v>1029</v>
      </c>
      <c r="J449" s="10" t="s">
        <v>1030</v>
      </c>
      <c r="K449" s="10" t="s">
        <v>1031</v>
      </c>
      <c r="L449" s="10" t="s">
        <v>1032</v>
      </c>
      <c r="M449" s="12" t="s">
        <v>114</v>
      </c>
      <c r="N449" s="13" t="s">
        <v>1034</v>
      </c>
    </row>
    <row r="450" spans="1:14" x14ac:dyDescent="0.25">
      <c r="A450" s="9" t="s">
        <v>761</v>
      </c>
      <c r="B450" s="10" t="s">
        <v>1009</v>
      </c>
      <c r="C450" s="10">
        <v>2019</v>
      </c>
      <c r="D450" s="11" t="s">
        <v>1664</v>
      </c>
      <c r="E450" s="10" t="s">
        <v>1631</v>
      </c>
      <c r="F450" s="11" t="s">
        <v>645</v>
      </c>
      <c r="G450" s="10" t="s">
        <v>2267</v>
      </c>
      <c r="H450" s="10" t="s">
        <v>2326</v>
      </c>
      <c r="I450" s="12" t="s">
        <v>1029</v>
      </c>
      <c r="J450" s="10" t="s">
        <v>1030</v>
      </c>
      <c r="K450" s="10" t="s">
        <v>1031</v>
      </c>
      <c r="L450" s="10" t="s">
        <v>1032</v>
      </c>
      <c r="M450" s="10" t="s">
        <v>1144</v>
      </c>
      <c r="N450" s="13" t="s">
        <v>1034</v>
      </c>
    </row>
    <row r="451" spans="1:14" x14ac:dyDescent="0.25">
      <c r="A451" s="9" t="s">
        <v>644</v>
      </c>
      <c r="B451" s="10" t="s">
        <v>937</v>
      </c>
      <c r="C451" s="10">
        <v>2013</v>
      </c>
      <c r="D451" s="11" t="s">
        <v>2029</v>
      </c>
      <c r="E451" s="10" t="s">
        <v>1631</v>
      </c>
      <c r="F451" s="11" t="s">
        <v>645</v>
      </c>
      <c r="G451" s="12" t="s">
        <v>1215</v>
      </c>
      <c r="H451" s="10" t="s">
        <v>1166</v>
      </c>
      <c r="I451" s="12" t="s">
        <v>1029</v>
      </c>
      <c r="J451" s="10" t="s">
        <v>1030</v>
      </c>
      <c r="K451" s="10" t="s">
        <v>1031</v>
      </c>
      <c r="L451" s="10" t="s">
        <v>1032</v>
      </c>
      <c r="M451" s="12" t="s">
        <v>114</v>
      </c>
      <c r="N451" s="13" t="s">
        <v>1041</v>
      </c>
    </row>
    <row r="452" spans="1:14" x14ac:dyDescent="0.25">
      <c r="A452" s="9" t="s">
        <v>714</v>
      </c>
      <c r="B452" s="10" t="s">
        <v>991</v>
      </c>
      <c r="C452" s="10">
        <v>2016</v>
      </c>
      <c r="D452" s="11" t="s">
        <v>2048</v>
      </c>
      <c r="E452" s="10" t="s">
        <v>1631</v>
      </c>
      <c r="F452" s="11" t="s">
        <v>645</v>
      </c>
      <c r="G452" s="10" t="s">
        <v>2266</v>
      </c>
      <c r="H452" s="10" t="s">
        <v>1168</v>
      </c>
      <c r="I452" s="12" t="s">
        <v>1029</v>
      </c>
      <c r="J452" s="10" t="s">
        <v>1030</v>
      </c>
      <c r="K452" s="10" t="s">
        <v>1031</v>
      </c>
      <c r="L452" s="10" t="s">
        <v>1032</v>
      </c>
      <c r="M452" s="10" t="s">
        <v>1224</v>
      </c>
      <c r="N452" s="13" t="s">
        <v>1034</v>
      </c>
    </row>
    <row r="453" spans="1:14" x14ac:dyDescent="0.25">
      <c r="A453" s="9" t="s">
        <v>737</v>
      </c>
      <c r="B453" s="10" t="s">
        <v>1001</v>
      </c>
      <c r="C453" s="10">
        <v>2018</v>
      </c>
      <c r="D453" s="11" t="s">
        <v>1789</v>
      </c>
      <c r="E453" s="10" t="s">
        <v>1631</v>
      </c>
      <c r="F453" s="11" t="s">
        <v>645</v>
      </c>
      <c r="G453" s="10" t="s">
        <v>1062</v>
      </c>
      <c r="H453" s="10" t="s">
        <v>1180</v>
      </c>
      <c r="I453" s="12" t="s">
        <v>1039</v>
      </c>
      <c r="J453" s="10" t="s">
        <v>1030</v>
      </c>
      <c r="K453" s="10" t="s">
        <v>1031</v>
      </c>
      <c r="L453" s="10" t="s">
        <v>1032</v>
      </c>
      <c r="M453" s="12" t="s">
        <v>114</v>
      </c>
      <c r="N453" s="13" t="s">
        <v>1041</v>
      </c>
    </row>
    <row r="454" spans="1:14" x14ac:dyDescent="0.25">
      <c r="A454" s="9" t="s">
        <v>738</v>
      </c>
      <c r="B454" s="10" t="s">
        <v>1002</v>
      </c>
      <c r="C454" s="10">
        <v>2018</v>
      </c>
      <c r="D454" s="11" t="s">
        <v>1825</v>
      </c>
      <c r="E454" s="10" t="s">
        <v>1631</v>
      </c>
      <c r="F454" s="11" t="s">
        <v>739</v>
      </c>
      <c r="G454" s="10" t="s">
        <v>2266</v>
      </c>
      <c r="H454" s="10" t="s">
        <v>2326</v>
      </c>
      <c r="I454" s="12" t="s">
        <v>1029</v>
      </c>
      <c r="J454" s="10" t="s">
        <v>1036</v>
      </c>
      <c r="K454" s="10" t="s">
        <v>1031</v>
      </c>
      <c r="L454" s="10" t="s">
        <v>1032</v>
      </c>
      <c r="M454" s="12" t="s">
        <v>114</v>
      </c>
      <c r="N454" s="14" t="s">
        <v>1035</v>
      </c>
    </row>
    <row r="455" spans="1:14" x14ac:dyDescent="0.25">
      <c r="A455" s="9" t="s">
        <v>1388</v>
      </c>
      <c r="B455" s="10" t="s">
        <v>1389</v>
      </c>
      <c r="C455" s="10">
        <v>2014</v>
      </c>
      <c r="D455" s="11" t="s">
        <v>2163</v>
      </c>
      <c r="E455" s="10" t="s">
        <v>1631</v>
      </c>
      <c r="F455" s="11" t="s">
        <v>603</v>
      </c>
      <c r="G455" s="10" t="s">
        <v>2297</v>
      </c>
      <c r="H455" s="10" t="s">
        <v>2326</v>
      </c>
      <c r="I455" s="10" t="s">
        <v>1039</v>
      </c>
      <c r="J455" s="10" t="s">
        <v>1030</v>
      </c>
      <c r="K455" s="10" t="s">
        <v>1031</v>
      </c>
      <c r="L455" s="10" t="s">
        <v>1247</v>
      </c>
      <c r="M455" s="10" t="s">
        <v>114</v>
      </c>
      <c r="N455" s="13" t="s">
        <v>1041</v>
      </c>
    </row>
    <row r="456" spans="1:14" x14ac:dyDescent="0.25">
      <c r="A456" s="9" t="s">
        <v>1112</v>
      </c>
      <c r="B456" s="10" t="s">
        <v>973</v>
      </c>
      <c r="C456" s="32">
        <v>2015</v>
      </c>
      <c r="D456" s="11" t="s">
        <v>1799</v>
      </c>
      <c r="E456" s="10" t="s">
        <v>1631</v>
      </c>
      <c r="F456" s="11" t="s">
        <v>603</v>
      </c>
      <c r="G456" s="10" t="s">
        <v>1028</v>
      </c>
      <c r="H456" s="10" t="s">
        <v>2326</v>
      </c>
      <c r="I456" s="12" t="s">
        <v>1029</v>
      </c>
      <c r="J456" s="10" t="s">
        <v>1693</v>
      </c>
      <c r="K456" s="10" t="s">
        <v>1031</v>
      </c>
      <c r="L456" s="10" t="s">
        <v>1032</v>
      </c>
      <c r="M456" s="12" t="s">
        <v>114</v>
      </c>
      <c r="N456" s="13" t="s">
        <v>1041</v>
      </c>
    </row>
    <row r="457" spans="1:14" x14ac:dyDescent="0.25">
      <c r="A457" s="9" t="s">
        <v>602</v>
      </c>
      <c r="B457" s="10" t="s">
        <v>916</v>
      </c>
      <c r="C457" s="10">
        <v>2011</v>
      </c>
      <c r="D457" s="11" t="s">
        <v>1914</v>
      </c>
      <c r="E457" s="10" t="s">
        <v>1631</v>
      </c>
      <c r="F457" s="11" t="s">
        <v>603</v>
      </c>
      <c r="G457" s="10" t="s">
        <v>2266</v>
      </c>
      <c r="H457" s="10" t="s">
        <v>2329</v>
      </c>
      <c r="I457" s="12" t="s">
        <v>1029</v>
      </c>
      <c r="J457" s="10" t="s">
        <v>1030</v>
      </c>
      <c r="K457" s="10" t="s">
        <v>1031</v>
      </c>
      <c r="L457" s="10" t="s">
        <v>1042</v>
      </c>
      <c r="M457" s="12" t="s">
        <v>114</v>
      </c>
      <c r="N457" s="13" t="s">
        <v>1041</v>
      </c>
    </row>
    <row r="458" spans="1:14" x14ac:dyDescent="0.25">
      <c r="A458" s="9" t="s">
        <v>643</v>
      </c>
      <c r="B458" s="10" t="s">
        <v>936</v>
      </c>
      <c r="C458" s="12">
        <v>2013</v>
      </c>
      <c r="D458" s="11" t="s">
        <v>1932</v>
      </c>
      <c r="E458" s="10" t="s">
        <v>1631</v>
      </c>
      <c r="F458" s="11" t="s">
        <v>603</v>
      </c>
      <c r="G458" s="12" t="s">
        <v>1028</v>
      </c>
      <c r="H458" s="10" t="s">
        <v>1057</v>
      </c>
      <c r="I458" s="12" t="s">
        <v>1029</v>
      </c>
      <c r="J458" s="12" t="s">
        <v>1030</v>
      </c>
      <c r="K458" s="10" t="s">
        <v>1031</v>
      </c>
      <c r="L458" s="10" t="s">
        <v>1032</v>
      </c>
      <c r="M458" s="12" t="s">
        <v>114</v>
      </c>
      <c r="N458" s="14" t="s">
        <v>1035</v>
      </c>
    </row>
    <row r="459" spans="1:14" x14ac:dyDescent="0.25">
      <c r="A459" s="9" t="s">
        <v>2403</v>
      </c>
      <c r="B459" s="10" t="s">
        <v>958</v>
      </c>
      <c r="C459" s="10">
        <v>2014</v>
      </c>
      <c r="D459" s="11" t="s">
        <v>1892</v>
      </c>
      <c r="E459" s="10" t="s">
        <v>1631</v>
      </c>
      <c r="F459" s="11" t="s">
        <v>603</v>
      </c>
      <c r="G459" s="10" t="s">
        <v>1028</v>
      </c>
      <c r="H459" s="10" t="s">
        <v>2331</v>
      </c>
      <c r="I459" s="12" t="s">
        <v>1029</v>
      </c>
      <c r="J459" s="10" t="s">
        <v>1040</v>
      </c>
      <c r="K459" s="10" t="s">
        <v>1031</v>
      </c>
      <c r="L459" s="10" t="s">
        <v>1247</v>
      </c>
      <c r="M459" s="10" t="s">
        <v>1097</v>
      </c>
      <c r="N459" s="14" t="s">
        <v>1035</v>
      </c>
    </row>
    <row r="460" spans="1:14" x14ac:dyDescent="0.25">
      <c r="A460" s="9" t="s">
        <v>695</v>
      </c>
      <c r="B460" s="10" t="s">
        <v>974</v>
      </c>
      <c r="C460" s="10">
        <v>2015</v>
      </c>
      <c r="D460" s="11" t="s">
        <v>2028</v>
      </c>
      <c r="E460" s="10" t="s">
        <v>1631</v>
      </c>
      <c r="F460" s="11" t="s">
        <v>605</v>
      </c>
      <c r="G460" s="10" t="s">
        <v>1165</v>
      </c>
      <c r="H460" s="10" t="s">
        <v>1166</v>
      </c>
      <c r="I460" s="12" t="s">
        <v>1029</v>
      </c>
      <c r="J460" s="10" t="s">
        <v>1040</v>
      </c>
      <c r="K460" s="10" t="s">
        <v>1031</v>
      </c>
      <c r="L460" s="10" t="s">
        <v>1247</v>
      </c>
      <c r="M460" s="12" t="s">
        <v>114</v>
      </c>
      <c r="N460" s="14" t="s">
        <v>1035</v>
      </c>
    </row>
    <row r="461" spans="1:14" x14ac:dyDescent="0.25">
      <c r="A461" s="9" t="s">
        <v>764</v>
      </c>
      <c r="B461" s="10" t="s">
        <v>1011</v>
      </c>
      <c r="C461" s="10">
        <v>2019</v>
      </c>
      <c r="D461" s="11" t="s">
        <v>1668</v>
      </c>
      <c r="E461" s="10" t="s">
        <v>1631</v>
      </c>
      <c r="F461" s="11" t="s">
        <v>605</v>
      </c>
      <c r="G461" s="10" t="s">
        <v>1164</v>
      </c>
      <c r="H461" s="10" t="s">
        <v>1057</v>
      </c>
      <c r="I461" s="12" t="s">
        <v>1039</v>
      </c>
      <c r="J461" s="10" t="s">
        <v>1030</v>
      </c>
      <c r="K461" s="10" t="s">
        <v>1031</v>
      </c>
      <c r="L461" s="10" t="s">
        <v>1247</v>
      </c>
      <c r="M461" s="12" t="s">
        <v>114</v>
      </c>
      <c r="N461" s="14" t="s">
        <v>1035</v>
      </c>
    </row>
    <row r="462" spans="1:14" x14ac:dyDescent="0.25">
      <c r="A462" s="9" t="s">
        <v>741</v>
      </c>
      <c r="B462" s="10" t="s">
        <v>1004</v>
      </c>
      <c r="C462" s="10">
        <v>2019</v>
      </c>
      <c r="D462" s="11" t="s">
        <v>2062</v>
      </c>
      <c r="E462" s="10" t="s">
        <v>1631</v>
      </c>
      <c r="F462" s="11" t="s">
        <v>605</v>
      </c>
      <c r="G462" s="10" t="s">
        <v>2266</v>
      </c>
      <c r="H462" s="10" t="s">
        <v>2340</v>
      </c>
      <c r="I462" s="12" t="s">
        <v>1039</v>
      </c>
      <c r="J462" s="10" t="s">
        <v>1030</v>
      </c>
      <c r="K462" s="10" t="s">
        <v>1031</v>
      </c>
      <c r="L462" s="10" t="s">
        <v>1247</v>
      </c>
      <c r="M462" s="10" t="s">
        <v>1093</v>
      </c>
      <c r="N462" s="14" t="s">
        <v>1035</v>
      </c>
    </row>
    <row r="463" spans="1:14" x14ac:dyDescent="0.25">
      <c r="A463" s="9" t="s">
        <v>604</v>
      </c>
      <c r="B463" s="10" t="s">
        <v>917</v>
      </c>
      <c r="C463" s="10">
        <v>2011</v>
      </c>
      <c r="D463" s="11" t="s">
        <v>1924</v>
      </c>
      <c r="E463" s="10" t="s">
        <v>1631</v>
      </c>
      <c r="F463" s="11" t="s">
        <v>605</v>
      </c>
      <c r="G463" s="10" t="s">
        <v>2266</v>
      </c>
      <c r="H463" s="10" t="s">
        <v>2331</v>
      </c>
      <c r="I463" s="12" t="s">
        <v>1029</v>
      </c>
      <c r="J463" s="10" t="s">
        <v>1030</v>
      </c>
      <c r="K463" s="10" t="s">
        <v>1031</v>
      </c>
      <c r="L463" s="12" t="s">
        <v>1042</v>
      </c>
      <c r="M463" s="12" t="s">
        <v>114</v>
      </c>
      <c r="N463" s="14" t="s">
        <v>1035</v>
      </c>
    </row>
    <row r="464" spans="1:14" x14ac:dyDescent="0.25">
      <c r="A464" s="9" t="s">
        <v>767</v>
      </c>
      <c r="B464" s="10" t="s">
        <v>1013</v>
      </c>
      <c r="C464" s="10">
        <v>2019</v>
      </c>
      <c r="D464" s="11" t="s">
        <v>1650</v>
      </c>
      <c r="E464" s="10" t="s">
        <v>1631</v>
      </c>
      <c r="F464" s="11" t="s">
        <v>766</v>
      </c>
      <c r="G464" s="10" t="s">
        <v>1164</v>
      </c>
      <c r="H464" s="10" t="s">
        <v>2341</v>
      </c>
      <c r="I464" s="12" t="s">
        <v>1029</v>
      </c>
      <c r="J464" s="12" t="s">
        <v>1030</v>
      </c>
      <c r="K464" s="10" t="s">
        <v>1031</v>
      </c>
      <c r="L464" s="10" t="s">
        <v>1032</v>
      </c>
      <c r="M464" s="12" t="s">
        <v>1055</v>
      </c>
      <c r="N464" s="14" t="s">
        <v>1035</v>
      </c>
    </row>
    <row r="465" spans="1:14" x14ac:dyDescent="0.25">
      <c r="A465" s="9" t="s">
        <v>765</v>
      </c>
      <c r="B465" s="10" t="s">
        <v>1012</v>
      </c>
      <c r="C465" s="10">
        <v>2019</v>
      </c>
      <c r="D465" s="11" t="s">
        <v>1649</v>
      </c>
      <c r="E465" s="10" t="s">
        <v>1631</v>
      </c>
      <c r="F465" s="11" t="s">
        <v>766</v>
      </c>
      <c r="G465" s="10" t="s">
        <v>2275</v>
      </c>
      <c r="H465" s="10" t="s">
        <v>2341</v>
      </c>
      <c r="I465" s="12" t="s">
        <v>1029</v>
      </c>
      <c r="J465" s="12" t="s">
        <v>1030</v>
      </c>
      <c r="K465" s="10" t="s">
        <v>1031</v>
      </c>
      <c r="L465" s="10" t="s">
        <v>1032</v>
      </c>
      <c r="M465" s="10" t="s">
        <v>1140</v>
      </c>
      <c r="N465" s="14" t="s">
        <v>1035</v>
      </c>
    </row>
    <row r="466" spans="1:14" x14ac:dyDescent="0.25">
      <c r="A466" s="9" t="s">
        <v>1410</v>
      </c>
      <c r="B466" s="10" t="s">
        <v>1411</v>
      </c>
      <c r="C466" s="10">
        <v>2017</v>
      </c>
      <c r="D466" s="11" t="s">
        <v>2172</v>
      </c>
      <c r="E466" s="10" t="s">
        <v>1631</v>
      </c>
      <c r="F466" s="11" t="s">
        <v>766</v>
      </c>
      <c r="G466" s="10" t="s">
        <v>2275</v>
      </c>
      <c r="H466" s="10" t="s">
        <v>2326</v>
      </c>
      <c r="I466" s="10" t="s">
        <v>1039</v>
      </c>
      <c r="J466" s="10" t="s">
        <v>1030</v>
      </c>
      <c r="K466" s="12" t="s">
        <v>1037</v>
      </c>
      <c r="L466" s="10" t="s">
        <v>1247</v>
      </c>
      <c r="M466" s="10" t="s">
        <v>1412</v>
      </c>
      <c r="N466" s="13" t="s">
        <v>1035</v>
      </c>
    </row>
    <row r="467" spans="1:14" x14ac:dyDescent="0.25">
      <c r="A467" s="9" t="s">
        <v>1422</v>
      </c>
      <c r="B467" s="10" t="s">
        <v>1423</v>
      </c>
      <c r="C467" s="10">
        <v>2020</v>
      </c>
      <c r="D467" s="11" t="s">
        <v>2177</v>
      </c>
      <c r="E467" s="10" t="s">
        <v>1631</v>
      </c>
      <c r="F467" s="11" t="s">
        <v>766</v>
      </c>
      <c r="G467" s="10" t="s">
        <v>2266</v>
      </c>
      <c r="H467" s="10" t="s">
        <v>2411</v>
      </c>
      <c r="I467" s="10" t="s">
        <v>1039</v>
      </c>
      <c r="J467" s="10" t="s">
        <v>1030</v>
      </c>
      <c r="K467" s="10" t="s">
        <v>1031</v>
      </c>
      <c r="L467" s="10" t="s">
        <v>1247</v>
      </c>
      <c r="M467" s="10" t="s">
        <v>114</v>
      </c>
      <c r="N467" s="13" t="s">
        <v>1035</v>
      </c>
    </row>
    <row r="468" spans="1:14" x14ac:dyDescent="0.25">
      <c r="A468" s="9" t="s">
        <v>768</v>
      </c>
      <c r="B468" s="10" t="s">
        <v>1014</v>
      </c>
      <c r="C468" s="10">
        <v>2019</v>
      </c>
      <c r="D468" s="11" t="s">
        <v>1662</v>
      </c>
      <c r="E468" s="10" t="s">
        <v>1631</v>
      </c>
      <c r="F468" s="11" t="s">
        <v>769</v>
      </c>
      <c r="G468" s="10" t="s">
        <v>2266</v>
      </c>
      <c r="H468" s="10" t="s">
        <v>2326</v>
      </c>
      <c r="I468" s="12" t="s">
        <v>1029</v>
      </c>
      <c r="J468" s="12" t="s">
        <v>1040</v>
      </c>
      <c r="K468" s="10" t="s">
        <v>1031</v>
      </c>
      <c r="L468" s="10" t="s">
        <v>1032</v>
      </c>
      <c r="M468" s="10" t="s">
        <v>1141</v>
      </c>
      <c r="N468" s="14" t="s">
        <v>1035</v>
      </c>
    </row>
    <row r="469" spans="1:14" x14ac:dyDescent="0.25">
      <c r="A469" s="9" t="s">
        <v>615</v>
      </c>
      <c r="B469" s="10" t="s">
        <v>923</v>
      </c>
      <c r="C469" s="10">
        <v>2012</v>
      </c>
      <c r="D469" s="11" t="s">
        <v>1890</v>
      </c>
      <c r="E469" s="10" t="s">
        <v>1631</v>
      </c>
      <c r="F469" s="11" t="s">
        <v>616</v>
      </c>
      <c r="G469" s="10" t="s">
        <v>2267</v>
      </c>
      <c r="H469" s="10" t="s">
        <v>1057</v>
      </c>
      <c r="I469" s="12" t="s">
        <v>1029</v>
      </c>
      <c r="J469" s="10" t="s">
        <v>1069</v>
      </c>
      <c r="K469" s="10" t="s">
        <v>1031</v>
      </c>
      <c r="L469" s="10" t="s">
        <v>1032</v>
      </c>
      <c r="M469" s="10" t="s">
        <v>1070</v>
      </c>
      <c r="N469" s="14" t="s">
        <v>1035</v>
      </c>
    </row>
    <row r="470" spans="1:14" x14ac:dyDescent="0.25">
      <c r="A470" s="9" t="s">
        <v>1392</v>
      </c>
      <c r="B470" s="10" t="s">
        <v>1393</v>
      </c>
      <c r="C470" s="10">
        <v>2014</v>
      </c>
      <c r="D470" s="11" t="s">
        <v>2165</v>
      </c>
      <c r="E470" s="10" t="s">
        <v>1631</v>
      </c>
      <c r="F470" s="11" t="s">
        <v>2312</v>
      </c>
      <c r="G470" s="10" t="s">
        <v>2298</v>
      </c>
      <c r="H470" s="10" t="s">
        <v>2326</v>
      </c>
      <c r="I470" s="10" t="s">
        <v>1039</v>
      </c>
      <c r="J470" s="10" t="s">
        <v>1040</v>
      </c>
      <c r="K470" s="12" t="s">
        <v>1037</v>
      </c>
      <c r="L470" s="10" t="s">
        <v>1247</v>
      </c>
      <c r="M470" s="10" t="s">
        <v>1394</v>
      </c>
      <c r="N470" s="13" t="s">
        <v>1035</v>
      </c>
    </row>
    <row r="471" spans="1:14" x14ac:dyDescent="0.25">
      <c r="A471" s="9" t="s">
        <v>657</v>
      </c>
      <c r="B471" s="10" t="s">
        <v>945</v>
      </c>
      <c r="C471" s="12">
        <v>2014</v>
      </c>
      <c r="D471" s="11" t="s">
        <v>1795</v>
      </c>
      <c r="E471" s="10" t="s">
        <v>1631</v>
      </c>
      <c r="F471" s="11" t="s">
        <v>658</v>
      </c>
      <c r="G471" s="12" t="s">
        <v>1110</v>
      </c>
      <c r="H471" s="10" t="s">
        <v>2331</v>
      </c>
      <c r="I471" s="10" t="s">
        <v>1493</v>
      </c>
      <c r="J471" s="10" t="s">
        <v>1040</v>
      </c>
      <c r="K471" s="10" t="s">
        <v>1031</v>
      </c>
      <c r="L471" s="10" t="s">
        <v>1042</v>
      </c>
      <c r="M471" s="12" t="s">
        <v>114</v>
      </c>
      <c r="N471" s="13" t="s">
        <v>1041</v>
      </c>
    </row>
    <row r="472" spans="1:14" x14ac:dyDescent="0.25">
      <c r="A472" s="9" t="s">
        <v>796</v>
      </c>
      <c r="B472" s="10" t="s">
        <v>797</v>
      </c>
      <c r="C472" s="10">
        <v>2022</v>
      </c>
      <c r="D472" s="11" t="s">
        <v>1969</v>
      </c>
      <c r="E472" s="10" t="s">
        <v>1631</v>
      </c>
      <c r="F472" s="11" t="s">
        <v>2388</v>
      </c>
      <c r="G472" s="10" t="s">
        <v>1028</v>
      </c>
      <c r="H472" s="10" t="s">
        <v>1646</v>
      </c>
      <c r="I472" s="12" t="s">
        <v>1039</v>
      </c>
      <c r="J472" s="10" t="s">
        <v>1030</v>
      </c>
      <c r="K472" s="10" t="s">
        <v>1031</v>
      </c>
      <c r="L472" s="10" t="s">
        <v>1247</v>
      </c>
      <c r="M472" s="10"/>
      <c r="N472" s="13" t="s">
        <v>1041</v>
      </c>
    </row>
    <row r="473" spans="1:14" x14ac:dyDescent="0.25">
      <c r="A473" s="9" t="s">
        <v>794</v>
      </c>
      <c r="B473" s="10" t="s">
        <v>795</v>
      </c>
      <c r="C473" s="10">
        <v>2021</v>
      </c>
      <c r="D473" s="11" t="s">
        <v>1969</v>
      </c>
      <c r="E473" s="10" t="s">
        <v>1631</v>
      </c>
      <c r="F473" s="11" t="s">
        <v>2388</v>
      </c>
      <c r="G473" s="12" t="s">
        <v>1028</v>
      </c>
      <c r="H473" s="10" t="s">
        <v>1168</v>
      </c>
      <c r="I473" s="12" t="s">
        <v>1039</v>
      </c>
      <c r="J473" s="10" t="s">
        <v>1030</v>
      </c>
      <c r="K473" s="10" t="s">
        <v>1031</v>
      </c>
      <c r="L473" s="10" t="s">
        <v>1247</v>
      </c>
      <c r="M473" s="10"/>
      <c r="N473" s="13" t="s">
        <v>1041</v>
      </c>
    </row>
    <row r="474" spans="1:14" x14ac:dyDescent="0.25">
      <c r="A474" s="9" t="s">
        <v>635</v>
      </c>
      <c r="B474" s="10" t="s">
        <v>636</v>
      </c>
      <c r="C474" s="10">
        <v>2013</v>
      </c>
      <c r="D474" s="11" t="s">
        <v>1731</v>
      </c>
      <c r="E474" s="10" t="s">
        <v>1631</v>
      </c>
      <c r="F474" s="11" t="s">
        <v>582</v>
      </c>
      <c r="G474" s="10" t="s">
        <v>2266</v>
      </c>
      <c r="H474" s="10" t="s">
        <v>2324</v>
      </c>
      <c r="I474" s="12" t="s">
        <v>1029</v>
      </c>
      <c r="J474" s="12" t="s">
        <v>1030</v>
      </c>
      <c r="K474" s="10" t="s">
        <v>1031</v>
      </c>
      <c r="L474" s="10" t="s">
        <v>1032</v>
      </c>
      <c r="M474" s="12" t="s">
        <v>1055</v>
      </c>
      <c r="N474" s="14" t="s">
        <v>1035</v>
      </c>
    </row>
    <row r="475" spans="1:14" x14ac:dyDescent="0.25">
      <c r="A475" s="9" t="s">
        <v>580</v>
      </c>
      <c r="B475" s="10" t="s">
        <v>581</v>
      </c>
      <c r="C475" s="10">
        <v>2009</v>
      </c>
      <c r="D475" s="11" t="s">
        <v>2051</v>
      </c>
      <c r="E475" s="10" t="s">
        <v>1631</v>
      </c>
      <c r="F475" s="11" t="s">
        <v>582</v>
      </c>
      <c r="G475" s="10" t="s">
        <v>1054</v>
      </c>
      <c r="H475" s="10" t="s">
        <v>2326</v>
      </c>
      <c r="I475" s="12" t="s">
        <v>1039</v>
      </c>
      <c r="J475" s="10" t="s">
        <v>1036</v>
      </c>
      <c r="K475" s="10" t="s">
        <v>1031</v>
      </c>
      <c r="L475" s="10" t="s">
        <v>1247</v>
      </c>
      <c r="M475" s="12" t="s">
        <v>114</v>
      </c>
      <c r="N475" s="13" t="s">
        <v>1041</v>
      </c>
    </row>
    <row r="476" spans="1:14" x14ac:dyDescent="0.25">
      <c r="A476" s="9" t="s">
        <v>719</v>
      </c>
      <c r="B476" s="10" t="s">
        <v>720</v>
      </c>
      <c r="C476" s="10">
        <v>2017</v>
      </c>
      <c r="D476" s="11" t="s">
        <v>1776</v>
      </c>
      <c r="E476" s="10" t="s">
        <v>1631</v>
      </c>
      <c r="F476" s="11" t="s">
        <v>582</v>
      </c>
      <c r="G476" s="10" t="s">
        <v>2266</v>
      </c>
      <c r="H476" s="10" t="s">
        <v>2326</v>
      </c>
      <c r="I476" s="12" t="s">
        <v>1029</v>
      </c>
      <c r="J476" s="10" t="s">
        <v>1030</v>
      </c>
      <c r="K476" s="10" t="s">
        <v>1031</v>
      </c>
      <c r="L476" s="10" t="s">
        <v>1042</v>
      </c>
      <c r="M476" s="10" t="s">
        <v>1090</v>
      </c>
      <c r="N476" s="14" t="s">
        <v>1035</v>
      </c>
    </row>
    <row r="477" spans="1:14" x14ac:dyDescent="0.25">
      <c r="A477" s="9" t="s">
        <v>629</v>
      </c>
      <c r="B477" s="10" t="s">
        <v>630</v>
      </c>
      <c r="C477" s="10">
        <v>2013</v>
      </c>
      <c r="D477" s="11" t="s">
        <v>1821</v>
      </c>
      <c r="E477" s="10" t="s">
        <v>1631</v>
      </c>
      <c r="F477" s="11" t="s">
        <v>582</v>
      </c>
      <c r="G477" s="12" t="s">
        <v>1028</v>
      </c>
      <c r="H477" s="10" t="s">
        <v>2326</v>
      </c>
      <c r="I477" s="12" t="s">
        <v>1029</v>
      </c>
      <c r="J477" s="10" t="s">
        <v>1040</v>
      </c>
      <c r="K477" s="10" t="s">
        <v>1031</v>
      </c>
      <c r="L477" s="10" t="s">
        <v>1032</v>
      </c>
      <c r="M477" s="12" t="s">
        <v>114</v>
      </c>
      <c r="N477" s="14" t="s">
        <v>1035</v>
      </c>
    </row>
    <row r="478" spans="1:14" x14ac:dyDescent="0.25">
      <c r="A478" s="9" t="s">
        <v>598</v>
      </c>
      <c r="B478" s="10" t="s">
        <v>599</v>
      </c>
      <c r="C478" s="10">
        <v>2011</v>
      </c>
      <c r="D478" s="11" t="s">
        <v>1804</v>
      </c>
      <c r="E478" s="10" t="s">
        <v>1631</v>
      </c>
      <c r="F478" s="11" t="s">
        <v>582</v>
      </c>
      <c r="G478" s="12" t="s">
        <v>1173</v>
      </c>
      <c r="H478" s="10" t="s">
        <v>2326</v>
      </c>
      <c r="I478" s="12" t="s">
        <v>1039</v>
      </c>
      <c r="J478" s="10" t="s">
        <v>1040</v>
      </c>
      <c r="K478" s="10" t="s">
        <v>1031</v>
      </c>
      <c r="L478" s="10" t="s">
        <v>1032</v>
      </c>
      <c r="M478" s="12" t="s">
        <v>114</v>
      </c>
      <c r="N478" s="14" t="s">
        <v>1035</v>
      </c>
    </row>
    <row r="479" spans="1:14" ht="25.5" x14ac:dyDescent="0.25">
      <c r="A479" s="9" t="s">
        <v>611</v>
      </c>
      <c r="B479" s="10" t="s">
        <v>612</v>
      </c>
      <c r="C479" s="10">
        <v>2012</v>
      </c>
      <c r="D479" s="11" t="s">
        <v>1737</v>
      </c>
      <c r="E479" s="10" t="s">
        <v>1631</v>
      </c>
      <c r="F479" s="11" t="s">
        <v>582</v>
      </c>
      <c r="G479" s="10" t="s">
        <v>1054</v>
      </c>
      <c r="H479" s="10" t="s">
        <v>1161</v>
      </c>
      <c r="I479" s="12" t="s">
        <v>1039</v>
      </c>
      <c r="J479" s="12" t="s">
        <v>1688</v>
      </c>
      <c r="K479" s="12" t="s">
        <v>1037</v>
      </c>
      <c r="L479" s="10" t="s">
        <v>1247</v>
      </c>
      <c r="M479" s="12" t="s">
        <v>114</v>
      </c>
      <c r="N479" s="13" t="s">
        <v>1041</v>
      </c>
    </row>
    <row r="480" spans="1:14" x14ac:dyDescent="0.25">
      <c r="A480" s="9" t="s">
        <v>733</v>
      </c>
      <c r="B480" s="10" t="s">
        <v>734</v>
      </c>
      <c r="C480" s="10">
        <v>2018</v>
      </c>
      <c r="D480" s="11" t="s">
        <v>1871</v>
      </c>
      <c r="E480" s="10" t="s">
        <v>1631</v>
      </c>
      <c r="F480" s="11" t="s">
        <v>582</v>
      </c>
      <c r="G480" s="10" t="s">
        <v>2275</v>
      </c>
      <c r="H480" s="10" t="s">
        <v>1161</v>
      </c>
      <c r="I480" s="12" t="s">
        <v>1039</v>
      </c>
      <c r="J480" s="10" t="s">
        <v>1030</v>
      </c>
      <c r="K480" s="10" t="s">
        <v>1031</v>
      </c>
      <c r="L480" s="10" t="s">
        <v>1032</v>
      </c>
      <c r="M480" s="10" t="s">
        <v>1123</v>
      </c>
      <c r="N480" s="14" t="s">
        <v>1035</v>
      </c>
    </row>
    <row r="481" spans="1:14" x14ac:dyDescent="0.25">
      <c r="A481" s="9" t="s">
        <v>589</v>
      </c>
      <c r="B481" s="10" t="s">
        <v>590</v>
      </c>
      <c r="C481" s="10">
        <v>2010</v>
      </c>
      <c r="D481" s="11" t="s">
        <v>2027</v>
      </c>
      <c r="E481" s="10" t="s">
        <v>1631</v>
      </c>
      <c r="F481" s="11" t="s">
        <v>582</v>
      </c>
      <c r="G481" s="10" t="s">
        <v>1054</v>
      </c>
      <c r="H481" s="10" t="s">
        <v>1166</v>
      </c>
      <c r="I481" s="12" t="s">
        <v>1029</v>
      </c>
      <c r="J481" s="10" t="s">
        <v>1036</v>
      </c>
      <c r="K481" s="10" t="s">
        <v>1031</v>
      </c>
      <c r="L481" s="10" t="s">
        <v>1247</v>
      </c>
      <c r="M481" s="10" t="s">
        <v>1214</v>
      </c>
      <c r="N481" s="14" t="s">
        <v>1035</v>
      </c>
    </row>
    <row r="482" spans="1:14" x14ac:dyDescent="0.25">
      <c r="A482" s="9" t="s">
        <v>690</v>
      </c>
      <c r="B482" s="10" t="s">
        <v>691</v>
      </c>
      <c r="C482" s="10">
        <v>2015</v>
      </c>
      <c r="D482" s="11" t="s">
        <v>1887</v>
      </c>
      <c r="E482" s="10" t="s">
        <v>1631</v>
      </c>
      <c r="F482" s="11" t="s">
        <v>582</v>
      </c>
      <c r="G482" s="10" t="s">
        <v>1054</v>
      </c>
      <c r="H482" s="10" t="s">
        <v>1057</v>
      </c>
      <c r="I482" s="12" t="s">
        <v>1029</v>
      </c>
      <c r="J482" s="10" t="s">
        <v>1030</v>
      </c>
      <c r="K482" s="10" t="s">
        <v>1031</v>
      </c>
      <c r="L482" s="10" t="s">
        <v>1247</v>
      </c>
      <c r="M482" s="12" t="s">
        <v>114</v>
      </c>
      <c r="N482" s="14" t="s">
        <v>1035</v>
      </c>
    </row>
    <row r="483" spans="1:14" x14ac:dyDescent="0.25">
      <c r="A483" s="9" t="s">
        <v>707</v>
      </c>
      <c r="B483" s="10" t="s">
        <v>708</v>
      </c>
      <c r="C483" s="10">
        <v>2016</v>
      </c>
      <c r="D483" s="11" t="s">
        <v>1954</v>
      </c>
      <c r="E483" s="10" t="s">
        <v>1631</v>
      </c>
      <c r="F483" s="11" t="s">
        <v>582</v>
      </c>
      <c r="G483" s="10" t="s">
        <v>1054</v>
      </c>
      <c r="H483" s="10" t="s">
        <v>1057</v>
      </c>
      <c r="I483" s="12" t="s">
        <v>1029</v>
      </c>
      <c r="J483" s="10" t="s">
        <v>1030</v>
      </c>
      <c r="K483" s="10" t="s">
        <v>1031</v>
      </c>
      <c r="L483" s="10" t="s">
        <v>1247</v>
      </c>
      <c r="M483" s="12" t="s">
        <v>1055</v>
      </c>
      <c r="N483" s="14" t="s">
        <v>1035</v>
      </c>
    </row>
    <row r="484" spans="1:14" x14ac:dyDescent="0.25">
      <c r="A484" s="9" t="s">
        <v>661</v>
      </c>
      <c r="B484" s="10" t="s">
        <v>662</v>
      </c>
      <c r="C484" s="10">
        <v>2014</v>
      </c>
      <c r="D484" s="11" t="s">
        <v>1950</v>
      </c>
      <c r="E484" s="10" t="s">
        <v>1631</v>
      </c>
      <c r="F484" s="11" t="s">
        <v>582</v>
      </c>
      <c r="G484" s="10" t="s">
        <v>1054</v>
      </c>
      <c r="H484" s="10" t="s">
        <v>1057</v>
      </c>
      <c r="I484" s="12" t="s">
        <v>1039</v>
      </c>
      <c r="J484" s="10" t="s">
        <v>1030</v>
      </c>
      <c r="K484" s="10" t="s">
        <v>1031</v>
      </c>
      <c r="L484" s="10" t="s">
        <v>1032</v>
      </c>
      <c r="M484" s="10" t="s">
        <v>1191</v>
      </c>
      <c r="N484" s="14" t="s">
        <v>1035</v>
      </c>
    </row>
    <row r="485" spans="1:14" x14ac:dyDescent="0.25">
      <c r="A485" s="9" t="s">
        <v>632</v>
      </c>
      <c r="B485" s="10" t="s">
        <v>633</v>
      </c>
      <c r="C485" s="10">
        <v>2013</v>
      </c>
      <c r="D485" s="11" t="s">
        <v>1948</v>
      </c>
      <c r="E485" s="10" t="s">
        <v>1631</v>
      </c>
      <c r="F485" s="11" t="s">
        <v>582</v>
      </c>
      <c r="G485" s="10" t="s">
        <v>1054</v>
      </c>
      <c r="H485" s="10" t="s">
        <v>1057</v>
      </c>
      <c r="I485" s="12" t="s">
        <v>1039</v>
      </c>
      <c r="J485" s="10" t="s">
        <v>1040</v>
      </c>
      <c r="K485" s="10" t="s">
        <v>1031</v>
      </c>
      <c r="L485" s="10" t="s">
        <v>1032</v>
      </c>
      <c r="M485" s="12" t="s">
        <v>114</v>
      </c>
      <c r="N485" s="13" t="s">
        <v>1041</v>
      </c>
    </row>
    <row r="486" spans="1:14" x14ac:dyDescent="0.25">
      <c r="A486" s="9" t="s">
        <v>715</v>
      </c>
      <c r="B486" s="10" t="s">
        <v>716</v>
      </c>
      <c r="C486" s="12">
        <v>2017</v>
      </c>
      <c r="D486" s="11" t="s">
        <v>1743</v>
      </c>
      <c r="E486" s="10" t="s">
        <v>1631</v>
      </c>
      <c r="F486" s="11" t="s">
        <v>582</v>
      </c>
      <c r="G486" s="12" t="s">
        <v>1028</v>
      </c>
      <c r="H486" s="10" t="s">
        <v>1057</v>
      </c>
      <c r="I486" s="12" t="s">
        <v>1039</v>
      </c>
      <c r="J486" s="12" t="s">
        <v>1040</v>
      </c>
      <c r="K486" s="10" t="s">
        <v>1031</v>
      </c>
      <c r="L486" s="10" t="s">
        <v>1032</v>
      </c>
      <c r="M486" s="12" t="s">
        <v>114</v>
      </c>
      <c r="N486" s="13" t="s">
        <v>1041</v>
      </c>
    </row>
    <row r="487" spans="1:14" x14ac:dyDescent="0.25">
      <c r="A487" s="9" t="s">
        <v>717</v>
      </c>
      <c r="B487" s="10" t="s">
        <v>718</v>
      </c>
      <c r="C487" s="10">
        <v>2017</v>
      </c>
      <c r="D487" s="11" t="s">
        <v>1709</v>
      </c>
      <c r="E487" s="10" t="s">
        <v>1631</v>
      </c>
      <c r="F487" s="11" t="s">
        <v>582</v>
      </c>
      <c r="G487" s="10" t="s">
        <v>1054</v>
      </c>
      <c r="H487" s="10" t="s">
        <v>1060</v>
      </c>
      <c r="I487" s="12" t="s">
        <v>1029</v>
      </c>
      <c r="J487" s="10" t="s">
        <v>1040</v>
      </c>
      <c r="K487" s="10" t="s">
        <v>1031</v>
      </c>
      <c r="L487" s="10" t="s">
        <v>1247</v>
      </c>
      <c r="M487" s="12" t="s">
        <v>114</v>
      </c>
      <c r="N487" s="13" t="s">
        <v>1041</v>
      </c>
    </row>
    <row r="488" spans="1:14" ht="25.5" x14ac:dyDescent="0.25">
      <c r="A488" s="9" t="s">
        <v>639</v>
      </c>
      <c r="B488" s="10" t="s">
        <v>640</v>
      </c>
      <c r="C488" s="10">
        <v>2013</v>
      </c>
      <c r="D488" s="11" t="s">
        <v>1737</v>
      </c>
      <c r="E488" s="10" t="s">
        <v>1631</v>
      </c>
      <c r="F488" s="11" t="s">
        <v>582</v>
      </c>
      <c r="G488" s="10" t="s">
        <v>1054</v>
      </c>
      <c r="H488" s="10" t="s">
        <v>1178</v>
      </c>
      <c r="I488" s="12" t="s">
        <v>1039</v>
      </c>
      <c r="J488" s="12" t="s">
        <v>1688</v>
      </c>
      <c r="K488" s="10" t="s">
        <v>1031</v>
      </c>
      <c r="L488" s="10" t="s">
        <v>1247</v>
      </c>
      <c r="M488" s="10" t="s">
        <v>1091</v>
      </c>
      <c r="N488" s="14" t="s">
        <v>1035</v>
      </c>
    </row>
    <row r="489" spans="1:14" x14ac:dyDescent="0.25">
      <c r="A489" s="9" t="s">
        <v>702</v>
      </c>
      <c r="B489" s="10" t="s">
        <v>703</v>
      </c>
      <c r="C489" s="10">
        <v>2016</v>
      </c>
      <c r="D489" s="11" t="s">
        <v>2056</v>
      </c>
      <c r="E489" s="10" t="s">
        <v>1631</v>
      </c>
      <c r="F489" s="11" t="s">
        <v>582</v>
      </c>
      <c r="G489" s="12" t="s">
        <v>1094</v>
      </c>
      <c r="H489" s="10" t="s">
        <v>1229</v>
      </c>
      <c r="I489" s="12" t="s">
        <v>1029</v>
      </c>
      <c r="J489" s="10" t="s">
        <v>1040</v>
      </c>
      <c r="K489" s="10" t="s">
        <v>1031</v>
      </c>
      <c r="L489" s="10" t="s">
        <v>1247</v>
      </c>
      <c r="M489" s="12" t="s">
        <v>114</v>
      </c>
      <c r="N489" s="14" t="s">
        <v>1035</v>
      </c>
    </row>
    <row r="490" spans="1:14" ht="25.5" x14ac:dyDescent="0.25">
      <c r="A490" s="9" t="s">
        <v>619</v>
      </c>
      <c r="B490" s="10" t="s">
        <v>620</v>
      </c>
      <c r="C490" s="10">
        <v>2012</v>
      </c>
      <c r="D490" s="11" t="s">
        <v>1737</v>
      </c>
      <c r="E490" s="10" t="s">
        <v>1631</v>
      </c>
      <c r="F490" s="11" t="s">
        <v>582</v>
      </c>
      <c r="G490" s="10" t="s">
        <v>1054</v>
      </c>
      <c r="H490" s="10" t="s">
        <v>2323</v>
      </c>
      <c r="I490" s="12" t="s">
        <v>1039</v>
      </c>
      <c r="J490" s="12" t="s">
        <v>1688</v>
      </c>
      <c r="K490" s="10" t="s">
        <v>1031</v>
      </c>
      <c r="L490" s="10" t="s">
        <v>1247</v>
      </c>
      <c r="M490" s="10" t="s">
        <v>1096</v>
      </c>
      <c r="N490" s="14" t="s">
        <v>1035</v>
      </c>
    </row>
    <row r="491" spans="1:14" ht="51" x14ac:dyDescent="0.25">
      <c r="A491" s="9" t="s">
        <v>609</v>
      </c>
      <c r="B491" s="10" t="s">
        <v>610</v>
      </c>
      <c r="C491" s="12">
        <v>2012</v>
      </c>
      <c r="D491" s="11" t="s">
        <v>1713</v>
      </c>
      <c r="E491" s="10" t="s">
        <v>1631</v>
      </c>
      <c r="F491" s="50" t="s">
        <v>582</v>
      </c>
      <c r="G491" s="12" t="s">
        <v>1028</v>
      </c>
      <c r="H491" s="10" t="s">
        <v>2320</v>
      </c>
      <c r="I491" s="12" t="s">
        <v>1029</v>
      </c>
      <c r="J491" s="12" t="s">
        <v>1030</v>
      </c>
      <c r="K491" s="10" t="s">
        <v>1031</v>
      </c>
      <c r="L491" s="12" t="s">
        <v>1042</v>
      </c>
      <c r="M491" s="12" t="s">
        <v>1043</v>
      </c>
      <c r="N491" s="13" t="s">
        <v>1034</v>
      </c>
    </row>
    <row r="492" spans="1:14" x14ac:dyDescent="0.25">
      <c r="A492" s="9" t="s">
        <v>587</v>
      </c>
      <c r="B492" s="10" t="s">
        <v>588</v>
      </c>
      <c r="C492" s="10">
        <v>2010</v>
      </c>
      <c r="D492" s="11" t="s">
        <v>1916</v>
      </c>
      <c r="E492" s="10" t="s">
        <v>1631</v>
      </c>
      <c r="F492" s="11" t="s">
        <v>582</v>
      </c>
      <c r="G492" s="10" t="s">
        <v>1181</v>
      </c>
      <c r="H492" s="10" t="s">
        <v>2333</v>
      </c>
      <c r="I492" s="12" t="s">
        <v>1039</v>
      </c>
      <c r="J492" s="10" t="s">
        <v>1036</v>
      </c>
      <c r="K492" s="10" t="s">
        <v>1031</v>
      </c>
      <c r="L492" s="10" t="s">
        <v>1247</v>
      </c>
      <c r="M492" s="12" t="s">
        <v>114</v>
      </c>
      <c r="N492" s="14" t="s">
        <v>1035</v>
      </c>
    </row>
    <row r="493" spans="1:14" x14ac:dyDescent="0.25">
      <c r="A493" s="9" t="s">
        <v>621</v>
      </c>
      <c r="B493" s="10" t="s">
        <v>926</v>
      </c>
      <c r="C493" s="10">
        <v>2012</v>
      </c>
      <c r="D493" s="11" t="s">
        <v>1788</v>
      </c>
      <c r="E493" s="10" t="s">
        <v>1631</v>
      </c>
      <c r="F493" s="11" t="s">
        <v>622</v>
      </c>
      <c r="G493" s="10" t="s">
        <v>1094</v>
      </c>
      <c r="H493" s="10" t="s">
        <v>2326</v>
      </c>
      <c r="I493" s="12" t="s">
        <v>1029</v>
      </c>
      <c r="J493" s="10" t="s">
        <v>1040</v>
      </c>
      <c r="K493" s="10" t="s">
        <v>1031</v>
      </c>
      <c r="L493" s="10" t="s">
        <v>1032</v>
      </c>
      <c r="M493" s="10" t="s">
        <v>1100</v>
      </c>
      <c r="N493" s="13" t="s">
        <v>1034</v>
      </c>
    </row>
    <row r="494" spans="1:14" x14ac:dyDescent="0.25">
      <c r="A494" s="9" t="s">
        <v>712</v>
      </c>
      <c r="B494" s="10" t="s">
        <v>989</v>
      </c>
      <c r="C494" s="10">
        <v>2016</v>
      </c>
      <c r="D494" s="11" t="s">
        <v>1796</v>
      </c>
      <c r="E494" s="10" t="s">
        <v>1631</v>
      </c>
      <c r="F494" s="11" t="s">
        <v>694</v>
      </c>
      <c r="G494" s="10" t="s">
        <v>2294</v>
      </c>
      <c r="H494" s="10" t="s">
        <v>2326</v>
      </c>
      <c r="I494" s="12" t="s">
        <v>1029</v>
      </c>
      <c r="J494" s="10" t="s">
        <v>1069</v>
      </c>
      <c r="K494" s="12" t="s">
        <v>1037</v>
      </c>
      <c r="L494" s="10" t="s">
        <v>1032</v>
      </c>
      <c r="M494" s="12" t="s">
        <v>114</v>
      </c>
      <c r="N494" s="14" t="s">
        <v>1035</v>
      </c>
    </row>
    <row r="495" spans="1:14" x14ac:dyDescent="0.25">
      <c r="A495" s="9" t="s">
        <v>725</v>
      </c>
      <c r="B495" s="10" t="s">
        <v>726</v>
      </c>
      <c r="C495" s="10">
        <v>2017</v>
      </c>
      <c r="D495" s="11" t="s">
        <v>1707</v>
      </c>
      <c r="E495" s="28" t="s">
        <v>1631</v>
      </c>
      <c r="F495" s="11" t="s">
        <v>727</v>
      </c>
      <c r="G495" s="10" t="s">
        <v>2266</v>
      </c>
      <c r="H495" s="10" t="s">
        <v>2326</v>
      </c>
      <c r="I495" s="12" t="s">
        <v>1039</v>
      </c>
      <c r="J495" s="10" t="s">
        <v>1036</v>
      </c>
      <c r="K495" s="12" t="s">
        <v>1037</v>
      </c>
      <c r="L495" s="10" t="s">
        <v>1032</v>
      </c>
      <c r="M495" s="10" t="s">
        <v>1082</v>
      </c>
      <c r="N495" s="14" t="s">
        <v>1035</v>
      </c>
    </row>
    <row r="496" spans="1:14" x14ac:dyDescent="0.25">
      <c r="A496" s="9" t="s">
        <v>1622</v>
      </c>
      <c r="B496" s="10" t="s">
        <v>1623</v>
      </c>
      <c r="C496" s="10">
        <v>2017</v>
      </c>
      <c r="D496" s="11" t="s">
        <v>1683</v>
      </c>
      <c r="E496" s="10" t="s">
        <v>1631</v>
      </c>
      <c r="F496" s="11" t="s">
        <v>727</v>
      </c>
      <c r="G496" s="10" t="s">
        <v>1028</v>
      </c>
      <c r="H496" s="10" t="s">
        <v>2320</v>
      </c>
      <c r="I496" s="12" t="s">
        <v>1029</v>
      </c>
      <c r="J496" s="10" t="s">
        <v>1040</v>
      </c>
      <c r="K496" s="12" t="s">
        <v>1037</v>
      </c>
      <c r="L496" s="10" t="s">
        <v>1032</v>
      </c>
      <c r="M496" s="10" t="s">
        <v>1055</v>
      </c>
      <c r="N496" s="13" t="s">
        <v>1035</v>
      </c>
    </row>
    <row r="497" spans="1:14" x14ac:dyDescent="0.25">
      <c r="A497" s="9" t="s">
        <v>456</v>
      </c>
      <c r="B497" s="10" t="s">
        <v>457</v>
      </c>
      <c r="C497" s="10">
        <v>2019</v>
      </c>
      <c r="D497" s="11" t="s">
        <v>1703</v>
      </c>
      <c r="E497" s="10" t="s">
        <v>1630</v>
      </c>
      <c r="F497" s="11" t="s">
        <v>458</v>
      </c>
      <c r="G497" s="10" t="s">
        <v>1054</v>
      </c>
      <c r="H497" s="10" t="s">
        <v>2424</v>
      </c>
      <c r="I497" s="12" t="s">
        <v>1029</v>
      </c>
      <c r="J497" s="10" t="s">
        <v>1036</v>
      </c>
      <c r="K497" s="10" t="s">
        <v>1031</v>
      </c>
      <c r="L497" s="10" t="s">
        <v>1247</v>
      </c>
      <c r="M497" s="10" t="s">
        <v>1059</v>
      </c>
      <c r="N497" s="14" t="s">
        <v>1035</v>
      </c>
    </row>
    <row r="498" spans="1:14" x14ac:dyDescent="0.25">
      <c r="A498" s="9" t="s">
        <v>866</v>
      </c>
      <c r="B498" s="10" t="s">
        <v>864</v>
      </c>
      <c r="C498" s="10">
        <v>2022</v>
      </c>
      <c r="D498" s="11" t="s">
        <v>2252</v>
      </c>
      <c r="E498" s="10" t="s">
        <v>1630</v>
      </c>
      <c r="F498" s="11" t="s">
        <v>458</v>
      </c>
      <c r="G498" s="10" t="s">
        <v>1054</v>
      </c>
      <c r="H498" s="10" t="s">
        <v>2387</v>
      </c>
      <c r="I498" s="12" t="s">
        <v>1029</v>
      </c>
      <c r="J498" s="10" t="s">
        <v>1040</v>
      </c>
      <c r="K498" s="10" t="s">
        <v>1031</v>
      </c>
      <c r="L498" s="10" t="s">
        <v>1042</v>
      </c>
      <c r="M498" s="10" t="s">
        <v>1050</v>
      </c>
      <c r="N498" s="13" t="s">
        <v>1035</v>
      </c>
    </row>
    <row r="499" spans="1:14" x14ac:dyDescent="0.25">
      <c r="A499" s="9" t="s">
        <v>526</v>
      </c>
      <c r="B499" s="10" t="s">
        <v>527</v>
      </c>
      <c r="C499" s="10">
        <v>2020</v>
      </c>
      <c r="D499" s="11" t="s">
        <v>1851</v>
      </c>
      <c r="E499" s="10" t="s">
        <v>1630</v>
      </c>
      <c r="F499" s="11" t="s">
        <v>458</v>
      </c>
      <c r="G499" s="10" t="s">
        <v>1176</v>
      </c>
      <c r="H499" s="10" t="s">
        <v>2331</v>
      </c>
      <c r="I499" s="12" t="s">
        <v>1039</v>
      </c>
      <c r="J499" s="10" t="s">
        <v>1030</v>
      </c>
      <c r="K499" s="10" t="s">
        <v>1031</v>
      </c>
      <c r="L499" s="10" t="s">
        <v>1032</v>
      </c>
      <c r="M499" s="10" t="s">
        <v>1129</v>
      </c>
      <c r="N499" s="14" t="s">
        <v>1035</v>
      </c>
    </row>
    <row r="500" spans="1:14" x14ac:dyDescent="0.25">
      <c r="A500" s="9" t="s">
        <v>506</v>
      </c>
      <c r="B500" s="10" t="s">
        <v>507</v>
      </c>
      <c r="C500" s="10">
        <v>2021</v>
      </c>
      <c r="D500" s="11" t="s">
        <v>1873</v>
      </c>
      <c r="E500" s="10" t="s">
        <v>1630</v>
      </c>
      <c r="F500" s="11" t="s">
        <v>345</v>
      </c>
      <c r="G500" s="10" t="s">
        <v>1054</v>
      </c>
      <c r="H500" s="10" t="s">
        <v>1161</v>
      </c>
      <c r="I500" s="12" t="s">
        <v>1029</v>
      </c>
      <c r="J500" s="12" t="s">
        <v>1040</v>
      </c>
      <c r="K500" s="10" t="s">
        <v>1031</v>
      </c>
      <c r="L500" s="10" t="s">
        <v>1032</v>
      </c>
      <c r="M500" s="12" t="s">
        <v>114</v>
      </c>
      <c r="N500" s="13" t="s">
        <v>1041</v>
      </c>
    </row>
    <row r="501" spans="1:14" x14ac:dyDescent="0.25">
      <c r="A501" s="9" t="s">
        <v>346</v>
      </c>
      <c r="B501" s="10" t="s">
        <v>839</v>
      </c>
      <c r="C501" s="12">
        <v>2017</v>
      </c>
      <c r="D501" s="11" t="s">
        <v>1699</v>
      </c>
      <c r="E501" s="10" t="s">
        <v>1630</v>
      </c>
      <c r="F501" s="11" t="s">
        <v>345</v>
      </c>
      <c r="G501" s="12" t="s">
        <v>1054</v>
      </c>
      <c r="H501" s="10" t="s">
        <v>1168</v>
      </c>
      <c r="I501" s="12" t="s">
        <v>1029</v>
      </c>
      <c r="J501" s="12" t="s">
        <v>1036</v>
      </c>
      <c r="K501" s="12" t="s">
        <v>1037</v>
      </c>
      <c r="L501" s="12" t="s">
        <v>1247</v>
      </c>
      <c r="M501" s="12" t="s">
        <v>114</v>
      </c>
      <c r="N501" s="14" t="s">
        <v>1035</v>
      </c>
    </row>
    <row r="502" spans="1:14" x14ac:dyDescent="0.25">
      <c r="A502" s="9" t="s">
        <v>347</v>
      </c>
      <c r="B502" s="10" t="s">
        <v>840</v>
      </c>
      <c r="C502" s="12">
        <v>2018</v>
      </c>
      <c r="D502" s="11" t="s">
        <v>1908</v>
      </c>
      <c r="E502" s="10" t="s">
        <v>1630</v>
      </c>
      <c r="F502" s="11" t="s">
        <v>345</v>
      </c>
      <c r="G502" s="12" t="s">
        <v>1054</v>
      </c>
      <c r="H502" s="10" t="s">
        <v>1180</v>
      </c>
      <c r="I502" s="12" t="s">
        <v>1029</v>
      </c>
      <c r="J502" s="10" t="s">
        <v>1691</v>
      </c>
      <c r="K502" s="10" t="s">
        <v>1031</v>
      </c>
      <c r="L502" s="10" t="s">
        <v>1247</v>
      </c>
      <c r="M502" s="12" t="s">
        <v>1059</v>
      </c>
      <c r="N502" s="14" t="s">
        <v>1035</v>
      </c>
    </row>
    <row r="503" spans="1:14" x14ac:dyDescent="0.25">
      <c r="A503" s="9" t="s">
        <v>389</v>
      </c>
      <c r="B503" s="10" t="s">
        <v>1243</v>
      </c>
      <c r="C503" s="10">
        <v>2019</v>
      </c>
      <c r="D503" s="11" t="s">
        <v>2105</v>
      </c>
      <c r="E503" s="10" t="s">
        <v>1630</v>
      </c>
      <c r="F503" s="11" t="s">
        <v>345</v>
      </c>
      <c r="G503" s="10" t="s">
        <v>1054</v>
      </c>
      <c r="H503" s="10" t="s">
        <v>2340</v>
      </c>
      <c r="I503" s="12" t="s">
        <v>1029</v>
      </c>
      <c r="J503" s="12" t="s">
        <v>1040</v>
      </c>
      <c r="K503" s="10" t="s">
        <v>1031</v>
      </c>
      <c r="L503" s="10" t="s">
        <v>1042</v>
      </c>
      <c r="M503" s="12" t="s">
        <v>114</v>
      </c>
      <c r="N503" s="14" t="s">
        <v>1035</v>
      </c>
    </row>
    <row r="504" spans="1:14" x14ac:dyDescent="0.25">
      <c r="A504" s="9" t="s">
        <v>388</v>
      </c>
      <c r="B504" s="10" t="s">
        <v>863</v>
      </c>
      <c r="C504" s="10">
        <v>2020</v>
      </c>
      <c r="D504" s="11" t="s">
        <v>1711</v>
      </c>
      <c r="E504" s="10" t="s">
        <v>1630</v>
      </c>
      <c r="F504" s="11" t="s">
        <v>345</v>
      </c>
      <c r="G504" s="10" t="s">
        <v>1054</v>
      </c>
      <c r="H504" s="10" t="s">
        <v>2340</v>
      </c>
      <c r="I504" s="12" t="s">
        <v>1029</v>
      </c>
      <c r="J504" s="12" t="s">
        <v>1040</v>
      </c>
      <c r="K504" s="12" t="s">
        <v>1037</v>
      </c>
      <c r="L504" s="10" t="s">
        <v>1247</v>
      </c>
      <c r="M504" s="12" t="s">
        <v>114</v>
      </c>
      <c r="N504" s="14" t="s">
        <v>1035</v>
      </c>
    </row>
    <row r="505" spans="1:14" x14ac:dyDescent="0.25">
      <c r="A505" s="9" t="s">
        <v>508</v>
      </c>
      <c r="B505" s="10" t="s">
        <v>1146</v>
      </c>
      <c r="C505" s="10">
        <v>2020</v>
      </c>
      <c r="D505" s="11" t="s">
        <v>1653</v>
      </c>
      <c r="E505" s="10" t="s">
        <v>1630</v>
      </c>
      <c r="F505" s="11" t="s">
        <v>345</v>
      </c>
      <c r="G505" s="10" t="s">
        <v>1165</v>
      </c>
      <c r="H505" s="10" t="s">
        <v>2340</v>
      </c>
      <c r="I505" s="12" t="s">
        <v>1029</v>
      </c>
      <c r="J505" s="12" t="s">
        <v>1040</v>
      </c>
      <c r="K505" s="10" t="s">
        <v>1031</v>
      </c>
      <c r="L505" s="10" t="s">
        <v>1042</v>
      </c>
      <c r="M505" s="10" t="s">
        <v>1050</v>
      </c>
      <c r="N505" s="14" t="s">
        <v>1035</v>
      </c>
    </row>
    <row r="506" spans="1:14" x14ac:dyDescent="0.25">
      <c r="A506" s="9" t="s">
        <v>344</v>
      </c>
      <c r="B506" s="10" t="s">
        <v>838</v>
      </c>
      <c r="C506" s="10">
        <v>2017</v>
      </c>
      <c r="D506" s="11" t="s">
        <v>2094</v>
      </c>
      <c r="E506" s="10" t="s">
        <v>1630</v>
      </c>
      <c r="F506" s="11" t="s">
        <v>345</v>
      </c>
      <c r="G506" s="10" t="s">
        <v>2272</v>
      </c>
      <c r="H506" s="10" t="s">
        <v>2381</v>
      </c>
      <c r="I506" s="12" t="s">
        <v>1039</v>
      </c>
      <c r="J506" s="10" t="s">
        <v>1030</v>
      </c>
      <c r="K506" s="10" t="s">
        <v>1031</v>
      </c>
      <c r="L506" s="10" t="s">
        <v>1032</v>
      </c>
      <c r="M506" s="12" t="s">
        <v>114</v>
      </c>
      <c r="N506" s="14" t="s">
        <v>1035</v>
      </c>
    </row>
    <row r="507" spans="1:14" x14ac:dyDescent="0.25">
      <c r="A507" s="9" t="s">
        <v>377</v>
      </c>
      <c r="B507" s="10" t="s">
        <v>841</v>
      </c>
      <c r="C507" s="10">
        <v>2017</v>
      </c>
      <c r="D507" s="11" t="s">
        <v>1945</v>
      </c>
      <c r="E507" s="10" t="s">
        <v>1630</v>
      </c>
      <c r="F507" s="11" t="s">
        <v>378</v>
      </c>
      <c r="G507" s="10" t="s">
        <v>2270</v>
      </c>
      <c r="H507" s="10" t="s">
        <v>1057</v>
      </c>
      <c r="I507" s="10" t="s">
        <v>1493</v>
      </c>
      <c r="J507" s="10" t="s">
        <v>1030</v>
      </c>
      <c r="K507" s="10" t="s">
        <v>1031</v>
      </c>
      <c r="L507" s="10" t="s">
        <v>1032</v>
      </c>
      <c r="M507" s="12" t="s">
        <v>114</v>
      </c>
      <c r="N507" s="14" t="s">
        <v>1035</v>
      </c>
    </row>
    <row r="508" spans="1:14" x14ac:dyDescent="0.25">
      <c r="A508" s="9" t="s">
        <v>2431</v>
      </c>
      <c r="B508" s="10" t="s">
        <v>496</v>
      </c>
      <c r="C508" s="10">
        <v>2021</v>
      </c>
      <c r="D508" s="11" t="s">
        <v>1720</v>
      </c>
      <c r="E508" s="10" t="s">
        <v>1630</v>
      </c>
      <c r="F508" s="11" t="s">
        <v>497</v>
      </c>
      <c r="G508" s="10" t="s">
        <v>1165</v>
      </c>
      <c r="H508" s="10" t="s">
        <v>2320</v>
      </c>
      <c r="I508" s="12" t="s">
        <v>1039</v>
      </c>
      <c r="J508" s="10" t="s">
        <v>1030</v>
      </c>
      <c r="K508" s="10" t="s">
        <v>1031</v>
      </c>
      <c r="L508" s="10" t="s">
        <v>1032</v>
      </c>
      <c r="M508" s="12" t="s">
        <v>114</v>
      </c>
      <c r="N508" s="14" t="s">
        <v>1035</v>
      </c>
    </row>
    <row r="509" spans="1:14" ht="25.5" x14ac:dyDescent="0.25">
      <c r="A509" s="9" t="s">
        <v>1494</v>
      </c>
      <c r="B509" s="10" t="s">
        <v>1495</v>
      </c>
      <c r="C509" s="10">
        <v>2022</v>
      </c>
      <c r="D509" s="11" t="s">
        <v>2204</v>
      </c>
      <c r="E509" s="10" t="s">
        <v>1630</v>
      </c>
      <c r="F509" s="11" t="s">
        <v>1496</v>
      </c>
      <c r="G509" s="10" t="s">
        <v>1215</v>
      </c>
      <c r="H509" s="10" t="s">
        <v>1168</v>
      </c>
      <c r="I509" s="10" t="s">
        <v>1493</v>
      </c>
      <c r="J509" s="12" t="s">
        <v>1688</v>
      </c>
      <c r="K509" s="10" t="s">
        <v>1031</v>
      </c>
      <c r="L509" s="10" t="s">
        <v>1247</v>
      </c>
      <c r="M509" s="10" t="s">
        <v>1497</v>
      </c>
      <c r="N509" s="13" t="s">
        <v>1034</v>
      </c>
    </row>
    <row r="510" spans="1:14" x14ac:dyDescent="0.25">
      <c r="A510" s="9" t="s">
        <v>400</v>
      </c>
      <c r="B510" s="10" t="s">
        <v>842</v>
      </c>
      <c r="C510" s="12">
        <v>2015</v>
      </c>
      <c r="D510" s="11" t="s">
        <v>2022</v>
      </c>
      <c r="E510" s="10" t="s">
        <v>1630</v>
      </c>
      <c r="F510" s="11" t="s">
        <v>401</v>
      </c>
      <c r="G510" s="12" t="s">
        <v>1054</v>
      </c>
      <c r="H510" s="10" t="s">
        <v>1166</v>
      </c>
      <c r="I510" s="12" t="s">
        <v>1029</v>
      </c>
      <c r="J510" s="12" t="s">
        <v>1040</v>
      </c>
      <c r="K510" s="10" t="s">
        <v>1031</v>
      </c>
      <c r="L510" s="10" t="s">
        <v>1247</v>
      </c>
      <c r="M510" s="12" t="s">
        <v>1211</v>
      </c>
      <c r="N510" s="14" t="s">
        <v>1035</v>
      </c>
    </row>
    <row r="511" spans="1:14" x14ac:dyDescent="0.25">
      <c r="A511" s="9" t="s">
        <v>402</v>
      </c>
      <c r="B511" s="10" t="s">
        <v>843</v>
      </c>
      <c r="C511" s="12">
        <v>2018</v>
      </c>
      <c r="D511" s="11" t="s">
        <v>1975</v>
      </c>
      <c r="E511" s="10" t="s">
        <v>1630</v>
      </c>
      <c r="F511" s="11" t="s">
        <v>401</v>
      </c>
      <c r="G511" s="12" t="s">
        <v>1054</v>
      </c>
      <c r="H511" s="10" t="s">
        <v>1180</v>
      </c>
      <c r="I511" s="12" t="s">
        <v>1029</v>
      </c>
      <c r="J511" s="12" t="s">
        <v>1040</v>
      </c>
      <c r="K511" s="10" t="s">
        <v>1031</v>
      </c>
      <c r="L511" s="12" t="s">
        <v>1042</v>
      </c>
      <c r="M511" s="12" t="s">
        <v>114</v>
      </c>
      <c r="N511" s="14" t="s">
        <v>1035</v>
      </c>
    </row>
    <row r="512" spans="1:14" x14ac:dyDescent="0.25">
      <c r="A512" s="9" t="s">
        <v>754</v>
      </c>
      <c r="B512" s="10" t="s">
        <v>755</v>
      </c>
      <c r="C512" s="10">
        <v>2019</v>
      </c>
      <c r="D512" s="11" t="s">
        <v>1698</v>
      </c>
      <c r="E512" s="10" t="s">
        <v>1631</v>
      </c>
      <c r="F512" s="11" t="s">
        <v>756</v>
      </c>
      <c r="G512" s="10" t="s">
        <v>2266</v>
      </c>
      <c r="H512" s="10" t="s">
        <v>2341</v>
      </c>
      <c r="I512" s="12" t="s">
        <v>1029</v>
      </c>
      <c r="J512" s="10" t="s">
        <v>1114</v>
      </c>
      <c r="K512" s="10" t="s">
        <v>1031</v>
      </c>
      <c r="L512" s="10" t="s">
        <v>1032</v>
      </c>
      <c r="M512" s="10" t="s">
        <v>1138</v>
      </c>
      <c r="N512" s="14" t="s">
        <v>1035</v>
      </c>
    </row>
    <row r="513" spans="1:14" x14ac:dyDescent="0.25">
      <c r="A513" s="9" t="s">
        <v>1601</v>
      </c>
      <c r="B513" s="10" t="s">
        <v>1602</v>
      </c>
      <c r="C513" s="10">
        <v>2022</v>
      </c>
      <c r="D513" s="11" t="s">
        <v>2261</v>
      </c>
      <c r="E513" s="10" t="s">
        <v>1631</v>
      </c>
      <c r="F513" s="11" t="s">
        <v>4375</v>
      </c>
      <c r="G513" s="10" t="s">
        <v>2266</v>
      </c>
      <c r="H513" s="10" t="s">
        <v>2326</v>
      </c>
      <c r="I513" s="10" t="s">
        <v>1493</v>
      </c>
      <c r="J513" s="10" t="s">
        <v>1030</v>
      </c>
      <c r="K513" s="10" t="s">
        <v>1031</v>
      </c>
      <c r="L513" s="10" t="s">
        <v>1247</v>
      </c>
      <c r="M513" s="10" t="s">
        <v>114</v>
      </c>
      <c r="N513" s="13" t="s">
        <v>1041</v>
      </c>
    </row>
    <row r="514" spans="1:14" x14ac:dyDescent="0.25">
      <c r="A514" s="9" t="s">
        <v>762</v>
      </c>
      <c r="B514" s="10" t="s">
        <v>1010</v>
      </c>
      <c r="C514" s="10">
        <v>2019</v>
      </c>
      <c r="D514" s="11" t="s">
        <v>1672</v>
      </c>
      <c r="E514" s="10" t="s">
        <v>1631</v>
      </c>
      <c r="F514" s="11" t="s">
        <v>4375</v>
      </c>
      <c r="G514" s="10" t="s">
        <v>1094</v>
      </c>
      <c r="H514" s="10" t="s">
        <v>1168</v>
      </c>
      <c r="I514" s="12" t="s">
        <v>1029</v>
      </c>
      <c r="J514" s="10" t="s">
        <v>1030</v>
      </c>
      <c r="K514" s="10" t="s">
        <v>1031</v>
      </c>
      <c r="L514" s="10" t="s">
        <v>1032</v>
      </c>
      <c r="M514" s="10" t="s">
        <v>1104</v>
      </c>
      <c r="N514" s="14" t="s">
        <v>1035</v>
      </c>
    </row>
    <row r="515" spans="1:14" x14ac:dyDescent="0.25">
      <c r="A515" s="9" t="s">
        <v>390</v>
      </c>
      <c r="B515" s="10" t="s">
        <v>391</v>
      </c>
      <c r="C515" s="10">
        <v>2019</v>
      </c>
      <c r="D515" s="11" t="s">
        <v>2100</v>
      </c>
      <c r="E515" s="10" t="s">
        <v>1630</v>
      </c>
      <c r="F515" s="11" t="s">
        <v>374</v>
      </c>
      <c r="G515" s="10" t="s">
        <v>1183</v>
      </c>
      <c r="H515" s="10" t="s">
        <v>2361</v>
      </c>
      <c r="I515" s="12" t="s">
        <v>1029</v>
      </c>
      <c r="J515" s="10" t="s">
        <v>1036</v>
      </c>
      <c r="K515" s="10" t="s">
        <v>1031</v>
      </c>
      <c r="L515" s="10" t="s">
        <v>1032</v>
      </c>
      <c r="M515" s="10" t="s">
        <v>1242</v>
      </c>
      <c r="N515" s="14" t="s">
        <v>1035</v>
      </c>
    </row>
    <row r="516" spans="1:14" x14ac:dyDescent="0.25">
      <c r="A516" s="9" t="s">
        <v>375</v>
      </c>
      <c r="B516" s="10" t="s">
        <v>376</v>
      </c>
      <c r="C516" s="12">
        <v>2018</v>
      </c>
      <c r="D516" s="11" t="s">
        <v>2072</v>
      </c>
      <c r="E516" s="10" t="s">
        <v>1630</v>
      </c>
      <c r="F516" s="11" t="s">
        <v>374</v>
      </c>
      <c r="G516" s="12" t="s">
        <v>1054</v>
      </c>
      <c r="H516" s="10" t="s">
        <v>2340</v>
      </c>
      <c r="I516" s="12" t="s">
        <v>1029</v>
      </c>
      <c r="J516" s="12" t="s">
        <v>1040</v>
      </c>
      <c r="K516" s="10" t="s">
        <v>1031</v>
      </c>
      <c r="L516" s="10" t="s">
        <v>1247</v>
      </c>
      <c r="M516" s="12" t="s">
        <v>114</v>
      </c>
      <c r="N516" s="14" t="s">
        <v>1035</v>
      </c>
    </row>
    <row r="517" spans="1:14" x14ac:dyDescent="0.25">
      <c r="A517" s="9" t="s">
        <v>407</v>
      </c>
      <c r="B517" s="10" t="s">
        <v>408</v>
      </c>
      <c r="C517" s="10">
        <v>2019</v>
      </c>
      <c r="D517" s="11" t="s">
        <v>1743</v>
      </c>
      <c r="E517" s="10" t="s">
        <v>1630</v>
      </c>
      <c r="F517" s="11" t="s">
        <v>374</v>
      </c>
      <c r="G517" s="10" t="s">
        <v>1054</v>
      </c>
      <c r="H517" s="10" t="s">
        <v>2340</v>
      </c>
      <c r="I517" s="12" t="s">
        <v>1039</v>
      </c>
      <c r="J517" s="10" t="s">
        <v>1040</v>
      </c>
      <c r="K517" s="10" t="s">
        <v>1031</v>
      </c>
      <c r="L517" s="10" t="s">
        <v>1247</v>
      </c>
      <c r="M517" s="10" t="s">
        <v>1093</v>
      </c>
      <c r="N517" s="14" t="s">
        <v>1035</v>
      </c>
    </row>
    <row r="518" spans="1:14" x14ac:dyDescent="0.25">
      <c r="A518" s="9" t="s">
        <v>372</v>
      </c>
      <c r="B518" s="10" t="s">
        <v>373</v>
      </c>
      <c r="C518" s="10">
        <v>2019</v>
      </c>
      <c r="D518" s="11" t="s">
        <v>2108</v>
      </c>
      <c r="E518" s="10" t="s">
        <v>1630</v>
      </c>
      <c r="F518" s="11" t="s">
        <v>374</v>
      </c>
      <c r="G518" s="10" t="s">
        <v>1054</v>
      </c>
      <c r="H518" s="10" t="s">
        <v>2340</v>
      </c>
      <c r="I518" s="12" t="s">
        <v>1029</v>
      </c>
      <c r="J518" s="10" t="s">
        <v>1040</v>
      </c>
      <c r="K518" s="10" t="s">
        <v>1031</v>
      </c>
      <c r="L518" s="10" t="s">
        <v>1032</v>
      </c>
      <c r="M518" s="10" t="s">
        <v>1050</v>
      </c>
      <c r="N518" s="13" t="s">
        <v>1035</v>
      </c>
    </row>
    <row r="519" spans="1:14" x14ac:dyDescent="0.25">
      <c r="A519" s="9" t="s">
        <v>870</v>
      </c>
      <c r="B519" s="10" t="s">
        <v>872</v>
      </c>
      <c r="C519" s="10">
        <v>2021</v>
      </c>
      <c r="D519" s="11" t="s">
        <v>2257</v>
      </c>
      <c r="E519" s="10" t="s">
        <v>1630</v>
      </c>
      <c r="F519" s="11" t="s">
        <v>511</v>
      </c>
      <c r="G519" s="10" t="s">
        <v>1066</v>
      </c>
      <c r="H519" s="10" t="s">
        <v>1161</v>
      </c>
      <c r="I519" s="10" t="s">
        <v>1039</v>
      </c>
      <c r="J519" s="10" t="s">
        <v>1030</v>
      </c>
      <c r="K519" s="10" t="s">
        <v>1031</v>
      </c>
      <c r="L519" s="10" t="s">
        <v>1247</v>
      </c>
      <c r="M519" s="10" t="s">
        <v>114</v>
      </c>
      <c r="N519" s="13" t="s">
        <v>1035</v>
      </c>
    </row>
    <row r="520" spans="1:14" x14ac:dyDescent="0.25">
      <c r="A520" s="9" t="s">
        <v>516</v>
      </c>
      <c r="B520" s="10" t="s">
        <v>517</v>
      </c>
      <c r="C520" s="10">
        <v>2021</v>
      </c>
      <c r="D520" s="11" t="s">
        <v>1987</v>
      </c>
      <c r="E520" s="10" t="s">
        <v>1630</v>
      </c>
      <c r="F520" s="11" t="s">
        <v>511</v>
      </c>
      <c r="G520" s="10" t="s">
        <v>1028</v>
      </c>
      <c r="H520" s="10" t="s">
        <v>1057</v>
      </c>
      <c r="I520" s="12" t="s">
        <v>1039</v>
      </c>
      <c r="J520" s="10" t="s">
        <v>1040</v>
      </c>
      <c r="K520" s="10" t="s">
        <v>1031</v>
      </c>
      <c r="L520" s="10" t="s">
        <v>1032</v>
      </c>
      <c r="M520" s="10" t="s">
        <v>1093</v>
      </c>
      <c r="N520" s="14" t="s">
        <v>1035</v>
      </c>
    </row>
    <row r="521" spans="1:14" x14ac:dyDescent="0.25">
      <c r="A521" s="9" t="s">
        <v>509</v>
      </c>
      <c r="B521" s="10" t="s">
        <v>510</v>
      </c>
      <c r="C521" s="10">
        <v>2022</v>
      </c>
      <c r="D521" s="11" t="s">
        <v>1988</v>
      </c>
      <c r="E521" s="10" t="s">
        <v>1630</v>
      </c>
      <c r="F521" s="11" t="s">
        <v>511</v>
      </c>
      <c r="G521" s="10" t="s">
        <v>1054</v>
      </c>
      <c r="H521" s="10" t="s">
        <v>1180</v>
      </c>
      <c r="I521" s="12" t="s">
        <v>1029</v>
      </c>
      <c r="J521" s="12" t="s">
        <v>1040</v>
      </c>
      <c r="K521" s="10" t="s">
        <v>1031</v>
      </c>
      <c r="L521" s="10" t="s">
        <v>1042</v>
      </c>
      <c r="M521" s="12" t="s">
        <v>114</v>
      </c>
      <c r="N521" s="14" t="s">
        <v>1035</v>
      </c>
    </row>
    <row r="522" spans="1:14" ht="25.5" x14ac:dyDescent="0.25">
      <c r="A522" s="9" t="s">
        <v>1464</v>
      </c>
      <c r="B522" s="10" t="s">
        <v>1465</v>
      </c>
      <c r="C522" s="10">
        <v>2014</v>
      </c>
      <c r="D522" s="11" t="s">
        <v>2193</v>
      </c>
      <c r="E522" s="10" t="s">
        <v>1630</v>
      </c>
      <c r="F522" s="11" t="s">
        <v>1466</v>
      </c>
      <c r="G522" s="10" t="s">
        <v>2271</v>
      </c>
      <c r="H522" s="10" t="s">
        <v>2326</v>
      </c>
      <c r="I522" s="10" t="s">
        <v>1039</v>
      </c>
      <c r="J522" s="12" t="s">
        <v>1688</v>
      </c>
      <c r="K522" s="10" t="s">
        <v>1031</v>
      </c>
      <c r="L522" s="10" t="s">
        <v>1247</v>
      </c>
      <c r="M522" s="10" t="s">
        <v>114</v>
      </c>
      <c r="N522" s="13" t="s">
        <v>1034</v>
      </c>
    </row>
    <row r="523" spans="1:14" x14ac:dyDescent="0.25">
      <c r="A523" s="9" t="s">
        <v>1469</v>
      </c>
      <c r="B523" s="10" t="s">
        <v>1470</v>
      </c>
      <c r="C523" s="10">
        <v>2012</v>
      </c>
      <c r="D523" s="11" t="s">
        <v>2195</v>
      </c>
      <c r="E523" s="10" t="s">
        <v>1630</v>
      </c>
      <c r="F523" s="11" t="s">
        <v>1466</v>
      </c>
      <c r="G523" s="10" t="s">
        <v>1080</v>
      </c>
      <c r="H523" s="10" t="s">
        <v>1057</v>
      </c>
      <c r="I523" s="10" t="s">
        <v>1039</v>
      </c>
      <c r="J523" s="10" t="s">
        <v>1030</v>
      </c>
      <c r="K523" s="10" t="s">
        <v>1031</v>
      </c>
      <c r="L523" s="10" t="s">
        <v>1032</v>
      </c>
      <c r="M523" s="10" t="s">
        <v>1471</v>
      </c>
      <c r="N523" s="13" t="s">
        <v>1034</v>
      </c>
    </row>
    <row r="524" spans="1:14" x14ac:dyDescent="0.25">
      <c r="A524" s="9" t="s">
        <v>1319</v>
      </c>
      <c r="B524" s="10" t="s">
        <v>1320</v>
      </c>
      <c r="C524" s="10">
        <v>2011</v>
      </c>
      <c r="D524" s="11" t="s">
        <v>2135</v>
      </c>
      <c r="E524" s="10" t="s">
        <v>1630</v>
      </c>
      <c r="F524" s="11" t="s">
        <v>1321</v>
      </c>
      <c r="G524" s="10" t="s">
        <v>2275</v>
      </c>
      <c r="H524" s="10" t="s">
        <v>2329</v>
      </c>
      <c r="I524" s="10" t="s">
        <v>1039</v>
      </c>
      <c r="J524" s="10" t="s">
        <v>1030</v>
      </c>
      <c r="K524" s="12" t="s">
        <v>1037</v>
      </c>
      <c r="L524" s="10" t="s">
        <v>1247</v>
      </c>
      <c r="M524" s="10" t="s">
        <v>1055</v>
      </c>
      <c r="N524" s="13" t="s">
        <v>1072</v>
      </c>
    </row>
    <row r="525" spans="1:14" x14ac:dyDescent="0.25">
      <c r="A525" s="9" t="s">
        <v>368</v>
      </c>
      <c r="B525" s="10" t="s">
        <v>369</v>
      </c>
      <c r="C525" s="10">
        <v>2012</v>
      </c>
      <c r="D525" s="11" t="s">
        <v>2013</v>
      </c>
      <c r="E525" s="10" t="s">
        <v>1630</v>
      </c>
      <c r="F525" s="11" t="s">
        <v>1079</v>
      </c>
      <c r="G525" s="10" t="s">
        <v>1054</v>
      </c>
      <c r="H525" s="10" t="s">
        <v>2368</v>
      </c>
      <c r="I525" s="12" t="s">
        <v>1029</v>
      </c>
      <c r="J525" s="10" t="s">
        <v>1040</v>
      </c>
      <c r="K525" s="10" t="s">
        <v>1031</v>
      </c>
      <c r="L525" s="10" t="s">
        <v>1042</v>
      </c>
      <c r="M525" s="12" t="s">
        <v>114</v>
      </c>
      <c r="N525" s="14" t="s">
        <v>1035</v>
      </c>
    </row>
    <row r="526" spans="1:14" x14ac:dyDescent="0.25">
      <c r="A526" s="9" t="s">
        <v>366</v>
      </c>
      <c r="B526" s="10" t="s">
        <v>367</v>
      </c>
      <c r="C526" s="10">
        <v>2015</v>
      </c>
      <c r="D526" s="11" t="s">
        <v>1835</v>
      </c>
      <c r="E526" s="10" t="s">
        <v>1630</v>
      </c>
      <c r="F526" s="11" t="s">
        <v>1079</v>
      </c>
      <c r="G526" s="10" t="s">
        <v>2266</v>
      </c>
      <c r="H526" s="10" t="s">
        <v>2326</v>
      </c>
      <c r="I526" s="12" t="s">
        <v>1029</v>
      </c>
      <c r="J526" s="10" t="s">
        <v>1030</v>
      </c>
      <c r="K526" s="10" t="s">
        <v>1031</v>
      </c>
      <c r="L526" s="10" t="s">
        <v>1032</v>
      </c>
      <c r="M526" s="10" t="s">
        <v>1086</v>
      </c>
      <c r="N526" s="14" t="s">
        <v>1035</v>
      </c>
    </row>
    <row r="527" spans="1:14" x14ac:dyDescent="0.25">
      <c r="A527" s="9" t="s">
        <v>364</v>
      </c>
      <c r="B527" s="10" t="s">
        <v>365</v>
      </c>
      <c r="C527" s="10">
        <v>2012</v>
      </c>
      <c r="D527" s="11" t="s">
        <v>1929</v>
      </c>
      <c r="E527" s="10" t="s">
        <v>1630</v>
      </c>
      <c r="F527" s="11" t="s">
        <v>1079</v>
      </c>
      <c r="G527" s="10" t="s">
        <v>2275</v>
      </c>
      <c r="H527" s="10" t="s">
        <v>2326</v>
      </c>
      <c r="I527" s="12" t="s">
        <v>1039</v>
      </c>
      <c r="J527" s="10" t="s">
        <v>1036</v>
      </c>
      <c r="K527" s="10" t="s">
        <v>1031</v>
      </c>
      <c r="L527" s="10" t="s">
        <v>1247</v>
      </c>
      <c r="M527" s="12" t="s">
        <v>114</v>
      </c>
      <c r="N527" s="14" t="s">
        <v>1035</v>
      </c>
    </row>
    <row r="528" spans="1:14" x14ac:dyDescent="0.25">
      <c r="A528" s="9" t="s">
        <v>370</v>
      </c>
      <c r="B528" s="10" t="s">
        <v>371</v>
      </c>
      <c r="C528" s="10">
        <v>2015</v>
      </c>
      <c r="D528" s="11" t="s">
        <v>2074</v>
      </c>
      <c r="E528" s="10" t="s">
        <v>1630</v>
      </c>
      <c r="F528" s="11" t="s">
        <v>1079</v>
      </c>
      <c r="G528" s="10" t="s">
        <v>2266</v>
      </c>
      <c r="H528" s="10" t="s">
        <v>2340</v>
      </c>
      <c r="I528" s="12" t="s">
        <v>1029</v>
      </c>
      <c r="J528" s="10" t="s">
        <v>1040</v>
      </c>
      <c r="K528" s="10" t="s">
        <v>1031</v>
      </c>
      <c r="L528" s="10" t="s">
        <v>1247</v>
      </c>
      <c r="M528" s="12" t="s">
        <v>114</v>
      </c>
      <c r="N528" s="14" t="s">
        <v>1035</v>
      </c>
    </row>
    <row r="529" spans="1:14" x14ac:dyDescent="0.25">
      <c r="A529" s="9" t="s">
        <v>262</v>
      </c>
      <c r="B529" s="10" t="s">
        <v>263</v>
      </c>
      <c r="C529" s="10">
        <v>2013</v>
      </c>
      <c r="D529" s="11" t="s">
        <v>1807</v>
      </c>
      <c r="E529" s="10" t="s">
        <v>1630</v>
      </c>
      <c r="F529" s="11" t="s">
        <v>248</v>
      </c>
      <c r="G529" s="10" t="s">
        <v>1094</v>
      </c>
      <c r="H529" s="10" t="s">
        <v>2326</v>
      </c>
      <c r="I529" s="12" t="s">
        <v>1039</v>
      </c>
      <c r="J529" s="10" t="s">
        <v>1117</v>
      </c>
      <c r="K529" s="10" t="s">
        <v>1031</v>
      </c>
      <c r="L529" s="10" t="s">
        <v>1032</v>
      </c>
      <c r="M529" s="10" t="s">
        <v>1118</v>
      </c>
      <c r="N529" s="13" t="s">
        <v>1072</v>
      </c>
    </row>
    <row r="530" spans="1:14" ht="25.5" x14ac:dyDescent="0.25">
      <c r="A530" s="9" t="s">
        <v>1222</v>
      </c>
      <c r="B530" s="10" t="s">
        <v>249</v>
      </c>
      <c r="C530" s="10">
        <v>2019</v>
      </c>
      <c r="D530" s="11" t="s">
        <v>2046</v>
      </c>
      <c r="E530" s="10" t="s">
        <v>1630</v>
      </c>
      <c r="F530" s="11" t="s">
        <v>248</v>
      </c>
      <c r="G530" s="12" t="s">
        <v>1223</v>
      </c>
      <c r="H530" s="10" t="s">
        <v>2326</v>
      </c>
      <c r="I530" s="12" t="s">
        <v>1029</v>
      </c>
      <c r="J530" s="10" t="s">
        <v>1040</v>
      </c>
      <c r="K530" s="10" t="s">
        <v>1031</v>
      </c>
      <c r="L530" s="10" t="s">
        <v>1032</v>
      </c>
      <c r="M530" s="10" t="s">
        <v>114</v>
      </c>
      <c r="N530" s="13" t="s">
        <v>1034</v>
      </c>
    </row>
    <row r="531" spans="1:14" x14ac:dyDescent="0.25">
      <c r="A531" s="9" t="s">
        <v>260</v>
      </c>
      <c r="B531" s="10" t="s">
        <v>261</v>
      </c>
      <c r="C531" s="10">
        <v>2018</v>
      </c>
      <c r="D531" s="11" t="s">
        <v>1771</v>
      </c>
      <c r="E531" s="10" t="s">
        <v>1630</v>
      </c>
      <c r="F531" s="11" t="s">
        <v>248</v>
      </c>
      <c r="G531" s="10" t="s">
        <v>2266</v>
      </c>
      <c r="H531" s="10" t="s">
        <v>2326</v>
      </c>
      <c r="I531" s="12" t="s">
        <v>1039</v>
      </c>
      <c r="J531" s="10" t="s">
        <v>1030</v>
      </c>
      <c r="K531" s="10" t="s">
        <v>1031</v>
      </c>
      <c r="L531" s="10" t="s">
        <v>1247</v>
      </c>
      <c r="M531" s="10" t="s">
        <v>1084</v>
      </c>
      <c r="N531" s="13" t="s">
        <v>1034</v>
      </c>
    </row>
    <row r="532" spans="1:14" ht="25.5" x14ac:dyDescent="0.25">
      <c r="A532" s="9" t="s">
        <v>247</v>
      </c>
      <c r="B532" s="10" t="s">
        <v>833</v>
      </c>
      <c r="C532" s="10">
        <v>2014</v>
      </c>
      <c r="D532" s="11" t="s">
        <v>1781</v>
      </c>
      <c r="E532" s="10" t="s">
        <v>1630</v>
      </c>
      <c r="F532" s="11" t="s">
        <v>248</v>
      </c>
      <c r="G532" s="10" t="s">
        <v>2266</v>
      </c>
      <c r="H532" s="10" t="s">
        <v>2326</v>
      </c>
      <c r="I532" s="10" t="s">
        <v>1687</v>
      </c>
      <c r="J532" s="12" t="s">
        <v>1688</v>
      </c>
      <c r="K532" s="10" t="s">
        <v>1031</v>
      </c>
      <c r="L532" s="10" t="s">
        <v>2400</v>
      </c>
      <c r="M532" s="12" t="s">
        <v>114</v>
      </c>
      <c r="N532" s="13" t="s">
        <v>1034</v>
      </c>
    </row>
    <row r="533" spans="1:14" x14ac:dyDescent="0.25">
      <c r="A533" s="9" t="s">
        <v>254</v>
      </c>
      <c r="B533" s="10" t="s">
        <v>255</v>
      </c>
      <c r="C533" s="10">
        <v>2016</v>
      </c>
      <c r="D533" s="11" t="s">
        <v>1763</v>
      </c>
      <c r="E533" s="10" t="s">
        <v>1630</v>
      </c>
      <c r="F533" s="11" t="s">
        <v>248</v>
      </c>
      <c r="G533" s="10" t="s">
        <v>2266</v>
      </c>
      <c r="H533" s="10" t="s">
        <v>2326</v>
      </c>
      <c r="I533" s="12" t="s">
        <v>1039</v>
      </c>
      <c r="J533" s="10" t="s">
        <v>1036</v>
      </c>
      <c r="K533" s="12" t="s">
        <v>1037</v>
      </c>
      <c r="L533" s="10" t="s">
        <v>1042</v>
      </c>
      <c r="M533" s="10" t="s">
        <v>1076</v>
      </c>
      <c r="N533" s="14" t="s">
        <v>1035</v>
      </c>
    </row>
    <row r="534" spans="1:14" x14ac:dyDescent="0.25">
      <c r="A534" s="9" t="s">
        <v>1462</v>
      </c>
      <c r="B534" s="10" t="s">
        <v>1463</v>
      </c>
      <c r="C534" s="10">
        <v>2021</v>
      </c>
      <c r="D534" s="11" t="s">
        <v>2192</v>
      </c>
      <c r="E534" s="10" t="s">
        <v>1630</v>
      </c>
      <c r="F534" s="11" t="s">
        <v>248</v>
      </c>
      <c r="G534" s="10" t="s">
        <v>2303</v>
      </c>
      <c r="H534" s="10" t="s">
        <v>2326</v>
      </c>
      <c r="I534" s="10" t="s">
        <v>1039</v>
      </c>
      <c r="J534" s="10" t="s">
        <v>1069</v>
      </c>
      <c r="K534" s="10" t="s">
        <v>1031</v>
      </c>
      <c r="L534" s="10" t="s">
        <v>1247</v>
      </c>
      <c r="M534" s="10" t="s">
        <v>1086</v>
      </c>
      <c r="N534" s="13" t="s">
        <v>1072</v>
      </c>
    </row>
    <row r="535" spans="1:14" x14ac:dyDescent="0.25">
      <c r="A535" s="9" t="s">
        <v>1456</v>
      </c>
      <c r="B535" s="10" t="s">
        <v>1457</v>
      </c>
      <c r="C535" s="10">
        <v>2013</v>
      </c>
      <c r="D535" s="11" t="s">
        <v>2189</v>
      </c>
      <c r="E535" s="10" t="s">
        <v>1630</v>
      </c>
      <c r="F535" s="11" t="s">
        <v>248</v>
      </c>
      <c r="G535" s="10" t="s">
        <v>2271</v>
      </c>
      <c r="H535" s="10" t="s">
        <v>2326</v>
      </c>
      <c r="I535" s="10" t="s">
        <v>1039</v>
      </c>
      <c r="J535" s="10" t="s">
        <v>1030</v>
      </c>
      <c r="K535" s="10" t="s">
        <v>1031</v>
      </c>
      <c r="L535" s="10" t="s">
        <v>1247</v>
      </c>
      <c r="M535" s="10" t="s">
        <v>1055</v>
      </c>
      <c r="N535" s="13" t="s">
        <v>1072</v>
      </c>
    </row>
    <row r="536" spans="1:14" x14ac:dyDescent="0.25">
      <c r="A536" s="9" t="s">
        <v>264</v>
      </c>
      <c r="B536" s="10" t="s">
        <v>265</v>
      </c>
      <c r="C536" s="10">
        <v>2018</v>
      </c>
      <c r="D536" s="11" t="s">
        <v>1708</v>
      </c>
      <c r="E536" s="10" t="s">
        <v>1630</v>
      </c>
      <c r="F536" s="11" t="s">
        <v>248</v>
      </c>
      <c r="G536" s="10" t="s">
        <v>2275</v>
      </c>
      <c r="H536" s="10" t="s">
        <v>2326</v>
      </c>
      <c r="I536" s="12" t="s">
        <v>1039</v>
      </c>
      <c r="J536" s="10" t="s">
        <v>1036</v>
      </c>
      <c r="K536" s="10" t="s">
        <v>1031</v>
      </c>
      <c r="L536" s="10" t="s">
        <v>1247</v>
      </c>
      <c r="M536" s="10" t="s">
        <v>1085</v>
      </c>
      <c r="N536" s="14" t="s">
        <v>1035</v>
      </c>
    </row>
    <row r="537" spans="1:14" x14ac:dyDescent="0.25">
      <c r="A537" s="9" t="s">
        <v>256</v>
      </c>
      <c r="B537" s="10" t="s">
        <v>257</v>
      </c>
      <c r="C537" s="10">
        <v>2016</v>
      </c>
      <c r="D537" s="11" t="s">
        <v>1944</v>
      </c>
      <c r="E537" s="10" t="s">
        <v>1630</v>
      </c>
      <c r="F537" s="11" t="s">
        <v>248</v>
      </c>
      <c r="G537" s="10" t="s">
        <v>2274</v>
      </c>
      <c r="H537" s="10" t="s">
        <v>1057</v>
      </c>
      <c r="I537" s="12" t="s">
        <v>1039</v>
      </c>
      <c r="J537" s="10" t="s">
        <v>1036</v>
      </c>
      <c r="K537" s="10" t="s">
        <v>1031</v>
      </c>
      <c r="L537" s="10" t="s">
        <v>1042</v>
      </c>
      <c r="M537" s="10" t="s">
        <v>1188</v>
      </c>
      <c r="N537" s="14" t="s">
        <v>1035</v>
      </c>
    </row>
    <row r="538" spans="1:14" x14ac:dyDescent="0.25">
      <c r="A538" s="9" t="s">
        <v>258</v>
      </c>
      <c r="B538" s="10" t="s">
        <v>259</v>
      </c>
      <c r="C538" s="10">
        <v>2018</v>
      </c>
      <c r="D538" s="11" t="s">
        <v>1977</v>
      </c>
      <c r="E538" s="10" t="s">
        <v>1630</v>
      </c>
      <c r="F538" s="11" t="s">
        <v>248</v>
      </c>
      <c r="G538" s="10" t="s">
        <v>2266</v>
      </c>
      <c r="H538" s="10" t="s">
        <v>1057</v>
      </c>
      <c r="I538" s="12" t="s">
        <v>1039</v>
      </c>
      <c r="J538" s="10" t="s">
        <v>1040</v>
      </c>
      <c r="K538" s="10" t="s">
        <v>1031</v>
      </c>
      <c r="L538" s="10" t="s">
        <v>1247</v>
      </c>
      <c r="M538" s="12" t="s">
        <v>114</v>
      </c>
      <c r="N538" s="14" t="s">
        <v>1035</v>
      </c>
    </row>
    <row r="539" spans="1:14" x14ac:dyDescent="0.25">
      <c r="A539" s="9" t="s">
        <v>1477</v>
      </c>
      <c r="B539" s="10" t="s">
        <v>1478</v>
      </c>
      <c r="C539" s="10">
        <v>2011</v>
      </c>
      <c r="D539" s="11" t="s">
        <v>2198</v>
      </c>
      <c r="E539" s="10" t="s">
        <v>1630</v>
      </c>
      <c r="F539" s="11" t="s">
        <v>248</v>
      </c>
      <c r="G539" s="10" t="s">
        <v>1544</v>
      </c>
      <c r="H539" s="10" t="s">
        <v>1230</v>
      </c>
      <c r="I539" s="10" t="s">
        <v>1039</v>
      </c>
      <c r="J539" s="10" t="s">
        <v>1030</v>
      </c>
      <c r="K539" s="10" t="s">
        <v>1031</v>
      </c>
      <c r="L539" s="10" t="s">
        <v>1247</v>
      </c>
      <c r="M539" s="10" t="s">
        <v>1479</v>
      </c>
      <c r="N539" s="13" t="s">
        <v>1035</v>
      </c>
    </row>
    <row r="540" spans="1:14" x14ac:dyDescent="0.25">
      <c r="A540" s="9" t="s">
        <v>250</v>
      </c>
      <c r="B540" s="10" t="s">
        <v>251</v>
      </c>
      <c r="C540" s="10">
        <v>2017</v>
      </c>
      <c r="D540" s="11" t="s">
        <v>1717</v>
      </c>
      <c r="E540" s="10" t="s">
        <v>1630</v>
      </c>
      <c r="F540" s="11" t="s">
        <v>248</v>
      </c>
      <c r="G540" s="10" t="s">
        <v>1028</v>
      </c>
      <c r="H540" s="10" t="s">
        <v>2320</v>
      </c>
      <c r="I540" s="12" t="s">
        <v>1029</v>
      </c>
      <c r="J540" s="10" t="s">
        <v>1040</v>
      </c>
      <c r="K540" s="10" t="s">
        <v>1031</v>
      </c>
      <c r="L540" s="10" t="s">
        <v>1032</v>
      </c>
      <c r="M540" s="12" t="s">
        <v>114</v>
      </c>
      <c r="N540" s="14" t="s">
        <v>1035</v>
      </c>
    </row>
    <row r="541" spans="1:14" x14ac:dyDescent="0.25">
      <c r="A541" s="9" t="s">
        <v>252</v>
      </c>
      <c r="B541" s="10" t="s">
        <v>253</v>
      </c>
      <c r="C541" s="10">
        <v>2017</v>
      </c>
      <c r="D541" s="11" t="s">
        <v>1717</v>
      </c>
      <c r="E541" s="10" t="s">
        <v>1630</v>
      </c>
      <c r="F541" s="11" t="s">
        <v>248</v>
      </c>
      <c r="G541" s="10" t="s">
        <v>1028</v>
      </c>
      <c r="H541" s="10" t="s">
        <v>2320</v>
      </c>
      <c r="I541" s="12" t="s">
        <v>1029</v>
      </c>
      <c r="J541" s="10" t="s">
        <v>1040</v>
      </c>
      <c r="K541" s="12" t="s">
        <v>1037</v>
      </c>
      <c r="L541" s="10" t="s">
        <v>1032</v>
      </c>
      <c r="M541" s="12" t="s">
        <v>114</v>
      </c>
      <c r="N541" s="14" t="s">
        <v>1035</v>
      </c>
    </row>
    <row r="542" spans="1:14" x14ac:dyDescent="0.25">
      <c r="A542" s="9" t="s">
        <v>555</v>
      </c>
      <c r="B542" s="10" t="s">
        <v>556</v>
      </c>
      <c r="C542" s="10">
        <v>2019</v>
      </c>
      <c r="D542" s="11" t="s">
        <v>1863</v>
      </c>
      <c r="E542" s="10" t="s">
        <v>1630</v>
      </c>
      <c r="F542" s="11" t="s">
        <v>557</v>
      </c>
      <c r="G542" s="10" t="s">
        <v>1028</v>
      </c>
      <c r="H542" s="10" t="s">
        <v>2334</v>
      </c>
      <c r="I542" s="12" t="s">
        <v>1029</v>
      </c>
      <c r="J542" s="10" t="s">
        <v>1030</v>
      </c>
      <c r="K542" s="10" t="s">
        <v>1031</v>
      </c>
      <c r="L542" s="10" t="s">
        <v>1032</v>
      </c>
      <c r="M542" s="10" t="s">
        <v>1149</v>
      </c>
      <c r="N542" s="14" t="s">
        <v>1035</v>
      </c>
    </row>
    <row r="543" spans="1:14" x14ac:dyDescent="0.25">
      <c r="A543" s="9" t="s">
        <v>558</v>
      </c>
      <c r="B543" s="10" t="s">
        <v>559</v>
      </c>
      <c r="C543" s="10">
        <v>2022</v>
      </c>
      <c r="D543" s="11" t="s">
        <v>1989</v>
      </c>
      <c r="E543" s="10" t="s">
        <v>1630</v>
      </c>
      <c r="F543" s="11" t="s">
        <v>557</v>
      </c>
      <c r="G543" s="10" t="s">
        <v>1203</v>
      </c>
      <c r="H543" s="10" t="s">
        <v>1057</v>
      </c>
      <c r="I543" s="12" t="s">
        <v>1039</v>
      </c>
      <c r="J543" s="10" t="s">
        <v>1030</v>
      </c>
      <c r="K543" s="10" t="s">
        <v>1031</v>
      </c>
      <c r="L543" s="10" t="s">
        <v>1042</v>
      </c>
      <c r="M543" s="10" t="s">
        <v>1050</v>
      </c>
      <c r="N543" s="14" t="s">
        <v>1035</v>
      </c>
    </row>
    <row r="544" spans="1:14" x14ac:dyDescent="0.25">
      <c r="A544" s="9" t="s">
        <v>356</v>
      </c>
      <c r="B544" s="10" t="s">
        <v>357</v>
      </c>
      <c r="C544" s="10">
        <v>2017</v>
      </c>
      <c r="D544" s="11" t="s">
        <v>1819</v>
      </c>
      <c r="E544" s="10" t="s">
        <v>1630</v>
      </c>
      <c r="F544" s="11" t="s">
        <v>358</v>
      </c>
      <c r="G544" s="10" t="s">
        <v>1610</v>
      </c>
      <c r="H544" s="10" t="s">
        <v>2326</v>
      </c>
      <c r="I544" s="12" t="s">
        <v>1029</v>
      </c>
      <c r="J544" s="10" t="s">
        <v>1036</v>
      </c>
      <c r="K544" s="12" t="s">
        <v>1037</v>
      </c>
      <c r="L544" s="10" t="s">
        <v>1032</v>
      </c>
      <c r="M544" s="12" t="s">
        <v>114</v>
      </c>
      <c r="N544" s="13" t="s">
        <v>1072</v>
      </c>
    </row>
    <row r="545" spans="1:14" x14ac:dyDescent="0.25">
      <c r="A545" s="9" t="s">
        <v>359</v>
      </c>
      <c r="B545" s="10" t="s">
        <v>360</v>
      </c>
      <c r="C545" s="10">
        <v>2017</v>
      </c>
      <c r="D545" s="11" t="s">
        <v>1752</v>
      </c>
      <c r="E545" s="10" t="s">
        <v>1630</v>
      </c>
      <c r="F545" s="11" t="s">
        <v>358</v>
      </c>
      <c r="G545" s="12" t="s">
        <v>1201</v>
      </c>
      <c r="H545" s="10" t="s">
        <v>2331</v>
      </c>
      <c r="I545" s="12" t="s">
        <v>1029</v>
      </c>
      <c r="J545" s="12" t="s">
        <v>1040</v>
      </c>
      <c r="K545" s="10" t="s">
        <v>1031</v>
      </c>
      <c r="L545" s="10" t="s">
        <v>1247</v>
      </c>
      <c r="M545" s="12" t="s">
        <v>114</v>
      </c>
      <c r="N545" s="13" t="s">
        <v>1072</v>
      </c>
    </row>
    <row r="546" spans="1:14" x14ac:dyDescent="0.25">
      <c r="A546" s="9" t="s">
        <v>181</v>
      </c>
      <c r="B546" s="10" t="s">
        <v>182</v>
      </c>
      <c r="C546" s="10">
        <v>2016</v>
      </c>
      <c r="D546" s="11" t="s">
        <v>1841</v>
      </c>
      <c r="E546" s="10" t="s">
        <v>1630</v>
      </c>
      <c r="F546" s="11" t="s">
        <v>167</v>
      </c>
      <c r="G546" s="10" t="s">
        <v>2269</v>
      </c>
      <c r="H546" s="10" t="s">
        <v>2336</v>
      </c>
      <c r="I546" s="12" t="s">
        <v>1029</v>
      </c>
      <c r="J546" s="10" t="s">
        <v>1040</v>
      </c>
      <c r="K546" s="10" t="s">
        <v>1031</v>
      </c>
      <c r="L546" s="10" t="s">
        <v>1032</v>
      </c>
      <c r="M546" s="12" t="s">
        <v>114</v>
      </c>
      <c r="N546" s="14" t="s">
        <v>1035</v>
      </c>
    </row>
    <row r="547" spans="1:14" x14ac:dyDescent="0.25">
      <c r="A547" s="9" t="s">
        <v>187</v>
      </c>
      <c r="B547" s="10" t="s">
        <v>188</v>
      </c>
      <c r="C547" s="10">
        <v>2014</v>
      </c>
      <c r="D547" s="11" t="s">
        <v>2086</v>
      </c>
      <c r="E547" s="10" t="s">
        <v>1630</v>
      </c>
      <c r="F547" s="11" t="s">
        <v>167</v>
      </c>
      <c r="G547" s="10" t="s">
        <v>1080</v>
      </c>
      <c r="H547" s="10" t="s">
        <v>2326</v>
      </c>
      <c r="I547" s="12" t="s">
        <v>1029</v>
      </c>
      <c r="J547" s="10" t="s">
        <v>1040</v>
      </c>
      <c r="K547" s="12" t="s">
        <v>1037</v>
      </c>
      <c r="L547" s="10" t="s">
        <v>1032</v>
      </c>
      <c r="M547" s="12" t="s">
        <v>114</v>
      </c>
      <c r="N547" s="14" t="s">
        <v>1035</v>
      </c>
    </row>
    <row r="548" spans="1:14" x14ac:dyDescent="0.25">
      <c r="A548" s="9" t="s">
        <v>171</v>
      </c>
      <c r="B548" s="10" t="s">
        <v>172</v>
      </c>
      <c r="C548" s="10">
        <v>2012</v>
      </c>
      <c r="D548" s="11" t="s">
        <v>1827</v>
      </c>
      <c r="E548" s="10" t="s">
        <v>1630</v>
      </c>
      <c r="F548" s="11" t="s">
        <v>167</v>
      </c>
      <c r="G548" s="10" t="s">
        <v>2266</v>
      </c>
      <c r="H548" s="10" t="s">
        <v>2326</v>
      </c>
      <c r="I548" s="12" t="s">
        <v>1029</v>
      </c>
      <c r="J548" s="10" t="s">
        <v>1040</v>
      </c>
      <c r="K548" s="10" t="s">
        <v>1031</v>
      </c>
      <c r="L548" s="12" t="s">
        <v>1042</v>
      </c>
      <c r="M548" s="12" t="s">
        <v>114</v>
      </c>
      <c r="N548" s="14" t="s">
        <v>1035</v>
      </c>
    </row>
    <row r="549" spans="1:14" x14ac:dyDescent="0.25">
      <c r="A549" s="9" t="s">
        <v>179</v>
      </c>
      <c r="B549" s="10" t="s">
        <v>180</v>
      </c>
      <c r="C549" s="10">
        <v>2009</v>
      </c>
      <c r="D549" s="11" t="s">
        <v>1828</v>
      </c>
      <c r="E549" s="10" t="s">
        <v>1630</v>
      </c>
      <c r="F549" s="11" t="s">
        <v>167</v>
      </c>
      <c r="G549" s="10" t="s">
        <v>1028</v>
      </c>
      <c r="H549" s="10" t="s">
        <v>2326</v>
      </c>
      <c r="I549" s="12" t="s">
        <v>1029</v>
      </c>
      <c r="J549" s="10" t="s">
        <v>1040</v>
      </c>
      <c r="K549" s="10" t="s">
        <v>1031</v>
      </c>
      <c r="L549" s="10" t="s">
        <v>1247</v>
      </c>
      <c r="M549" s="12" t="s">
        <v>114</v>
      </c>
      <c r="N549" s="14" t="s">
        <v>1035</v>
      </c>
    </row>
    <row r="550" spans="1:14" x14ac:dyDescent="0.25">
      <c r="A550" s="9" t="s">
        <v>177</v>
      </c>
      <c r="B550" s="10" t="s">
        <v>178</v>
      </c>
      <c r="C550" s="32">
        <v>2016</v>
      </c>
      <c r="D550" s="11" t="s">
        <v>1841</v>
      </c>
      <c r="E550" s="10" t="s">
        <v>1630</v>
      </c>
      <c r="F550" s="33" t="s">
        <v>167</v>
      </c>
      <c r="G550" s="10" t="s">
        <v>1164</v>
      </c>
      <c r="H550" s="10" t="s">
        <v>2352</v>
      </c>
      <c r="I550" s="12" t="s">
        <v>1029</v>
      </c>
      <c r="J550" s="12" t="s">
        <v>1040</v>
      </c>
      <c r="K550" s="12" t="s">
        <v>1037</v>
      </c>
      <c r="L550" s="10" t="s">
        <v>1032</v>
      </c>
      <c r="M550" s="10" t="s">
        <v>1130</v>
      </c>
      <c r="N550" s="14" t="s">
        <v>1035</v>
      </c>
    </row>
    <row r="551" spans="1:14" x14ac:dyDescent="0.25">
      <c r="A551" s="9" t="s">
        <v>173</v>
      </c>
      <c r="B551" s="10" t="s">
        <v>174</v>
      </c>
      <c r="C551" s="32">
        <v>2016</v>
      </c>
      <c r="D551" s="11" t="s">
        <v>1840</v>
      </c>
      <c r="E551" s="10" t="s">
        <v>1630</v>
      </c>
      <c r="F551" s="33" t="s">
        <v>167</v>
      </c>
      <c r="G551" s="10" t="s">
        <v>1054</v>
      </c>
      <c r="H551" s="10" t="s">
        <v>2329</v>
      </c>
      <c r="I551" s="12" t="s">
        <v>1029</v>
      </c>
      <c r="J551" s="10" t="s">
        <v>1030</v>
      </c>
      <c r="K551" s="10" t="s">
        <v>1031</v>
      </c>
      <c r="L551" s="10" t="s">
        <v>1042</v>
      </c>
      <c r="M551" s="12" t="s">
        <v>114</v>
      </c>
      <c r="N551" s="14" t="s">
        <v>1035</v>
      </c>
    </row>
    <row r="552" spans="1:14" x14ac:dyDescent="0.25">
      <c r="A552" s="9" t="s">
        <v>183</v>
      </c>
      <c r="B552" s="10" t="s">
        <v>184</v>
      </c>
      <c r="C552" s="10">
        <v>2017</v>
      </c>
      <c r="D552" s="11" t="s">
        <v>1958</v>
      </c>
      <c r="E552" s="10" t="s">
        <v>1630</v>
      </c>
      <c r="F552" s="11" t="s">
        <v>167</v>
      </c>
      <c r="G552" s="10" t="s">
        <v>2300</v>
      </c>
      <c r="H552" s="10" t="s">
        <v>1057</v>
      </c>
      <c r="I552" s="12" t="s">
        <v>1039</v>
      </c>
      <c r="J552" s="10" t="s">
        <v>1036</v>
      </c>
      <c r="K552" s="10" t="s">
        <v>1031</v>
      </c>
      <c r="L552" s="10" t="s">
        <v>1247</v>
      </c>
      <c r="M552" s="12" t="s">
        <v>114</v>
      </c>
      <c r="N552" s="14" t="s">
        <v>1035</v>
      </c>
    </row>
    <row r="553" spans="1:14" x14ac:dyDescent="0.25">
      <c r="A553" s="9" t="s">
        <v>169</v>
      </c>
      <c r="B553" s="10" t="s">
        <v>170</v>
      </c>
      <c r="C553" s="10">
        <v>2016</v>
      </c>
      <c r="D553" s="11" t="s">
        <v>2003</v>
      </c>
      <c r="E553" s="10" t="s">
        <v>1630</v>
      </c>
      <c r="F553" s="11" t="s">
        <v>167</v>
      </c>
      <c r="G553" s="10" t="s">
        <v>2266</v>
      </c>
      <c r="H553" s="10" t="s">
        <v>1057</v>
      </c>
      <c r="I553" s="12" t="s">
        <v>1039</v>
      </c>
      <c r="J553" s="10" t="s">
        <v>1030</v>
      </c>
      <c r="K553" s="10" t="s">
        <v>1031</v>
      </c>
      <c r="L553" s="10" t="s">
        <v>1247</v>
      </c>
      <c r="M553" s="10" t="s">
        <v>1049</v>
      </c>
      <c r="N553" s="14" t="s">
        <v>1035</v>
      </c>
    </row>
    <row r="554" spans="1:14" x14ac:dyDescent="0.25">
      <c r="A554" s="9" t="s">
        <v>185</v>
      </c>
      <c r="B554" s="10" t="s">
        <v>186</v>
      </c>
      <c r="C554" s="10">
        <v>2012</v>
      </c>
      <c r="D554" s="11" t="s">
        <v>1959</v>
      </c>
      <c r="E554" s="10" t="s">
        <v>1630</v>
      </c>
      <c r="F554" s="11" t="s">
        <v>167</v>
      </c>
      <c r="G554" s="10" t="s">
        <v>1028</v>
      </c>
      <c r="H554" s="10" t="s">
        <v>1057</v>
      </c>
      <c r="I554" s="12" t="s">
        <v>1039</v>
      </c>
      <c r="J554" s="10" t="s">
        <v>1040</v>
      </c>
      <c r="K554" s="10" t="s">
        <v>1031</v>
      </c>
      <c r="L554" s="10" t="s">
        <v>1032</v>
      </c>
      <c r="M554" s="12" t="s">
        <v>114</v>
      </c>
      <c r="N554" s="14" t="s">
        <v>1035</v>
      </c>
    </row>
    <row r="555" spans="1:14" x14ac:dyDescent="0.25">
      <c r="A555" s="9" t="s">
        <v>165</v>
      </c>
      <c r="B555" s="10" t="s">
        <v>166</v>
      </c>
      <c r="C555" s="10">
        <v>2017</v>
      </c>
      <c r="D555" s="11" t="s">
        <v>1933</v>
      </c>
      <c r="E555" s="10" t="s">
        <v>1630</v>
      </c>
      <c r="F555" s="11" t="s">
        <v>167</v>
      </c>
      <c r="G555" s="12" t="s">
        <v>1028</v>
      </c>
      <c r="H555" s="10" t="s">
        <v>1646</v>
      </c>
      <c r="I555" s="12" t="s">
        <v>1039</v>
      </c>
      <c r="J555" s="12" t="s">
        <v>1030</v>
      </c>
      <c r="K555" s="10" t="s">
        <v>1031</v>
      </c>
      <c r="L555" s="10" t="s">
        <v>1247</v>
      </c>
      <c r="M555" s="12" t="s">
        <v>1049</v>
      </c>
      <c r="N555" s="14" t="s">
        <v>1035</v>
      </c>
    </row>
    <row r="556" spans="1:14" x14ac:dyDescent="0.25">
      <c r="A556" s="9" t="s">
        <v>175</v>
      </c>
      <c r="B556" s="10" t="s">
        <v>176</v>
      </c>
      <c r="C556" s="10">
        <v>2014</v>
      </c>
      <c r="D556" s="11" t="s">
        <v>1700</v>
      </c>
      <c r="E556" s="10" t="s">
        <v>1630</v>
      </c>
      <c r="F556" s="11" t="s">
        <v>167</v>
      </c>
      <c r="G556" s="10" t="s">
        <v>2275</v>
      </c>
      <c r="H556" s="10" t="s">
        <v>2420</v>
      </c>
      <c r="I556" s="12" t="s">
        <v>1029</v>
      </c>
      <c r="J556" s="10" t="s">
        <v>1040</v>
      </c>
      <c r="K556" s="10" t="s">
        <v>1031</v>
      </c>
      <c r="L556" s="10" t="s">
        <v>1042</v>
      </c>
      <c r="M556" s="12" t="s">
        <v>114</v>
      </c>
      <c r="N556" s="13" t="s">
        <v>1072</v>
      </c>
    </row>
    <row r="557" spans="1:14" x14ac:dyDescent="0.25">
      <c r="A557" s="9" t="s">
        <v>1553</v>
      </c>
      <c r="B557" s="10" t="s">
        <v>1554</v>
      </c>
      <c r="C557" s="10">
        <v>2020</v>
      </c>
      <c r="D557" s="11" t="s">
        <v>2223</v>
      </c>
      <c r="E557" s="10" t="s">
        <v>1630</v>
      </c>
      <c r="F557" s="11" t="s">
        <v>167</v>
      </c>
      <c r="G557" s="10" t="s">
        <v>2282</v>
      </c>
      <c r="H557" s="10" t="s">
        <v>1229</v>
      </c>
      <c r="I557" s="10" t="s">
        <v>1493</v>
      </c>
      <c r="J557" s="10" t="s">
        <v>1030</v>
      </c>
      <c r="K557" s="10" t="s">
        <v>1031</v>
      </c>
      <c r="L557" s="10" t="s">
        <v>1247</v>
      </c>
      <c r="M557" s="10" t="s">
        <v>1067</v>
      </c>
      <c r="N557" s="13" t="s">
        <v>1072</v>
      </c>
    </row>
    <row r="558" spans="1:14" x14ac:dyDescent="0.25">
      <c r="A558" s="9" t="s">
        <v>168</v>
      </c>
      <c r="B558" s="10" t="s">
        <v>816</v>
      </c>
      <c r="C558" s="10">
        <v>2016</v>
      </c>
      <c r="D558" s="11" t="s">
        <v>1866</v>
      </c>
      <c r="E558" s="10" t="s">
        <v>1630</v>
      </c>
      <c r="F558" s="11" t="s">
        <v>167</v>
      </c>
      <c r="G558" s="12" t="s">
        <v>1028</v>
      </c>
      <c r="H558" s="10" t="s">
        <v>2357</v>
      </c>
      <c r="I558" s="12" t="s">
        <v>1039</v>
      </c>
      <c r="J558" s="12" t="s">
        <v>1030</v>
      </c>
      <c r="K558" s="10" t="s">
        <v>1031</v>
      </c>
      <c r="L558" s="10" t="s">
        <v>1032</v>
      </c>
      <c r="M558" s="12" t="s">
        <v>1050</v>
      </c>
      <c r="N558" s="14" t="s">
        <v>1035</v>
      </c>
    </row>
    <row r="559" spans="1:14" x14ac:dyDescent="0.25">
      <c r="A559" s="9" t="s">
        <v>189</v>
      </c>
      <c r="B559" s="10" t="s">
        <v>190</v>
      </c>
      <c r="C559" s="39">
        <v>2013</v>
      </c>
      <c r="D559" s="11" t="s">
        <v>1749</v>
      </c>
      <c r="E559" s="10" t="s">
        <v>1630</v>
      </c>
      <c r="F559" s="33" t="s">
        <v>167</v>
      </c>
      <c r="G559" s="12" t="s">
        <v>1028</v>
      </c>
      <c r="H559" s="10" t="s">
        <v>2340</v>
      </c>
      <c r="I559" s="12" t="s">
        <v>1029</v>
      </c>
      <c r="J559" s="12" t="s">
        <v>1036</v>
      </c>
      <c r="K559" s="10" t="s">
        <v>1031</v>
      </c>
      <c r="L559" s="10" t="s">
        <v>1032</v>
      </c>
      <c r="M559" s="12" t="s">
        <v>114</v>
      </c>
      <c r="N559" s="14" t="s">
        <v>1035</v>
      </c>
    </row>
    <row r="560" spans="1:14" x14ac:dyDescent="0.25">
      <c r="A560" s="9" t="s">
        <v>553</v>
      </c>
      <c r="B560" s="10" t="s">
        <v>554</v>
      </c>
      <c r="C560" s="10">
        <v>2021</v>
      </c>
      <c r="D560" s="11" t="s">
        <v>1986</v>
      </c>
      <c r="E560" s="10" t="s">
        <v>1630</v>
      </c>
      <c r="F560" s="11" t="s">
        <v>411</v>
      </c>
      <c r="G560" s="10" t="s">
        <v>2278</v>
      </c>
      <c r="H560" s="10" t="s">
        <v>1057</v>
      </c>
      <c r="I560" s="12" t="s">
        <v>1039</v>
      </c>
      <c r="J560" s="10" t="s">
        <v>1030</v>
      </c>
      <c r="K560" s="12" t="s">
        <v>1037</v>
      </c>
      <c r="L560" s="10" t="s">
        <v>1247</v>
      </c>
      <c r="M560" s="12" t="s">
        <v>114</v>
      </c>
      <c r="N560" s="14" t="s">
        <v>1035</v>
      </c>
    </row>
    <row r="561" spans="1:14" x14ac:dyDescent="0.25">
      <c r="A561" s="9" t="s">
        <v>409</v>
      </c>
      <c r="B561" s="10" t="s">
        <v>410</v>
      </c>
      <c r="C561" s="10">
        <v>2019</v>
      </c>
      <c r="D561" s="11" t="s">
        <v>1848</v>
      </c>
      <c r="E561" s="10" t="s">
        <v>1630</v>
      </c>
      <c r="F561" s="11" t="s">
        <v>411</v>
      </c>
      <c r="G561" s="10" t="s">
        <v>1028</v>
      </c>
      <c r="H561" s="10" t="s">
        <v>1057</v>
      </c>
      <c r="I561" s="12" t="s">
        <v>1039</v>
      </c>
      <c r="J561" s="10" t="s">
        <v>1040</v>
      </c>
      <c r="K561" s="10" t="s">
        <v>1031</v>
      </c>
      <c r="L561" s="10" t="s">
        <v>1032</v>
      </c>
      <c r="M561" s="12" t="s">
        <v>114</v>
      </c>
      <c r="N561" s="14" t="s">
        <v>1035</v>
      </c>
    </row>
    <row r="562" spans="1:14" x14ac:dyDescent="0.25">
      <c r="A562" s="9" t="s">
        <v>414</v>
      </c>
      <c r="B562" s="10" t="s">
        <v>415</v>
      </c>
      <c r="C562" s="10">
        <v>2019</v>
      </c>
      <c r="D562" s="11" t="s">
        <v>1925</v>
      </c>
      <c r="E562" s="10" t="s">
        <v>1630</v>
      </c>
      <c r="F562" s="11" t="s">
        <v>411</v>
      </c>
      <c r="G562" s="10" t="s">
        <v>1080</v>
      </c>
      <c r="H562" s="10" t="s">
        <v>2331</v>
      </c>
      <c r="I562" s="12" t="s">
        <v>1039</v>
      </c>
      <c r="J562" s="10" t="s">
        <v>1040</v>
      </c>
      <c r="K562" s="12" t="s">
        <v>1037</v>
      </c>
      <c r="L562" s="10" t="s">
        <v>1032</v>
      </c>
      <c r="M562" s="10" t="s">
        <v>1136</v>
      </c>
      <c r="N562" s="14" t="s">
        <v>1035</v>
      </c>
    </row>
    <row r="563" spans="1:14" x14ac:dyDescent="0.25">
      <c r="A563" s="9" t="s">
        <v>1533</v>
      </c>
      <c r="B563" s="10" t="s">
        <v>1534</v>
      </c>
      <c r="C563" s="10">
        <v>2021</v>
      </c>
      <c r="D563" s="11" t="s">
        <v>2217</v>
      </c>
      <c r="E563" s="10" t="s">
        <v>1630</v>
      </c>
      <c r="F563" s="11" t="s">
        <v>203</v>
      </c>
      <c r="G563" s="10" t="s">
        <v>2266</v>
      </c>
      <c r="H563" s="10" t="s">
        <v>1057</v>
      </c>
      <c r="I563" s="10" t="s">
        <v>1493</v>
      </c>
      <c r="J563" s="10" t="s">
        <v>1030</v>
      </c>
      <c r="K563" s="10" t="s">
        <v>1031</v>
      </c>
      <c r="L563" s="10" t="s">
        <v>1247</v>
      </c>
      <c r="M563" s="10" t="s">
        <v>114</v>
      </c>
      <c r="N563" s="13" t="s">
        <v>1035</v>
      </c>
    </row>
    <row r="564" spans="1:14" x14ac:dyDescent="0.25">
      <c r="A564" s="9" t="s">
        <v>204</v>
      </c>
      <c r="B564" s="10" t="s">
        <v>205</v>
      </c>
      <c r="C564" s="10">
        <v>2018</v>
      </c>
      <c r="D564" s="11" t="s">
        <v>2005</v>
      </c>
      <c r="E564" s="10" t="s">
        <v>1630</v>
      </c>
      <c r="F564" s="11" t="s">
        <v>203</v>
      </c>
      <c r="G564" s="10" t="s">
        <v>2266</v>
      </c>
      <c r="H564" s="10" t="s">
        <v>1057</v>
      </c>
      <c r="I564" s="12" t="s">
        <v>1039</v>
      </c>
      <c r="J564" s="10" t="s">
        <v>1030</v>
      </c>
      <c r="K564" s="10" t="s">
        <v>1031</v>
      </c>
      <c r="L564" s="10" t="s">
        <v>1247</v>
      </c>
      <c r="M564" s="12" t="s">
        <v>114</v>
      </c>
      <c r="N564" s="14" t="s">
        <v>1035</v>
      </c>
    </row>
    <row r="565" spans="1:14" x14ac:dyDescent="0.25">
      <c r="A565" s="9" t="s">
        <v>869</v>
      </c>
      <c r="B565" s="10" t="s">
        <v>871</v>
      </c>
      <c r="C565" s="10">
        <v>2021</v>
      </c>
      <c r="D565" s="11" t="s">
        <v>2247</v>
      </c>
      <c r="E565" s="10" t="s">
        <v>1630</v>
      </c>
      <c r="F565" s="11" t="s">
        <v>1591</v>
      </c>
      <c r="G565" s="10" t="s">
        <v>1094</v>
      </c>
      <c r="H565" s="10" t="s">
        <v>2326</v>
      </c>
      <c r="I565" s="10" t="s">
        <v>1039</v>
      </c>
      <c r="J565" s="10" t="s">
        <v>1040</v>
      </c>
      <c r="K565" s="10" t="s">
        <v>1031</v>
      </c>
      <c r="L565" s="10" t="s">
        <v>1032</v>
      </c>
      <c r="M565" s="10" t="s">
        <v>1086</v>
      </c>
      <c r="N565" s="13" t="s">
        <v>1072</v>
      </c>
    </row>
    <row r="566" spans="1:14" x14ac:dyDescent="0.25">
      <c r="A566" s="9" t="s">
        <v>283</v>
      </c>
      <c r="B566" s="10" t="s">
        <v>284</v>
      </c>
      <c r="C566" s="10">
        <v>2017</v>
      </c>
      <c r="D566" s="11" t="s">
        <v>2064</v>
      </c>
      <c r="E566" s="10" t="s">
        <v>1630</v>
      </c>
      <c r="F566" s="11" t="s">
        <v>274</v>
      </c>
      <c r="G566" s="10" t="s">
        <v>2266</v>
      </c>
      <c r="H566" s="10" t="s">
        <v>2366</v>
      </c>
      <c r="I566" s="12" t="s">
        <v>1039</v>
      </c>
      <c r="J566" s="12" t="s">
        <v>1030</v>
      </c>
      <c r="K566" s="10" t="s">
        <v>1031</v>
      </c>
      <c r="L566" s="10" t="s">
        <v>1247</v>
      </c>
      <c r="M566" s="12" t="s">
        <v>114</v>
      </c>
      <c r="N566" s="14" t="s">
        <v>1035</v>
      </c>
    </row>
    <row r="567" spans="1:14" ht="25.5" x14ac:dyDescent="0.25">
      <c r="A567" s="9" t="s">
        <v>279</v>
      </c>
      <c r="B567" s="10" t="s">
        <v>280</v>
      </c>
      <c r="C567" s="32">
        <v>2013</v>
      </c>
      <c r="D567" s="11" t="s">
        <v>1838</v>
      </c>
      <c r="E567" s="10" t="s">
        <v>1630</v>
      </c>
      <c r="F567" s="33" t="s">
        <v>274</v>
      </c>
      <c r="G567" s="10" t="s">
        <v>2266</v>
      </c>
      <c r="H567" s="10" t="s">
        <v>2326</v>
      </c>
      <c r="I567" s="10" t="s">
        <v>1039</v>
      </c>
      <c r="J567" s="12" t="s">
        <v>1688</v>
      </c>
      <c r="K567" s="10" t="s">
        <v>1031</v>
      </c>
      <c r="L567" s="10" t="s">
        <v>1247</v>
      </c>
      <c r="M567" s="12" t="s">
        <v>1055</v>
      </c>
      <c r="N567" s="13" t="s">
        <v>1072</v>
      </c>
    </row>
    <row r="568" spans="1:14" x14ac:dyDescent="0.25">
      <c r="A568" s="9" t="s">
        <v>281</v>
      </c>
      <c r="B568" s="10" t="s">
        <v>282</v>
      </c>
      <c r="C568" s="10">
        <v>2016</v>
      </c>
      <c r="D568" s="11" t="s">
        <v>2023</v>
      </c>
      <c r="E568" s="10" t="s">
        <v>1630</v>
      </c>
      <c r="F568" s="11" t="s">
        <v>274</v>
      </c>
      <c r="G568" s="10" t="s">
        <v>2275</v>
      </c>
      <c r="H568" s="10" t="s">
        <v>1166</v>
      </c>
      <c r="I568" s="12" t="s">
        <v>1039</v>
      </c>
      <c r="J568" s="12" t="s">
        <v>1030</v>
      </c>
      <c r="K568" s="12" t="s">
        <v>1037</v>
      </c>
      <c r="L568" s="10" t="s">
        <v>1247</v>
      </c>
      <c r="M568" s="12" t="s">
        <v>1049</v>
      </c>
      <c r="N568" s="14" t="s">
        <v>1035</v>
      </c>
    </row>
    <row r="569" spans="1:14" ht="25.5" x14ac:dyDescent="0.25">
      <c r="A569" s="9" t="s">
        <v>275</v>
      </c>
      <c r="B569" s="10" t="s">
        <v>276</v>
      </c>
      <c r="C569" s="10">
        <v>2015</v>
      </c>
      <c r="D569" s="11" t="s">
        <v>2035</v>
      </c>
      <c r="E569" s="10" t="s">
        <v>1630</v>
      </c>
      <c r="F569" s="11" t="s">
        <v>274</v>
      </c>
      <c r="G569" s="12" t="s">
        <v>1028</v>
      </c>
      <c r="H569" s="10" t="s">
        <v>1168</v>
      </c>
      <c r="I569" s="12" t="s">
        <v>1039</v>
      </c>
      <c r="J569" s="12" t="s">
        <v>1040</v>
      </c>
      <c r="K569" s="10" t="s">
        <v>1031</v>
      </c>
      <c r="L569" s="10" t="s">
        <v>1247</v>
      </c>
      <c r="M569" s="12" t="s">
        <v>1219</v>
      </c>
      <c r="N569" s="14" t="s">
        <v>1035</v>
      </c>
    </row>
    <row r="570" spans="1:14" x14ac:dyDescent="0.25">
      <c r="A570" s="9" t="s">
        <v>272</v>
      </c>
      <c r="B570" s="10" t="s">
        <v>273</v>
      </c>
      <c r="C570" s="10">
        <v>2018</v>
      </c>
      <c r="D570" s="11" t="s">
        <v>2058</v>
      </c>
      <c r="E570" s="10" t="s">
        <v>1630</v>
      </c>
      <c r="F570" s="11" t="s">
        <v>274</v>
      </c>
      <c r="G570" s="10" t="s">
        <v>1538</v>
      </c>
      <c r="H570" s="10" t="s">
        <v>1230</v>
      </c>
      <c r="I570" s="12" t="s">
        <v>1039</v>
      </c>
      <c r="J570" s="12" t="s">
        <v>1030</v>
      </c>
      <c r="K570" s="10" t="s">
        <v>1031</v>
      </c>
      <c r="L570" s="10" t="s">
        <v>1247</v>
      </c>
      <c r="M570" s="12" t="s">
        <v>1049</v>
      </c>
      <c r="N570" s="14" t="s">
        <v>1035</v>
      </c>
    </row>
    <row r="571" spans="1:14" x14ac:dyDescent="0.25">
      <c r="A571" s="9" t="s">
        <v>1535</v>
      </c>
      <c r="B571" s="10" t="s">
        <v>1536</v>
      </c>
      <c r="C571" s="10">
        <v>2015</v>
      </c>
      <c r="D571" s="11" t="s">
        <v>2218</v>
      </c>
      <c r="E571" s="10" t="s">
        <v>1630</v>
      </c>
      <c r="F571" s="11" t="s">
        <v>1537</v>
      </c>
      <c r="G571" s="10" t="s">
        <v>1538</v>
      </c>
      <c r="H571" s="10" t="s">
        <v>1230</v>
      </c>
      <c r="I571" s="10" t="s">
        <v>1493</v>
      </c>
      <c r="J571" s="10" t="s">
        <v>1030</v>
      </c>
      <c r="K571" s="12" t="s">
        <v>1037</v>
      </c>
      <c r="L571" s="10" t="s">
        <v>1247</v>
      </c>
      <c r="M571" s="10" t="s">
        <v>1539</v>
      </c>
      <c r="N571" s="13" t="s">
        <v>1035</v>
      </c>
    </row>
    <row r="572" spans="1:14" x14ac:dyDescent="0.25">
      <c r="A572" s="9" t="s">
        <v>277</v>
      </c>
      <c r="B572" s="10" t="s">
        <v>278</v>
      </c>
      <c r="C572" s="10">
        <v>2018</v>
      </c>
      <c r="D572" s="11" t="s">
        <v>1750</v>
      </c>
      <c r="E572" s="10" t="s">
        <v>1630</v>
      </c>
      <c r="F572" s="11" t="s">
        <v>274</v>
      </c>
      <c r="G572" s="12" t="s">
        <v>1028</v>
      </c>
      <c r="H572" s="10" t="s">
        <v>2320</v>
      </c>
      <c r="I572" s="12" t="s">
        <v>1029</v>
      </c>
      <c r="J572" s="12" t="s">
        <v>1040</v>
      </c>
      <c r="K572" s="10" t="s">
        <v>1031</v>
      </c>
      <c r="L572" s="10" t="s">
        <v>1032</v>
      </c>
      <c r="M572" s="12" t="s">
        <v>114</v>
      </c>
      <c r="N572" s="14" t="s">
        <v>1035</v>
      </c>
    </row>
    <row r="573" spans="1:14" x14ac:dyDescent="0.25">
      <c r="A573" s="9" t="s">
        <v>285</v>
      </c>
      <c r="B573" s="10" t="s">
        <v>286</v>
      </c>
      <c r="C573" s="10">
        <v>2017</v>
      </c>
      <c r="D573" s="11" t="s">
        <v>1912</v>
      </c>
      <c r="E573" s="10" t="s">
        <v>1630</v>
      </c>
      <c r="F573" s="11" t="s">
        <v>274</v>
      </c>
      <c r="G573" s="12" t="s">
        <v>1054</v>
      </c>
      <c r="H573" s="10" t="s">
        <v>2331</v>
      </c>
      <c r="I573" s="12" t="s">
        <v>1039</v>
      </c>
      <c r="J573" s="12" t="s">
        <v>1040</v>
      </c>
      <c r="K573" s="10" t="s">
        <v>1031</v>
      </c>
      <c r="L573" s="10" t="s">
        <v>1247</v>
      </c>
      <c r="M573" s="12" t="s">
        <v>1055</v>
      </c>
      <c r="N573" s="14" t="s">
        <v>1035</v>
      </c>
    </row>
    <row r="574" spans="1:14" x14ac:dyDescent="0.25">
      <c r="A574" s="9" t="s">
        <v>434</v>
      </c>
      <c r="B574" s="10" t="s">
        <v>435</v>
      </c>
      <c r="C574" s="10">
        <v>2019</v>
      </c>
      <c r="D574" s="11" t="s">
        <v>1990</v>
      </c>
      <c r="E574" s="10" t="s">
        <v>1630</v>
      </c>
      <c r="F574" s="11" t="s">
        <v>436</v>
      </c>
      <c r="G574" s="10" t="s">
        <v>2266</v>
      </c>
      <c r="H574" s="10" t="s">
        <v>1647</v>
      </c>
      <c r="I574" s="12" t="s">
        <v>1039</v>
      </c>
      <c r="J574" s="10" t="s">
        <v>1030</v>
      </c>
      <c r="K574" s="12" t="s">
        <v>1037</v>
      </c>
      <c r="L574" s="10" t="s">
        <v>1247</v>
      </c>
      <c r="M574" s="12" t="s">
        <v>114</v>
      </c>
      <c r="N574" s="14" t="s">
        <v>1035</v>
      </c>
    </row>
    <row r="575" spans="1:14" x14ac:dyDescent="0.25">
      <c r="A575" s="9" t="s">
        <v>309</v>
      </c>
      <c r="B575" s="10" t="s">
        <v>310</v>
      </c>
      <c r="C575" s="12">
        <v>2015</v>
      </c>
      <c r="D575" s="11" t="s">
        <v>2068</v>
      </c>
      <c r="E575" s="10" t="s">
        <v>1630</v>
      </c>
      <c r="F575" s="11" t="s">
        <v>304</v>
      </c>
      <c r="G575" s="12" t="s">
        <v>1054</v>
      </c>
      <c r="H575" s="10" t="s">
        <v>2378</v>
      </c>
      <c r="I575" s="12" t="s">
        <v>1039</v>
      </c>
      <c r="J575" s="12" t="s">
        <v>1040</v>
      </c>
      <c r="K575" s="10" t="s">
        <v>1031</v>
      </c>
      <c r="L575" s="10" t="s">
        <v>1247</v>
      </c>
      <c r="M575" s="12" t="s">
        <v>114</v>
      </c>
      <c r="N575" s="14" t="s">
        <v>1035</v>
      </c>
    </row>
    <row r="576" spans="1:14" x14ac:dyDescent="0.25">
      <c r="A576" s="9" t="s">
        <v>311</v>
      </c>
      <c r="B576" s="10" t="s">
        <v>312</v>
      </c>
      <c r="C576" s="12">
        <v>2015</v>
      </c>
      <c r="D576" s="11" t="s">
        <v>2021</v>
      </c>
      <c r="E576" s="10" t="s">
        <v>1630</v>
      </c>
      <c r="F576" s="11" t="s">
        <v>304</v>
      </c>
      <c r="G576" s="12" t="s">
        <v>1054</v>
      </c>
      <c r="H576" s="10" t="s">
        <v>1166</v>
      </c>
      <c r="I576" s="12" t="s">
        <v>1039</v>
      </c>
      <c r="J576" s="12" t="s">
        <v>1036</v>
      </c>
      <c r="K576" s="10" t="s">
        <v>1031</v>
      </c>
      <c r="L576" s="10" t="s">
        <v>1247</v>
      </c>
      <c r="M576" s="12" t="s">
        <v>114</v>
      </c>
      <c r="N576" s="14" t="s">
        <v>1035</v>
      </c>
    </row>
    <row r="577" spans="1:14" ht="38.25" x14ac:dyDescent="0.25">
      <c r="A577" s="9" t="s">
        <v>313</v>
      </c>
      <c r="B577" s="10" t="s">
        <v>314</v>
      </c>
      <c r="C577" s="12">
        <v>2015</v>
      </c>
      <c r="D577" s="11" t="s">
        <v>1935</v>
      </c>
      <c r="E577" s="10" t="s">
        <v>1630</v>
      </c>
      <c r="F577" s="11" t="s">
        <v>304</v>
      </c>
      <c r="G577" s="12" t="s">
        <v>1182</v>
      </c>
      <c r="H577" s="10" t="s">
        <v>1166</v>
      </c>
      <c r="I577" s="12" t="s">
        <v>1029</v>
      </c>
      <c r="J577" s="12" t="s">
        <v>1040</v>
      </c>
      <c r="K577" s="10" t="s">
        <v>1031</v>
      </c>
      <c r="L577" s="10" t="s">
        <v>1032</v>
      </c>
      <c r="M577" s="12" t="s">
        <v>1185</v>
      </c>
      <c r="N577" s="14" t="s">
        <v>1035</v>
      </c>
    </row>
    <row r="578" spans="1:14" x14ac:dyDescent="0.25">
      <c r="A578" s="9" t="s">
        <v>302</v>
      </c>
      <c r="B578" s="10" t="s">
        <v>303</v>
      </c>
      <c r="C578" s="10">
        <v>2016</v>
      </c>
      <c r="D578" s="11" t="s">
        <v>2008</v>
      </c>
      <c r="E578" s="10" t="s">
        <v>1630</v>
      </c>
      <c r="F578" s="11" t="s">
        <v>304</v>
      </c>
      <c r="G578" s="10" t="s">
        <v>2266</v>
      </c>
      <c r="H578" s="10" t="s">
        <v>1057</v>
      </c>
      <c r="I578" s="12" t="s">
        <v>1039</v>
      </c>
      <c r="J578" s="10" t="s">
        <v>1030</v>
      </c>
      <c r="K578" s="12" t="s">
        <v>1037</v>
      </c>
      <c r="L578" s="10" t="s">
        <v>1247</v>
      </c>
      <c r="M578" s="12" t="s">
        <v>114</v>
      </c>
      <c r="N578" s="14" t="s">
        <v>1035</v>
      </c>
    </row>
    <row r="579" spans="1:14" x14ac:dyDescent="0.25">
      <c r="A579" s="9" t="s">
        <v>305</v>
      </c>
      <c r="B579" s="10" t="s">
        <v>306</v>
      </c>
      <c r="C579" s="12">
        <v>2015</v>
      </c>
      <c r="D579" s="11" t="s">
        <v>2052</v>
      </c>
      <c r="E579" s="10" t="s">
        <v>1630</v>
      </c>
      <c r="F579" s="11" t="s">
        <v>304</v>
      </c>
      <c r="G579" s="12" t="s">
        <v>1215</v>
      </c>
      <c r="H579" s="10" t="s">
        <v>1226</v>
      </c>
      <c r="I579" s="12" t="s">
        <v>1039</v>
      </c>
      <c r="J579" s="12" t="s">
        <v>1030</v>
      </c>
      <c r="K579" s="10" t="s">
        <v>1031</v>
      </c>
      <c r="L579" s="10" t="s">
        <v>1247</v>
      </c>
      <c r="M579" s="12" t="s">
        <v>114</v>
      </c>
      <c r="N579" s="14" t="s">
        <v>1035</v>
      </c>
    </row>
    <row r="580" spans="1:14" ht="25.5" x14ac:dyDescent="0.25">
      <c r="A580" s="9" t="s">
        <v>315</v>
      </c>
      <c r="B580" s="10" t="s">
        <v>316</v>
      </c>
      <c r="C580" s="12">
        <v>2016</v>
      </c>
      <c r="D580" s="11" t="s">
        <v>2069</v>
      </c>
      <c r="E580" s="10" t="s">
        <v>1630</v>
      </c>
      <c r="F580" s="11" t="s">
        <v>304</v>
      </c>
      <c r="G580" s="12" t="s">
        <v>1054</v>
      </c>
      <c r="H580" s="10" t="s">
        <v>2340</v>
      </c>
      <c r="I580" s="12" t="s">
        <v>1029</v>
      </c>
      <c r="J580" s="12" t="s">
        <v>1036</v>
      </c>
      <c r="K580" s="10" t="s">
        <v>1031</v>
      </c>
      <c r="L580" s="10" t="s">
        <v>1247</v>
      </c>
      <c r="M580" s="12" t="s">
        <v>1234</v>
      </c>
      <c r="N580" s="14" t="s">
        <v>1035</v>
      </c>
    </row>
    <row r="581" spans="1:14" x14ac:dyDescent="0.25">
      <c r="A581" s="9" t="s">
        <v>307</v>
      </c>
      <c r="B581" s="10" t="s">
        <v>308</v>
      </c>
      <c r="C581" s="12">
        <v>2018</v>
      </c>
      <c r="D581" s="11" t="s">
        <v>2067</v>
      </c>
      <c r="E581" s="10" t="s">
        <v>1630</v>
      </c>
      <c r="F581" s="11" t="s">
        <v>304</v>
      </c>
      <c r="G581" s="12" t="s">
        <v>1054</v>
      </c>
      <c r="H581" s="10" t="s">
        <v>2340</v>
      </c>
      <c r="I581" s="12" t="s">
        <v>1039</v>
      </c>
      <c r="J581" s="12" t="s">
        <v>1040</v>
      </c>
      <c r="K581" s="10" t="s">
        <v>1031</v>
      </c>
      <c r="L581" s="10" t="s">
        <v>1247</v>
      </c>
      <c r="M581" s="12" t="s">
        <v>114</v>
      </c>
      <c r="N581" s="14" t="s">
        <v>1035</v>
      </c>
    </row>
    <row r="582" spans="1:14" x14ac:dyDescent="0.25">
      <c r="A582" s="9" t="s">
        <v>785</v>
      </c>
      <c r="B582" s="10" t="s">
        <v>786</v>
      </c>
      <c r="C582" s="10">
        <v>2022</v>
      </c>
      <c r="D582" s="11" t="s">
        <v>1694</v>
      </c>
      <c r="E582" s="10" t="s">
        <v>1631</v>
      </c>
      <c r="F582" s="11" t="s">
        <v>787</v>
      </c>
      <c r="G582" s="10" t="s">
        <v>1028</v>
      </c>
      <c r="H582" s="10" t="s">
        <v>2320</v>
      </c>
      <c r="I582" s="12" t="s">
        <v>1029</v>
      </c>
      <c r="J582" s="10" t="s">
        <v>1030</v>
      </c>
      <c r="K582" s="10" t="s">
        <v>1031</v>
      </c>
      <c r="L582" s="10" t="s">
        <v>1032</v>
      </c>
      <c r="M582" s="10" t="s">
        <v>114</v>
      </c>
      <c r="N582" s="13" t="s">
        <v>1041</v>
      </c>
    </row>
    <row r="583" spans="1:14" x14ac:dyDescent="0.25">
      <c r="A583" s="9" t="s">
        <v>788</v>
      </c>
      <c r="B583" s="10" t="s">
        <v>789</v>
      </c>
      <c r="C583" s="10">
        <v>2022</v>
      </c>
      <c r="D583" s="11" t="s">
        <v>1694</v>
      </c>
      <c r="E583" s="10" t="s">
        <v>1631</v>
      </c>
      <c r="F583" s="11" t="s">
        <v>787</v>
      </c>
      <c r="G583" s="10" t="s">
        <v>1028</v>
      </c>
      <c r="H583" s="10" t="s">
        <v>2320</v>
      </c>
      <c r="I583" s="12" t="s">
        <v>1029</v>
      </c>
      <c r="J583" s="10" t="s">
        <v>1030</v>
      </c>
      <c r="K583" s="10" t="s">
        <v>1031</v>
      </c>
      <c r="L583" s="10" t="s">
        <v>1032</v>
      </c>
      <c r="M583" s="10" t="s">
        <v>114</v>
      </c>
      <c r="N583" s="13" t="s">
        <v>1041</v>
      </c>
    </row>
    <row r="584" spans="1:14" ht="25.5" x14ac:dyDescent="0.25">
      <c r="A584" s="9" t="s">
        <v>384</v>
      </c>
      <c r="B584" s="10" t="s">
        <v>385</v>
      </c>
      <c r="C584" s="12">
        <v>2018</v>
      </c>
      <c r="D584" s="11" t="s">
        <v>1913</v>
      </c>
      <c r="E584" s="10" t="s">
        <v>1630</v>
      </c>
      <c r="F584" s="11" t="s">
        <v>386</v>
      </c>
      <c r="G584" s="12" t="s">
        <v>1054</v>
      </c>
      <c r="H584" s="10" t="s">
        <v>2331</v>
      </c>
      <c r="I584" s="12" t="s">
        <v>1029</v>
      </c>
      <c r="J584" s="12" t="s">
        <v>1036</v>
      </c>
      <c r="K584" s="10" t="s">
        <v>1031</v>
      </c>
      <c r="L584" s="12" t="s">
        <v>1042</v>
      </c>
      <c r="M584" s="12" t="s">
        <v>1061</v>
      </c>
      <c r="N584" s="14" t="s">
        <v>1035</v>
      </c>
    </row>
    <row r="585" spans="1:14" x14ac:dyDescent="0.25">
      <c r="A585" s="9" t="s">
        <v>646</v>
      </c>
      <c r="B585" s="10" t="s">
        <v>647</v>
      </c>
      <c r="C585" s="10">
        <v>2013</v>
      </c>
      <c r="D585" s="11" t="s">
        <v>1981</v>
      </c>
      <c r="E585" s="10" t="s">
        <v>1631</v>
      </c>
      <c r="F585" s="11" t="s">
        <v>648</v>
      </c>
      <c r="G585" s="10" t="s">
        <v>2266</v>
      </c>
      <c r="H585" s="10" t="s">
        <v>2327</v>
      </c>
      <c r="I585" s="12" t="s">
        <v>1029</v>
      </c>
      <c r="J585" s="10" t="s">
        <v>1040</v>
      </c>
      <c r="K585" s="10" t="s">
        <v>1031</v>
      </c>
      <c r="L585" s="10" t="s">
        <v>1247</v>
      </c>
      <c r="M585" s="10" t="s">
        <v>1086</v>
      </c>
      <c r="N585" s="13" t="s">
        <v>1072</v>
      </c>
    </row>
    <row r="586" spans="1:14" x14ac:dyDescent="0.25">
      <c r="A586" s="9" t="s">
        <v>744</v>
      </c>
      <c r="B586" s="10" t="s">
        <v>745</v>
      </c>
      <c r="C586" s="10">
        <v>2019</v>
      </c>
      <c r="D586" s="11" t="s">
        <v>2039</v>
      </c>
      <c r="E586" s="10" t="s">
        <v>1631</v>
      </c>
      <c r="F586" s="11" t="s">
        <v>648</v>
      </c>
      <c r="G586" s="10" t="s">
        <v>1054</v>
      </c>
      <c r="H586" s="10" t="s">
        <v>1168</v>
      </c>
      <c r="I586" s="12" t="s">
        <v>1039</v>
      </c>
      <c r="J586" s="10" t="s">
        <v>1040</v>
      </c>
      <c r="K586" s="10" t="s">
        <v>1031</v>
      </c>
      <c r="L586" s="10" t="s">
        <v>1032</v>
      </c>
      <c r="M586" s="12" t="s">
        <v>114</v>
      </c>
      <c r="N586" s="13" t="s">
        <v>1072</v>
      </c>
    </row>
    <row r="587" spans="1:14" x14ac:dyDescent="0.25">
      <c r="A587" s="9" t="s">
        <v>392</v>
      </c>
      <c r="B587" s="10" t="s">
        <v>393</v>
      </c>
      <c r="C587" s="40">
        <v>2015</v>
      </c>
      <c r="D587" s="11" t="s">
        <v>1909</v>
      </c>
      <c r="E587" s="10" t="s">
        <v>1630</v>
      </c>
      <c r="F587" s="41" t="s">
        <v>387</v>
      </c>
      <c r="G587" s="12" t="s">
        <v>1612</v>
      </c>
      <c r="H587" s="10" t="s">
        <v>2326</v>
      </c>
      <c r="I587" s="12" t="s">
        <v>1029</v>
      </c>
      <c r="J587" s="12" t="s">
        <v>1040</v>
      </c>
      <c r="K587" s="10" t="s">
        <v>1031</v>
      </c>
      <c r="L587" s="10" t="s">
        <v>1032</v>
      </c>
      <c r="M587" s="12" t="s">
        <v>1063</v>
      </c>
      <c r="N587" s="13" t="s">
        <v>1072</v>
      </c>
    </row>
    <row r="588" spans="1:14" x14ac:dyDescent="0.25">
      <c r="A588" s="9" t="s">
        <v>221</v>
      </c>
      <c r="B588" s="10" t="s">
        <v>222</v>
      </c>
      <c r="C588" s="10">
        <v>2013</v>
      </c>
      <c r="D588" s="11" t="s">
        <v>1775</v>
      </c>
      <c r="E588" s="10" t="s">
        <v>1630</v>
      </c>
      <c r="F588" s="11" t="s">
        <v>223</v>
      </c>
      <c r="G588" s="10" t="s">
        <v>1635</v>
      </c>
      <c r="H588" s="10" t="s">
        <v>2326</v>
      </c>
      <c r="I588" s="12" t="s">
        <v>1039</v>
      </c>
      <c r="J588" s="10" t="s">
        <v>1030</v>
      </c>
      <c r="K588" s="12" t="s">
        <v>1037</v>
      </c>
      <c r="L588" s="10" t="s">
        <v>1032</v>
      </c>
      <c r="M588" s="10" t="s">
        <v>1088</v>
      </c>
      <c r="N588" s="14" t="s">
        <v>1035</v>
      </c>
    </row>
    <row r="589" spans="1:14" x14ac:dyDescent="0.25">
      <c r="A589" s="9" t="s">
        <v>224</v>
      </c>
      <c r="B589" s="10" t="s">
        <v>225</v>
      </c>
      <c r="C589" s="10">
        <v>2015</v>
      </c>
      <c r="D589" s="11" t="s">
        <v>1762</v>
      </c>
      <c r="E589" s="10" t="s">
        <v>1630</v>
      </c>
      <c r="F589" s="11" t="s">
        <v>223</v>
      </c>
      <c r="G589" s="10" t="s">
        <v>2266</v>
      </c>
      <c r="H589" s="10" t="s">
        <v>2326</v>
      </c>
      <c r="I589" s="12" t="s">
        <v>1029</v>
      </c>
      <c r="J589" s="10" t="s">
        <v>1030</v>
      </c>
      <c r="K589" s="10" t="s">
        <v>1031</v>
      </c>
      <c r="L589" s="10" t="s">
        <v>1032</v>
      </c>
      <c r="M589" s="12" t="s">
        <v>114</v>
      </c>
      <c r="N589" s="14" t="s">
        <v>1035</v>
      </c>
    </row>
    <row r="590" spans="1:14" x14ac:dyDescent="0.25">
      <c r="A590" s="9" t="s">
        <v>226</v>
      </c>
      <c r="B590" s="10" t="s">
        <v>227</v>
      </c>
      <c r="C590" s="10">
        <v>2013</v>
      </c>
      <c r="D590" s="11" t="s">
        <v>1962</v>
      </c>
      <c r="E590" s="10" t="s">
        <v>1630</v>
      </c>
      <c r="F590" s="11" t="s">
        <v>223</v>
      </c>
      <c r="G590" s="10" t="s">
        <v>2268</v>
      </c>
      <c r="H590" s="10" t="s">
        <v>1057</v>
      </c>
      <c r="I590" s="10" t="s">
        <v>1493</v>
      </c>
      <c r="J590" s="10" t="s">
        <v>1030</v>
      </c>
      <c r="K590" s="10" t="s">
        <v>1031</v>
      </c>
      <c r="L590" s="10" t="s">
        <v>1032</v>
      </c>
      <c r="M590" s="12" t="s">
        <v>114</v>
      </c>
      <c r="N590" s="14" t="s">
        <v>1035</v>
      </c>
    </row>
    <row r="591" spans="1:14" x14ac:dyDescent="0.25">
      <c r="A591" s="9" t="s">
        <v>534</v>
      </c>
      <c r="B591" s="10" t="s">
        <v>535</v>
      </c>
      <c r="C591" s="10">
        <v>2021</v>
      </c>
      <c r="D591" s="11" t="s">
        <v>1738</v>
      </c>
      <c r="E591" s="10" t="s">
        <v>1630</v>
      </c>
      <c r="F591" s="11" t="s">
        <v>223</v>
      </c>
      <c r="G591" s="10" t="s">
        <v>1054</v>
      </c>
      <c r="H591" s="10" t="s">
        <v>2340</v>
      </c>
      <c r="I591" s="12" t="s">
        <v>1039</v>
      </c>
      <c r="J591" s="12" t="s">
        <v>1040</v>
      </c>
      <c r="K591" s="10" t="s">
        <v>1031</v>
      </c>
      <c r="L591" s="10" t="s">
        <v>1042</v>
      </c>
      <c r="M591" s="10" t="s">
        <v>1050</v>
      </c>
      <c r="N591" s="14" t="s">
        <v>1035</v>
      </c>
    </row>
    <row r="592" spans="1:14" x14ac:dyDescent="0.25">
      <c r="A592" s="9" t="s">
        <v>538</v>
      </c>
      <c r="B592" s="10" t="s">
        <v>539</v>
      </c>
      <c r="C592" s="10">
        <v>2020</v>
      </c>
      <c r="D592" s="11" t="s">
        <v>1739</v>
      </c>
      <c r="E592" s="10" t="s">
        <v>1630</v>
      </c>
      <c r="F592" s="11" t="s">
        <v>223</v>
      </c>
      <c r="G592" s="10" t="s">
        <v>1054</v>
      </c>
      <c r="H592" s="10" t="s">
        <v>2340</v>
      </c>
      <c r="I592" s="12" t="s">
        <v>1029</v>
      </c>
      <c r="J592" s="10" t="s">
        <v>1040</v>
      </c>
      <c r="K592" s="10" t="s">
        <v>1031</v>
      </c>
      <c r="L592" s="10" t="s">
        <v>1042</v>
      </c>
      <c r="M592" s="10" t="s">
        <v>1050</v>
      </c>
      <c r="N592" s="14" t="s">
        <v>1035</v>
      </c>
    </row>
    <row r="593" spans="1:14" x14ac:dyDescent="0.25">
      <c r="A593" s="9" t="s">
        <v>536</v>
      </c>
      <c r="B593" s="10" t="s">
        <v>537</v>
      </c>
      <c r="C593" s="10">
        <v>2020</v>
      </c>
      <c r="D593" s="11" t="s">
        <v>1729</v>
      </c>
      <c r="E593" s="10" t="s">
        <v>1630</v>
      </c>
      <c r="F593" s="11" t="s">
        <v>223</v>
      </c>
      <c r="G593" s="10" t="s">
        <v>1028</v>
      </c>
      <c r="H593" s="10" t="s">
        <v>2320</v>
      </c>
      <c r="I593" s="12" t="s">
        <v>1039</v>
      </c>
      <c r="J593" s="10" t="s">
        <v>1040</v>
      </c>
      <c r="K593" s="10" t="s">
        <v>1031</v>
      </c>
      <c r="L593" s="10" t="s">
        <v>1032</v>
      </c>
      <c r="M593" s="12" t="s">
        <v>114</v>
      </c>
      <c r="N593" s="14" t="s">
        <v>1035</v>
      </c>
    </row>
    <row r="594" spans="1:14" x14ac:dyDescent="0.25">
      <c r="A594" s="9" t="s">
        <v>2401</v>
      </c>
      <c r="B594" s="10" t="s">
        <v>0</v>
      </c>
      <c r="C594" s="10">
        <v>2012</v>
      </c>
      <c r="D594" s="11" t="s">
        <v>1870</v>
      </c>
      <c r="E594" s="10" t="s">
        <v>1630</v>
      </c>
      <c r="F594" s="11" t="s">
        <v>1</v>
      </c>
      <c r="G594" s="10" t="s">
        <v>1054</v>
      </c>
      <c r="H594" s="10" t="s">
        <v>1161</v>
      </c>
      <c r="I594" s="12" t="s">
        <v>1029</v>
      </c>
      <c r="J594" s="10" t="s">
        <v>1040</v>
      </c>
      <c r="K594" s="10" t="s">
        <v>1031</v>
      </c>
      <c r="L594" s="10" t="s">
        <v>1042</v>
      </c>
      <c r="M594" s="12" t="s">
        <v>114</v>
      </c>
      <c r="N594" s="13" t="s">
        <v>1041</v>
      </c>
    </row>
    <row r="595" spans="1:14" x14ac:dyDescent="0.25">
      <c r="A595" s="9" t="s">
        <v>500</v>
      </c>
      <c r="B595" s="10" t="s">
        <v>501</v>
      </c>
      <c r="C595" s="10">
        <v>2020</v>
      </c>
      <c r="D595" s="11" t="s">
        <v>2102</v>
      </c>
      <c r="E595" s="10" t="s">
        <v>1630</v>
      </c>
      <c r="F595" s="11" t="s">
        <v>1</v>
      </c>
      <c r="G595" s="10" t="s">
        <v>1028</v>
      </c>
      <c r="H595" s="10" t="s">
        <v>2378</v>
      </c>
      <c r="I595" s="12" t="s">
        <v>1039</v>
      </c>
      <c r="J595" s="10" t="s">
        <v>1030</v>
      </c>
      <c r="K595" s="10" t="s">
        <v>1031</v>
      </c>
      <c r="L595" s="10" t="s">
        <v>1032</v>
      </c>
      <c r="M595" s="12" t="s">
        <v>114</v>
      </c>
      <c r="N595" s="14" t="s">
        <v>1035</v>
      </c>
    </row>
    <row r="596" spans="1:14" x14ac:dyDescent="0.25">
      <c r="A596" s="9" t="s">
        <v>460</v>
      </c>
      <c r="B596" s="10" t="s">
        <v>461</v>
      </c>
      <c r="C596" s="10">
        <v>2019</v>
      </c>
      <c r="D596" s="11" t="s">
        <v>1719</v>
      </c>
      <c r="E596" s="10" t="s">
        <v>1630</v>
      </c>
      <c r="F596" s="11" t="s">
        <v>1</v>
      </c>
      <c r="G596" s="10" t="s">
        <v>1028</v>
      </c>
      <c r="H596" s="10" t="s">
        <v>2320</v>
      </c>
      <c r="I596" s="12" t="s">
        <v>1039</v>
      </c>
      <c r="J596" s="10" t="s">
        <v>1030</v>
      </c>
      <c r="K596" s="10" t="s">
        <v>1031</v>
      </c>
      <c r="L596" s="10" t="s">
        <v>1247</v>
      </c>
      <c r="M596" s="10" t="s">
        <v>1134</v>
      </c>
      <c r="N596" s="13" t="s">
        <v>1072</v>
      </c>
    </row>
    <row r="597" spans="1:14" x14ac:dyDescent="0.25">
      <c r="A597" s="9" t="s">
        <v>353</v>
      </c>
      <c r="B597" s="10" t="s">
        <v>354</v>
      </c>
      <c r="C597" s="10">
        <v>2018</v>
      </c>
      <c r="D597" s="11" t="s">
        <v>1971</v>
      </c>
      <c r="E597" s="10" t="s">
        <v>1630</v>
      </c>
      <c r="F597" s="11" t="s">
        <v>355</v>
      </c>
      <c r="G597" s="12" t="s">
        <v>1054</v>
      </c>
      <c r="H597" s="10" t="s">
        <v>1057</v>
      </c>
      <c r="I597" s="12" t="s">
        <v>1039</v>
      </c>
      <c r="J597" s="12" t="s">
        <v>1030</v>
      </c>
      <c r="K597" s="10" t="s">
        <v>1031</v>
      </c>
      <c r="L597" s="10" t="s">
        <v>1247</v>
      </c>
      <c r="M597" s="12" t="s">
        <v>1197</v>
      </c>
      <c r="N597" s="14" t="s">
        <v>1035</v>
      </c>
    </row>
    <row r="598" spans="1:14" x14ac:dyDescent="0.25">
      <c r="A598" s="9" t="s">
        <v>514</v>
      </c>
      <c r="B598" s="10" t="s">
        <v>515</v>
      </c>
      <c r="C598" s="10">
        <v>2021</v>
      </c>
      <c r="D598" s="11" t="s">
        <v>1987</v>
      </c>
      <c r="E598" s="10" t="s">
        <v>1630</v>
      </c>
      <c r="F598" s="11" t="s">
        <v>355</v>
      </c>
      <c r="G598" s="10" t="s">
        <v>2275</v>
      </c>
      <c r="H598" s="10" t="s">
        <v>1180</v>
      </c>
      <c r="I598" s="12" t="s">
        <v>1039</v>
      </c>
      <c r="J598" s="10" t="s">
        <v>1030</v>
      </c>
      <c r="K598" s="10" t="s">
        <v>1031</v>
      </c>
      <c r="L598" s="10" t="s">
        <v>1247</v>
      </c>
      <c r="M598" s="10" t="s">
        <v>1075</v>
      </c>
      <c r="N598" s="14" t="s">
        <v>1035</v>
      </c>
    </row>
    <row r="599" spans="1:14" x14ac:dyDescent="0.25">
      <c r="A599" s="9" t="s">
        <v>323</v>
      </c>
      <c r="B599" s="10" t="s">
        <v>324</v>
      </c>
      <c r="C599" s="12">
        <v>2016</v>
      </c>
      <c r="D599" s="11" t="s">
        <v>1751</v>
      </c>
      <c r="E599" s="10" t="s">
        <v>1630</v>
      </c>
      <c r="F599" s="11" t="s">
        <v>322</v>
      </c>
      <c r="G599" s="12" t="s">
        <v>1054</v>
      </c>
      <c r="H599" s="10" t="s">
        <v>2326</v>
      </c>
      <c r="I599" s="12" t="s">
        <v>1029</v>
      </c>
      <c r="J599" s="12" t="s">
        <v>1036</v>
      </c>
      <c r="K599" s="10" t="s">
        <v>1031</v>
      </c>
      <c r="L599" s="10" t="s">
        <v>1247</v>
      </c>
      <c r="M599" s="12" t="s">
        <v>114</v>
      </c>
      <c r="N599" s="13" t="s">
        <v>2397</v>
      </c>
    </row>
    <row r="600" spans="1:14" x14ac:dyDescent="0.25">
      <c r="A600" s="9" t="s">
        <v>1475</v>
      </c>
      <c r="B600" s="10" t="s">
        <v>1476</v>
      </c>
      <c r="C600" s="10">
        <v>2020</v>
      </c>
      <c r="D600" s="11" t="s">
        <v>2197</v>
      </c>
      <c r="E600" s="10" t="s">
        <v>1630</v>
      </c>
      <c r="F600" s="11" t="s">
        <v>322</v>
      </c>
      <c r="G600" s="10" t="s">
        <v>1544</v>
      </c>
      <c r="H600" s="10" t="s">
        <v>1230</v>
      </c>
      <c r="I600" s="10" t="s">
        <v>1039</v>
      </c>
      <c r="J600" s="10" t="s">
        <v>1030</v>
      </c>
      <c r="K600" s="10" t="s">
        <v>1031</v>
      </c>
      <c r="L600" s="10" t="s">
        <v>1247</v>
      </c>
      <c r="M600" s="10" t="s">
        <v>114</v>
      </c>
      <c r="N600" s="13" t="s">
        <v>1035</v>
      </c>
    </row>
    <row r="601" spans="1:14" x14ac:dyDescent="0.25">
      <c r="A601" s="9" t="s">
        <v>1257</v>
      </c>
      <c r="B601" s="10" t="s">
        <v>1258</v>
      </c>
      <c r="C601" s="10">
        <v>2020</v>
      </c>
      <c r="D601" s="11" t="s">
        <v>2113</v>
      </c>
      <c r="E601" s="10" t="s">
        <v>1630</v>
      </c>
      <c r="F601" s="11" t="s">
        <v>1259</v>
      </c>
      <c r="G601" s="10" t="s">
        <v>1260</v>
      </c>
      <c r="H601" s="10" t="s">
        <v>2326</v>
      </c>
      <c r="I601" s="12" t="s">
        <v>1029</v>
      </c>
      <c r="J601" s="10" t="s">
        <v>1040</v>
      </c>
      <c r="K601" s="10" t="s">
        <v>1031</v>
      </c>
      <c r="L601" s="10" t="s">
        <v>1032</v>
      </c>
      <c r="M601" s="12" t="s">
        <v>1055</v>
      </c>
      <c r="N601" s="13" t="s">
        <v>1035</v>
      </c>
    </row>
    <row r="602" spans="1:14" x14ac:dyDescent="0.25">
      <c r="A602" s="9" t="s">
        <v>1261</v>
      </c>
      <c r="B602" s="10" t="s">
        <v>1262</v>
      </c>
      <c r="C602" s="10">
        <v>2015</v>
      </c>
      <c r="D602" s="11" t="s">
        <v>2087</v>
      </c>
      <c r="E602" s="10" t="s">
        <v>1630</v>
      </c>
      <c r="F602" s="11" t="s">
        <v>1259</v>
      </c>
      <c r="G602" s="10" t="s">
        <v>1263</v>
      </c>
      <c r="H602" s="10" t="s">
        <v>2326</v>
      </c>
      <c r="I602" s="12" t="s">
        <v>1029</v>
      </c>
      <c r="J602" s="10" t="s">
        <v>1040</v>
      </c>
      <c r="K602" s="10" t="s">
        <v>1031</v>
      </c>
      <c r="L602" s="10" t="s">
        <v>1247</v>
      </c>
      <c r="M602" s="10" t="s">
        <v>1049</v>
      </c>
      <c r="N602" s="13" t="s">
        <v>1035</v>
      </c>
    </row>
    <row r="603" spans="1:14" x14ac:dyDescent="0.25">
      <c r="A603" s="9" t="s">
        <v>1486</v>
      </c>
      <c r="B603" s="10" t="s">
        <v>1487</v>
      </c>
      <c r="C603" s="10">
        <v>2019</v>
      </c>
      <c r="D603" s="11" t="s">
        <v>1874</v>
      </c>
      <c r="E603" s="10" t="s">
        <v>1630</v>
      </c>
      <c r="F603" s="11" t="s">
        <v>230</v>
      </c>
      <c r="G603" s="10" t="s">
        <v>2275</v>
      </c>
      <c r="H603" s="10" t="s">
        <v>2337</v>
      </c>
      <c r="I603" s="10" t="s">
        <v>1039</v>
      </c>
      <c r="J603" s="10" t="s">
        <v>1030</v>
      </c>
      <c r="K603" s="10" t="s">
        <v>1031</v>
      </c>
      <c r="L603" s="10" t="s">
        <v>1247</v>
      </c>
      <c r="M603" s="10" t="s">
        <v>1067</v>
      </c>
      <c r="N603" s="13" t="s">
        <v>1035</v>
      </c>
    </row>
    <row r="604" spans="1:14" x14ac:dyDescent="0.25">
      <c r="A604" s="9" t="s">
        <v>245</v>
      </c>
      <c r="B604" s="10" t="s">
        <v>246</v>
      </c>
      <c r="C604" s="10">
        <v>2019</v>
      </c>
      <c r="D604" s="11" t="s">
        <v>1882</v>
      </c>
      <c r="E604" s="10" t="s">
        <v>1630</v>
      </c>
      <c r="F604" s="11" t="s">
        <v>230</v>
      </c>
      <c r="G604" s="10" t="s">
        <v>1054</v>
      </c>
      <c r="H604" s="10" t="s">
        <v>2338</v>
      </c>
      <c r="I604" s="12" t="s">
        <v>1039</v>
      </c>
      <c r="J604" s="10" t="s">
        <v>1036</v>
      </c>
      <c r="K604" s="12" t="s">
        <v>1037</v>
      </c>
      <c r="L604" s="10" t="s">
        <v>1042</v>
      </c>
      <c r="M604" s="12" t="s">
        <v>114</v>
      </c>
      <c r="N604" s="14" t="s">
        <v>1035</v>
      </c>
    </row>
    <row r="605" spans="1:14" x14ac:dyDescent="0.25">
      <c r="A605" s="9" t="s">
        <v>422</v>
      </c>
      <c r="B605" s="10" t="s">
        <v>423</v>
      </c>
      <c r="C605" s="10">
        <v>2019</v>
      </c>
      <c r="D605" s="11" t="s">
        <v>1888</v>
      </c>
      <c r="E605" s="10" t="s">
        <v>1630</v>
      </c>
      <c r="F605" s="11" t="s">
        <v>230</v>
      </c>
      <c r="G605" s="10" t="s">
        <v>2266</v>
      </c>
      <c r="H605" s="10" t="s">
        <v>2338</v>
      </c>
      <c r="I605" s="12" t="s">
        <v>1039</v>
      </c>
      <c r="J605" s="10" t="s">
        <v>1030</v>
      </c>
      <c r="K605" s="10" t="s">
        <v>1031</v>
      </c>
      <c r="L605" s="10" t="s">
        <v>1247</v>
      </c>
      <c r="M605" s="10" t="s">
        <v>1137</v>
      </c>
      <c r="N605" s="13" t="s">
        <v>1034</v>
      </c>
    </row>
    <row r="606" spans="1:14" x14ac:dyDescent="0.25">
      <c r="A606" s="9" t="s">
        <v>571</v>
      </c>
      <c r="B606" s="10" t="s">
        <v>572</v>
      </c>
      <c r="C606" s="10">
        <v>2022</v>
      </c>
      <c r="D606" s="11" t="s">
        <v>1889</v>
      </c>
      <c r="E606" s="10" t="s">
        <v>1630</v>
      </c>
      <c r="F606" s="11" t="s">
        <v>230</v>
      </c>
      <c r="G606" s="10" t="s">
        <v>1544</v>
      </c>
      <c r="H606" s="10" t="s">
        <v>2365</v>
      </c>
      <c r="I606" s="12" t="s">
        <v>1039</v>
      </c>
      <c r="J606" s="10" t="s">
        <v>1030</v>
      </c>
      <c r="K606" s="10" t="s">
        <v>1031</v>
      </c>
      <c r="L606" s="10" t="s">
        <v>1247</v>
      </c>
      <c r="M606" s="12" t="s">
        <v>114</v>
      </c>
      <c r="N606" s="13" t="s">
        <v>1034</v>
      </c>
    </row>
    <row r="607" spans="1:14" x14ac:dyDescent="0.25">
      <c r="A607" s="9" t="s">
        <v>831</v>
      </c>
      <c r="B607" s="10" t="s">
        <v>832</v>
      </c>
      <c r="C607" s="10">
        <v>2018</v>
      </c>
      <c r="D607" s="11" t="s">
        <v>1897</v>
      </c>
      <c r="E607" s="10" t="s">
        <v>1630</v>
      </c>
      <c r="F607" s="11" t="s">
        <v>230</v>
      </c>
      <c r="G607" s="10" t="s">
        <v>2266</v>
      </c>
      <c r="H607" s="10" t="s">
        <v>2326</v>
      </c>
      <c r="I607" s="12" t="s">
        <v>1029</v>
      </c>
      <c r="J607" s="10" t="s">
        <v>1040</v>
      </c>
      <c r="K607" s="10" t="s">
        <v>1031</v>
      </c>
      <c r="L607" s="10" t="s">
        <v>1032</v>
      </c>
      <c r="M607" s="10" t="s">
        <v>1575</v>
      </c>
      <c r="N607" s="13" t="s">
        <v>1035</v>
      </c>
    </row>
    <row r="608" spans="1:14" x14ac:dyDescent="0.25">
      <c r="A608" s="9" t="s">
        <v>231</v>
      </c>
      <c r="B608" s="10" t="s">
        <v>232</v>
      </c>
      <c r="C608" s="10">
        <v>2016</v>
      </c>
      <c r="D608" s="11" t="s">
        <v>1806</v>
      </c>
      <c r="E608" s="10" t="s">
        <v>1630</v>
      </c>
      <c r="F608" s="11" t="s">
        <v>230</v>
      </c>
      <c r="G608" s="12" t="s">
        <v>1028</v>
      </c>
      <c r="H608" s="10" t="s">
        <v>2326</v>
      </c>
      <c r="I608" s="12" t="s">
        <v>1029</v>
      </c>
      <c r="J608" s="10" t="s">
        <v>1040</v>
      </c>
      <c r="K608" s="10" t="s">
        <v>1031</v>
      </c>
      <c r="L608" s="10" t="s">
        <v>1032</v>
      </c>
      <c r="M608" s="12" t="s">
        <v>114</v>
      </c>
      <c r="N608" s="13" t="s">
        <v>1041</v>
      </c>
    </row>
    <row r="609" spans="1:14" x14ac:dyDescent="0.25">
      <c r="A609" s="9" t="s">
        <v>549</v>
      </c>
      <c r="B609" s="10" t="s">
        <v>550</v>
      </c>
      <c r="C609" s="10">
        <v>2022</v>
      </c>
      <c r="D609" s="11" t="s">
        <v>1852</v>
      </c>
      <c r="E609" s="10" t="s">
        <v>1630</v>
      </c>
      <c r="F609" s="11" t="s">
        <v>230</v>
      </c>
      <c r="G609" s="10" t="s">
        <v>1215</v>
      </c>
      <c r="H609" s="10" t="s">
        <v>2326</v>
      </c>
      <c r="I609" s="12" t="s">
        <v>1039</v>
      </c>
      <c r="J609" s="10" t="s">
        <v>1030</v>
      </c>
      <c r="K609" s="12" t="s">
        <v>1037</v>
      </c>
      <c r="L609" s="10" t="s">
        <v>1032</v>
      </c>
      <c r="M609" s="12" t="s">
        <v>114</v>
      </c>
      <c r="N609" s="13" t="s">
        <v>1072</v>
      </c>
    </row>
    <row r="610" spans="1:14" x14ac:dyDescent="0.25">
      <c r="A610" s="9" t="s">
        <v>1620</v>
      </c>
      <c r="B610" s="10" t="s">
        <v>1621</v>
      </c>
      <c r="C610" s="10">
        <v>2021</v>
      </c>
      <c r="D610" s="11" t="s">
        <v>1682</v>
      </c>
      <c r="E610" s="10" t="s">
        <v>1630</v>
      </c>
      <c r="F610" s="11" t="s">
        <v>230</v>
      </c>
      <c r="G610" s="10" t="s">
        <v>1215</v>
      </c>
      <c r="H610" s="10" t="s">
        <v>2326</v>
      </c>
      <c r="I610" s="12" t="s">
        <v>1029</v>
      </c>
      <c r="J610" s="10" t="s">
        <v>1691</v>
      </c>
      <c r="K610" s="12" t="s">
        <v>1037</v>
      </c>
      <c r="L610" s="10" t="s">
        <v>1032</v>
      </c>
      <c r="M610" s="10" t="s">
        <v>1093</v>
      </c>
      <c r="N610" s="13" t="s">
        <v>1035</v>
      </c>
    </row>
    <row r="611" spans="1:14" x14ac:dyDescent="0.25">
      <c r="A611" s="9" t="s">
        <v>236</v>
      </c>
      <c r="B611" s="10" t="s">
        <v>237</v>
      </c>
      <c r="C611" s="10">
        <v>2017</v>
      </c>
      <c r="D611" s="11" t="s">
        <v>1860</v>
      </c>
      <c r="E611" s="10" t="s">
        <v>1630</v>
      </c>
      <c r="F611" s="11" t="s">
        <v>230</v>
      </c>
      <c r="G611" s="10" t="s">
        <v>1028</v>
      </c>
      <c r="H611" s="10" t="s">
        <v>2348</v>
      </c>
      <c r="I611" s="12" t="s">
        <v>1039</v>
      </c>
      <c r="J611" s="10" t="s">
        <v>1030</v>
      </c>
      <c r="K611" s="10" t="s">
        <v>1031</v>
      </c>
      <c r="L611" s="10" t="s">
        <v>1032</v>
      </c>
      <c r="M611" s="10" t="s">
        <v>1050</v>
      </c>
      <c r="N611" s="14" t="s">
        <v>1035</v>
      </c>
    </row>
    <row r="612" spans="1:14" x14ac:dyDescent="0.25">
      <c r="A612" s="9" t="s">
        <v>228</v>
      </c>
      <c r="B612" s="10" t="s">
        <v>229</v>
      </c>
      <c r="C612" s="10">
        <v>2017</v>
      </c>
      <c r="D612" s="11" t="s">
        <v>2004</v>
      </c>
      <c r="E612" s="10" t="s">
        <v>1630</v>
      </c>
      <c r="F612" s="11" t="s">
        <v>230</v>
      </c>
      <c r="G612" s="12" t="s">
        <v>1028</v>
      </c>
      <c r="H612" s="10" t="s">
        <v>1166</v>
      </c>
      <c r="I612" s="12" t="s">
        <v>1029</v>
      </c>
      <c r="J612" s="10" t="s">
        <v>1040</v>
      </c>
      <c r="K612" s="10" t="s">
        <v>1031</v>
      </c>
      <c r="L612" s="10" t="s">
        <v>1032</v>
      </c>
      <c r="M612" s="10" t="s">
        <v>1116</v>
      </c>
      <c r="N612" s="14" t="s">
        <v>1035</v>
      </c>
    </row>
    <row r="613" spans="1:14" x14ac:dyDescent="0.25">
      <c r="A613" s="9" t="s">
        <v>1472</v>
      </c>
      <c r="B613" s="10" t="s">
        <v>1473</v>
      </c>
      <c r="C613" s="10">
        <v>2015</v>
      </c>
      <c r="D613" s="11" t="s">
        <v>2196</v>
      </c>
      <c r="E613" s="10" t="s">
        <v>1630</v>
      </c>
      <c r="F613" s="11" t="s">
        <v>230</v>
      </c>
      <c r="G613" s="10" t="s">
        <v>2266</v>
      </c>
      <c r="H613" s="10" t="s">
        <v>1057</v>
      </c>
      <c r="I613" s="10" t="s">
        <v>1039</v>
      </c>
      <c r="J613" s="10" t="s">
        <v>1030</v>
      </c>
      <c r="K613" s="10" t="s">
        <v>1031</v>
      </c>
      <c r="L613" s="10" t="s">
        <v>1247</v>
      </c>
      <c r="M613" s="10" t="s">
        <v>1474</v>
      </c>
      <c r="N613" s="13" t="s">
        <v>1035</v>
      </c>
    </row>
    <row r="614" spans="1:14" x14ac:dyDescent="0.25">
      <c r="A614" s="9" t="s">
        <v>1467</v>
      </c>
      <c r="B614" s="10" t="s">
        <v>1468</v>
      </c>
      <c r="C614" s="10">
        <v>2020</v>
      </c>
      <c r="D614" s="11" t="s">
        <v>2194</v>
      </c>
      <c r="E614" s="10" t="s">
        <v>1630</v>
      </c>
      <c r="F614" s="11" t="s">
        <v>230</v>
      </c>
      <c r="G614" s="10" t="s">
        <v>2266</v>
      </c>
      <c r="H614" s="10" t="s">
        <v>1057</v>
      </c>
      <c r="I614" s="10" t="s">
        <v>1039</v>
      </c>
      <c r="J614" s="10" t="s">
        <v>1030</v>
      </c>
      <c r="K614" s="10" t="s">
        <v>1031</v>
      </c>
      <c r="L614" s="10" t="s">
        <v>1247</v>
      </c>
      <c r="M614" s="10" t="s">
        <v>1240</v>
      </c>
      <c r="N614" s="13" t="s">
        <v>1035</v>
      </c>
    </row>
    <row r="615" spans="1:14" x14ac:dyDescent="0.25">
      <c r="A615" s="9" t="s">
        <v>426</v>
      </c>
      <c r="B615" s="10" t="s">
        <v>427</v>
      </c>
      <c r="C615" s="10">
        <v>2019</v>
      </c>
      <c r="D615" s="11" t="s">
        <v>1965</v>
      </c>
      <c r="E615" s="10" t="s">
        <v>1630</v>
      </c>
      <c r="F615" s="11" t="s">
        <v>230</v>
      </c>
      <c r="G615" s="10" t="s">
        <v>2266</v>
      </c>
      <c r="H615" s="10" t="s">
        <v>1057</v>
      </c>
      <c r="I615" s="12" t="s">
        <v>1039</v>
      </c>
      <c r="J615" s="10" t="s">
        <v>1048</v>
      </c>
      <c r="K615" s="10" t="s">
        <v>1031</v>
      </c>
      <c r="L615" s="10" t="s">
        <v>1247</v>
      </c>
      <c r="M615" s="12" t="s">
        <v>114</v>
      </c>
      <c r="N615" s="13" t="s">
        <v>1034</v>
      </c>
    </row>
    <row r="616" spans="1:14" x14ac:dyDescent="0.25">
      <c r="A616" s="9" t="s">
        <v>547</v>
      </c>
      <c r="B616" s="10" t="s">
        <v>548</v>
      </c>
      <c r="C616" s="10">
        <v>2021</v>
      </c>
      <c r="D616" s="11" t="s">
        <v>2030</v>
      </c>
      <c r="E616" s="10" t="s">
        <v>1630</v>
      </c>
      <c r="F616" s="11" t="s">
        <v>230</v>
      </c>
      <c r="G616" s="10" t="s">
        <v>2266</v>
      </c>
      <c r="H616" s="10" t="s">
        <v>1057</v>
      </c>
      <c r="I616" s="12" t="s">
        <v>1039</v>
      </c>
      <c r="J616" s="10" t="s">
        <v>1030</v>
      </c>
      <c r="K616" s="12" t="s">
        <v>1037</v>
      </c>
      <c r="L616" s="10" t="s">
        <v>1247</v>
      </c>
      <c r="M616" s="12" t="s">
        <v>114</v>
      </c>
      <c r="N616" s="14" t="s">
        <v>1035</v>
      </c>
    </row>
    <row r="617" spans="1:14" x14ac:dyDescent="0.25">
      <c r="A617" s="9" t="s">
        <v>240</v>
      </c>
      <c r="B617" s="10" t="s">
        <v>830</v>
      </c>
      <c r="C617" s="10">
        <v>2017</v>
      </c>
      <c r="D617" s="11" t="s">
        <v>2006</v>
      </c>
      <c r="E617" s="10" t="s">
        <v>1630</v>
      </c>
      <c r="F617" s="11" t="s">
        <v>230</v>
      </c>
      <c r="G617" s="10" t="s">
        <v>2271</v>
      </c>
      <c r="H617" s="10" t="s">
        <v>1057</v>
      </c>
      <c r="I617" s="12" t="s">
        <v>1039</v>
      </c>
      <c r="J617" s="10" t="s">
        <v>1693</v>
      </c>
      <c r="K617" s="10" t="s">
        <v>1031</v>
      </c>
      <c r="L617" s="10" t="s">
        <v>1247</v>
      </c>
      <c r="M617" s="10" t="s">
        <v>1050</v>
      </c>
      <c r="N617" s="14" t="s">
        <v>1035</v>
      </c>
    </row>
    <row r="618" spans="1:14" x14ac:dyDescent="0.25">
      <c r="A618" s="9" t="s">
        <v>416</v>
      </c>
      <c r="B618" s="10" t="s">
        <v>417</v>
      </c>
      <c r="C618" s="10">
        <v>2019</v>
      </c>
      <c r="D618" s="11" t="s">
        <v>2015</v>
      </c>
      <c r="E618" s="10" t="s">
        <v>1630</v>
      </c>
      <c r="F618" s="11" t="s">
        <v>230</v>
      </c>
      <c r="G618" s="10" t="s">
        <v>2275</v>
      </c>
      <c r="H618" s="10" t="s">
        <v>1057</v>
      </c>
      <c r="I618" s="10" t="s">
        <v>1039</v>
      </c>
      <c r="J618" s="12" t="s">
        <v>1030</v>
      </c>
      <c r="K618" s="10" t="s">
        <v>1031</v>
      </c>
      <c r="L618" s="10" t="s">
        <v>1032</v>
      </c>
      <c r="M618" s="12" t="s">
        <v>114</v>
      </c>
      <c r="N618" s="14" t="s">
        <v>1035</v>
      </c>
    </row>
    <row r="619" spans="1:14" x14ac:dyDescent="0.25">
      <c r="A619" s="9" t="s">
        <v>243</v>
      </c>
      <c r="B619" s="10" t="s">
        <v>244</v>
      </c>
      <c r="C619" s="10">
        <v>2017</v>
      </c>
      <c r="D619" s="11" t="s">
        <v>2049</v>
      </c>
      <c r="E619" s="10" t="s">
        <v>1630</v>
      </c>
      <c r="F619" s="11" t="s">
        <v>230</v>
      </c>
      <c r="G619" s="10" t="s">
        <v>1054</v>
      </c>
      <c r="H619" s="10" t="s">
        <v>2359</v>
      </c>
      <c r="I619" s="12" t="s">
        <v>1039</v>
      </c>
      <c r="J619" s="10" t="s">
        <v>1036</v>
      </c>
      <c r="K619" s="10" t="s">
        <v>1031</v>
      </c>
      <c r="L619" s="10" t="s">
        <v>1247</v>
      </c>
      <c r="M619" s="10" t="s">
        <v>1050</v>
      </c>
      <c r="N619" s="14" t="s">
        <v>1035</v>
      </c>
    </row>
    <row r="620" spans="1:14" x14ac:dyDescent="0.25">
      <c r="A620" s="9" t="s">
        <v>1480</v>
      </c>
      <c r="B620" s="10" t="s">
        <v>1481</v>
      </c>
      <c r="C620" s="10">
        <v>2022</v>
      </c>
      <c r="D620" s="11" t="s">
        <v>2199</v>
      </c>
      <c r="E620" s="10" t="s">
        <v>1630</v>
      </c>
      <c r="F620" s="11" t="s">
        <v>230</v>
      </c>
      <c r="G620" s="10" t="s">
        <v>2266</v>
      </c>
      <c r="H620" s="10" t="s">
        <v>1230</v>
      </c>
      <c r="I620" s="10" t="s">
        <v>1039</v>
      </c>
      <c r="J620" s="10" t="s">
        <v>1030</v>
      </c>
      <c r="K620" s="10" t="s">
        <v>1031</v>
      </c>
      <c r="L620" s="10" t="s">
        <v>1032</v>
      </c>
      <c r="M620" s="10" t="s">
        <v>1049</v>
      </c>
      <c r="N620" s="13" t="s">
        <v>1035</v>
      </c>
    </row>
    <row r="621" spans="1:14" x14ac:dyDescent="0.25">
      <c r="A621" s="9" t="s">
        <v>1458</v>
      </c>
      <c r="B621" s="10" t="s">
        <v>1459</v>
      </c>
      <c r="C621" s="10">
        <v>2018</v>
      </c>
      <c r="D621" s="11" t="s">
        <v>2190</v>
      </c>
      <c r="E621" s="10" t="s">
        <v>1630</v>
      </c>
      <c r="F621" s="11" t="s">
        <v>230</v>
      </c>
      <c r="G621" s="10" t="s">
        <v>2266</v>
      </c>
      <c r="H621" s="10" t="s">
        <v>1180</v>
      </c>
      <c r="I621" s="10" t="s">
        <v>1039</v>
      </c>
      <c r="J621" s="10" t="s">
        <v>1030</v>
      </c>
      <c r="K621" s="10" t="s">
        <v>1031</v>
      </c>
      <c r="L621" s="10" t="s">
        <v>1247</v>
      </c>
      <c r="M621" s="10" t="s">
        <v>1067</v>
      </c>
      <c r="N621" s="13" t="s">
        <v>1035</v>
      </c>
    </row>
    <row r="622" spans="1:14" x14ac:dyDescent="0.25">
      <c r="A622" s="9" t="s">
        <v>233</v>
      </c>
      <c r="B622" s="10" t="s">
        <v>234</v>
      </c>
      <c r="C622" s="10">
        <v>2018</v>
      </c>
      <c r="D622" s="11" t="s">
        <v>2088</v>
      </c>
      <c r="E622" s="10" t="s">
        <v>1630</v>
      </c>
      <c r="F622" s="11" t="s">
        <v>230</v>
      </c>
      <c r="G622" s="10" t="s">
        <v>1165</v>
      </c>
      <c r="H622" s="10" t="s">
        <v>2340</v>
      </c>
      <c r="I622" s="12" t="s">
        <v>1225</v>
      </c>
      <c r="J622" s="10" t="s">
        <v>1030</v>
      </c>
      <c r="K622" s="10" t="s">
        <v>1031</v>
      </c>
      <c r="L622" s="10" t="s">
        <v>1247</v>
      </c>
      <c r="M622" s="10" t="s">
        <v>1050</v>
      </c>
      <c r="N622" s="14" t="s">
        <v>1035</v>
      </c>
    </row>
    <row r="623" spans="1:14" x14ac:dyDescent="0.25">
      <c r="A623" s="9" t="s">
        <v>238</v>
      </c>
      <c r="B623" s="10" t="s">
        <v>239</v>
      </c>
      <c r="C623" s="10">
        <v>2018</v>
      </c>
      <c r="D623" s="11" t="s">
        <v>2077</v>
      </c>
      <c r="E623" s="10" t="s">
        <v>1630</v>
      </c>
      <c r="F623" s="11" t="s">
        <v>230</v>
      </c>
      <c r="G623" s="10" t="s">
        <v>1068</v>
      </c>
      <c r="H623" s="10" t="s">
        <v>2340</v>
      </c>
      <c r="I623" s="12" t="s">
        <v>1029</v>
      </c>
      <c r="J623" s="10" t="s">
        <v>1030</v>
      </c>
      <c r="K623" s="10" t="s">
        <v>1031</v>
      </c>
      <c r="L623" s="10" t="s">
        <v>1032</v>
      </c>
      <c r="M623" s="10" t="s">
        <v>1091</v>
      </c>
      <c r="N623" s="14" t="s">
        <v>1035</v>
      </c>
    </row>
    <row r="624" spans="1:14" x14ac:dyDescent="0.25">
      <c r="A624" s="9" t="s">
        <v>573</v>
      </c>
      <c r="B624" s="10" t="s">
        <v>574</v>
      </c>
      <c r="C624" s="10">
        <v>2022</v>
      </c>
      <c r="D624" s="11" t="s">
        <v>2107</v>
      </c>
      <c r="E624" s="10" t="s">
        <v>1630</v>
      </c>
      <c r="F624" s="11" t="s">
        <v>230</v>
      </c>
      <c r="G624" s="10" t="s">
        <v>2266</v>
      </c>
      <c r="H624" s="10" t="s">
        <v>2340</v>
      </c>
      <c r="I624" s="12" t="s">
        <v>1039</v>
      </c>
      <c r="J624" s="10" t="s">
        <v>1036</v>
      </c>
      <c r="K624" s="10" t="s">
        <v>1031</v>
      </c>
      <c r="L624" s="10" t="s">
        <v>1247</v>
      </c>
      <c r="M624" s="10" t="s">
        <v>1049</v>
      </c>
      <c r="N624" s="13" t="s">
        <v>1034</v>
      </c>
    </row>
    <row r="625" spans="1:14" x14ac:dyDescent="0.25">
      <c r="A625" s="9" t="s">
        <v>235</v>
      </c>
      <c r="B625" s="10" t="s">
        <v>829</v>
      </c>
      <c r="C625" s="10">
        <v>2016</v>
      </c>
      <c r="D625" s="11" t="s">
        <v>2089</v>
      </c>
      <c r="E625" s="10" t="s">
        <v>1630</v>
      </c>
      <c r="F625" s="11" t="s">
        <v>230</v>
      </c>
      <c r="G625" s="10" t="s">
        <v>1028</v>
      </c>
      <c r="H625" s="10" t="s">
        <v>2340</v>
      </c>
      <c r="I625" s="12" t="s">
        <v>1039</v>
      </c>
      <c r="J625" s="10" t="s">
        <v>1040</v>
      </c>
      <c r="K625" s="10" t="s">
        <v>1031</v>
      </c>
      <c r="L625" s="10" t="s">
        <v>1032</v>
      </c>
      <c r="M625" s="12" t="s">
        <v>114</v>
      </c>
      <c r="N625" s="14" t="s">
        <v>1035</v>
      </c>
    </row>
    <row r="626" spans="1:14" x14ac:dyDescent="0.25">
      <c r="A626" s="9" t="s">
        <v>528</v>
      </c>
      <c r="B626" s="10" t="s">
        <v>529</v>
      </c>
      <c r="C626" s="10">
        <v>2021</v>
      </c>
      <c r="D626" s="11" t="s">
        <v>1726</v>
      </c>
      <c r="E626" s="10" t="s">
        <v>1630</v>
      </c>
      <c r="F626" s="11" t="s">
        <v>230</v>
      </c>
      <c r="G626" s="10" t="s">
        <v>1028</v>
      </c>
      <c r="H626" s="10" t="s">
        <v>2320</v>
      </c>
      <c r="I626" s="12" t="s">
        <v>1039</v>
      </c>
      <c r="J626" s="10" t="s">
        <v>1040</v>
      </c>
      <c r="K626" s="10" t="s">
        <v>1031</v>
      </c>
      <c r="L626" s="10" t="s">
        <v>1032</v>
      </c>
      <c r="M626" s="12" t="s">
        <v>114</v>
      </c>
      <c r="N626" s="14" t="s">
        <v>1035</v>
      </c>
    </row>
    <row r="627" spans="1:14" x14ac:dyDescent="0.25">
      <c r="A627" s="9" t="s">
        <v>512</v>
      </c>
      <c r="B627" s="10" t="s">
        <v>513</v>
      </c>
      <c r="C627" s="10">
        <v>2020</v>
      </c>
      <c r="D627" s="11" t="s">
        <v>2103</v>
      </c>
      <c r="E627" s="10" t="s">
        <v>1630</v>
      </c>
      <c r="F627" s="11" t="s">
        <v>230</v>
      </c>
      <c r="G627" s="10" t="s">
        <v>1054</v>
      </c>
      <c r="H627" s="10" t="s">
        <v>2362</v>
      </c>
      <c r="I627" s="12" t="s">
        <v>1039</v>
      </c>
      <c r="J627" s="12" t="s">
        <v>1040</v>
      </c>
      <c r="K627" s="10" t="s">
        <v>1031</v>
      </c>
      <c r="L627" s="10" t="s">
        <v>1042</v>
      </c>
      <c r="M627" s="12" t="s">
        <v>114</v>
      </c>
      <c r="N627" s="13" t="s">
        <v>1041</v>
      </c>
    </row>
    <row r="628" spans="1:14" x14ac:dyDescent="0.25">
      <c r="A628" s="9" t="s">
        <v>241</v>
      </c>
      <c r="B628" s="10" t="s">
        <v>242</v>
      </c>
      <c r="C628" s="10">
        <v>2014</v>
      </c>
      <c r="D628" s="11" t="s">
        <v>1922</v>
      </c>
      <c r="E628" s="10" t="s">
        <v>1630</v>
      </c>
      <c r="F628" s="11" t="s">
        <v>230</v>
      </c>
      <c r="G628" s="10" t="s">
        <v>2273</v>
      </c>
      <c r="H628" s="10" t="s">
        <v>2331</v>
      </c>
      <c r="I628" s="12" t="s">
        <v>1029</v>
      </c>
      <c r="J628" s="10" t="s">
        <v>1030</v>
      </c>
      <c r="K628" s="10" t="s">
        <v>1031</v>
      </c>
      <c r="L628" s="10" t="s">
        <v>1032</v>
      </c>
      <c r="M628" s="12" t="s">
        <v>114</v>
      </c>
      <c r="N628" s="14" t="s">
        <v>1035</v>
      </c>
    </row>
    <row r="629" spans="1:14" x14ac:dyDescent="0.25">
      <c r="A629" s="9" t="s">
        <v>1545</v>
      </c>
      <c r="B629" s="10" t="s">
        <v>1546</v>
      </c>
      <c r="C629" s="10">
        <v>2018</v>
      </c>
      <c r="D629" s="11" t="s">
        <v>2220</v>
      </c>
      <c r="E629" s="10" t="s">
        <v>1630</v>
      </c>
      <c r="F629" s="11" t="s">
        <v>1547</v>
      </c>
      <c r="G629" s="10" t="s">
        <v>1538</v>
      </c>
      <c r="H629" s="10" t="s">
        <v>2373</v>
      </c>
      <c r="I629" s="10" t="s">
        <v>1493</v>
      </c>
      <c r="J629" s="10" t="s">
        <v>1030</v>
      </c>
      <c r="K629" s="10" t="s">
        <v>1031</v>
      </c>
      <c r="L629" s="10" t="s">
        <v>1247</v>
      </c>
      <c r="M629" s="10" t="s">
        <v>1050</v>
      </c>
      <c r="N629" s="13" t="s">
        <v>1035</v>
      </c>
    </row>
    <row r="630" spans="1:14" x14ac:dyDescent="0.25">
      <c r="A630" s="9" t="s">
        <v>545</v>
      </c>
      <c r="B630" s="10" t="s">
        <v>546</v>
      </c>
      <c r="C630" s="10">
        <v>2019</v>
      </c>
      <c r="D630" s="11" t="s">
        <v>1985</v>
      </c>
      <c r="E630" s="10" t="s">
        <v>1630</v>
      </c>
      <c r="F630" s="11" t="s">
        <v>141</v>
      </c>
      <c r="G630" s="10" t="s">
        <v>1054</v>
      </c>
      <c r="H630" s="10" t="s">
        <v>2366</v>
      </c>
      <c r="I630" s="12" t="s">
        <v>1039</v>
      </c>
      <c r="J630" s="10" t="s">
        <v>1036</v>
      </c>
      <c r="K630" s="10" t="s">
        <v>1031</v>
      </c>
      <c r="L630" s="10" t="s">
        <v>1042</v>
      </c>
      <c r="M630" s="10" t="s">
        <v>1050</v>
      </c>
      <c r="N630" s="13" t="s">
        <v>1041</v>
      </c>
    </row>
    <row r="631" spans="1:14" x14ac:dyDescent="0.25">
      <c r="A631" s="9" t="s">
        <v>139</v>
      </c>
      <c r="B631" s="10" t="s">
        <v>140</v>
      </c>
      <c r="C631" s="10">
        <v>2017</v>
      </c>
      <c r="D631" s="11" t="s">
        <v>1999</v>
      </c>
      <c r="E631" s="10" t="s">
        <v>1630</v>
      </c>
      <c r="F631" s="11" t="s">
        <v>141</v>
      </c>
      <c r="G631" s="10" t="s">
        <v>2266</v>
      </c>
      <c r="H631" s="10" t="s">
        <v>2350</v>
      </c>
      <c r="I631" s="12" t="s">
        <v>1039</v>
      </c>
      <c r="J631" s="10" t="s">
        <v>1052</v>
      </c>
      <c r="K631" s="10" t="s">
        <v>1031</v>
      </c>
      <c r="L631" s="10" t="s">
        <v>1032</v>
      </c>
      <c r="M631" s="10" t="s">
        <v>1093</v>
      </c>
      <c r="N631" s="13" t="s">
        <v>1072</v>
      </c>
    </row>
    <row r="632" spans="1:14" x14ac:dyDescent="0.25">
      <c r="A632" s="9" t="s">
        <v>1507</v>
      </c>
      <c r="B632" s="10" t="s">
        <v>1508</v>
      </c>
      <c r="C632" s="10">
        <v>2022</v>
      </c>
      <c r="D632" s="11" t="s">
        <v>2208</v>
      </c>
      <c r="E632" s="10" t="s">
        <v>1630</v>
      </c>
      <c r="F632" s="11" t="s">
        <v>141</v>
      </c>
      <c r="G632" s="10" t="s">
        <v>2285</v>
      </c>
      <c r="H632" s="10" t="s">
        <v>1509</v>
      </c>
      <c r="I632" s="10" t="s">
        <v>1493</v>
      </c>
      <c r="J632" s="10" t="s">
        <v>1030</v>
      </c>
      <c r="K632" s="10" t="s">
        <v>1031</v>
      </c>
      <c r="L632" s="10" t="s">
        <v>1247</v>
      </c>
      <c r="M632" s="10" t="s">
        <v>1510</v>
      </c>
      <c r="N632" s="13" t="s">
        <v>1034</v>
      </c>
    </row>
    <row r="633" spans="1:14" x14ac:dyDescent="0.25">
      <c r="A633" s="9" t="s">
        <v>1520</v>
      </c>
      <c r="B633" s="10" t="s">
        <v>1521</v>
      </c>
      <c r="C633" s="10">
        <v>2022</v>
      </c>
      <c r="D633" s="11" t="s">
        <v>2212</v>
      </c>
      <c r="E633" s="10" t="s">
        <v>1630</v>
      </c>
      <c r="F633" s="11" t="s">
        <v>141</v>
      </c>
      <c r="G633" s="10" t="s">
        <v>1028</v>
      </c>
      <c r="H633" s="10" t="s">
        <v>1180</v>
      </c>
      <c r="I633" s="10" t="s">
        <v>1493</v>
      </c>
      <c r="J633" s="10" t="s">
        <v>1691</v>
      </c>
      <c r="K633" s="10" t="s">
        <v>1031</v>
      </c>
      <c r="L633" s="10" t="s">
        <v>1247</v>
      </c>
      <c r="M633" s="10" t="s">
        <v>1050</v>
      </c>
      <c r="N633" s="13" t="s">
        <v>1034</v>
      </c>
    </row>
    <row r="634" spans="1:14" x14ac:dyDescent="0.25">
      <c r="A634" s="9" t="s">
        <v>551</v>
      </c>
      <c r="B634" s="10" t="s">
        <v>552</v>
      </c>
      <c r="C634" s="10">
        <v>2022</v>
      </c>
      <c r="D634" s="11" t="s">
        <v>1741</v>
      </c>
      <c r="E634" s="10" t="s">
        <v>1630</v>
      </c>
      <c r="F634" s="11" t="s">
        <v>141</v>
      </c>
      <c r="G634" s="10" t="s">
        <v>1054</v>
      </c>
      <c r="H634" s="10" t="s">
        <v>2340</v>
      </c>
      <c r="I634" s="12" t="s">
        <v>1029</v>
      </c>
      <c r="J634" s="10" t="s">
        <v>1030</v>
      </c>
      <c r="K634" s="10" t="s">
        <v>1031</v>
      </c>
      <c r="L634" s="10" t="s">
        <v>1032</v>
      </c>
      <c r="M634" s="10" t="s">
        <v>1050</v>
      </c>
      <c r="N634" s="14" t="s">
        <v>1035</v>
      </c>
    </row>
    <row r="635" spans="1:14" x14ac:dyDescent="0.25">
      <c r="A635" s="19" t="s">
        <v>1603</v>
      </c>
      <c r="B635" s="15" t="s">
        <v>1604</v>
      </c>
      <c r="C635" s="15">
        <v>2021</v>
      </c>
      <c r="D635" s="16" t="s">
        <v>2262</v>
      </c>
      <c r="E635" s="15" t="s">
        <v>1631</v>
      </c>
      <c r="F635" s="16" t="s">
        <v>1605</v>
      </c>
      <c r="G635" s="15" t="s">
        <v>2275</v>
      </c>
      <c r="H635" s="15" t="s">
        <v>2326</v>
      </c>
      <c r="I635" s="15" t="s">
        <v>1493</v>
      </c>
      <c r="J635" s="15" t="s">
        <v>1040</v>
      </c>
      <c r="K635" s="15" t="s">
        <v>1031</v>
      </c>
      <c r="L635" s="15" t="s">
        <v>1247</v>
      </c>
      <c r="M635" s="15" t="s">
        <v>114</v>
      </c>
      <c r="N635" s="49" t="s">
        <v>1041</v>
      </c>
    </row>
  </sheetData>
  <sortState xmlns:xlrd2="http://schemas.microsoft.com/office/spreadsheetml/2017/richdata2" ref="A2:N635">
    <sortCondition ref="F2:F635"/>
  </sortState>
  <conditionalFormatting sqref="A1">
    <cfRule type="duplicateValues" dxfId="23" priority="151"/>
  </conditionalFormatting>
  <conditionalFormatting sqref="A428:A635">
    <cfRule type="duplicateValues" dxfId="22" priority="5"/>
  </conditionalFormatting>
  <conditionalFormatting sqref="B1">
    <cfRule type="duplicateValues" dxfId="21" priority="145"/>
    <cfRule type="duplicateValues" dxfId="20" priority="150"/>
  </conditionalFormatting>
  <conditionalFormatting sqref="B98">
    <cfRule type="duplicateValues" dxfId="19" priority="14"/>
  </conditionalFormatting>
  <conditionalFormatting sqref="B99">
    <cfRule type="duplicateValues" dxfId="18" priority="13"/>
  </conditionalFormatting>
  <conditionalFormatting sqref="B103">
    <cfRule type="duplicateValues" dxfId="17" priority="12"/>
  </conditionalFormatting>
  <conditionalFormatting sqref="B425">
    <cfRule type="duplicateValues" dxfId="16" priority="10"/>
  </conditionalFormatting>
  <conditionalFormatting sqref="B426 B104:B424 B100:B102 B2:B97">
    <cfRule type="duplicateValues" dxfId="15" priority="15"/>
  </conditionalFormatting>
  <conditionalFormatting sqref="B426">
    <cfRule type="duplicateValues" dxfId="14" priority="11"/>
  </conditionalFormatting>
  <conditionalFormatting sqref="B427">
    <cfRule type="duplicateValues" dxfId="13" priority="9"/>
  </conditionalFormatting>
  <conditionalFormatting sqref="B428:B633">
    <cfRule type="duplicateValues" dxfId="12" priority="6"/>
  </conditionalFormatting>
  <conditionalFormatting sqref="B428:B634">
    <cfRule type="duplicateValues" dxfId="11" priority="4"/>
  </conditionalFormatting>
  <conditionalFormatting sqref="B428:B635">
    <cfRule type="duplicateValues" dxfId="10" priority="1"/>
  </conditionalFormatting>
  <conditionalFormatting sqref="B634">
    <cfRule type="duplicateValues" dxfId="9" priority="3"/>
  </conditionalFormatting>
  <conditionalFormatting sqref="B635">
    <cfRule type="duplicateValues" dxfId="8" priority="2"/>
  </conditionalFormatting>
  <conditionalFormatting sqref="B637:B1048576 B1">
    <cfRule type="duplicateValues" dxfId="7" priority="146"/>
    <cfRule type="duplicateValues" dxfId="6" priority="147"/>
  </conditionalFormatting>
  <conditionalFormatting sqref="A2:A427">
    <cfRule type="duplicateValues" dxfId="3" priority="168"/>
  </conditionalFormatting>
  <conditionalFormatting sqref="B2:B427">
    <cfRule type="duplicateValues" dxfId="2" priority="170"/>
    <cfRule type="duplicateValues" dxfId="1" priority="171"/>
  </conditionalFormatting>
  <conditionalFormatting sqref="B104:B423 B100:B102 B2:B97">
    <cfRule type="duplicateValues" dxfId="0" priority="174"/>
  </conditionalFormatting>
  <hyperlinks>
    <hyperlink ref="B170" r:id="rId1" display="https://doi.org/10.1016/j.future.2019.05.030" xr:uid="{CA370D8B-C32D-499D-88F0-73713FA71407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BC85-122B-4785-B7F8-A9801614356A}">
  <dimension ref="A1:X1865"/>
  <sheetViews>
    <sheetView topLeftCell="Q6" workbookViewId="0">
      <selection activeCell="J27" sqref="J27"/>
    </sheetView>
  </sheetViews>
  <sheetFormatPr defaultRowHeight="15" x14ac:dyDescent="0.25"/>
  <cols>
    <col min="3" max="3" width="11.5703125" customWidth="1"/>
    <col min="4" max="4" width="10.85546875" customWidth="1"/>
    <col min="9" max="9" width="11.42578125" customWidth="1"/>
    <col min="10" max="10" width="11.140625" customWidth="1"/>
  </cols>
  <sheetData>
    <row r="1" spans="1:18" ht="25.5" x14ac:dyDescent="0.25">
      <c r="A1" s="8" t="s">
        <v>4299</v>
      </c>
      <c r="B1" s="8" t="s">
        <v>2391</v>
      </c>
      <c r="C1" s="67" t="s">
        <v>1054</v>
      </c>
      <c r="D1" s="67" t="s">
        <v>1080</v>
      </c>
      <c r="E1" s="68" t="s">
        <v>1028</v>
      </c>
      <c r="F1" s="68" t="s">
        <v>1062</v>
      </c>
      <c r="G1" s="68" t="s">
        <v>2266</v>
      </c>
      <c r="H1" s="68" t="s">
        <v>2275</v>
      </c>
      <c r="I1" s="68" t="s">
        <v>1215</v>
      </c>
      <c r="J1" s="69" t="s">
        <v>1174</v>
      </c>
      <c r="K1" s="68" t="s">
        <v>1164</v>
      </c>
      <c r="L1" s="68" t="s">
        <v>1094</v>
      </c>
      <c r="M1" s="69" t="s">
        <v>1066</v>
      </c>
      <c r="P1" s="5" t="s">
        <v>4300</v>
      </c>
      <c r="Q1" t="s">
        <v>4301</v>
      </c>
      <c r="R1" t="s">
        <v>4302</v>
      </c>
    </row>
    <row r="2" spans="1:18" x14ac:dyDescent="0.25">
      <c r="A2" s="8" t="s">
        <v>2435</v>
      </c>
      <c r="B2" s="8">
        <f>COUNTIF('All Papers'!D:D,"*"&amp;Table1[[#This Row],[Name]]&amp;"*")</f>
        <v>21</v>
      </c>
      <c r="C2" s="8">
        <f>COUNTIFS('All Papers'!$D:$D,"*"&amp;$A2&amp;"*",'All Papers'!$G:$G,"*"&amp;Table1[[#Headers],[Composition]]&amp;"*")</f>
        <v>7</v>
      </c>
      <c r="D2" s="8">
        <f>COUNTIFS('All Papers'!$D:$D,"*"&amp;$A2&amp;"*",'All Papers'!$G:$G,"*"&amp;Table1[[#Headers],[Discovery]]&amp;"*")</f>
        <v>1</v>
      </c>
      <c r="E2" s="8">
        <f>COUNTIFS('All Papers'!$D:$D,"*"&amp;$A2&amp;"*",'All Papers'!$G:$G,"*"&amp;Table1[[#Headers],[Selection]]&amp;"*")</f>
        <v>4</v>
      </c>
      <c r="F2" s="8">
        <f>COUNTIFS('All Papers'!$D:$D,"*"&amp;$A2&amp;"*",'All Papers'!$G:$G,"*"&amp;Table1[[#Headers],[Recommendation]]&amp;"*")</f>
        <v>0</v>
      </c>
      <c r="G2" s="8">
        <f>COUNTIFS('All Papers'!$D:$D,"*"&amp;$A2&amp;"*",'All Papers'!$G:$G,"*"&amp;Table1[[#Headers],[Resource Management-CS]]&amp;"*")</f>
        <v>7</v>
      </c>
      <c r="H2" s="8">
        <f>COUNTIFS('All Papers'!$D:$D,"*"&amp;$A2&amp;"*",'All Papers'!$G:$G,"*"&amp;Table1[[#Headers],[Resource Management-PS]]&amp;"*")</f>
        <v>2</v>
      </c>
      <c r="I2" s="8">
        <f>COUNTIFS('All Papers'!$D:$D,"*"&amp;$A2&amp;"*",'All Papers'!$G:$G,"*"&amp;Table1[[#Headers],[SLA Management]]&amp;"*")</f>
        <v>1</v>
      </c>
      <c r="J2" s="8">
        <f>COUNTIFS('All Papers'!$D:$D,"*"&amp;$A2&amp;"*",'All Papers'!$G:$G,"*"&amp;Table1[[#Headers],[Big Data]]&amp;"*")</f>
        <v>0</v>
      </c>
      <c r="K2" s="8">
        <f>COUNTIFS('All Papers'!$D:$D,"*"&amp;$A2&amp;"*",'All Papers'!$G:$G,"*"&amp;Table1[[#Headers],[Energy Management]]&amp;"*")</f>
        <v>1</v>
      </c>
      <c r="L2" s="8">
        <f>COUNTIFS('All Papers'!$D:$D,"*"&amp;$A2&amp;"*",'All Papers'!$G:$G,"*"&amp;Table1[[#Headers],[Monitoring]]&amp;"*")</f>
        <v>0</v>
      </c>
      <c r="M2" s="8">
        <f>COUNTIFS('All Papers'!$D:$D,"*"&amp;$A2&amp;"*",'All Papers'!$G:$G,"*"&amp;Table1[[#Headers],[Pricing]]&amp;"*")</f>
        <v>1</v>
      </c>
      <c r="P2">
        <v>1</v>
      </c>
      <c r="Q2">
        <v>1</v>
      </c>
      <c r="R2">
        <f>C2</f>
        <v>7</v>
      </c>
    </row>
    <row r="3" spans="1:18" x14ac:dyDescent="0.25">
      <c r="A3" s="8" t="s">
        <v>2436</v>
      </c>
      <c r="B3" s="8">
        <f>COUNTIF('All Papers'!D:D,"*"&amp;Table1[[#This Row],[Name]]&amp;"*")</f>
        <v>12</v>
      </c>
      <c r="C3" s="8">
        <f>COUNTIFS('All Papers'!$D:$D,"*"&amp;$A3&amp;"*",'All Papers'!$G:$G,"*"&amp;Table1[[#Headers],[Composition]]&amp;"*")</f>
        <v>9</v>
      </c>
      <c r="D3" s="8">
        <f>COUNTIFS('All Papers'!$D:$D,"*"&amp;$A3&amp;"*",'All Papers'!$G:$G,"*"&amp;Table1[[#Headers],[Discovery]]&amp;"*")</f>
        <v>0</v>
      </c>
      <c r="E3" s="8">
        <f>COUNTIFS('All Papers'!$D:$D,"*"&amp;$A3&amp;"*",'All Papers'!$G:$G,"*"&amp;Table1[[#Headers],[Selection]]&amp;"*")</f>
        <v>3</v>
      </c>
      <c r="F3" s="8">
        <f>COUNTIFS('All Papers'!$D:$D,"*"&amp;$A3&amp;"*",'All Papers'!$G:$G,"*"&amp;Table1[[#Headers],[Recommendation]]&amp;"*")</f>
        <v>0</v>
      </c>
      <c r="G3" s="8">
        <f>COUNTIFS('All Papers'!$D:$D,"*"&amp;$A3&amp;"*",'All Papers'!$G:$G,"*"&amp;Table1[[#Headers],[Resource Management-CS]]&amp;"*")</f>
        <v>0</v>
      </c>
      <c r="H3" s="8">
        <f>COUNTIFS('All Papers'!$D:$D,"*"&amp;$A3&amp;"*",'All Papers'!$G:$G,"*"&amp;Table1[[#Headers],[Resource Management-PS]]&amp;"*")</f>
        <v>0</v>
      </c>
      <c r="I3" s="8">
        <f>COUNTIFS('All Papers'!$D:$D,"*"&amp;$A3&amp;"*",'All Papers'!$G:$G,"*"&amp;Table1[[#Headers],[SLA Management]]&amp;"*")</f>
        <v>0</v>
      </c>
      <c r="J3" s="8">
        <f>COUNTIFS('All Papers'!$D:$D,"*"&amp;$A3&amp;"*",'All Papers'!$G:$G,"*"&amp;Table1[[#Headers],[Big Data]]&amp;"*")</f>
        <v>0</v>
      </c>
      <c r="K3" s="8">
        <f>COUNTIFS('All Papers'!$D:$D,"*"&amp;$A3&amp;"*",'All Papers'!$G:$G,"*"&amp;Table1[[#Headers],[Energy Management]]&amp;"*")</f>
        <v>0</v>
      </c>
      <c r="L3" s="8">
        <f>COUNTIFS('All Papers'!$D:$D,"*"&amp;$A3&amp;"*",'All Papers'!$G:$G,"*"&amp;Table1[[#Headers],[Monitoring]]&amp;"*")</f>
        <v>0</v>
      </c>
      <c r="M3" s="8">
        <f>COUNTIFS('All Papers'!$D:$D,"*"&amp;$A3&amp;"*",'All Papers'!$G:$G,"*"&amp;Table1[[#Headers],[Pricing]]&amp;"*")</f>
        <v>0</v>
      </c>
      <c r="P3">
        <v>1</v>
      </c>
      <c r="Q3">
        <v>2</v>
      </c>
      <c r="R3">
        <f>D2</f>
        <v>1</v>
      </c>
    </row>
    <row r="4" spans="1:18" x14ac:dyDescent="0.25">
      <c r="A4" s="8" t="s">
        <v>2437</v>
      </c>
      <c r="B4" s="8">
        <f>COUNTIF('All Papers'!D:D,"*"&amp;Table1[[#This Row],[Name]]&amp;"*")</f>
        <v>7</v>
      </c>
      <c r="C4" s="8">
        <f>COUNTIFS('All Papers'!$D:$D,"*"&amp;$A4&amp;"*",'All Papers'!$G:$G,"*"&amp;Table1[[#Headers],[Composition]]&amp;"*")</f>
        <v>5</v>
      </c>
      <c r="D4" s="8">
        <f>COUNTIFS('All Papers'!$D:$D,"*"&amp;$A4&amp;"*",'All Papers'!$G:$G,"*"&amp;Table1[[#Headers],[Discovery]]&amp;"*")</f>
        <v>0</v>
      </c>
      <c r="E4" s="8">
        <f>COUNTIFS('All Papers'!$D:$D,"*"&amp;$A4&amp;"*",'All Papers'!$G:$G,"*"&amp;Table1[[#Headers],[Selection]]&amp;"*")</f>
        <v>2</v>
      </c>
      <c r="F4" s="8">
        <f>COUNTIFS('All Papers'!$D:$D,"*"&amp;$A4&amp;"*",'All Papers'!$G:$G,"*"&amp;Table1[[#Headers],[Recommendation]]&amp;"*")</f>
        <v>0</v>
      </c>
      <c r="G4" s="8">
        <f>COUNTIFS('All Papers'!$D:$D,"*"&amp;$A4&amp;"*",'All Papers'!$G:$G,"*"&amp;Table1[[#Headers],[Resource Management-CS]]&amp;"*")</f>
        <v>0</v>
      </c>
      <c r="H4" s="8">
        <f>COUNTIFS('All Papers'!$D:$D,"*"&amp;$A4&amp;"*",'All Papers'!$G:$G,"*"&amp;Table1[[#Headers],[Resource Management-PS]]&amp;"*")</f>
        <v>0</v>
      </c>
      <c r="I4" s="8">
        <f>COUNTIFS('All Papers'!$D:$D,"*"&amp;$A4&amp;"*",'All Papers'!$G:$G,"*"&amp;Table1[[#Headers],[SLA Management]]&amp;"*")</f>
        <v>0</v>
      </c>
      <c r="J4" s="8">
        <f>COUNTIFS('All Papers'!$D:$D,"*"&amp;$A4&amp;"*",'All Papers'!$G:$G,"*"&amp;Table1[[#Headers],[Big Data]]&amp;"*")</f>
        <v>0</v>
      </c>
      <c r="K4" s="8">
        <f>COUNTIFS('All Papers'!$D:$D,"*"&amp;$A4&amp;"*",'All Papers'!$G:$G,"*"&amp;Table1[[#Headers],[Energy Management]]&amp;"*")</f>
        <v>0</v>
      </c>
      <c r="L4" s="8">
        <f>COUNTIFS('All Papers'!$D:$D,"*"&amp;$A4&amp;"*",'All Papers'!$G:$G,"*"&amp;Table1[[#Headers],[Monitoring]]&amp;"*")</f>
        <v>0</v>
      </c>
      <c r="M4" s="8">
        <f>COUNTIFS('All Papers'!$D:$D,"*"&amp;$A4&amp;"*",'All Papers'!$G:$G,"*"&amp;Table1[[#Headers],[Pricing]]&amp;"*")</f>
        <v>0</v>
      </c>
      <c r="P4">
        <v>1</v>
      </c>
      <c r="Q4">
        <v>3</v>
      </c>
      <c r="R4">
        <f>E2</f>
        <v>4</v>
      </c>
    </row>
    <row r="5" spans="1:18" x14ac:dyDescent="0.25">
      <c r="A5" s="8" t="s">
        <v>2438</v>
      </c>
      <c r="B5" s="8">
        <f>COUNTIF('All Papers'!D:D,"*"&amp;Table1[[#This Row],[Name]]&amp;"*")</f>
        <v>6</v>
      </c>
      <c r="C5" s="8">
        <f>COUNTIFS('All Papers'!$D:$D,"*"&amp;$A5&amp;"*",'All Papers'!$G:$G,"*"&amp;Table1[[#Headers],[Composition]]&amp;"*")</f>
        <v>2</v>
      </c>
      <c r="D5" s="8">
        <f>COUNTIFS('All Papers'!$D:$D,"*"&amp;$A5&amp;"*",'All Papers'!$G:$G,"*"&amp;Table1[[#Headers],[Discovery]]&amp;"*")</f>
        <v>0</v>
      </c>
      <c r="E5" s="8">
        <f>COUNTIFS('All Papers'!$D:$D,"*"&amp;$A5&amp;"*",'All Papers'!$G:$G,"*"&amp;Table1[[#Headers],[Selection]]&amp;"*")</f>
        <v>3</v>
      </c>
      <c r="F5" s="8">
        <f>COUNTIFS('All Papers'!$D:$D,"*"&amp;$A5&amp;"*",'All Papers'!$G:$G,"*"&amp;Table1[[#Headers],[Recommendation]]&amp;"*")</f>
        <v>0</v>
      </c>
      <c r="G5" s="8">
        <f>COUNTIFS('All Papers'!$D:$D,"*"&amp;$A5&amp;"*",'All Papers'!$G:$G,"*"&amp;Table1[[#Headers],[Resource Management-CS]]&amp;"*")</f>
        <v>1</v>
      </c>
      <c r="H5" s="8">
        <f>COUNTIFS('All Papers'!$D:$D,"*"&amp;$A5&amp;"*",'All Papers'!$G:$G,"*"&amp;Table1[[#Headers],[Resource Management-PS]]&amp;"*")</f>
        <v>2</v>
      </c>
      <c r="I5" s="8">
        <f>COUNTIFS('All Papers'!$D:$D,"*"&amp;$A5&amp;"*",'All Papers'!$G:$G,"*"&amp;Table1[[#Headers],[SLA Management]]&amp;"*")</f>
        <v>0</v>
      </c>
      <c r="J5" s="8">
        <f>COUNTIFS('All Papers'!$D:$D,"*"&amp;$A5&amp;"*",'All Papers'!$G:$G,"*"&amp;Table1[[#Headers],[Big Data]]&amp;"*")</f>
        <v>0</v>
      </c>
      <c r="K5" s="8">
        <f>COUNTIFS('All Papers'!$D:$D,"*"&amp;$A5&amp;"*",'All Papers'!$G:$G,"*"&amp;Table1[[#Headers],[Energy Management]]&amp;"*")</f>
        <v>0</v>
      </c>
      <c r="L5" s="8">
        <f>COUNTIFS('All Papers'!$D:$D,"*"&amp;$A5&amp;"*",'All Papers'!$G:$G,"*"&amp;Table1[[#Headers],[Monitoring]]&amp;"*")</f>
        <v>0</v>
      </c>
      <c r="M5" s="8">
        <f>COUNTIFS('All Papers'!$D:$D,"*"&amp;$A5&amp;"*",'All Papers'!$G:$G,"*"&amp;Table1[[#Headers],[Pricing]]&amp;"*")</f>
        <v>0</v>
      </c>
      <c r="P5">
        <v>1</v>
      </c>
      <c r="Q5">
        <v>4</v>
      </c>
      <c r="R5">
        <f>F2</f>
        <v>0</v>
      </c>
    </row>
    <row r="6" spans="1:18" x14ac:dyDescent="0.25">
      <c r="A6" s="8" t="s">
        <v>2439</v>
      </c>
      <c r="B6" s="8">
        <f>COUNTIF('All Papers'!D:D,"*"&amp;Table1[[#This Row],[Name]]&amp;"*")</f>
        <v>6</v>
      </c>
      <c r="C6" s="8">
        <f>COUNTIFS('All Papers'!$D:$D,"*"&amp;$A6&amp;"*",'All Papers'!$G:$G,"*"&amp;Table1[[#Headers],[Composition]]&amp;"*")</f>
        <v>5</v>
      </c>
      <c r="D6" s="8">
        <f>COUNTIFS('All Papers'!$D:$D,"*"&amp;$A6&amp;"*",'All Papers'!$G:$G,"*"&amp;Table1[[#Headers],[Discovery]]&amp;"*")</f>
        <v>0</v>
      </c>
      <c r="E6" s="8">
        <f>COUNTIFS('All Papers'!$D:$D,"*"&amp;$A6&amp;"*",'All Papers'!$G:$G,"*"&amp;Table1[[#Headers],[Selection]]&amp;"*")</f>
        <v>1</v>
      </c>
      <c r="F6" s="8">
        <f>COUNTIFS('All Papers'!$D:$D,"*"&amp;$A6&amp;"*",'All Papers'!$G:$G,"*"&amp;Table1[[#Headers],[Recommendation]]&amp;"*")</f>
        <v>0</v>
      </c>
      <c r="G6" s="8">
        <f>COUNTIFS('All Papers'!$D:$D,"*"&amp;$A6&amp;"*",'All Papers'!$G:$G,"*"&amp;Table1[[#Headers],[Resource Management-CS]]&amp;"*")</f>
        <v>0</v>
      </c>
      <c r="H6" s="8">
        <f>COUNTIFS('All Papers'!$D:$D,"*"&amp;$A6&amp;"*",'All Papers'!$G:$G,"*"&amp;Table1[[#Headers],[Resource Management-PS]]&amp;"*")</f>
        <v>0</v>
      </c>
      <c r="I6" s="8">
        <f>COUNTIFS('All Papers'!$D:$D,"*"&amp;$A6&amp;"*",'All Papers'!$G:$G,"*"&amp;Table1[[#Headers],[SLA Management]]&amp;"*")</f>
        <v>0</v>
      </c>
      <c r="J6" s="8">
        <f>COUNTIFS('All Papers'!$D:$D,"*"&amp;$A6&amp;"*",'All Papers'!$G:$G,"*"&amp;Table1[[#Headers],[Big Data]]&amp;"*")</f>
        <v>0</v>
      </c>
      <c r="K6" s="8">
        <f>COUNTIFS('All Papers'!$D:$D,"*"&amp;$A6&amp;"*",'All Papers'!$G:$G,"*"&amp;Table1[[#Headers],[Energy Management]]&amp;"*")</f>
        <v>0</v>
      </c>
      <c r="L6" s="8">
        <f>COUNTIFS('All Papers'!$D:$D,"*"&amp;$A6&amp;"*",'All Papers'!$G:$G,"*"&amp;Table1[[#Headers],[Monitoring]]&amp;"*")</f>
        <v>0</v>
      </c>
      <c r="M6" s="8">
        <f>COUNTIFS('All Papers'!$D:$D,"*"&amp;$A6&amp;"*",'All Papers'!$G:$G,"*"&amp;Table1[[#Headers],[Pricing]]&amp;"*")</f>
        <v>0</v>
      </c>
      <c r="P6">
        <v>1</v>
      </c>
      <c r="Q6">
        <v>5</v>
      </c>
      <c r="R6">
        <f>G2</f>
        <v>7</v>
      </c>
    </row>
    <row r="7" spans="1:18" x14ac:dyDescent="0.25">
      <c r="A7" s="8" t="s">
        <v>2440</v>
      </c>
      <c r="B7" s="8">
        <f>COUNTIF('All Papers'!D:D,"*"&amp;Table1[[#This Row],[Name]]&amp;"*")</f>
        <v>6</v>
      </c>
      <c r="C7" s="8">
        <f>COUNTIFS('All Papers'!$D:$D,"*"&amp;$A7&amp;"*",'All Papers'!$G:$G,"*"&amp;Table1[[#Headers],[Composition]]&amp;"*")</f>
        <v>0</v>
      </c>
      <c r="D7" s="8">
        <f>COUNTIFS('All Papers'!$D:$D,"*"&amp;$A7&amp;"*",'All Papers'!$G:$G,"*"&amp;Table1[[#Headers],[Discovery]]&amp;"*")</f>
        <v>1</v>
      </c>
      <c r="E7" s="8">
        <f>COUNTIFS('All Papers'!$D:$D,"*"&amp;$A7&amp;"*",'All Papers'!$G:$G,"*"&amp;Table1[[#Headers],[Selection]]&amp;"*")</f>
        <v>0</v>
      </c>
      <c r="F7" s="8">
        <f>COUNTIFS('All Papers'!$D:$D,"*"&amp;$A7&amp;"*",'All Papers'!$G:$G,"*"&amp;Table1[[#Headers],[Recommendation]]&amp;"*")</f>
        <v>0</v>
      </c>
      <c r="G7" s="8">
        <f>COUNTIFS('All Papers'!$D:$D,"*"&amp;$A7&amp;"*",'All Papers'!$G:$G,"*"&amp;Table1[[#Headers],[Resource Management-CS]]&amp;"*")</f>
        <v>4</v>
      </c>
      <c r="H7" s="8">
        <f>COUNTIFS('All Papers'!$D:$D,"*"&amp;$A7&amp;"*",'All Papers'!$G:$G,"*"&amp;Table1[[#Headers],[Resource Management-PS]]&amp;"*")</f>
        <v>1</v>
      </c>
      <c r="I7" s="8">
        <f>COUNTIFS('All Papers'!$D:$D,"*"&amp;$A7&amp;"*",'All Papers'!$G:$G,"*"&amp;Table1[[#Headers],[SLA Management]]&amp;"*")</f>
        <v>0</v>
      </c>
      <c r="J7" s="8">
        <f>COUNTIFS('All Papers'!$D:$D,"*"&amp;$A7&amp;"*",'All Papers'!$G:$G,"*"&amp;Table1[[#Headers],[Big Data]]&amp;"*")</f>
        <v>0</v>
      </c>
      <c r="K7" s="8">
        <f>COUNTIFS('All Papers'!$D:$D,"*"&amp;$A7&amp;"*",'All Papers'!$G:$G,"*"&amp;Table1[[#Headers],[Energy Management]]&amp;"*")</f>
        <v>0</v>
      </c>
      <c r="L7" s="8">
        <f>COUNTIFS('All Papers'!$D:$D,"*"&amp;$A7&amp;"*",'All Papers'!$G:$G,"*"&amp;Table1[[#Headers],[Monitoring]]&amp;"*")</f>
        <v>0</v>
      </c>
      <c r="M7" s="8">
        <f>COUNTIFS('All Papers'!$D:$D,"*"&amp;$A7&amp;"*",'All Papers'!$G:$G,"*"&amp;Table1[[#Headers],[Pricing]]&amp;"*")</f>
        <v>0</v>
      </c>
      <c r="P7">
        <v>1</v>
      </c>
      <c r="Q7">
        <v>6</v>
      </c>
      <c r="R7">
        <f>H2</f>
        <v>2</v>
      </c>
    </row>
    <row r="8" spans="1:18" x14ac:dyDescent="0.25">
      <c r="A8" s="8" t="s">
        <v>2441</v>
      </c>
      <c r="B8" s="8">
        <f>COUNTIF('All Papers'!D:D,"*"&amp;Table1[[#This Row],[Name]]&amp;"*")</f>
        <v>6</v>
      </c>
      <c r="C8" s="8">
        <f>COUNTIFS('All Papers'!$D:$D,"*"&amp;$A8&amp;"*",'All Papers'!$G:$G,"*"&amp;Table1[[#Headers],[Composition]]&amp;"*")</f>
        <v>5</v>
      </c>
      <c r="D8" s="8">
        <f>COUNTIFS('All Papers'!$D:$D,"*"&amp;$A8&amp;"*",'All Papers'!$G:$G,"*"&amp;Table1[[#Headers],[Discovery]]&amp;"*")</f>
        <v>0</v>
      </c>
      <c r="E8" s="8">
        <f>COUNTIFS('All Papers'!$D:$D,"*"&amp;$A8&amp;"*",'All Papers'!$G:$G,"*"&amp;Table1[[#Headers],[Selection]]&amp;"*")</f>
        <v>0</v>
      </c>
      <c r="F8" s="8">
        <f>COUNTIFS('All Papers'!$D:$D,"*"&amp;$A8&amp;"*",'All Papers'!$G:$G,"*"&amp;Table1[[#Headers],[Recommendation]]&amp;"*")</f>
        <v>0</v>
      </c>
      <c r="G8" s="8">
        <f>COUNTIFS('All Papers'!$D:$D,"*"&amp;$A8&amp;"*",'All Papers'!$G:$G,"*"&amp;Table1[[#Headers],[Resource Management-CS]]&amp;"*")</f>
        <v>1</v>
      </c>
      <c r="H8" s="8">
        <f>COUNTIFS('All Papers'!$D:$D,"*"&amp;$A8&amp;"*",'All Papers'!$G:$G,"*"&amp;Table1[[#Headers],[Resource Management-PS]]&amp;"*")</f>
        <v>0</v>
      </c>
      <c r="I8" s="8">
        <f>COUNTIFS('All Papers'!$D:$D,"*"&amp;$A8&amp;"*",'All Papers'!$G:$G,"*"&amp;Table1[[#Headers],[SLA Management]]&amp;"*")</f>
        <v>0</v>
      </c>
      <c r="J8" s="8">
        <f>COUNTIFS('All Papers'!$D:$D,"*"&amp;$A8&amp;"*",'All Papers'!$G:$G,"*"&amp;Table1[[#Headers],[Big Data]]&amp;"*")</f>
        <v>0</v>
      </c>
      <c r="K8" s="8">
        <f>COUNTIFS('All Papers'!$D:$D,"*"&amp;$A8&amp;"*",'All Papers'!$G:$G,"*"&amp;Table1[[#Headers],[Energy Management]]&amp;"*")</f>
        <v>0</v>
      </c>
      <c r="L8" s="8">
        <f>COUNTIFS('All Papers'!$D:$D,"*"&amp;$A8&amp;"*",'All Papers'!$G:$G,"*"&amp;Table1[[#Headers],[Monitoring]]&amp;"*")</f>
        <v>0</v>
      </c>
      <c r="M8" s="8">
        <f>COUNTIFS('All Papers'!$D:$D,"*"&amp;$A8&amp;"*",'All Papers'!$G:$G,"*"&amp;Table1[[#Headers],[Pricing]]&amp;"*")</f>
        <v>0</v>
      </c>
      <c r="P8">
        <v>1</v>
      </c>
      <c r="Q8">
        <v>7</v>
      </c>
      <c r="R8">
        <f>I2</f>
        <v>1</v>
      </c>
    </row>
    <row r="9" spans="1:18" x14ac:dyDescent="0.25">
      <c r="A9" s="8" t="s">
        <v>2442</v>
      </c>
      <c r="B9" s="8">
        <f>COUNTIF('All Papers'!D:D,"*"&amp;Table1[[#This Row],[Name]]&amp;"*")</f>
        <v>5</v>
      </c>
      <c r="C9" s="8">
        <f>COUNTIFS('All Papers'!$D:$D,"*"&amp;$A9&amp;"*",'All Papers'!$G:$G,"*"&amp;Table1[[#Headers],[Composition]]&amp;"*")</f>
        <v>1</v>
      </c>
      <c r="D9" s="8">
        <f>COUNTIFS('All Papers'!$D:$D,"*"&amp;$A9&amp;"*",'All Papers'!$G:$G,"*"&amp;Table1[[#Headers],[Discovery]]&amp;"*")</f>
        <v>0</v>
      </c>
      <c r="E9" s="8">
        <f>COUNTIFS('All Papers'!$D:$D,"*"&amp;$A9&amp;"*",'All Papers'!$G:$G,"*"&amp;Table1[[#Headers],[Selection]]&amp;"*")</f>
        <v>2</v>
      </c>
      <c r="F9" s="8">
        <f>COUNTIFS('All Papers'!$D:$D,"*"&amp;$A9&amp;"*",'All Papers'!$G:$G,"*"&amp;Table1[[#Headers],[Recommendation]]&amp;"*")</f>
        <v>0</v>
      </c>
      <c r="G9" s="8">
        <f>COUNTIFS('All Papers'!$D:$D,"*"&amp;$A9&amp;"*",'All Papers'!$G:$G,"*"&amp;Table1[[#Headers],[Resource Management-CS]]&amp;"*")</f>
        <v>1</v>
      </c>
      <c r="H9" s="8">
        <f>COUNTIFS('All Papers'!$D:$D,"*"&amp;$A9&amp;"*",'All Papers'!$G:$G,"*"&amp;Table1[[#Headers],[Resource Management-PS]]&amp;"*")</f>
        <v>2</v>
      </c>
      <c r="I9" s="8">
        <f>COUNTIFS('All Papers'!$D:$D,"*"&amp;$A9&amp;"*",'All Papers'!$G:$G,"*"&amp;Table1[[#Headers],[SLA Management]]&amp;"*")</f>
        <v>0</v>
      </c>
      <c r="J9" s="8">
        <f>COUNTIFS('All Papers'!$D:$D,"*"&amp;$A9&amp;"*",'All Papers'!$G:$G,"*"&amp;Table1[[#Headers],[Big Data]]&amp;"*")</f>
        <v>0</v>
      </c>
      <c r="K9" s="8">
        <f>COUNTIFS('All Papers'!$D:$D,"*"&amp;$A9&amp;"*",'All Papers'!$G:$G,"*"&amp;Table1[[#Headers],[Energy Management]]&amp;"*")</f>
        <v>0</v>
      </c>
      <c r="L9" s="8">
        <f>COUNTIFS('All Papers'!$D:$D,"*"&amp;$A9&amp;"*",'All Papers'!$G:$G,"*"&amp;Table1[[#Headers],[Monitoring]]&amp;"*")</f>
        <v>0</v>
      </c>
      <c r="M9" s="8">
        <f>COUNTIFS('All Papers'!$D:$D,"*"&amp;$A9&amp;"*",'All Papers'!$G:$G,"*"&amp;Table1[[#Headers],[Pricing]]&amp;"*")</f>
        <v>0</v>
      </c>
      <c r="P9">
        <v>1</v>
      </c>
      <c r="Q9">
        <v>8</v>
      </c>
      <c r="R9">
        <f>J2</f>
        <v>0</v>
      </c>
    </row>
    <row r="10" spans="1:18" x14ac:dyDescent="0.25">
      <c r="A10" s="8" t="s">
        <v>2443</v>
      </c>
      <c r="B10" s="8">
        <f>COUNTIF('All Papers'!D:D,"*"&amp;Table1[[#This Row],[Name]]&amp;"*")</f>
        <v>5</v>
      </c>
      <c r="C10" s="8">
        <f>COUNTIFS('All Papers'!$D:$D,"*"&amp;$A10&amp;"*",'All Papers'!$G:$G,"*"&amp;Table1[[#Headers],[Composition]]&amp;"*")</f>
        <v>0</v>
      </c>
      <c r="D10" s="8">
        <f>COUNTIFS('All Papers'!$D:$D,"*"&amp;$A10&amp;"*",'All Papers'!$G:$G,"*"&amp;Table1[[#Headers],[Discovery]]&amp;"*")</f>
        <v>2</v>
      </c>
      <c r="E10" s="8">
        <f>COUNTIFS('All Papers'!$D:$D,"*"&amp;$A10&amp;"*",'All Papers'!$G:$G,"*"&amp;Table1[[#Headers],[Selection]]&amp;"*")</f>
        <v>0</v>
      </c>
      <c r="F10" s="8">
        <f>COUNTIFS('All Papers'!$D:$D,"*"&amp;$A10&amp;"*",'All Papers'!$G:$G,"*"&amp;Table1[[#Headers],[Recommendation]]&amp;"*")</f>
        <v>0</v>
      </c>
      <c r="G10" s="8">
        <f>COUNTIFS('All Papers'!$D:$D,"*"&amp;$A10&amp;"*",'All Papers'!$G:$G,"*"&amp;Table1[[#Headers],[Resource Management-CS]]&amp;"*")</f>
        <v>4</v>
      </c>
      <c r="H10" s="8">
        <f>COUNTIFS('All Papers'!$D:$D,"*"&amp;$A10&amp;"*",'All Papers'!$G:$G,"*"&amp;Table1[[#Headers],[Resource Management-PS]]&amp;"*")</f>
        <v>0</v>
      </c>
      <c r="I10" s="8">
        <f>COUNTIFS('All Papers'!$D:$D,"*"&amp;$A10&amp;"*",'All Papers'!$G:$G,"*"&amp;Table1[[#Headers],[SLA Management]]&amp;"*")</f>
        <v>0</v>
      </c>
      <c r="J10" s="8">
        <f>COUNTIFS('All Papers'!$D:$D,"*"&amp;$A10&amp;"*",'All Papers'!$G:$G,"*"&amp;Table1[[#Headers],[Big Data]]&amp;"*")</f>
        <v>0</v>
      </c>
      <c r="K10" s="8">
        <f>COUNTIFS('All Papers'!$D:$D,"*"&amp;$A10&amp;"*",'All Papers'!$G:$G,"*"&amp;Table1[[#Headers],[Energy Management]]&amp;"*")</f>
        <v>1</v>
      </c>
      <c r="L10" s="8">
        <f>COUNTIFS('All Papers'!$D:$D,"*"&amp;$A10&amp;"*",'All Papers'!$G:$G,"*"&amp;Table1[[#Headers],[Monitoring]]&amp;"*")</f>
        <v>0</v>
      </c>
      <c r="M10" s="8">
        <f>COUNTIFS('All Papers'!$D:$D,"*"&amp;$A10&amp;"*",'All Papers'!$G:$G,"*"&amp;Table1[[#Headers],[Pricing]]&amp;"*")</f>
        <v>0</v>
      </c>
      <c r="P10">
        <v>1</v>
      </c>
      <c r="Q10">
        <v>9</v>
      </c>
      <c r="R10">
        <f>K2</f>
        <v>1</v>
      </c>
    </row>
    <row r="11" spans="1:18" x14ac:dyDescent="0.25">
      <c r="A11" s="8" t="s">
        <v>2444</v>
      </c>
      <c r="B11" s="8">
        <f>COUNTIF('All Papers'!D:D,"*"&amp;Table1[[#This Row],[Name]]&amp;"*")</f>
        <v>5</v>
      </c>
      <c r="C11" s="8">
        <f>COUNTIFS('All Papers'!$D:$D,"*"&amp;$A11&amp;"*",'All Papers'!$G:$G,"*"&amp;Table1[[#Headers],[Composition]]&amp;"*")</f>
        <v>1</v>
      </c>
      <c r="D11" s="8">
        <f>COUNTIFS('All Papers'!$D:$D,"*"&amp;$A11&amp;"*",'All Papers'!$G:$G,"*"&amp;Table1[[#Headers],[Discovery]]&amp;"*")</f>
        <v>1</v>
      </c>
      <c r="E11" s="8">
        <f>COUNTIFS('All Papers'!$D:$D,"*"&amp;$A11&amp;"*",'All Papers'!$G:$G,"*"&amp;Table1[[#Headers],[Selection]]&amp;"*")</f>
        <v>4</v>
      </c>
      <c r="F11" s="8">
        <f>COUNTIFS('All Papers'!$D:$D,"*"&amp;$A11&amp;"*",'All Papers'!$G:$G,"*"&amp;Table1[[#Headers],[Recommendation]]&amp;"*")</f>
        <v>0</v>
      </c>
      <c r="G11" s="8">
        <f>COUNTIFS('All Papers'!$D:$D,"*"&amp;$A11&amp;"*",'All Papers'!$G:$G,"*"&amp;Table1[[#Headers],[Resource Management-CS]]&amp;"*")</f>
        <v>1</v>
      </c>
      <c r="H11" s="8">
        <f>COUNTIFS('All Papers'!$D:$D,"*"&amp;$A11&amp;"*",'All Papers'!$G:$G,"*"&amp;Table1[[#Headers],[Resource Management-PS]]&amp;"*")</f>
        <v>0</v>
      </c>
      <c r="I11" s="8">
        <f>COUNTIFS('All Papers'!$D:$D,"*"&amp;$A11&amp;"*",'All Papers'!$G:$G,"*"&amp;Table1[[#Headers],[SLA Management]]&amp;"*")</f>
        <v>0</v>
      </c>
      <c r="J11" s="8">
        <f>COUNTIFS('All Papers'!$D:$D,"*"&amp;$A11&amp;"*",'All Papers'!$G:$G,"*"&amp;Table1[[#Headers],[Big Data]]&amp;"*")</f>
        <v>1</v>
      </c>
      <c r="K11" s="8">
        <f>COUNTIFS('All Papers'!$D:$D,"*"&amp;$A11&amp;"*",'All Papers'!$G:$G,"*"&amp;Table1[[#Headers],[Energy Management]]&amp;"*")</f>
        <v>0</v>
      </c>
      <c r="L11" s="8">
        <f>COUNTIFS('All Papers'!$D:$D,"*"&amp;$A11&amp;"*",'All Papers'!$G:$G,"*"&amp;Table1[[#Headers],[Monitoring]]&amp;"*")</f>
        <v>0</v>
      </c>
      <c r="M11" s="8">
        <f>COUNTIFS('All Papers'!$D:$D,"*"&amp;$A11&amp;"*",'All Papers'!$G:$G,"*"&amp;Table1[[#Headers],[Pricing]]&amp;"*")</f>
        <v>1</v>
      </c>
      <c r="P11">
        <v>1</v>
      </c>
      <c r="Q11">
        <v>10</v>
      </c>
      <c r="R11">
        <f>L2</f>
        <v>0</v>
      </c>
    </row>
    <row r="12" spans="1:18" x14ac:dyDescent="0.25">
      <c r="A12" s="8" t="s">
        <v>2445</v>
      </c>
      <c r="B12" s="8">
        <f>COUNTIF('All Papers'!D:D,"*"&amp;Table1[[#This Row],[Name]]&amp;"*")</f>
        <v>5</v>
      </c>
      <c r="C12" s="8">
        <f>COUNTIFS('All Papers'!$D:$D,"*"&amp;$A12&amp;"*",'All Papers'!$G:$G,"*"&amp;Table1[[#Headers],[Composition]]&amp;"*")</f>
        <v>0</v>
      </c>
      <c r="D12" s="8">
        <f>COUNTIFS('All Papers'!$D:$D,"*"&amp;$A12&amp;"*",'All Papers'!$G:$G,"*"&amp;Table1[[#Headers],[Discovery]]&amp;"*")</f>
        <v>0</v>
      </c>
      <c r="E12" s="8">
        <f>COUNTIFS('All Papers'!$D:$D,"*"&amp;$A12&amp;"*",'All Papers'!$G:$G,"*"&amp;Table1[[#Headers],[Selection]]&amp;"*")</f>
        <v>2</v>
      </c>
      <c r="F12" s="8">
        <f>COUNTIFS('All Papers'!$D:$D,"*"&amp;$A12&amp;"*",'All Papers'!$G:$G,"*"&amp;Table1[[#Headers],[Recommendation]]&amp;"*")</f>
        <v>0</v>
      </c>
      <c r="G12" s="8">
        <f>COUNTIFS('All Papers'!$D:$D,"*"&amp;$A12&amp;"*",'All Papers'!$G:$G,"*"&amp;Table1[[#Headers],[Resource Management-CS]]&amp;"*")</f>
        <v>3</v>
      </c>
      <c r="H12" s="8">
        <f>COUNTIFS('All Papers'!$D:$D,"*"&amp;$A12&amp;"*",'All Papers'!$G:$G,"*"&amp;Table1[[#Headers],[Resource Management-PS]]&amp;"*")</f>
        <v>0</v>
      </c>
      <c r="I12" s="8">
        <f>COUNTIFS('All Papers'!$D:$D,"*"&amp;$A12&amp;"*",'All Papers'!$G:$G,"*"&amp;Table1[[#Headers],[SLA Management]]&amp;"*")</f>
        <v>0</v>
      </c>
      <c r="J12" s="8">
        <f>COUNTIFS('All Papers'!$D:$D,"*"&amp;$A12&amp;"*",'All Papers'!$G:$G,"*"&amp;Table1[[#Headers],[Big Data]]&amp;"*")</f>
        <v>0</v>
      </c>
      <c r="K12" s="8">
        <f>COUNTIFS('All Papers'!$D:$D,"*"&amp;$A12&amp;"*",'All Papers'!$G:$G,"*"&amp;Table1[[#Headers],[Energy Management]]&amp;"*")</f>
        <v>0</v>
      </c>
      <c r="L12" s="8">
        <f>COUNTIFS('All Papers'!$D:$D,"*"&amp;$A12&amp;"*",'All Papers'!$G:$G,"*"&amp;Table1[[#Headers],[Monitoring]]&amp;"*")</f>
        <v>0</v>
      </c>
      <c r="M12" s="8">
        <f>COUNTIFS('All Papers'!$D:$D,"*"&amp;$A12&amp;"*",'All Papers'!$G:$G,"*"&amp;Table1[[#Headers],[Pricing]]&amp;"*")</f>
        <v>3</v>
      </c>
      <c r="P12">
        <v>1</v>
      </c>
      <c r="Q12">
        <v>11</v>
      </c>
      <c r="R12">
        <f>M2</f>
        <v>1</v>
      </c>
    </row>
    <row r="13" spans="1:18" x14ac:dyDescent="0.25">
      <c r="A13" s="8" t="s">
        <v>2446</v>
      </c>
      <c r="B13" s="8">
        <f>COUNTIF('All Papers'!D:D,"*"&amp;Table1[[#This Row],[Name]]&amp;"*")</f>
        <v>5</v>
      </c>
      <c r="C13" s="8">
        <f>COUNTIFS('All Papers'!$D:$D,"*"&amp;$A13&amp;"*",'All Papers'!$G:$G,"*"&amp;Table1[[#Headers],[Composition]]&amp;"*")</f>
        <v>1</v>
      </c>
      <c r="D13" s="8">
        <f>COUNTIFS('All Papers'!$D:$D,"*"&amp;$A13&amp;"*",'All Papers'!$G:$G,"*"&amp;Table1[[#Headers],[Discovery]]&amp;"*")</f>
        <v>0</v>
      </c>
      <c r="E13" s="8">
        <f>COUNTIFS('All Papers'!$D:$D,"*"&amp;$A13&amp;"*",'All Papers'!$G:$G,"*"&amp;Table1[[#Headers],[Selection]]&amp;"*")</f>
        <v>2</v>
      </c>
      <c r="F13" s="8">
        <f>COUNTIFS('All Papers'!$D:$D,"*"&amp;$A13&amp;"*",'All Papers'!$G:$G,"*"&amp;Table1[[#Headers],[Recommendation]]&amp;"*")</f>
        <v>0</v>
      </c>
      <c r="G13" s="8">
        <f>COUNTIFS('All Papers'!$D:$D,"*"&amp;$A13&amp;"*",'All Papers'!$G:$G,"*"&amp;Table1[[#Headers],[Resource Management-CS]]&amp;"*")</f>
        <v>3</v>
      </c>
      <c r="H13" s="8">
        <f>COUNTIFS('All Papers'!$D:$D,"*"&amp;$A13&amp;"*",'All Papers'!$G:$G,"*"&amp;Table1[[#Headers],[Resource Management-PS]]&amp;"*")</f>
        <v>0</v>
      </c>
      <c r="I13" s="8">
        <f>COUNTIFS('All Papers'!$D:$D,"*"&amp;$A13&amp;"*",'All Papers'!$G:$G,"*"&amp;Table1[[#Headers],[SLA Management]]&amp;"*")</f>
        <v>0</v>
      </c>
      <c r="J13" s="8">
        <f>COUNTIFS('All Papers'!$D:$D,"*"&amp;$A13&amp;"*",'All Papers'!$G:$G,"*"&amp;Table1[[#Headers],[Big Data]]&amp;"*")</f>
        <v>0</v>
      </c>
      <c r="K13" s="8">
        <f>COUNTIFS('All Papers'!$D:$D,"*"&amp;$A13&amp;"*",'All Papers'!$G:$G,"*"&amp;Table1[[#Headers],[Energy Management]]&amp;"*")</f>
        <v>0</v>
      </c>
      <c r="L13" s="8">
        <f>COUNTIFS('All Papers'!$D:$D,"*"&amp;$A13&amp;"*",'All Papers'!$G:$G,"*"&amp;Table1[[#Headers],[Monitoring]]&amp;"*")</f>
        <v>0</v>
      </c>
      <c r="M13" s="8">
        <f>COUNTIFS('All Papers'!$D:$D,"*"&amp;$A13&amp;"*",'All Papers'!$G:$G,"*"&amp;Table1[[#Headers],[Pricing]]&amp;"*")</f>
        <v>0</v>
      </c>
      <c r="P13">
        <v>2</v>
      </c>
      <c r="Q13">
        <v>1</v>
      </c>
      <c r="R13">
        <f>C3</f>
        <v>9</v>
      </c>
    </row>
    <row r="14" spans="1:18" x14ac:dyDescent="0.25">
      <c r="A14" s="8" t="s">
        <v>2447</v>
      </c>
      <c r="B14" s="8">
        <f>COUNTIF('All Papers'!D:D,"*"&amp;Table1[[#This Row],[Name]]&amp;"*")</f>
        <v>5</v>
      </c>
      <c r="C14" s="8">
        <f>COUNTIFS('All Papers'!$D:$D,"*"&amp;$A14&amp;"*",'All Papers'!$G:$G,"*"&amp;Table1[[#Headers],[Composition]]&amp;"*")</f>
        <v>1</v>
      </c>
      <c r="D14" s="8">
        <f>COUNTIFS('All Papers'!$D:$D,"*"&amp;$A14&amp;"*",'All Papers'!$G:$G,"*"&amp;Table1[[#Headers],[Discovery]]&amp;"*")</f>
        <v>0</v>
      </c>
      <c r="E14" s="8">
        <f>COUNTIFS('All Papers'!$D:$D,"*"&amp;$A14&amp;"*",'All Papers'!$G:$G,"*"&amp;Table1[[#Headers],[Selection]]&amp;"*")</f>
        <v>2</v>
      </c>
      <c r="F14" s="8">
        <f>COUNTIFS('All Papers'!$D:$D,"*"&amp;$A14&amp;"*",'All Papers'!$G:$G,"*"&amp;Table1[[#Headers],[Recommendation]]&amp;"*")</f>
        <v>0</v>
      </c>
      <c r="G14" s="8">
        <f>COUNTIFS('All Papers'!$D:$D,"*"&amp;$A14&amp;"*",'All Papers'!$G:$G,"*"&amp;Table1[[#Headers],[Resource Management-CS]]&amp;"*")</f>
        <v>3</v>
      </c>
      <c r="H14" s="8">
        <f>COUNTIFS('All Papers'!$D:$D,"*"&amp;$A14&amp;"*",'All Papers'!$G:$G,"*"&amp;Table1[[#Headers],[Resource Management-PS]]&amp;"*")</f>
        <v>0</v>
      </c>
      <c r="I14" s="8">
        <f>COUNTIFS('All Papers'!$D:$D,"*"&amp;$A14&amp;"*",'All Papers'!$G:$G,"*"&amp;Table1[[#Headers],[SLA Management]]&amp;"*")</f>
        <v>0</v>
      </c>
      <c r="J14" s="8">
        <f>COUNTIFS('All Papers'!$D:$D,"*"&amp;$A14&amp;"*",'All Papers'!$G:$G,"*"&amp;Table1[[#Headers],[Big Data]]&amp;"*")</f>
        <v>0</v>
      </c>
      <c r="K14" s="8">
        <f>COUNTIFS('All Papers'!$D:$D,"*"&amp;$A14&amp;"*",'All Papers'!$G:$G,"*"&amp;Table1[[#Headers],[Energy Management]]&amp;"*")</f>
        <v>0</v>
      </c>
      <c r="L14" s="8">
        <f>COUNTIFS('All Papers'!$D:$D,"*"&amp;$A14&amp;"*",'All Papers'!$G:$G,"*"&amp;Table1[[#Headers],[Monitoring]]&amp;"*")</f>
        <v>0</v>
      </c>
      <c r="M14" s="8">
        <f>COUNTIFS('All Papers'!$D:$D,"*"&amp;$A14&amp;"*",'All Papers'!$G:$G,"*"&amp;Table1[[#Headers],[Pricing]]&amp;"*")</f>
        <v>0</v>
      </c>
      <c r="P14">
        <v>2</v>
      </c>
      <c r="Q14">
        <v>2</v>
      </c>
      <c r="R14">
        <f>D3</f>
        <v>0</v>
      </c>
    </row>
    <row r="15" spans="1:18" x14ac:dyDescent="0.25">
      <c r="A15" s="8" t="s">
        <v>2448</v>
      </c>
      <c r="B15" s="8">
        <f>COUNTIF('All Papers'!D:D,"*"&amp;Table1[[#This Row],[Name]]&amp;"*")</f>
        <v>5</v>
      </c>
      <c r="C15" s="8">
        <f>COUNTIFS('All Papers'!$D:$D,"*"&amp;$A15&amp;"*",'All Papers'!$G:$G,"*"&amp;Table1[[#Headers],[Composition]]&amp;"*")</f>
        <v>1</v>
      </c>
      <c r="D15" s="8">
        <f>COUNTIFS('All Papers'!$D:$D,"*"&amp;$A15&amp;"*",'All Papers'!$G:$G,"*"&amp;Table1[[#Headers],[Discovery]]&amp;"*")</f>
        <v>0</v>
      </c>
      <c r="E15" s="8">
        <f>COUNTIFS('All Papers'!$D:$D,"*"&amp;$A15&amp;"*",'All Papers'!$G:$G,"*"&amp;Table1[[#Headers],[Selection]]&amp;"*")</f>
        <v>2</v>
      </c>
      <c r="F15" s="8">
        <f>COUNTIFS('All Papers'!$D:$D,"*"&amp;$A15&amp;"*",'All Papers'!$G:$G,"*"&amp;Table1[[#Headers],[Recommendation]]&amp;"*")</f>
        <v>0</v>
      </c>
      <c r="G15" s="8">
        <f>COUNTIFS('All Papers'!$D:$D,"*"&amp;$A15&amp;"*",'All Papers'!$G:$G,"*"&amp;Table1[[#Headers],[Resource Management-CS]]&amp;"*")</f>
        <v>3</v>
      </c>
      <c r="H15" s="8">
        <f>COUNTIFS('All Papers'!$D:$D,"*"&amp;$A15&amp;"*",'All Papers'!$G:$G,"*"&amp;Table1[[#Headers],[Resource Management-PS]]&amp;"*")</f>
        <v>0</v>
      </c>
      <c r="I15" s="8">
        <f>COUNTIFS('All Papers'!$D:$D,"*"&amp;$A15&amp;"*",'All Papers'!$G:$G,"*"&amp;Table1[[#Headers],[SLA Management]]&amp;"*")</f>
        <v>0</v>
      </c>
      <c r="J15" s="8">
        <f>COUNTIFS('All Papers'!$D:$D,"*"&amp;$A15&amp;"*",'All Papers'!$G:$G,"*"&amp;Table1[[#Headers],[Big Data]]&amp;"*")</f>
        <v>0</v>
      </c>
      <c r="K15" s="8">
        <f>COUNTIFS('All Papers'!$D:$D,"*"&amp;$A15&amp;"*",'All Papers'!$G:$G,"*"&amp;Table1[[#Headers],[Energy Management]]&amp;"*")</f>
        <v>0</v>
      </c>
      <c r="L15" s="8">
        <f>COUNTIFS('All Papers'!$D:$D,"*"&amp;$A15&amp;"*",'All Papers'!$G:$G,"*"&amp;Table1[[#Headers],[Monitoring]]&amp;"*")</f>
        <v>0</v>
      </c>
      <c r="M15" s="8">
        <f>COUNTIFS('All Papers'!$D:$D,"*"&amp;$A15&amp;"*",'All Papers'!$G:$G,"*"&amp;Table1[[#Headers],[Pricing]]&amp;"*")</f>
        <v>0</v>
      </c>
      <c r="P15">
        <v>2</v>
      </c>
      <c r="Q15">
        <v>3</v>
      </c>
      <c r="R15">
        <f>E3</f>
        <v>3</v>
      </c>
    </row>
    <row r="16" spans="1:18" x14ac:dyDescent="0.25">
      <c r="A16" s="8" t="s">
        <v>2449</v>
      </c>
      <c r="B16" s="8">
        <f>COUNTIF('All Papers'!D:D,"*"&amp;Table1[[#This Row],[Name]]&amp;"*")</f>
        <v>5</v>
      </c>
      <c r="C16" s="8">
        <f>COUNTIFS('All Papers'!$D:$D,"*"&amp;$A16&amp;"*",'All Papers'!$G:$G,"*"&amp;Table1[[#Headers],[Composition]]&amp;"*")</f>
        <v>1</v>
      </c>
      <c r="D16" s="8">
        <f>COUNTIFS('All Papers'!$D:$D,"*"&amp;$A16&amp;"*",'All Papers'!$G:$G,"*"&amp;Table1[[#Headers],[Discovery]]&amp;"*")</f>
        <v>0</v>
      </c>
      <c r="E16" s="8">
        <f>COUNTIFS('All Papers'!$D:$D,"*"&amp;$A16&amp;"*",'All Papers'!$G:$G,"*"&amp;Table1[[#Headers],[Selection]]&amp;"*")</f>
        <v>2</v>
      </c>
      <c r="F16" s="8">
        <f>COUNTIFS('All Papers'!$D:$D,"*"&amp;$A16&amp;"*",'All Papers'!$G:$G,"*"&amp;Table1[[#Headers],[Recommendation]]&amp;"*")</f>
        <v>0</v>
      </c>
      <c r="G16" s="8">
        <f>COUNTIFS('All Papers'!$D:$D,"*"&amp;$A16&amp;"*",'All Papers'!$G:$G,"*"&amp;Table1[[#Headers],[Resource Management-CS]]&amp;"*")</f>
        <v>3</v>
      </c>
      <c r="H16" s="8">
        <f>COUNTIFS('All Papers'!$D:$D,"*"&amp;$A16&amp;"*",'All Papers'!$G:$G,"*"&amp;Table1[[#Headers],[Resource Management-PS]]&amp;"*")</f>
        <v>0</v>
      </c>
      <c r="I16" s="8">
        <f>COUNTIFS('All Papers'!$D:$D,"*"&amp;$A16&amp;"*",'All Papers'!$G:$G,"*"&amp;Table1[[#Headers],[SLA Management]]&amp;"*")</f>
        <v>0</v>
      </c>
      <c r="J16" s="8">
        <f>COUNTIFS('All Papers'!$D:$D,"*"&amp;$A16&amp;"*",'All Papers'!$G:$G,"*"&amp;Table1[[#Headers],[Big Data]]&amp;"*")</f>
        <v>0</v>
      </c>
      <c r="K16" s="8">
        <f>COUNTIFS('All Papers'!$D:$D,"*"&amp;$A16&amp;"*",'All Papers'!$G:$G,"*"&amp;Table1[[#Headers],[Energy Management]]&amp;"*")</f>
        <v>0</v>
      </c>
      <c r="L16" s="8">
        <f>COUNTIFS('All Papers'!$D:$D,"*"&amp;$A16&amp;"*",'All Papers'!$G:$G,"*"&amp;Table1[[#Headers],[Monitoring]]&amp;"*")</f>
        <v>0</v>
      </c>
      <c r="M16" s="8">
        <f>COUNTIFS('All Papers'!$D:$D,"*"&amp;$A16&amp;"*",'All Papers'!$G:$G,"*"&amp;Table1[[#Headers],[Pricing]]&amp;"*")</f>
        <v>0</v>
      </c>
      <c r="P16">
        <v>2</v>
      </c>
      <c r="Q16">
        <v>4</v>
      </c>
      <c r="R16">
        <f>F3</f>
        <v>0</v>
      </c>
    </row>
    <row r="17" spans="1:18" x14ac:dyDescent="0.25">
      <c r="A17" s="8" t="s">
        <v>2450</v>
      </c>
      <c r="B17" s="8">
        <f>COUNTIF('All Papers'!D:D,"*"&amp;Table1[[#This Row],[Name]]&amp;"*")</f>
        <v>5</v>
      </c>
      <c r="C17" s="8">
        <f>COUNTIFS('All Papers'!$D:$D,"*"&amp;$A17&amp;"*",'All Papers'!$G:$G,"*"&amp;Table1[[#Headers],[Composition]]&amp;"*")</f>
        <v>0</v>
      </c>
      <c r="D17" s="8">
        <f>COUNTIFS('All Papers'!$D:$D,"*"&amp;$A17&amp;"*",'All Papers'!$G:$G,"*"&amp;Table1[[#Headers],[Discovery]]&amp;"*")</f>
        <v>0</v>
      </c>
      <c r="E17" s="8">
        <f>COUNTIFS('All Papers'!$D:$D,"*"&amp;$A17&amp;"*",'All Papers'!$G:$G,"*"&amp;Table1[[#Headers],[Selection]]&amp;"*")</f>
        <v>0</v>
      </c>
      <c r="F17" s="8">
        <f>COUNTIFS('All Papers'!$D:$D,"*"&amp;$A17&amp;"*",'All Papers'!$G:$G,"*"&amp;Table1[[#Headers],[Recommendation]]&amp;"*")</f>
        <v>0</v>
      </c>
      <c r="G17" s="8">
        <f>COUNTIFS('All Papers'!$D:$D,"*"&amp;$A17&amp;"*",'All Papers'!$G:$G,"*"&amp;Table1[[#Headers],[Resource Management-CS]]&amp;"*")</f>
        <v>4</v>
      </c>
      <c r="H17" s="8">
        <f>COUNTIFS('All Papers'!$D:$D,"*"&amp;$A17&amp;"*",'All Papers'!$G:$G,"*"&amp;Table1[[#Headers],[Resource Management-PS]]&amp;"*")</f>
        <v>1</v>
      </c>
      <c r="I17" s="8">
        <f>COUNTIFS('All Papers'!$D:$D,"*"&amp;$A17&amp;"*",'All Papers'!$G:$G,"*"&amp;Table1[[#Headers],[SLA Management]]&amp;"*")</f>
        <v>0</v>
      </c>
      <c r="J17" s="8">
        <f>COUNTIFS('All Papers'!$D:$D,"*"&amp;$A17&amp;"*",'All Papers'!$G:$G,"*"&amp;Table1[[#Headers],[Big Data]]&amp;"*")</f>
        <v>0</v>
      </c>
      <c r="K17" s="8">
        <f>COUNTIFS('All Papers'!$D:$D,"*"&amp;$A17&amp;"*",'All Papers'!$G:$G,"*"&amp;Table1[[#Headers],[Energy Management]]&amp;"*")</f>
        <v>0</v>
      </c>
      <c r="L17" s="8">
        <f>COUNTIFS('All Papers'!$D:$D,"*"&amp;$A17&amp;"*",'All Papers'!$G:$G,"*"&amp;Table1[[#Headers],[Monitoring]]&amp;"*")</f>
        <v>0</v>
      </c>
      <c r="M17" s="8">
        <f>COUNTIFS('All Papers'!$D:$D,"*"&amp;$A17&amp;"*",'All Papers'!$G:$G,"*"&amp;Table1[[#Headers],[Pricing]]&amp;"*")</f>
        <v>0</v>
      </c>
      <c r="P17">
        <v>2</v>
      </c>
      <c r="Q17">
        <v>5</v>
      </c>
      <c r="R17">
        <f>G3</f>
        <v>0</v>
      </c>
    </row>
    <row r="18" spans="1:18" x14ac:dyDescent="0.25">
      <c r="A18" s="8" t="s">
        <v>2451</v>
      </c>
      <c r="B18" s="8">
        <f>COUNTIF('All Papers'!D:D,"*"&amp;Table1[[#This Row],[Name]]&amp;"*")</f>
        <v>5</v>
      </c>
      <c r="C18" s="8">
        <f>COUNTIFS('All Papers'!$D:$D,"*"&amp;$A18&amp;"*",'All Papers'!$G:$G,"*"&amp;Table1[[#Headers],[Composition]]&amp;"*")</f>
        <v>0</v>
      </c>
      <c r="D18" s="8">
        <f>COUNTIFS('All Papers'!$D:$D,"*"&amp;$A18&amp;"*",'All Papers'!$G:$G,"*"&amp;Table1[[#Headers],[Discovery]]&amp;"*")</f>
        <v>0</v>
      </c>
      <c r="E18" s="8">
        <f>COUNTIFS('All Papers'!$D:$D,"*"&amp;$A18&amp;"*",'All Papers'!$G:$G,"*"&amp;Table1[[#Headers],[Selection]]&amp;"*")</f>
        <v>0</v>
      </c>
      <c r="F18" s="8">
        <f>COUNTIFS('All Papers'!$D:$D,"*"&amp;$A18&amp;"*",'All Papers'!$G:$G,"*"&amp;Table1[[#Headers],[Recommendation]]&amp;"*")</f>
        <v>0</v>
      </c>
      <c r="G18" s="8">
        <f>COUNTIFS('All Papers'!$D:$D,"*"&amp;$A18&amp;"*",'All Papers'!$G:$G,"*"&amp;Table1[[#Headers],[Resource Management-CS]]&amp;"*")</f>
        <v>4</v>
      </c>
      <c r="H18" s="8">
        <f>COUNTIFS('All Papers'!$D:$D,"*"&amp;$A18&amp;"*",'All Papers'!$G:$G,"*"&amp;Table1[[#Headers],[Resource Management-PS]]&amp;"*")</f>
        <v>1</v>
      </c>
      <c r="I18" s="8">
        <f>COUNTIFS('All Papers'!$D:$D,"*"&amp;$A18&amp;"*",'All Papers'!$G:$G,"*"&amp;Table1[[#Headers],[SLA Management]]&amp;"*")</f>
        <v>0</v>
      </c>
      <c r="J18" s="8">
        <f>COUNTIFS('All Papers'!$D:$D,"*"&amp;$A18&amp;"*",'All Papers'!$G:$G,"*"&amp;Table1[[#Headers],[Big Data]]&amp;"*")</f>
        <v>0</v>
      </c>
      <c r="K18" s="8">
        <f>COUNTIFS('All Papers'!$D:$D,"*"&amp;$A18&amp;"*",'All Papers'!$G:$G,"*"&amp;Table1[[#Headers],[Energy Management]]&amp;"*")</f>
        <v>0</v>
      </c>
      <c r="L18" s="8">
        <f>COUNTIFS('All Papers'!$D:$D,"*"&amp;$A18&amp;"*",'All Papers'!$G:$G,"*"&amp;Table1[[#Headers],[Monitoring]]&amp;"*")</f>
        <v>0</v>
      </c>
      <c r="M18" s="8">
        <f>COUNTIFS('All Papers'!$D:$D,"*"&amp;$A18&amp;"*",'All Papers'!$G:$G,"*"&amp;Table1[[#Headers],[Pricing]]&amp;"*")</f>
        <v>0</v>
      </c>
      <c r="P18">
        <v>2</v>
      </c>
      <c r="Q18">
        <v>6</v>
      </c>
      <c r="R18">
        <f>H3</f>
        <v>0</v>
      </c>
    </row>
    <row r="19" spans="1:18" x14ac:dyDescent="0.25">
      <c r="A19" s="8" t="s">
        <v>2452</v>
      </c>
      <c r="B19" s="8">
        <f>COUNTIF('All Papers'!D:D,"*"&amp;Table1[[#This Row],[Name]]&amp;"*")</f>
        <v>5</v>
      </c>
      <c r="C19" s="8">
        <f>COUNTIFS('All Papers'!$D:$D,"*"&amp;$A19&amp;"*",'All Papers'!$G:$G,"*"&amp;Table1[[#Headers],[Composition]]&amp;"*")</f>
        <v>0</v>
      </c>
      <c r="D19" s="8">
        <f>COUNTIFS('All Papers'!$D:$D,"*"&amp;$A19&amp;"*",'All Papers'!$G:$G,"*"&amp;Table1[[#Headers],[Discovery]]&amp;"*")</f>
        <v>0</v>
      </c>
      <c r="E19" s="8">
        <f>COUNTIFS('All Papers'!$D:$D,"*"&amp;$A19&amp;"*",'All Papers'!$G:$G,"*"&amp;Table1[[#Headers],[Selection]]&amp;"*")</f>
        <v>0</v>
      </c>
      <c r="F19" s="8">
        <f>COUNTIFS('All Papers'!$D:$D,"*"&amp;$A19&amp;"*",'All Papers'!$G:$G,"*"&amp;Table1[[#Headers],[Recommendation]]&amp;"*")</f>
        <v>0</v>
      </c>
      <c r="G19" s="8">
        <f>COUNTIFS('All Papers'!$D:$D,"*"&amp;$A19&amp;"*",'All Papers'!$G:$G,"*"&amp;Table1[[#Headers],[Resource Management-CS]]&amp;"*")</f>
        <v>4</v>
      </c>
      <c r="H19" s="8">
        <f>COUNTIFS('All Papers'!$D:$D,"*"&amp;$A19&amp;"*",'All Papers'!$G:$G,"*"&amp;Table1[[#Headers],[Resource Management-PS]]&amp;"*")</f>
        <v>1</v>
      </c>
      <c r="I19" s="8">
        <f>COUNTIFS('All Papers'!$D:$D,"*"&amp;$A19&amp;"*",'All Papers'!$G:$G,"*"&amp;Table1[[#Headers],[SLA Management]]&amp;"*")</f>
        <v>0</v>
      </c>
      <c r="J19" s="8">
        <f>COUNTIFS('All Papers'!$D:$D,"*"&amp;$A19&amp;"*",'All Papers'!$G:$G,"*"&amp;Table1[[#Headers],[Big Data]]&amp;"*")</f>
        <v>0</v>
      </c>
      <c r="K19" s="8">
        <f>COUNTIFS('All Papers'!$D:$D,"*"&amp;$A19&amp;"*",'All Papers'!$G:$G,"*"&amp;Table1[[#Headers],[Energy Management]]&amp;"*")</f>
        <v>0</v>
      </c>
      <c r="L19" s="8">
        <f>COUNTIFS('All Papers'!$D:$D,"*"&amp;$A19&amp;"*",'All Papers'!$G:$G,"*"&amp;Table1[[#Headers],[Monitoring]]&amp;"*")</f>
        <v>0</v>
      </c>
      <c r="M19" s="8">
        <f>COUNTIFS('All Papers'!$D:$D,"*"&amp;$A19&amp;"*",'All Papers'!$G:$G,"*"&amp;Table1[[#Headers],[Pricing]]&amp;"*")</f>
        <v>0</v>
      </c>
      <c r="P19">
        <v>2</v>
      </c>
      <c r="Q19">
        <v>7</v>
      </c>
      <c r="R19">
        <f>I3</f>
        <v>0</v>
      </c>
    </row>
    <row r="20" spans="1:18" x14ac:dyDescent="0.25">
      <c r="A20" s="8" t="s">
        <v>2453</v>
      </c>
      <c r="B20" s="8">
        <f>COUNTIF('All Papers'!D:D,"*"&amp;Table1[[#This Row],[Name]]&amp;"*")</f>
        <v>5</v>
      </c>
      <c r="C20" s="8">
        <f>COUNTIFS('All Papers'!$D:$D,"*"&amp;$A20&amp;"*",'All Papers'!$G:$G,"*"&amp;Table1[[#Headers],[Composition]]&amp;"*")</f>
        <v>2</v>
      </c>
      <c r="D20" s="8">
        <f>COUNTIFS('All Papers'!$D:$D,"*"&amp;$A20&amp;"*",'All Papers'!$G:$G,"*"&amp;Table1[[#Headers],[Discovery]]&amp;"*")</f>
        <v>1</v>
      </c>
      <c r="E20" s="8">
        <f>COUNTIFS('All Papers'!$D:$D,"*"&amp;$A20&amp;"*",'All Papers'!$G:$G,"*"&amp;Table1[[#Headers],[Selection]]&amp;"*")</f>
        <v>0</v>
      </c>
      <c r="F20" s="8">
        <f>COUNTIFS('All Papers'!$D:$D,"*"&amp;$A20&amp;"*",'All Papers'!$G:$G,"*"&amp;Table1[[#Headers],[Recommendation]]&amp;"*")</f>
        <v>0</v>
      </c>
      <c r="G20" s="8">
        <f>COUNTIFS('All Papers'!$D:$D,"*"&amp;$A20&amp;"*",'All Papers'!$G:$G,"*"&amp;Table1[[#Headers],[Resource Management-CS]]&amp;"*")</f>
        <v>0</v>
      </c>
      <c r="H20" s="8">
        <f>COUNTIFS('All Papers'!$D:$D,"*"&amp;$A20&amp;"*",'All Papers'!$G:$G,"*"&amp;Table1[[#Headers],[Resource Management-PS]]&amp;"*")</f>
        <v>3</v>
      </c>
      <c r="I20" s="8">
        <f>COUNTIFS('All Papers'!$D:$D,"*"&amp;$A20&amp;"*",'All Papers'!$G:$G,"*"&amp;Table1[[#Headers],[SLA Management]]&amp;"*")</f>
        <v>0</v>
      </c>
      <c r="J20" s="8">
        <f>COUNTIFS('All Papers'!$D:$D,"*"&amp;$A20&amp;"*",'All Papers'!$G:$G,"*"&amp;Table1[[#Headers],[Big Data]]&amp;"*")</f>
        <v>0</v>
      </c>
      <c r="K20" s="8">
        <f>COUNTIFS('All Papers'!$D:$D,"*"&amp;$A20&amp;"*",'All Papers'!$G:$G,"*"&amp;Table1[[#Headers],[Energy Management]]&amp;"*")</f>
        <v>0</v>
      </c>
      <c r="L20" s="8">
        <f>COUNTIFS('All Papers'!$D:$D,"*"&amp;$A20&amp;"*",'All Papers'!$G:$G,"*"&amp;Table1[[#Headers],[Monitoring]]&amp;"*")</f>
        <v>0</v>
      </c>
      <c r="M20" s="8">
        <f>COUNTIFS('All Papers'!$D:$D,"*"&amp;$A20&amp;"*",'All Papers'!$G:$G,"*"&amp;Table1[[#Headers],[Pricing]]&amp;"*")</f>
        <v>0</v>
      </c>
      <c r="P20">
        <v>2</v>
      </c>
      <c r="Q20">
        <v>8</v>
      </c>
      <c r="R20">
        <f>J3</f>
        <v>0</v>
      </c>
    </row>
    <row r="21" spans="1:18" x14ac:dyDescent="0.25">
      <c r="A21" s="8" t="s">
        <v>2454</v>
      </c>
      <c r="B21" s="8">
        <f>COUNTIF('All Papers'!D:D,"*"&amp;Table1[[#This Row],[Name]]&amp;"*")</f>
        <v>5</v>
      </c>
      <c r="C21" s="8">
        <f>COUNTIFS('All Papers'!$D:$D,"*"&amp;$A21&amp;"*",'All Papers'!$G:$G,"*"&amp;Table1[[#Headers],[Composition]]&amp;"*")</f>
        <v>1</v>
      </c>
      <c r="D21" s="8">
        <f>COUNTIFS('All Papers'!$D:$D,"*"&amp;$A21&amp;"*",'All Papers'!$G:$G,"*"&amp;Table1[[#Headers],[Discovery]]&amp;"*")</f>
        <v>0</v>
      </c>
      <c r="E21" s="8">
        <f>COUNTIFS('All Papers'!$D:$D,"*"&amp;$A21&amp;"*",'All Papers'!$G:$G,"*"&amp;Table1[[#Headers],[Selection]]&amp;"*")</f>
        <v>1</v>
      </c>
      <c r="F21" s="8">
        <f>COUNTIFS('All Papers'!$D:$D,"*"&amp;$A21&amp;"*",'All Papers'!$G:$G,"*"&amp;Table1[[#Headers],[Recommendation]]&amp;"*")</f>
        <v>0</v>
      </c>
      <c r="G21" s="8">
        <f>COUNTIFS('All Papers'!$D:$D,"*"&amp;$A21&amp;"*",'All Papers'!$G:$G,"*"&amp;Table1[[#Headers],[Resource Management-CS]]&amp;"*")</f>
        <v>3</v>
      </c>
      <c r="H21" s="8">
        <f>COUNTIFS('All Papers'!$D:$D,"*"&amp;$A21&amp;"*",'All Papers'!$G:$G,"*"&amp;Table1[[#Headers],[Resource Management-PS]]&amp;"*")</f>
        <v>0</v>
      </c>
      <c r="I21" s="8">
        <f>COUNTIFS('All Papers'!$D:$D,"*"&amp;$A21&amp;"*",'All Papers'!$G:$G,"*"&amp;Table1[[#Headers],[SLA Management]]&amp;"*")</f>
        <v>0</v>
      </c>
      <c r="J21" s="8">
        <f>COUNTIFS('All Papers'!$D:$D,"*"&amp;$A21&amp;"*",'All Papers'!$G:$G,"*"&amp;Table1[[#Headers],[Big Data]]&amp;"*")</f>
        <v>0</v>
      </c>
      <c r="K21" s="8">
        <f>COUNTIFS('All Papers'!$D:$D,"*"&amp;$A21&amp;"*",'All Papers'!$G:$G,"*"&amp;Table1[[#Headers],[Energy Management]]&amp;"*")</f>
        <v>0</v>
      </c>
      <c r="L21" s="8">
        <f>COUNTIFS('All Papers'!$D:$D,"*"&amp;$A21&amp;"*",'All Papers'!$G:$G,"*"&amp;Table1[[#Headers],[Monitoring]]&amp;"*")</f>
        <v>0</v>
      </c>
      <c r="M21" s="8">
        <f>COUNTIFS('All Papers'!$D:$D,"*"&amp;$A21&amp;"*",'All Papers'!$G:$G,"*"&amp;Table1[[#Headers],[Pricing]]&amp;"*")</f>
        <v>0</v>
      </c>
      <c r="P21">
        <v>2</v>
      </c>
      <c r="Q21">
        <v>9</v>
      </c>
      <c r="R21">
        <f>K3</f>
        <v>0</v>
      </c>
    </row>
    <row r="22" spans="1:18" x14ac:dyDescent="0.25">
      <c r="A22" s="8" t="s">
        <v>2455</v>
      </c>
      <c r="B22" s="8">
        <f>COUNTIF('All Papers'!D:D,"*"&amp;Table1[[#This Row],[Name]]&amp;"*")</f>
        <v>5</v>
      </c>
      <c r="C22" s="8">
        <f>COUNTIFS('All Papers'!$D:$D,"*"&amp;$A22&amp;"*",'All Papers'!$G:$G,"*"&amp;Table1[[#Headers],[Composition]]&amp;"*")</f>
        <v>1</v>
      </c>
      <c r="D22" s="8">
        <f>COUNTIFS('All Papers'!$D:$D,"*"&amp;$A22&amp;"*",'All Papers'!$G:$G,"*"&amp;Table1[[#Headers],[Discovery]]&amp;"*")</f>
        <v>0</v>
      </c>
      <c r="E22" s="8">
        <f>COUNTIFS('All Papers'!$D:$D,"*"&amp;$A22&amp;"*",'All Papers'!$G:$G,"*"&amp;Table1[[#Headers],[Selection]]&amp;"*")</f>
        <v>3</v>
      </c>
      <c r="F22" s="8">
        <f>COUNTIFS('All Papers'!$D:$D,"*"&amp;$A22&amp;"*",'All Papers'!$G:$G,"*"&amp;Table1[[#Headers],[Recommendation]]&amp;"*")</f>
        <v>0</v>
      </c>
      <c r="G22" s="8">
        <f>COUNTIFS('All Papers'!$D:$D,"*"&amp;$A22&amp;"*",'All Papers'!$G:$G,"*"&amp;Table1[[#Headers],[Resource Management-CS]]&amp;"*")</f>
        <v>2</v>
      </c>
      <c r="H22" s="8">
        <f>COUNTIFS('All Papers'!$D:$D,"*"&amp;$A22&amp;"*",'All Papers'!$G:$G,"*"&amp;Table1[[#Headers],[Resource Management-PS]]&amp;"*")</f>
        <v>0</v>
      </c>
      <c r="I22" s="8">
        <f>COUNTIFS('All Papers'!$D:$D,"*"&amp;$A22&amp;"*",'All Papers'!$G:$G,"*"&amp;Table1[[#Headers],[SLA Management]]&amp;"*")</f>
        <v>1</v>
      </c>
      <c r="J22" s="8">
        <f>COUNTIFS('All Papers'!$D:$D,"*"&amp;$A22&amp;"*",'All Papers'!$G:$G,"*"&amp;Table1[[#Headers],[Big Data]]&amp;"*")</f>
        <v>0</v>
      </c>
      <c r="K22" s="8">
        <f>COUNTIFS('All Papers'!$D:$D,"*"&amp;$A22&amp;"*",'All Papers'!$G:$G,"*"&amp;Table1[[#Headers],[Energy Management]]&amp;"*")</f>
        <v>0</v>
      </c>
      <c r="L22" s="8">
        <f>COUNTIFS('All Papers'!$D:$D,"*"&amp;$A22&amp;"*",'All Papers'!$G:$G,"*"&amp;Table1[[#Headers],[Monitoring]]&amp;"*")</f>
        <v>0</v>
      </c>
      <c r="M22" s="8">
        <f>COUNTIFS('All Papers'!$D:$D,"*"&amp;$A22&amp;"*",'All Papers'!$G:$G,"*"&amp;Table1[[#Headers],[Pricing]]&amp;"*")</f>
        <v>0</v>
      </c>
      <c r="P22">
        <v>2</v>
      </c>
      <c r="Q22">
        <v>10</v>
      </c>
      <c r="R22">
        <f>L3</f>
        <v>0</v>
      </c>
    </row>
    <row r="23" spans="1:18" x14ac:dyDescent="0.25">
      <c r="A23" s="8" t="s">
        <v>2456</v>
      </c>
      <c r="B23" s="8">
        <f>COUNTIF('All Papers'!D:D,"*"&amp;Table1[[#This Row],[Name]]&amp;"*")</f>
        <v>5</v>
      </c>
      <c r="C23" s="8">
        <f>COUNTIFS('All Papers'!$D:$D,"*"&amp;$A23&amp;"*",'All Papers'!$G:$G,"*"&amp;Table1[[#Headers],[Composition]]&amp;"*")</f>
        <v>0</v>
      </c>
      <c r="D23" s="8">
        <f>COUNTIFS('All Papers'!$D:$D,"*"&amp;$A23&amp;"*",'All Papers'!$G:$G,"*"&amp;Table1[[#Headers],[Discovery]]&amp;"*")</f>
        <v>0</v>
      </c>
      <c r="E23" s="8">
        <f>COUNTIFS('All Papers'!$D:$D,"*"&amp;$A23&amp;"*",'All Papers'!$G:$G,"*"&amp;Table1[[#Headers],[Selection]]&amp;"*")</f>
        <v>0</v>
      </c>
      <c r="F23" s="8">
        <f>COUNTIFS('All Papers'!$D:$D,"*"&amp;$A23&amp;"*",'All Papers'!$G:$G,"*"&amp;Table1[[#Headers],[Recommendation]]&amp;"*")</f>
        <v>0</v>
      </c>
      <c r="G23" s="8">
        <f>COUNTIFS('All Papers'!$D:$D,"*"&amp;$A23&amp;"*",'All Papers'!$G:$G,"*"&amp;Table1[[#Headers],[Resource Management-CS]]&amp;"*")</f>
        <v>1</v>
      </c>
      <c r="H23" s="8">
        <f>COUNTIFS('All Papers'!$D:$D,"*"&amp;$A23&amp;"*",'All Papers'!$G:$G,"*"&amp;Table1[[#Headers],[Resource Management-PS]]&amp;"*")</f>
        <v>4</v>
      </c>
      <c r="I23" s="8">
        <f>COUNTIFS('All Papers'!$D:$D,"*"&amp;$A23&amp;"*",'All Papers'!$G:$G,"*"&amp;Table1[[#Headers],[SLA Management]]&amp;"*")</f>
        <v>0</v>
      </c>
      <c r="J23" s="8">
        <f>COUNTIFS('All Papers'!$D:$D,"*"&amp;$A23&amp;"*",'All Papers'!$G:$G,"*"&amp;Table1[[#Headers],[Big Data]]&amp;"*")</f>
        <v>0</v>
      </c>
      <c r="K23" s="8">
        <f>COUNTIFS('All Papers'!$D:$D,"*"&amp;$A23&amp;"*",'All Papers'!$G:$G,"*"&amp;Table1[[#Headers],[Energy Management]]&amp;"*")</f>
        <v>0</v>
      </c>
      <c r="L23" s="8">
        <f>COUNTIFS('All Papers'!$D:$D,"*"&amp;$A23&amp;"*",'All Papers'!$G:$G,"*"&amp;Table1[[#Headers],[Monitoring]]&amp;"*")</f>
        <v>0</v>
      </c>
      <c r="M23" s="8">
        <f>COUNTIFS('All Papers'!$D:$D,"*"&amp;$A23&amp;"*",'All Papers'!$G:$G,"*"&amp;Table1[[#Headers],[Pricing]]&amp;"*")</f>
        <v>1</v>
      </c>
      <c r="P23">
        <v>2</v>
      </c>
      <c r="Q23">
        <v>11</v>
      </c>
      <c r="R23">
        <f>M3</f>
        <v>0</v>
      </c>
    </row>
    <row r="24" spans="1:18" x14ac:dyDescent="0.25">
      <c r="A24" s="8" t="s">
        <v>2457</v>
      </c>
      <c r="B24" s="8">
        <f>COUNTIF('All Papers'!D:D,"*"&amp;Table1[[#This Row],[Name]]&amp;"*")</f>
        <v>5</v>
      </c>
      <c r="C24" s="8">
        <f>COUNTIFS('All Papers'!$D:$D,"*"&amp;$A24&amp;"*",'All Papers'!$G:$G,"*"&amp;Table1[[#Headers],[Composition]]&amp;"*")</f>
        <v>0</v>
      </c>
      <c r="D24" s="8">
        <f>COUNTIFS('All Papers'!$D:$D,"*"&amp;$A24&amp;"*",'All Papers'!$G:$G,"*"&amp;Table1[[#Headers],[Discovery]]&amp;"*")</f>
        <v>0</v>
      </c>
      <c r="E24" s="8">
        <f>COUNTIFS('All Papers'!$D:$D,"*"&amp;$A24&amp;"*",'All Papers'!$G:$G,"*"&amp;Table1[[#Headers],[Selection]]&amp;"*")</f>
        <v>0</v>
      </c>
      <c r="F24" s="8">
        <f>COUNTIFS('All Papers'!$D:$D,"*"&amp;$A24&amp;"*",'All Papers'!$G:$G,"*"&amp;Table1[[#Headers],[Recommendation]]&amp;"*")</f>
        <v>0</v>
      </c>
      <c r="G24" s="8">
        <f>COUNTIFS('All Papers'!$D:$D,"*"&amp;$A24&amp;"*",'All Papers'!$G:$G,"*"&amp;Table1[[#Headers],[Resource Management-CS]]&amp;"*")</f>
        <v>1</v>
      </c>
      <c r="H24" s="8">
        <f>COUNTIFS('All Papers'!$D:$D,"*"&amp;$A24&amp;"*",'All Papers'!$G:$G,"*"&amp;Table1[[#Headers],[Resource Management-PS]]&amp;"*")</f>
        <v>4</v>
      </c>
      <c r="I24" s="8">
        <f>COUNTIFS('All Papers'!$D:$D,"*"&amp;$A24&amp;"*",'All Papers'!$G:$G,"*"&amp;Table1[[#Headers],[SLA Management]]&amp;"*")</f>
        <v>0</v>
      </c>
      <c r="J24" s="8">
        <f>COUNTIFS('All Papers'!$D:$D,"*"&amp;$A24&amp;"*",'All Papers'!$G:$G,"*"&amp;Table1[[#Headers],[Big Data]]&amp;"*")</f>
        <v>0</v>
      </c>
      <c r="K24" s="8">
        <f>COUNTIFS('All Papers'!$D:$D,"*"&amp;$A24&amp;"*",'All Papers'!$G:$G,"*"&amp;Table1[[#Headers],[Energy Management]]&amp;"*")</f>
        <v>0</v>
      </c>
      <c r="L24" s="8">
        <f>COUNTIFS('All Papers'!$D:$D,"*"&amp;$A24&amp;"*",'All Papers'!$G:$G,"*"&amp;Table1[[#Headers],[Monitoring]]&amp;"*")</f>
        <v>0</v>
      </c>
      <c r="M24" s="8">
        <f>COUNTIFS('All Papers'!$D:$D,"*"&amp;$A24&amp;"*",'All Papers'!$G:$G,"*"&amp;Table1[[#Headers],[Pricing]]&amp;"*")</f>
        <v>1</v>
      </c>
      <c r="P24">
        <v>3</v>
      </c>
      <c r="Q24">
        <v>1</v>
      </c>
      <c r="R24">
        <f>C4</f>
        <v>5</v>
      </c>
    </row>
    <row r="25" spans="1:18" x14ac:dyDescent="0.25">
      <c r="A25" s="8" t="s">
        <v>2458</v>
      </c>
      <c r="B25" s="8">
        <f>COUNTIF('All Papers'!D:D,"*"&amp;Table1[[#This Row],[Name]]&amp;"*")</f>
        <v>5</v>
      </c>
      <c r="C25" s="8">
        <f>COUNTIFS('All Papers'!$D:$D,"*"&amp;$A25&amp;"*",'All Papers'!$G:$G,"*"&amp;Table1[[#Headers],[Composition]]&amp;"*")</f>
        <v>2</v>
      </c>
      <c r="D25" s="8">
        <f>COUNTIFS('All Papers'!$D:$D,"*"&amp;$A25&amp;"*",'All Papers'!$G:$G,"*"&amp;Table1[[#Headers],[Discovery]]&amp;"*")</f>
        <v>0</v>
      </c>
      <c r="E25" s="8">
        <f>COUNTIFS('All Papers'!$D:$D,"*"&amp;$A25&amp;"*",'All Papers'!$G:$G,"*"&amp;Table1[[#Headers],[Selection]]&amp;"*")</f>
        <v>0</v>
      </c>
      <c r="F25" s="8">
        <f>COUNTIFS('All Papers'!$D:$D,"*"&amp;$A25&amp;"*",'All Papers'!$G:$G,"*"&amp;Table1[[#Headers],[Recommendation]]&amp;"*")</f>
        <v>0</v>
      </c>
      <c r="G25" s="8">
        <f>COUNTIFS('All Papers'!$D:$D,"*"&amp;$A25&amp;"*",'All Papers'!$G:$G,"*"&amp;Table1[[#Headers],[Resource Management-CS]]&amp;"*")</f>
        <v>1</v>
      </c>
      <c r="H25" s="8">
        <f>COUNTIFS('All Papers'!$D:$D,"*"&amp;$A25&amp;"*",'All Papers'!$G:$G,"*"&amp;Table1[[#Headers],[Resource Management-PS]]&amp;"*")</f>
        <v>1</v>
      </c>
      <c r="I25" s="8">
        <f>COUNTIFS('All Papers'!$D:$D,"*"&amp;$A25&amp;"*",'All Papers'!$G:$G,"*"&amp;Table1[[#Headers],[SLA Management]]&amp;"*")</f>
        <v>1</v>
      </c>
      <c r="J25" s="8">
        <f>COUNTIFS('All Papers'!$D:$D,"*"&amp;$A25&amp;"*",'All Papers'!$G:$G,"*"&amp;Table1[[#Headers],[Big Data]]&amp;"*")</f>
        <v>0</v>
      </c>
      <c r="K25" s="8">
        <f>COUNTIFS('All Papers'!$D:$D,"*"&amp;$A25&amp;"*",'All Papers'!$G:$G,"*"&amp;Table1[[#Headers],[Energy Management]]&amp;"*")</f>
        <v>0</v>
      </c>
      <c r="L25" s="8">
        <f>COUNTIFS('All Papers'!$D:$D,"*"&amp;$A25&amp;"*",'All Papers'!$G:$G,"*"&amp;Table1[[#Headers],[Monitoring]]&amp;"*")</f>
        <v>0</v>
      </c>
      <c r="M25" s="8">
        <f>COUNTIFS('All Papers'!$D:$D,"*"&amp;$A25&amp;"*",'All Papers'!$G:$G,"*"&amp;Table1[[#Headers],[Pricing]]&amp;"*")</f>
        <v>0</v>
      </c>
      <c r="P25">
        <v>3</v>
      </c>
      <c r="Q25">
        <v>2</v>
      </c>
      <c r="R25">
        <f>D4</f>
        <v>0</v>
      </c>
    </row>
    <row r="26" spans="1:18" x14ac:dyDescent="0.25">
      <c r="A26" s="8" t="s">
        <v>2459</v>
      </c>
      <c r="B26" s="8">
        <f>COUNTIF('All Papers'!D:D,"*"&amp;Table1[[#This Row],[Name]]&amp;"*")</f>
        <v>5</v>
      </c>
      <c r="C26" s="8">
        <f>COUNTIFS('All Papers'!$D:$D,"*"&amp;$A26&amp;"*",'All Papers'!$G:$G,"*"&amp;Table1[[#Headers],[Composition]]&amp;"*")</f>
        <v>1</v>
      </c>
      <c r="D26" s="8">
        <f>COUNTIFS('All Papers'!$D:$D,"*"&amp;$A26&amp;"*",'All Papers'!$G:$G,"*"&amp;Table1[[#Headers],[Discovery]]&amp;"*")</f>
        <v>1</v>
      </c>
      <c r="E26" s="8">
        <f>COUNTIFS('All Papers'!$D:$D,"*"&amp;$A26&amp;"*",'All Papers'!$G:$G,"*"&amp;Table1[[#Headers],[Selection]]&amp;"*")</f>
        <v>4</v>
      </c>
      <c r="F26" s="8">
        <f>COUNTIFS('All Papers'!$D:$D,"*"&amp;$A26&amp;"*",'All Papers'!$G:$G,"*"&amp;Table1[[#Headers],[Recommendation]]&amp;"*")</f>
        <v>0</v>
      </c>
      <c r="G26" s="8">
        <f>COUNTIFS('All Papers'!$D:$D,"*"&amp;$A26&amp;"*",'All Papers'!$G:$G,"*"&amp;Table1[[#Headers],[Resource Management-CS]]&amp;"*")</f>
        <v>0</v>
      </c>
      <c r="H26" s="8">
        <f>COUNTIFS('All Papers'!$D:$D,"*"&amp;$A26&amp;"*",'All Papers'!$G:$G,"*"&amp;Table1[[#Headers],[Resource Management-PS]]&amp;"*")</f>
        <v>0</v>
      </c>
      <c r="I26" s="8">
        <f>COUNTIFS('All Papers'!$D:$D,"*"&amp;$A26&amp;"*",'All Papers'!$G:$G,"*"&amp;Table1[[#Headers],[SLA Management]]&amp;"*")</f>
        <v>1</v>
      </c>
      <c r="J26" s="8">
        <f>COUNTIFS('All Papers'!$D:$D,"*"&amp;$A26&amp;"*",'All Papers'!$G:$G,"*"&amp;Table1[[#Headers],[Big Data]]&amp;"*")</f>
        <v>0</v>
      </c>
      <c r="K26" s="8">
        <f>COUNTIFS('All Papers'!$D:$D,"*"&amp;$A26&amp;"*",'All Papers'!$G:$G,"*"&amp;Table1[[#Headers],[Energy Management]]&amp;"*")</f>
        <v>0</v>
      </c>
      <c r="L26" s="8">
        <f>COUNTIFS('All Papers'!$D:$D,"*"&amp;$A26&amp;"*",'All Papers'!$G:$G,"*"&amp;Table1[[#Headers],[Monitoring]]&amp;"*")</f>
        <v>0</v>
      </c>
      <c r="M26" s="8">
        <f>COUNTIFS('All Papers'!$D:$D,"*"&amp;$A26&amp;"*",'All Papers'!$G:$G,"*"&amp;Table1[[#Headers],[Pricing]]&amp;"*")</f>
        <v>0</v>
      </c>
      <c r="P26">
        <v>3</v>
      </c>
      <c r="Q26">
        <v>3</v>
      </c>
      <c r="R26">
        <f>E4</f>
        <v>2</v>
      </c>
    </row>
    <row r="27" spans="1:18" x14ac:dyDescent="0.25">
      <c r="A27" s="8" t="s">
        <v>2460</v>
      </c>
      <c r="B27" s="8">
        <f>COUNTIF('All Papers'!D:D,"*"&amp;Table1[[#This Row],[Name]]&amp;"*")</f>
        <v>5</v>
      </c>
      <c r="C27" s="8">
        <f>COUNTIFS('All Papers'!$D:$D,"*"&amp;$A27&amp;"*",'All Papers'!$G:$G,"*"&amp;Table1[[#Headers],[Composition]]&amp;"*")</f>
        <v>3</v>
      </c>
      <c r="D27" s="8">
        <f>COUNTIFS('All Papers'!$D:$D,"*"&amp;$A27&amp;"*",'All Papers'!$G:$G,"*"&amp;Table1[[#Headers],[Discovery]]&amp;"*")</f>
        <v>0</v>
      </c>
      <c r="E27" s="8">
        <f>COUNTIFS('All Papers'!$D:$D,"*"&amp;$A27&amp;"*",'All Papers'!$G:$G,"*"&amp;Table1[[#Headers],[Selection]]&amp;"*")</f>
        <v>3</v>
      </c>
      <c r="F27" s="8">
        <f>COUNTIFS('All Papers'!$D:$D,"*"&amp;$A27&amp;"*",'All Papers'!$G:$G,"*"&amp;Table1[[#Headers],[Recommendation]]&amp;"*")</f>
        <v>0</v>
      </c>
      <c r="G27" s="8">
        <f>COUNTIFS('All Papers'!$D:$D,"*"&amp;$A27&amp;"*",'All Papers'!$G:$G,"*"&amp;Table1[[#Headers],[Resource Management-CS]]&amp;"*")</f>
        <v>0</v>
      </c>
      <c r="H27" s="8">
        <f>COUNTIFS('All Papers'!$D:$D,"*"&amp;$A27&amp;"*",'All Papers'!$G:$G,"*"&amp;Table1[[#Headers],[Resource Management-PS]]&amp;"*")</f>
        <v>0</v>
      </c>
      <c r="I27" s="8">
        <f>COUNTIFS('All Papers'!$D:$D,"*"&amp;$A27&amp;"*",'All Papers'!$G:$G,"*"&amp;Table1[[#Headers],[SLA Management]]&amp;"*")</f>
        <v>0</v>
      </c>
      <c r="J27" s="8">
        <f>COUNTIFS('All Papers'!$D:$D,"*"&amp;$A27&amp;"*",'All Papers'!$G:$G,"*"&amp;Table1[[#Headers],[Big Data]]&amp;"*")</f>
        <v>1</v>
      </c>
      <c r="K27" s="8">
        <f>COUNTIFS('All Papers'!$D:$D,"*"&amp;$A27&amp;"*",'All Papers'!$G:$G,"*"&amp;Table1[[#Headers],[Energy Management]]&amp;"*")</f>
        <v>0</v>
      </c>
      <c r="L27" s="8">
        <f>COUNTIFS('All Papers'!$D:$D,"*"&amp;$A27&amp;"*",'All Papers'!$G:$G,"*"&amp;Table1[[#Headers],[Monitoring]]&amp;"*")</f>
        <v>0</v>
      </c>
      <c r="M27" s="8">
        <f>COUNTIFS('All Papers'!$D:$D,"*"&amp;$A27&amp;"*",'All Papers'!$G:$G,"*"&amp;Table1[[#Headers],[Pricing]]&amp;"*")</f>
        <v>0</v>
      </c>
      <c r="P27">
        <v>3</v>
      </c>
      <c r="Q27">
        <v>4</v>
      </c>
      <c r="R27">
        <f>F4</f>
        <v>0</v>
      </c>
    </row>
    <row r="28" spans="1:18" x14ac:dyDescent="0.25">
      <c r="A28" s="8" t="s">
        <v>2461</v>
      </c>
      <c r="B28" s="8">
        <f>COUNTIF('All Papers'!D:D,"*"&amp;Table1[[#This Row],[Name]]&amp;"*")</f>
        <v>5</v>
      </c>
      <c r="C28" s="8">
        <f>COUNTIFS('All Papers'!$D:$D,"*"&amp;$A28&amp;"*",'All Papers'!$G:$G,"*"&amp;Table1[[#Headers],[Composition]]&amp;"*")</f>
        <v>4</v>
      </c>
      <c r="D28" s="8">
        <f>COUNTIFS('All Papers'!$D:$D,"*"&amp;$A28&amp;"*",'All Papers'!$G:$G,"*"&amp;Table1[[#Headers],[Discovery]]&amp;"*")</f>
        <v>0</v>
      </c>
      <c r="E28" s="8">
        <f>COUNTIFS('All Papers'!$D:$D,"*"&amp;$A28&amp;"*",'All Papers'!$G:$G,"*"&amp;Table1[[#Headers],[Selection]]&amp;"*")</f>
        <v>2</v>
      </c>
      <c r="F28" s="8">
        <f>COUNTIFS('All Papers'!$D:$D,"*"&amp;$A28&amp;"*",'All Papers'!$G:$G,"*"&amp;Table1[[#Headers],[Recommendation]]&amp;"*")</f>
        <v>0</v>
      </c>
      <c r="G28" s="8">
        <f>COUNTIFS('All Papers'!$D:$D,"*"&amp;$A28&amp;"*",'All Papers'!$G:$G,"*"&amp;Table1[[#Headers],[Resource Management-CS]]&amp;"*")</f>
        <v>0</v>
      </c>
      <c r="H28" s="8">
        <f>COUNTIFS('All Papers'!$D:$D,"*"&amp;$A28&amp;"*",'All Papers'!$G:$G,"*"&amp;Table1[[#Headers],[Resource Management-PS]]&amp;"*")</f>
        <v>0</v>
      </c>
      <c r="I28" s="8">
        <f>COUNTIFS('All Papers'!$D:$D,"*"&amp;$A28&amp;"*",'All Papers'!$G:$G,"*"&amp;Table1[[#Headers],[SLA Management]]&amp;"*")</f>
        <v>0</v>
      </c>
      <c r="J28" s="8">
        <f>COUNTIFS('All Papers'!$D:$D,"*"&amp;$A28&amp;"*",'All Papers'!$G:$G,"*"&amp;Table1[[#Headers],[Big Data]]&amp;"*")</f>
        <v>1</v>
      </c>
      <c r="K28" s="8">
        <f>COUNTIFS('All Papers'!$D:$D,"*"&amp;$A28&amp;"*",'All Papers'!$G:$G,"*"&amp;Table1[[#Headers],[Energy Management]]&amp;"*")</f>
        <v>0</v>
      </c>
      <c r="L28" s="8">
        <f>COUNTIFS('All Papers'!$D:$D,"*"&amp;$A28&amp;"*",'All Papers'!$G:$G,"*"&amp;Table1[[#Headers],[Monitoring]]&amp;"*")</f>
        <v>1</v>
      </c>
      <c r="M28" s="8">
        <f>COUNTIFS('All Papers'!$D:$D,"*"&amp;$A28&amp;"*",'All Papers'!$G:$G,"*"&amp;Table1[[#Headers],[Pricing]]&amp;"*")</f>
        <v>0</v>
      </c>
      <c r="P28">
        <v>3</v>
      </c>
      <c r="Q28">
        <v>5</v>
      </c>
      <c r="R28">
        <f>G4</f>
        <v>0</v>
      </c>
    </row>
    <row r="29" spans="1:18" x14ac:dyDescent="0.25">
      <c r="A29" s="8" t="s">
        <v>2462</v>
      </c>
      <c r="B29" s="8">
        <f>COUNTIF('All Papers'!D:D,"*"&amp;Table1[[#This Row],[Name]]&amp;"*")</f>
        <v>4</v>
      </c>
      <c r="C29" s="8">
        <f>COUNTIFS('All Papers'!$D:$D,"*"&amp;$A29&amp;"*",'All Papers'!$G:$G,"*"&amp;Table1[[#Headers],[Composition]]&amp;"*")</f>
        <v>1</v>
      </c>
      <c r="D29" s="8">
        <f>COUNTIFS('All Papers'!$D:$D,"*"&amp;$A29&amp;"*",'All Papers'!$G:$G,"*"&amp;Table1[[#Headers],[Discovery]]&amp;"*")</f>
        <v>0</v>
      </c>
      <c r="E29" s="8">
        <f>COUNTIFS('All Papers'!$D:$D,"*"&amp;$A29&amp;"*",'All Papers'!$G:$G,"*"&amp;Table1[[#Headers],[Selection]]&amp;"*")</f>
        <v>1</v>
      </c>
      <c r="F29" s="8">
        <f>COUNTIFS('All Papers'!$D:$D,"*"&amp;$A29&amp;"*",'All Papers'!$G:$G,"*"&amp;Table1[[#Headers],[Recommendation]]&amp;"*")</f>
        <v>0</v>
      </c>
      <c r="G29" s="8">
        <f>COUNTIFS('All Papers'!$D:$D,"*"&amp;$A29&amp;"*",'All Papers'!$G:$G,"*"&amp;Table1[[#Headers],[Resource Management-CS]]&amp;"*")</f>
        <v>1</v>
      </c>
      <c r="H29" s="8">
        <f>COUNTIFS('All Papers'!$D:$D,"*"&amp;$A29&amp;"*",'All Papers'!$G:$G,"*"&amp;Table1[[#Headers],[Resource Management-PS]]&amp;"*")</f>
        <v>0</v>
      </c>
      <c r="I29" s="8">
        <f>COUNTIFS('All Papers'!$D:$D,"*"&amp;$A29&amp;"*",'All Papers'!$G:$G,"*"&amp;Table1[[#Headers],[SLA Management]]&amp;"*")</f>
        <v>0</v>
      </c>
      <c r="J29" s="8">
        <f>COUNTIFS('All Papers'!$D:$D,"*"&amp;$A29&amp;"*",'All Papers'!$G:$G,"*"&amp;Table1[[#Headers],[Big Data]]&amp;"*")</f>
        <v>0</v>
      </c>
      <c r="K29" s="8">
        <f>COUNTIFS('All Papers'!$D:$D,"*"&amp;$A29&amp;"*",'All Papers'!$G:$G,"*"&amp;Table1[[#Headers],[Energy Management]]&amp;"*")</f>
        <v>0</v>
      </c>
      <c r="L29" s="8">
        <f>COUNTIFS('All Papers'!$D:$D,"*"&amp;$A29&amp;"*",'All Papers'!$G:$G,"*"&amp;Table1[[#Headers],[Monitoring]]&amp;"*")</f>
        <v>1</v>
      </c>
      <c r="M29" s="8">
        <f>COUNTIFS('All Papers'!$D:$D,"*"&amp;$A29&amp;"*",'All Papers'!$G:$G,"*"&amp;Table1[[#Headers],[Pricing]]&amp;"*")</f>
        <v>0</v>
      </c>
      <c r="P29">
        <v>3</v>
      </c>
      <c r="Q29">
        <v>6</v>
      </c>
      <c r="R29">
        <f>H4</f>
        <v>0</v>
      </c>
    </row>
    <row r="30" spans="1:18" x14ac:dyDescent="0.25">
      <c r="A30" s="8" t="s">
        <v>2463</v>
      </c>
      <c r="B30" s="8">
        <f>COUNTIF('All Papers'!D:D,"*"&amp;Table1[[#This Row],[Name]]&amp;"*")</f>
        <v>4</v>
      </c>
      <c r="C30" s="8">
        <f>COUNTIFS('All Papers'!$D:$D,"*"&amp;$A30&amp;"*",'All Papers'!$G:$G,"*"&amp;Table1[[#Headers],[Composition]]&amp;"*")</f>
        <v>0</v>
      </c>
      <c r="D30" s="8">
        <f>COUNTIFS('All Papers'!$D:$D,"*"&amp;$A30&amp;"*",'All Papers'!$G:$G,"*"&amp;Table1[[#Headers],[Discovery]]&amp;"*")</f>
        <v>1</v>
      </c>
      <c r="E30" s="8">
        <f>COUNTIFS('All Papers'!$D:$D,"*"&amp;$A30&amp;"*",'All Papers'!$G:$G,"*"&amp;Table1[[#Headers],[Selection]]&amp;"*")</f>
        <v>2</v>
      </c>
      <c r="F30" s="8">
        <f>COUNTIFS('All Papers'!$D:$D,"*"&amp;$A30&amp;"*",'All Papers'!$G:$G,"*"&amp;Table1[[#Headers],[Recommendation]]&amp;"*")</f>
        <v>0</v>
      </c>
      <c r="G30" s="8">
        <f>COUNTIFS('All Papers'!$D:$D,"*"&amp;$A30&amp;"*",'All Papers'!$G:$G,"*"&amp;Table1[[#Headers],[Resource Management-CS]]&amp;"*")</f>
        <v>1</v>
      </c>
      <c r="H30" s="8">
        <f>COUNTIFS('All Papers'!$D:$D,"*"&amp;$A30&amp;"*",'All Papers'!$G:$G,"*"&amp;Table1[[#Headers],[Resource Management-PS]]&amp;"*")</f>
        <v>0</v>
      </c>
      <c r="I30" s="8">
        <f>COUNTIFS('All Papers'!$D:$D,"*"&amp;$A30&amp;"*",'All Papers'!$G:$G,"*"&amp;Table1[[#Headers],[SLA Management]]&amp;"*")</f>
        <v>1</v>
      </c>
      <c r="J30" s="8">
        <f>COUNTIFS('All Papers'!$D:$D,"*"&amp;$A30&amp;"*",'All Papers'!$G:$G,"*"&amp;Table1[[#Headers],[Big Data]]&amp;"*")</f>
        <v>0</v>
      </c>
      <c r="K30" s="8">
        <f>COUNTIFS('All Papers'!$D:$D,"*"&amp;$A30&amp;"*",'All Papers'!$G:$G,"*"&amp;Table1[[#Headers],[Energy Management]]&amp;"*")</f>
        <v>0</v>
      </c>
      <c r="L30" s="8">
        <f>COUNTIFS('All Papers'!$D:$D,"*"&amp;$A30&amp;"*",'All Papers'!$G:$G,"*"&amp;Table1[[#Headers],[Monitoring]]&amp;"*")</f>
        <v>0</v>
      </c>
      <c r="M30" s="8">
        <f>COUNTIFS('All Papers'!$D:$D,"*"&amp;$A30&amp;"*",'All Papers'!$G:$G,"*"&amp;Table1[[#Headers],[Pricing]]&amp;"*")</f>
        <v>0</v>
      </c>
      <c r="P30">
        <v>3</v>
      </c>
      <c r="Q30">
        <v>7</v>
      </c>
      <c r="R30">
        <f>I4</f>
        <v>0</v>
      </c>
    </row>
    <row r="31" spans="1:18" x14ac:dyDescent="0.25">
      <c r="A31" s="8" t="s">
        <v>2464</v>
      </c>
      <c r="B31" s="8">
        <f>COUNTIF('All Papers'!D:D,"*"&amp;Table1[[#This Row],[Name]]&amp;"*")</f>
        <v>4</v>
      </c>
      <c r="C31" s="8">
        <f>COUNTIFS('All Papers'!$D:$D,"*"&amp;$A31&amp;"*",'All Papers'!$G:$G,"*"&amp;Table1[[#Headers],[Composition]]&amp;"*")</f>
        <v>1</v>
      </c>
      <c r="D31" s="8">
        <f>COUNTIFS('All Papers'!$D:$D,"*"&amp;$A31&amp;"*",'All Papers'!$G:$G,"*"&amp;Table1[[#Headers],[Discovery]]&amp;"*")</f>
        <v>0</v>
      </c>
      <c r="E31" s="8">
        <f>COUNTIFS('All Papers'!$D:$D,"*"&amp;$A31&amp;"*",'All Papers'!$G:$G,"*"&amp;Table1[[#Headers],[Selection]]&amp;"*")</f>
        <v>2</v>
      </c>
      <c r="F31" s="8">
        <f>COUNTIFS('All Papers'!$D:$D,"*"&amp;$A31&amp;"*",'All Papers'!$G:$G,"*"&amp;Table1[[#Headers],[Recommendation]]&amp;"*")</f>
        <v>0</v>
      </c>
      <c r="G31" s="8">
        <f>COUNTIFS('All Papers'!$D:$D,"*"&amp;$A31&amp;"*",'All Papers'!$G:$G,"*"&amp;Table1[[#Headers],[Resource Management-CS]]&amp;"*")</f>
        <v>0</v>
      </c>
      <c r="H31" s="8">
        <f>COUNTIFS('All Papers'!$D:$D,"*"&amp;$A31&amp;"*",'All Papers'!$G:$G,"*"&amp;Table1[[#Headers],[Resource Management-PS]]&amp;"*")</f>
        <v>1</v>
      </c>
      <c r="I31" s="8">
        <f>COUNTIFS('All Papers'!$D:$D,"*"&amp;$A31&amp;"*",'All Papers'!$G:$G,"*"&amp;Table1[[#Headers],[SLA Management]]&amp;"*")</f>
        <v>0</v>
      </c>
      <c r="J31" s="8">
        <f>COUNTIFS('All Papers'!$D:$D,"*"&amp;$A31&amp;"*",'All Papers'!$G:$G,"*"&amp;Table1[[#Headers],[Big Data]]&amp;"*")</f>
        <v>0</v>
      </c>
      <c r="K31" s="8">
        <f>COUNTIFS('All Papers'!$D:$D,"*"&amp;$A31&amp;"*",'All Papers'!$G:$G,"*"&amp;Table1[[#Headers],[Energy Management]]&amp;"*")</f>
        <v>0</v>
      </c>
      <c r="L31" s="8">
        <f>COUNTIFS('All Papers'!$D:$D,"*"&amp;$A31&amp;"*",'All Papers'!$G:$G,"*"&amp;Table1[[#Headers],[Monitoring]]&amp;"*")</f>
        <v>0</v>
      </c>
      <c r="M31" s="8">
        <f>COUNTIFS('All Papers'!$D:$D,"*"&amp;$A31&amp;"*",'All Papers'!$G:$G,"*"&amp;Table1[[#Headers],[Pricing]]&amp;"*")</f>
        <v>0</v>
      </c>
      <c r="P31">
        <v>3</v>
      </c>
      <c r="Q31">
        <v>8</v>
      </c>
      <c r="R31">
        <f>J4</f>
        <v>0</v>
      </c>
    </row>
    <row r="32" spans="1:18" x14ac:dyDescent="0.25">
      <c r="A32" s="8" t="s">
        <v>2465</v>
      </c>
      <c r="B32" s="8">
        <f>COUNTIF('All Papers'!D:D,"*"&amp;Table1[[#This Row],[Name]]&amp;"*")</f>
        <v>4</v>
      </c>
      <c r="C32" s="8">
        <f>COUNTIFS('All Papers'!$D:$D,"*"&amp;$A32&amp;"*",'All Papers'!$G:$G,"*"&amp;Table1[[#Headers],[Composition]]&amp;"*")</f>
        <v>1</v>
      </c>
      <c r="D32" s="8">
        <f>COUNTIFS('All Papers'!$D:$D,"*"&amp;$A32&amp;"*",'All Papers'!$G:$G,"*"&amp;Table1[[#Headers],[Discovery]]&amp;"*")</f>
        <v>0</v>
      </c>
      <c r="E32" s="8">
        <f>COUNTIFS('All Papers'!$D:$D,"*"&amp;$A32&amp;"*",'All Papers'!$G:$G,"*"&amp;Table1[[#Headers],[Selection]]&amp;"*")</f>
        <v>1</v>
      </c>
      <c r="F32" s="8">
        <f>COUNTIFS('All Papers'!$D:$D,"*"&amp;$A32&amp;"*",'All Papers'!$G:$G,"*"&amp;Table1[[#Headers],[Recommendation]]&amp;"*")</f>
        <v>0</v>
      </c>
      <c r="G32" s="8">
        <f>COUNTIFS('All Papers'!$D:$D,"*"&amp;$A32&amp;"*",'All Papers'!$G:$G,"*"&amp;Table1[[#Headers],[Resource Management-CS]]&amp;"*")</f>
        <v>1</v>
      </c>
      <c r="H32" s="8">
        <f>COUNTIFS('All Papers'!$D:$D,"*"&amp;$A32&amp;"*",'All Papers'!$G:$G,"*"&amp;Table1[[#Headers],[Resource Management-PS]]&amp;"*")</f>
        <v>0</v>
      </c>
      <c r="I32" s="8">
        <f>COUNTIFS('All Papers'!$D:$D,"*"&amp;$A32&amp;"*",'All Papers'!$G:$G,"*"&amp;Table1[[#Headers],[SLA Management]]&amp;"*")</f>
        <v>0</v>
      </c>
      <c r="J32" s="8">
        <f>COUNTIFS('All Papers'!$D:$D,"*"&amp;$A32&amp;"*",'All Papers'!$G:$G,"*"&amp;Table1[[#Headers],[Big Data]]&amp;"*")</f>
        <v>0</v>
      </c>
      <c r="K32" s="8">
        <f>COUNTIFS('All Papers'!$D:$D,"*"&amp;$A32&amp;"*",'All Papers'!$G:$G,"*"&amp;Table1[[#Headers],[Energy Management]]&amp;"*")</f>
        <v>0</v>
      </c>
      <c r="L32" s="8">
        <f>COUNTIFS('All Papers'!$D:$D,"*"&amp;$A32&amp;"*",'All Papers'!$G:$G,"*"&amp;Table1[[#Headers],[Monitoring]]&amp;"*")</f>
        <v>0</v>
      </c>
      <c r="M32" s="8">
        <f>COUNTIFS('All Papers'!$D:$D,"*"&amp;$A32&amp;"*",'All Papers'!$G:$G,"*"&amp;Table1[[#Headers],[Pricing]]&amp;"*")</f>
        <v>1</v>
      </c>
      <c r="P32">
        <v>3</v>
      </c>
      <c r="Q32">
        <v>9</v>
      </c>
      <c r="R32">
        <f>K4</f>
        <v>0</v>
      </c>
    </row>
    <row r="33" spans="1:18" x14ac:dyDescent="0.25">
      <c r="A33" s="8" t="s">
        <v>2466</v>
      </c>
      <c r="B33" s="8">
        <f>COUNTIF('All Papers'!D:D,"*"&amp;Table1[[#This Row],[Name]]&amp;"*")</f>
        <v>4</v>
      </c>
      <c r="C33" s="8">
        <f>COUNTIFS('All Papers'!$D:$D,"*"&amp;$A33&amp;"*",'All Papers'!$G:$G,"*"&amp;Table1[[#Headers],[Composition]]&amp;"*")</f>
        <v>0</v>
      </c>
      <c r="D33" s="8">
        <f>COUNTIFS('All Papers'!$D:$D,"*"&amp;$A33&amp;"*",'All Papers'!$G:$G,"*"&amp;Table1[[#Headers],[Discovery]]&amp;"*")</f>
        <v>0</v>
      </c>
      <c r="E33" s="8">
        <f>COUNTIFS('All Papers'!$D:$D,"*"&amp;$A33&amp;"*",'All Papers'!$G:$G,"*"&amp;Table1[[#Headers],[Selection]]&amp;"*")</f>
        <v>0</v>
      </c>
      <c r="F33" s="8">
        <f>COUNTIFS('All Papers'!$D:$D,"*"&amp;$A33&amp;"*",'All Papers'!$G:$G,"*"&amp;Table1[[#Headers],[Recommendation]]&amp;"*")</f>
        <v>0</v>
      </c>
      <c r="G33" s="8">
        <f>COUNTIFS('All Papers'!$D:$D,"*"&amp;$A33&amp;"*",'All Papers'!$G:$G,"*"&amp;Table1[[#Headers],[Resource Management-CS]]&amp;"*")</f>
        <v>1</v>
      </c>
      <c r="H33" s="8">
        <f>COUNTIFS('All Papers'!$D:$D,"*"&amp;$A33&amp;"*",'All Papers'!$G:$G,"*"&amp;Table1[[#Headers],[Resource Management-PS]]&amp;"*")</f>
        <v>3</v>
      </c>
      <c r="I33" s="8">
        <f>COUNTIFS('All Papers'!$D:$D,"*"&amp;$A33&amp;"*",'All Papers'!$G:$G,"*"&amp;Table1[[#Headers],[SLA Management]]&amp;"*")</f>
        <v>0</v>
      </c>
      <c r="J33" s="8">
        <f>COUNTIFS('All Papers'!$D:$D,"*"&amp;$A33&amp;"*",'All Papers'!$G:$G,"*"&amp;Table1[[#Headers],[Big Data]]&amp;"*")</f>
        <v>0</v>
      </c>
      <c r="K33" s="8">
        <f>COUNTIFS('All Papers'!$D:$D,"*"&amp;$A33&amp;"*",'All Papers'!$G:$G,"*"&amp;Table1[[#Headers],[Energy Management]]&amp;"*")</f>
        <v>0</v>
      </c>
      <c r="L33" s="8">
        <f>COUNTIFS('All Papers'!$D:$D,"*"&amp;$A33&amp;"*",'All Papers'!$G:$G,"*"&amp;Table1[[#Headers],[Monitoring]]&amp;"*")</f>
        <v>0</v>
      </c>
      <c r="M33" s="8">
        <f>COUNTIFS('All Papers'!$D:$D,"*"&amp;$A33&amp;"*",'All Papers'!$G:$G,"*"&amp;Table1[[#Headers],[Pricing]]&amp;"*")</f>
        <v>0</v>
      </c>
      <c r="P33">
        <v>3</v>
      </c>
      <c r="Q33">
        <v>10</v>
      </c>
      <c r="R33">
        <f>L4</f>
        <v>0</v>
      </c>
    </row>
    <row r="34" spans="1:18" x14ac:dyDescent="0.25">
      <c r="A34" s="8" t="s">
        <v>2467</v>
      </c>
      <c r="B34" s="8">
        <f>COUNTIF('All Papers'!D:D,"*"&amp;Table1[[#This Row],[Name]]&amp;"*")</f>
        <v>4</v>
      </c>
      <c r="C34" s="8">
        <f>COUNTIFS('All Papers'!$D:$D,"*"&amp;$A34&amp;"*",'All Papers'!$G:$G,"*"&amp;Table1[[#Headers],[Composition]]&amp;"*")</f>
        <v>1</v>
      </c>
      <c r="D34" s="8">
        <f>COUNTIFS('All Papers'!$D:$D,"*"&amp;$A34&amp;"*",'All Papers'!$G:$G,"*"&amp;Table1[[#Headers],[Discovery]]&amp;"*")</f>
        <v>0</v>
      </c>
      <c r="E34" s="8">
        <f>COUNTIFS('All Papers'!$D:$D,"*"&amp;$A34&amp;"*",'All Papers'!$G:$G,"*"&amp;Table1[[#Headers],[Selection]]&amp;"*")</f>
        <v>1</v>
      </c>
      <c r="F34" s="8">
        <f>COUNTIFS('All Papers'!$D:$D,"*"&amp;$A34&amp;"*",'All Papers'!$G:$G,"*"&amp;Table1[[#Headers],[Recommendation]]&amp;"*")</f>
        <v>2</v>
      </c>
      <c r="G34" s="8">
        <f>COUNTIFS('All Papers'!$D:$D,"*"&amp;$A34&amp;"*",'All Papers'!$G:$G,"*"&amp;Table1[[#Headers],[Resource Management-CS]]&amp;"*")</f>
        <v>1</v>
      </c>
      <c r="H34" s="8">
        <f>COUNTIFS('All Papers'!$D:$D,"*"&amp;$A34&amp;"*",'All Papers'!$G:$G,"*"&amp;Table1[[#Headers],[Resource Management-PS]]&amp;"*")</f>
        <v>0</v>
      </c>
      <c r="I34" s="8">
        <f>COUNTIFS('All Papers'!$D:$D,"*"&amp;$A34&amp;"*",'All Papers'!$G:$G,"*"&amp;Table1[[#Headers],[SLA Management]]&amp;"*")</f>
        <v>0</v>
      </c>
      <c r="J34" s="8">
        <f>COUNTIFS('All Papers'!$D:$D,"*"&amp;$A34&amp;"*",'All Papers'!$G:$G,"*"&amp;Table1[[#Headers],[Big Data]]&amp;"*")</f>
        <v>0</v>
      </c>
      <c r="K34" s="8">
        <f>COUNTIFS('All Papers'!$D:$D,"*"&amp;$A34&amp;"*",'All Papers'!$G:$G,"*"&amp;Table1[[#Headers],[Energy Management]]&amp;"*")</f>
        <v>0</v>
      </c>
      <c r="L34" s="8">
        <f>COUNTIFS('All Papers'!$D:$D,"*"&amp;$A34&amp;"*",'All Papers'!$G:$G,"*"&amp;Table1[[#Headers],[Monitoring]]&amp;"*")</f>
        <v>0</v>
      </c>
      <c r="M34" s="8">
        <f>COUNTIFS('All Papers'!$D:$D,"*"&amp;$A34&amp;"*",'All Papers'!$G:$G,"*"&amp;Table1[[#Headers],[Pricing]]&amp;"*")</f>
        <v>0</v>
      </c>
      <c r="P34">
        <v>3</v>
      </c>
      <c r="Q34">
        <v>11</v>
      </c>
      <c r="R34">
        <f>M4</f>
        <v>0</v>
      </c>
    </row>
    <row r="35" spans="1:18" x14ac:dyDescent="0.25">
      <c r="A35" s="8" t="s">
        <v>2468</v>
      </c>
      <c r="B35" s="8">
        <f>COUNTIF('All Papers'!D:D,"*"&amp;Table1[[#This Row],[Name]]&amp;"*")</f>
        <v>4</v>
      </c>
      <c r="C35" s="8">
        <f>COUNTIFS('All Papers'!$D:$D,"*"&amp;$A35&amp;"*",'All Papers'!$G:$G,"*"&amp;Table1[[#Headers],[Composition]]&amp;"*")</f>
        <v>2</v>
      </c>
      <c r="D35" s="8">
        <f>COUNTIFS('All Papers'!$D:$D,"*"&amp;$A35&amp;"*",'All Papers'!$G:$G,"*"&amp;Table1[[#Headers],[Discovery]]&amp;"*")</f>
        <v>0</v>
      </c>
      <c r="E35" s="8">
        <f>COUNTIFS('All Papers'!$D:$D,"*"&amp;$A35&amp;"*",'All Papers'!$G:$G,"*"&amp;Table1[[#Headers],[Selection]]&amp;"*")</f>
        <v>1</v>
      </c>
      <c r="F35" s="8">
        <f>COUNTIFS('All Papers'!$D:$D,"*"&amp;$A35&amp;"*",'All Papers'!$G:$G,"*"&amp;Table1[[#Headers],[Recommendation]]&amp;"*")</f>
        <v>0</v>
      </c>
      <c r="G35" s="8">
        <f>COUNTIFS('All Papers'!$D:$D,"*"&amp;$A35&amp;"*",'All Papers'!$G:$G,"*"&amp;Table1[[#Headers],[Resource Management-CS]]&amp;"*")</f>
        <v>2</v>
      </c>
      <c r="H35" s="8">
        <f>COUNTIFS('All Papers'!$D:$D,"*"&amp;$A35&amp;"*",'All Papers'!$G:$G,"*"&amp;Table1[[#Headers],[Resource Management-PS]]&amp;"*")</f>
        <v>0</v>
      </c>
      <c r="I35" s="8">
        <f>COUNTIFS('All Papers'!$D:$D,"*"&amp;$A35&amp;"*",'All Papers'!$G:$G,"*"&amp;Table1[[#Headers],[SLA Management]]&amp;"*")</f>
        <v>1</v>
      </c>
      <c r="J35" s="8">
        <f>COUNTIFS('All Papers'!$D:$D,"*"&amp;$A35&amp;"*",'All Papers'!$G:$G,"*"&amp;Table1[[#Headers],[Big Data]]&amp;"*")</f>
        <v>0</v>
      </c>
      <c r="K35" s="8">
        <f>COUNTIFS('All Papers'!$D:$D,"*"&amp;$A35&amp;"*",'All Papers'!$G:$G,"*"&amp;Table1[[#Headers],[Energy Management]]&amp;"*")</f>
        <v>0</v>
      </c>
      <c r="L35" s="8">
        <f>COUNTIFS('All Papers'!$D:$D,"*"&amp;$A35&amp;"*",'All Papers'!$G:$G,"*"&amp;Table1[[#Headers],[Monitoring]]&amp;"*")</f>
        <v>0</v>
      </c>
      <c r="M35" s="8">
        <f>COUNTIFS('All Papers'!$D:$D,"*"&amp;$A35&amp;"*",'All Papers'!$G:$G,"*"&amp;Table1[[#Headers],[Pricing]]&amp;"*")</f>
        <v>0</v>
      </c>
      <c r="P35">
        <v>4</v>
      </c>
      <c r="Q35">
        <v>1</v>
      </c>
      <c r="R35">
        <f>C5</f>
        <v>2</v>
      </c>
    </row>
    <row r="36" spans="1:18" x14ac:dyDescent="0.25">
      <c r="A36" s="8" t="s">
        <v>2469</v>
      </c>
      <c r="B36" s="8">
        <f>COUNTIF('All Papers'!D:D,"*"&amp;Table1[[#This Row],[Name]]&amp;"*")</f>
        <v>4</v>
      </c>
      <c r="C36" s="8">
        <f>COUNTIFS('All Papers'!$D:$D,"*"&amp;$A36&amp;"*",'All Papers'!$G:$G,"*"&amp;Table1[[#Headers],[Composition]]&amp;"*")</f>
        <v>0</v>
      </c>
      <c r="D36" s="8">
        <f>COUNTIFS('All Papers'!$D:$D,"*"&amp;$A36&amp;"*",'All Papers'!$G:$G,"*"&amp;Table1[[#Headers],[Discovery]]&amp;"*")</f>
        <v>1</v>
      </c>
      <c r="E36" s="8">
        <f>COUNTIFS('All Papers'!$D:$D,"*"&amp;$A36&amp;"*",'All Papers'!$G:$G,"*"&amp;Table1[[#Headers],[Selection]]&amp;"*")</f>
        <v>0</v>
      </c>
      <c r="F36" s="8">
        <f>COUNTIFS('All Papers'!$D:$D,"*"&amp;$A36&amp;"*",'All Papers'!$G:$G,"*"&amp;Table1[[#Headers],[Recommendation]]&amp;"*")</f>
        <v>0</v>
      </c>
      <c r="G36" s="8">
        <f>COUNTIFS('All Papers'!$D:$D,"*"&amp;$A36&amp;"*",'All Papers'!$G:$G,"*"&amp;Table1[[#Headers],[Resource Management-CS]]&amp;"*")</f>
        <v>2</v>
      </c>
      <c r="H36" s="8">
        <f>COUNTIFS('All Papers'!$D:$D,"*"&amp;$A36&amp;"*",'All Papers'!$G:$G,"*"&amp;Table1[[#Headers],[Resource Management-PS]]&amp;"*")</f>
        <v>2</v>
      </c>
      <c r="I36" s="8">
        <f>COUNTIFS('All Papers'!$D:$D,"*"&amp;$A36&amp;"*",'All Papers'!$G:$G,"*"&amp;Table1[[#Headers],[SLA Management]]&amp;"*")</f>
        <v>0</v>
      </c>
      <c r="J36" s="8">
        <f>COUNTIFS('All Papers'!$D:$D,"*"&amp;$A36&amp;"*",'All Papers'!$G:$G,"*"&amp;Table1[[#Headers],[Big Data]]&amp;"*")</f>
        <v>0</v>
      </c>
      <c r="K36" s="8">
        <f>COUNTIFS('All Papers'!$D:$D,"*"&amp;$A36&amp;"*",'All Papers'!$G:$G,"*"&amp;Table1[[#Headers],[Energy Management]]&amp;"*")</f>
        <v>0</v>
      </c>
      <c r="L36" s="8">
        <f>COUNTIFS('All Papers'!$D:$D,"*"&amp;$A36&amp;"*",'All Papers'!$G:$G,"*"&amp;Table1[[#Headers],[Monitoring]]&amp;"*")</f>
        <v>2</v>
      </c>
      <c r="M36" s="8">
        <f>COUNTIFS('All Papers'!$D:$D,"*"&amp;$A36&amp;"*",'All Papers'!$G:$G,"*"&amp;Table1[[#Headers],[Pricing]]&amp;"*")</f>
        <v>0</v>
      </c>
      <c r="P36">
        <v>4</v>
      </c>
      <c r="Q36">
        <v>2</v>
      </c>
      <c r="R36">
        <f>D5</f>
        <v>0</v>
      </c>
    </row>
    <row r="37" spans="1:18" x14ac:dyDescent="0.25">
      <c r="A37" s="8" t="s">
        <v>2470</v>
      </c>
      <c r="B37" s="8">
        <f>COUNTIF('All Papers'!D:D,"*"&amp;Table1[[#This Row],[Name]]&amp;"*")</f>
        <v>4</v>
      </c>
      <c r="C37" s="8">
        <f>COUNTIFS('All Papers'!$D:$D,"*"&amp;$A37&amp;"*",'All Papers'!$G:$G,"*"&amp;Table1[[#Headers],[Composition]]&amp;"*")</f>
        <v>1</v>
      </c>
      <c r="D37" s="8">
        <f>COUNTIFS('All Papers'!$D:$D,"*"&amp;$A37&amp;"*",'All Papers'!$G:$G,"*"&amp;Table1[[#Headers],[Discovery]]&amp;"*")</f>
        <v>0</v>
      </c>
      <c r="E37" s="8">
        <f>COUNTIFS('All Papers'!$D:$D,"*"&amp;$A37&amp;"*",'All Papers'!$G:$G,"*"&amp;Table1[[#Headers],[Selection]]&amp;"*")</f>
        <v>2</v>
      </c>
      <c r="F37" s="8">
        <f>COUNTIFS('All Papers'!$D:$D,"*"&amp;$A37&amp;"*",'All Papers'!$G:$G,"*"&amp;Table1[[#Headers],[Recommendation]]&amp;"*")</f>
        <v>0</v>
      </c>
      <c r="G37" s="8">
        <f>COUNTIFS('All Papers'!$D:$D,"*"&amp;$A37&amp;"*",'All Papers'!$G:$G,"*"&amp;Table1[[#Headers],[Resource Management-CS]]&amp;"*")</f>
        <v>1</v>
      </c>
      <c r="H37" s="8">
        <f>COUNTIFS('All Papers'!$D:$D,"*"&amp;$A37&amp;"*",'All Papers'!$G:$G,"*"&amp;Table1[[#Headers],[Resource Management-PS]]&amp;"*")</f>
        <v>0</v>
      </c>
      <c r="I37" s="8">
        <f>COUNTIFS('All Papers'!$D:$D,"*"&amp;$A37&amp;"*",'All Papers'!$G:$G,"*"&amp;Table1[[#Headers],[SLA Management]]&amp;"*")</f>
        <v>1</v>
      </c>
      <c r="J37" s="8">
        <f>COUNTIFS('All Papers'!$D:$D,"*"&amp;$A37&amp;"*",'All Papers'!$G:$G,"*"&amp;Table1[[#Headers],[Big Data]]&amp;"*")</f>
        <v>0</v>
      </c>
      <c r="K37" s="8">
        <f>COUNTIFS('All Papers'!$D:$D,"*"&amp;$A37&amp;"*",'All Papers'!$G:$G,"*"&amp;Table1[[#Headers],[Energy Management]]&amp;"*")</f>
        <v>0</v>
      </c>
      <c r="L37" s="8">
        <f>COUNTIFS('All Papers'!$D:$D,"*"&amp;$A37&amp;"*",'All Papers'!$G:$G,"*"&amp;Table1[[#Headers],[Monitoring]]&amp;"*")</f>
        <v>0</v>
      </c>
      <c r="M37" s="8">
        <f>COUNTIFS('All Papers'!$D:$D,"*"&amp;$A37&amp;"*",'All Papers'!$G:$G,"*"&amp;Table1[[#Headers],[Pricing]]&amp;"*")</f>
        <v>0</v>
      </c>
      <c r="P37">
        <v>4</v>
      </c>
      <c r="Q37">
        <v>3</v>
      </c>
      <c r="R37">
        <f>E5</f>
        <v>3</v>
      </c>
    </row>
    <row r="38" spans="1:18" x14ac:dyDescent="0.25">
      <c r="A38" s="8" t="s">
        <v>2471</v>
      </c>
      <c r="B38" s="8">
        <f>COUNTIF('All Papers'!D:D,"*"&amp;Table1[[#This Row],[Name]]&amp;"*")</f>
        <v>4</v>
      </c>
      <c r="C38" s="8">
        <f>COUNTIFS('All Papers'!$D:$D,"*"&amp;$A38&amp;"*",'All Papers'!$G:$G,"*"&amp;Table1[[#Headers],[Composition]]&amp;"*")</f>
        <v>1</v>
      </c>
      <c r="D38" s="8">
        <f>COUNTIFS('All Papers'!$D:$D,"*"&amp;$A38&amp;"*",'All Papers'!$G:$G,"*"&amp;Table1[[#Headers],[Discovery]]&amp;"*")</f>
        <v>0</v>
      </c>
      <c r="E38" s="8">
        <f>COUNTIFS('All Papers'!$D:$D,"*"&amp;$A38&amp;"*",'All Papers'!$G:$G,"*"&amp;Table1[[#Headers],[Selection]]&amp;"*")</f>
        <v>0</v>
      </c>
      <c r="F38" s="8">
        <f>COUNTIFS('All Papers'!$D:$D,"*"&amp;$A38&amp;"*",'All Papers'!$G:$G,"*"&amp;Table1[[#Headers],[Recommendation]]&amp;"*")</f>
        <v>0</v>
      </c>
      <c r="G38" s="8">
        <f>COUNTIFS('All Papers'!$D:$D,"*"&amp;$A38&amp;"*",'All Papers'!$G:$G,"*"&amp;Table1[[#Headers],[Resource Management-CS]]&amp;"*")</f>
        <v>2</v>
      </c>
      <c r="H38" s="8">
        <f>COUNTIFS('All Papers'!$D:$D,"*"&amp;$A38&amp;"*",'All Papers'!$G:$G,"*"&amp;Table1[[#Headers],[Resource Management-PS]]&amp;"*")</f>
        <v>1</v>
      </c>
      <c r="I38" s="8">
        <f>COUNTIFS('All Papers'!$D:$D,"*"&amp;$A38&amp;"*",'All Papers'!$G:$G,"*"&amp;Table1[[#Headers],[SLA Management]]&amp;"*")</f>
        <v>0</v>
      </c>
      <c r="J38" s="8">
        <f>COUNTIFS('All Papers'!$D:$D,"*"&amp;$A38&amp;"*",'All Papers'!$G:$G,"*"&amp;Table1[[#Headers],[Big Data]]&amp;"*")</f>
        <v>1</v>
      </c>
      <c r="K38" s="8">
        <f>COUNTIFS('All Papers'!$D:$D,"*"&amp;$A38&amp;"*",'All Papers'!$G:$G,"*"&amp;Table1[[#Headers],[Energy Management]]&amp;"*")</f>
        <v>0</v>
      </c>
      <c r="L38" s="8">
        <f>COUNTIFS('All Papers'!$D:$D,"*"&amp;$A38&amp;"*",'All Papers'!$G:$G,"*"&amp;Table1[[#Headers],[Monitoring]]&amp;"*")</f>
        <v>0</v>
      </c>
      <c r="M38" s="8">
        <f>COUNTIFS('All Papers'!$D:$D,"*"&amp;$A38&amp;"*",'All Papers'!$G:$G,"*"&amp;Table1[[#Headers],[Pricing]]&amp;"*")</f>
        <v>2</v>
      </c>
      <c r="P38">
        <v>4</v>
      </c>
      <c r="Q38">
        <v>4</v>
      </c>
      <c r="R38">
        <f>F5</f>
        <v>0</v>
      </c>
    </row>
    <row r="39" spans="1:18" x14ac:dyDescent="0.25">
      <c r="A39" s="8" t="s">
        <v>2472</v>
      </c>
      <c r="B39" s="8">
        <f>COUNTIF('All Papers'!D:D,"*"&amp;Table1[[#This Row],[Name]]&amp;"*")</f>
        <v>4</v>
      </c>
      <c r="C39" s="8">
        <f>COUNTIFS('All Papers'!$D:$D,"*"&amp;$A39&amp;"*",'All Papers'!$G:$G,"*"&amp;Table1[[#Headers],[Composition]]&amp;"*")</f>
        <v>0</v>
      </c>
      <c r="D39" s="8">
        <f>COUNTIFS('All Papers'!$D:$D,"*"&amp;$A39&amp;"*",'All Papers'!$G:$G,"*"&amp;Table1[[#Headers],[Discovery]]&amp;"*")</f>
        <v>0</v>
      </c>
      <c r="E39" s="8">
        <f>COUNTIFS('All Papers'!$D:$D,"*"&amp;$A39&amp;"*",'All Papers'!$G:$G,"*"&amp;Table1[[#Headers],[Selection]]&amp;"*")</f>
        <v>0</v>
      </c>
      <c r="F39" s="8">
        <f>COUNTIFS('All Papers'!$D:$D,"*"&amp;$A39&amp;"*",'All Papers'!$G:$G,"*"&amp;Table1[[#Headers],[Recommendation]]&amp;"*")</f>
        <v>0</v>
      </c>
      <c r="G39" s="8">
        <f>COUNTIFS('All Papers'!$D:$D,"*"&amp;$A39&amp;"*",'All Papers'!$G:$G,"*"&amp;Table1[[#Headers],[Resource Management-CS]]&amp;"*")</f>
        <v>4</v>
      </c>
      <c r="H39" s="8">
        <f>COUNTIFS('All Papers'!$D:$D,"*"&amp;$A39&amp;"*",'All Papers'!$G:$G,"*"&amp;Table1[[#Headers],[Resource Management-PS]]&amp;"*")</f>
        <v>0</v>
      </c>
      <c r="I39" s="8">
        <f>COUNTIFS('All Papers'!$D:$D,"*"&amp;$A39&amp;"*",'All Papers'!$G:$G,"*"&amp;Table1[[#Headers],[SLA Management]]&amp;"*")</f>
        <v>0</v>
      </c>
      <c r="J39" s="8">
        <f>COUNTIFS('All Papers'!$D:$D,"*"&amp;$A39&amp;"*",'All Papers'!$G:$G,"*"&amp;Table1[[#Headers],[Big Data]]&amp;"*")</f>
        <v>0</v>
      </c>
      <c r="K39" s="8">
        <f>COUNTIFS('All Papers'!$D:$D,"*"&amp;$A39&amp;"*",'All Papers'!$G:$G,"*"&amp;Table1[[#Headers],[Energy Management]]&amp;"*")</f>
        <v>0</v>
      </c>
      <c r="L39" s="8">
        <f>COUNTIFS('All Papers'!$D:$D,"*"&amp;$A39&amp;"*",'All Papers'!$G:$G,"*"&amp;Table1[[#Headers],[Monitoring]]&amp;"*")</f>
        <v>0</v>
      </c>
      <c r="M39" s="8">
        <f>COUNTIFS('All Papers'!$D:$D,"*"&amp;$A39&amp;"*",'All Papers'!$G:$G,"*"&amp;Table1[[#Headers],[Pricing]]&amp;"*")</f>
        <v>0</v>
      </c>
      <c r="P39">
        <v>4</v>
      </c>
      <c r="Q39">
        <v>5</v>
      </c>
      <c r="R39">
        <f>G5</f>
        <v>1</v>
      </c>
    </row>
    <row r="40" spans="1:18" x14ac:dyDescent="0.25">
      <c r="A40" s="8" t="s">
        <v>2473</v>
      </c>
      <c r="B40" s="8">
        <f>COUNTIF('All Papers'!D:D,"*"&amp;Table1[[#This Row],[Name]]&amp;"*")</f>
        <v>4</v>
      </c>
      <c r="C40" s="8">
        <f>COUNTIFS('All Papers'!$D:$D,"*"&amp;$A40&amp;"*",'All Papers'!$G:$G,"*"&amp;Table1[[#Headers],[Composition]]&amp;"*")</f>
        <v>1</v>
      </c>
      <c r="D40" s="8">
        <f>COUNTIFS('All Papers'!$D:$D,"*"&amp;$A40&amp;"*",'All Papers'!$G:$G,"*"&amp;Table1[[#Headers],[Discovery]]&amp;"*")</f>
        <v>0</v>
      </c>
      <c r="E40" s="8">
        <f>COUNTIFS('All Papers'!$D:$D,"*"&amp;$A40&amp;"*",'All Papers'!$G:$G,"*"&amp;Table1[[#Headers],[Selection]]&amp;"*")</f>
        <v>3</v>
      </c>
      <c r="F40" s="8">
        <f>COUNTIFS('All Papers'!$D:$D,"*"&amp;$A40&amp;"*",'All Papers'!$G:$G,"*"&amp;Table1[[#Headers],[Recommendation]]&amp;"*")</f>
        <v>0</v>
      </c>
      <c r="G40" s="8">
        <f>COUNTIFS('All Papers'!$D:$D,"*"&amp;$A40&amp;"*",'All Papers'!$G:$G,"*"&amp;Table1[[#Headers],[Resource Management-CS]]&amp;"*")</f>
        <v>0</v>
      </c>
      <c r="H40" s="8">
        <f>COUNTIFS('All Papers'!$D:$D,"*"&amp;$A40&amp;"*",'All Papers'!$G:$G,"*"&amp;Table1[[#Headers],[Resource Management-PS]]&amp;"*")</f>
        <v>0</v>
      </c>
      <c r="I40" s="8">
        <f>COUNTIFS('All Papers'!$D:$D,"*"&amp;$A40&amp;"*",'All Papers'!$G:$G,"*"&amp;Table1[[#Headers],[SLA Management]]&amp;"*")</f>
        <v>0</v>
      </c>
      <c r="J40" s="8">
        <f>COUNTIFS('All Papers'!$D:$D,"*"&amp;$A40&amp;"*",'All Papers'!$G:$G,"*"&amp;Table1[[#Headers],[Big Data]]&amp;"*")</f>
        <v>0</v>
      </c>
      <c r="K40" s="8">
        <f>COUNTIFS('All Papers'!$D:$D,"*"&amp;$A40&amp;"*",'All Papers'!$G:$G,"*"&amp;Table1[[#Headers],[Energy Management]]&amp;"*")</f>
        <v>0</v>
      </c>
      <c r="L40" s="8">
        <f>COUNTIFS('All Papers'!$D:$D,"*"&amp;$A40&amp;"*",'All Papers'!$G:$G,"*"&amp;Table1[[#Headers],[Monitoring]]&amp;"*")</f>
        <v>0</v>
      </c>
      <c r="M40" s="8">
        <f>COUNTIFS('All Papers'!$D:$D,"*"&amp;$A40&amp;"*",'All Papers'!$G:$G,"*"&amp;Table1[[#Headers],[Pricing]]&amp;"*")</f>
        <v>0</v>
      </c>
      <c r="P40">
        <v>4</v>
      </c>
      <c r="Q40">
        <v>6</v>
      </c>
      <c r="R40">
        <f>H5</f>
        <v>2</v>
      </c>
    </row>
    <row r="41" spans="1:18" x14ac:dyDescent="0.25">
      <c r="A41" s="8" t="s">
        <v>2474</v>
      </c>
      <c r="B41" s="8">
        <f>COUNTIF('All Papers'!D:D,"*"&amp;Table1[[#This Row],[Name]]&amp;"*")</f>
        <v>4</v>
      </c>
      <c r="C41" s="8">
        <f>COUNTIFS('All Papers'!$D:$D,"*"&amp;$A41&amp;"*",'All Papers'!$G:$G,"*"&amp;Table1[[#Headers],[Composition]]&amp;"*")</f>
        <v>0</v>
      </c>
      <c r="D41" s="8">
        <f>COUNTIFS('All Papers'!$D:$D,"*"&amp;$A41&amp;"*",'All Papers'!$G:$G,"*"&amp;Table1[[#Headers],[Discovery]]&amp;"*")</f>
        <v>1</v>
      </c>
      <c r="E41" s="8">
        <f>COUNTIFS('All Papers'!$D:$D,"*"&amp;$A41&amp;"*",'All Papers'!$G:$G,"*"&amp;Table1[[#Headers],[Selection]]&amp;"*")</f>
        <v>0</v>
      </c>
      <c r="F41" s="8">
        <f>COUNTIFS('All Papers'!$D:$D,"*"&amp;$A41&amp;"*",'All Papers'!$G:$G,"*"&amp;Table1[[#Headers],[Recommendation]]&amp;"*")</f>
        <v>0</v>
      </c>
      <c r="G41" s="8">
        <f>COUNTIFS('All Papers'!$D:$D,"*"&amp;$A41&amp;"*",'All Papers'!$G:$G,"*"&amp;Table1[[#Headers],[Resource Management-CS]]&amp;"*")</f>
        <v>0</v>
      </c>
      <c r="H41" s="8">
        <f>COUNTIFS('All Papers'!$D:$D,"*"&amp;$A41&amp;"*",'All Papers'!$G:$G,"*"&amp;Table1[[#Headers],[Resource Management-PS]]&amp;"*")</f>
        <v>4</v>
      </c>
      <c r="I41" s="8">
        <f>COUNTIFS('All Papers'!$D:$D,"*"&amp;$A41&amp;"*",'All Papers'!$G:$G,"*"&amp;Table1[[#Headers],[SLA Management]]&amp;"*")</f>
        <v>0</v>
      </c>
      <c r="J41" s="8">
        <f>COUNTIFS('All Papers'!$D:$D,"*"&amp;$A41&amp;"*",'All Papers'!$G:$G,"*"&amp;Table1[[#Headers],[Big Data]]&amp;"*")</f>
        <v>0</v>
      </c>
      <c r="K41" s="8">
        <f>COUNTIFS('All Papers'!$D:$D,"*"&amp;$A41&amp;"*",'All Papers'!$G:$G,"*"&amp;Table1[[#Headers],[Energy Management]]&amp;"*")</f>
        <v>0</v>
      </c>
      <c r="L41" s="8">
        <f>COUNTIFS('All Papers'!$D:$D,"*"&amp;$A41&amp;"*",'All Papers'!$G:$G,"*"&amp;Table1[[#Headers],[Monitoring]]&amp;"*")</f>
        <v>0</v>
      </c>
      <c r="M41" s="8">
        <f>COUNTIFS('All Papers'!$D:$D,"*"&amp;$A41&amp;"*",'All Papers'!$G:$G,"*"&amp;Table1[[#Headers],[Pricing]]&amp;"*")</f>
        <v>0</v>
      </c>
      <c r="P41">
        <v>4</v>
      </c>
      <c r="Q41">
        <v>7</v>
      </c>
      <c r="R41">
        <f>I5</f>
        <v>0</v>
      </c>
    </row>
    <row r="42" spans="1:18" x14ac:dyDescent="0.25">
      <c r="A42" s="8" t="s">
        <v>2475</v>
      </c>
      <c r="B42" s="8">
        <f>COUNTIF('All Papers'!D:D,"*"&amp;Table1[[#This Row],[Name]]&amp;"*")</f>
        <v>4</v>
      </c>
      <c r="C42" s="8">
        <f>COUNTIFS('All Papers'!$D:$D,"*"&amp;$A42&amp;"*",'All Papers'!$G:$G,"*"&amp;Table1[[#Headers],[Composition]]&amp;"*")</f>
        <v>4</v>
      </c>
      <c r="D42" s="8">
        <f>COUNTIFS('All Papers'!$D:$D,"*"&amp;$A42&amp;"*",'All Papers'!$G:$G,"*"&amp;Table1[[#Headers],[Discovery]]&amp;"*")</f>
        <v>0</v>
      </c>
      <c r="E42" s="8">
        <f>COUNTIFS('All Papers'!$D:$D,"*"&amp;$A42&amp;"*",'All Papers'!$G:$G,"*"&amp;Table1[[#Headers],[Selection]]&amp;"*")</f>
        <v>0</v>
      </c>
      <c r="F42" s="8">
        <f>COUNTIFS('All Papers'!$D:$D,"*"&amp;$A42&amp;"*",'All Papers'!$G:$G,"*"&amp;Table1[[#Headers],[Recommendation]]&amp;"*")</f>
        <v>0</v>
      </c>
      <c r="G42" s="8">
        <f>COUNTIFS('All Papers'!$D:$D,"*"&amp;$A42&amp;"*",'All Papers'!$G:$G,"*"&amp;Table1[[#Headers],[Resource Management-CS]]&amp;"*")</f>
        <v>0</v>
      </c>
      <c r="H42" s="8">
        <f>COUNTIFS('All Papers'!$D:$D,"*"&amp;$A42&amp;"*",'All Papers'!$G:$G,"*"&amp;Table1[[#Headers],[Resource Management-PS]]&amp;"*")</f>
        <v>0</v>
      </c>
      <c r="I42" s="8">
        <f>COUNTIFS('All Papers'!$D:$D,"*"&amp;$A42&amp;"*",'All Papers'!$G:$G,"*"&amp;Table1[[#Headers],[SLA Management]]&amp;"*")</f>
        <v>0</v>
      </c>
      <c r="J42" s="8">
        <f>COUNTIFS('All Papers'!$D:$D,"*"&amp;$A42&amp;"*",'All Papers'!$G:$G,"*"&amp;Table1[[#Headers],[Big Data]]&amp;"*")</f>
        <v>0</v>
      </c>
      <c r="K42" s="8">
        <f>COUNTIFS('All Papers'!$D:$D,"*"&amp;$A42&amp;"*",'All Papers'!$G:$G,"*"&amp;Table1[[#Headers],[Energy Management]]&amp;"*")</f>
        <v>0</v>
      </c>
      <c r="L42" s="8">
        <f>COUNTIFS('All Papers'!$D:$D,"*"&amp;$A42&amp;"*",'All Papers'!$G:$G,"*"&amp;Table1[[#Headers],[Monitoring]]&amp;"*")</f>
        <v>0</v>
      </c>
      <c r="M42" s="8">
        <f>COUNTIFS('All Papers'!$D:$D,"*"&amp;$A42&amp;"*",'All Papers'!$G:$G,"*"&amp;Table1[[#Headers],[Pricing]]&amp;"*")</f>
        <v>0</v>
      </c>
      <c r="P42">
        <v>4</v>
      </c>
      <c r="Q42">
        <v>8</v>
      </c>
      <c r="R42">
        <f>J5</f>
        <v>0</v>
      </c>
    </row>
    <row r="43" spans="1:18" x14ac:dyDescent="0.25">
      <c r="A43" s="8" t="s">
        <v>2476</v>
      </c>
      <c r="B43" s="8">
        <f>COUNTIF('All Papers'!D:D,"*"&amp;Table1[[#This Row],[Name]]&amp;"*")</f>
        <v>4</v>
      </c>
      <c r="C43" s="8">
        <f>COUNTIFS('All Papers'!$D:$D,"*"&amp;$A43&amp;"*",'All Papers'!$G:$G,"*"&amp;Table1[[#Headers],[Composition]]&amp;"*")</f>
        <v>0</v>
      </c>
      <c r="D43" s="8">
        <f>COUNTIFS('All Papers'!$D:$D,"*"&amp;$A43&amp;"*",'All Papers'!$G:$G,"*"&amp;Table1[[#Headers],[Discovery]]&amp;"*")</f>
        <v>0</v>
      </c>
      <c r="E43" s="8">
        <f>COUNTIFS('All Papers'!$D:$D,"*"&amp;$A43&amp;"*",'All Papers'!$G:$G,"*"&amp;Table1[[#Headers],[Selection]]&amp;"*")</f>
        <v>0</v>
      </c>
      <c r="F43" s="8">
        <f>COUNTIFS('All Papers'!$D:$D,"*"&amp;$A43&amp;"*",'All Papers'!$G:$G,"*"&amp;Table1[[#Headers],[Recommendation]]&amp;"*")</f>
        <v>0</v>
      </c>
      <c r="G43" s="8">
        <f>COUNTIFS('All Papers'!$D:$D,"*"&amp;$A43&amp;"*",'All Papers'!$G:$G,"*"&amp;Table1[[#Headers],[Resource Management-CS]]&amp;"*")</f>
        <v>0</v>
      </c>
      <c r="H43" s="8">
        <f>COUNTIFS('All Papers'!$D:$D,"*"&amp;$A43&amp;"*",'All Papers'!$G:$G,"*"&amp;Table1[[#Headers],[Resource Management-PS]]&amp;"*")</f>
        <v>4</v>
      </c>
      <c r="I43" s="8">
        <f>COUNTIFS('All Papers'!$D:$D,"*"&amp;$A43&amp;"*",'All Papers'!$G:$G,"*"&amp;Table1[[#Headers],[SLA Management]]&amp;"*")</f>
        <v>0</v>
      </c>
      <c r="J43" s="8">
        <f>COUNTIFS('All Papers'!$D:$D,"*"&amp;$A43&amp;"*",'All Papers'!$G:$G,"*"&amp;Table1[[#Headers],[Big Data]]&amp;"*")</f>
        <v>0</v>
      </c>
      <c r="K43" s="8">
        <f>COUNTIFS('All Papers'!$D:$D,"*"&amp;$A43&amp;"*",'All Papers'!$G:$G,"*"&amp;Table1[[#Headers],[Energy Management]]&amp;"*")</f>
        <v>0</v>
      </c>
      <c r="L43" s="8">
        <f>COUNTIFS('All Papers'!$D:$D,"*"&amp;$A43&amp;"*",'All Papers'!$G:$G,"*"&amp;Table1[[#Headers],[Monitoring]]&amp;"*")</f>
        <v>0</v>
      </c>
      <c r="M43" s="8">
        <f>COUNTIFS('All Papers'!$D:$D,"*"&amp;$A43&amp;"*",'All Papers'!$G:$G,"*"&amp;Table1[[#Headers],[Pricing]]&amp;"*")</f>
        <v>0</v>
      </c>
      <c r="P43">
        <v>4</v>
      </c>
      <c r="Q43">
        <v>9</v>
      </c>
      <c r="R43">
        <f>K5</f>
        <v>0</v>
      </c>
    </row>
    <row r="44" spans="1:18" x14ac:dyDescent="0.25">
      <c r="A44" s="8" t="s">
        <v>2477</v>
      </c>
      <c r="B44" s="8">
        <f>COUNTIF('All Papers'!D:D,"*"&amp;Table1[[#This Row],[Name]]&amp;"*")</f>
        <v>4</v>
      </c>
      <c r="C44" s="8">
        <f>COUNTIFS('All Papers'!$D:$D,"*"&amp;$A44&amp;"*",'All Papers'!$G:$G,"*"&amp;Table1[[#Headers],[Composition]]&amp;"*")</f>
        <v>0</v>
      </c>
      <c r="D44" s="8">
        <f>COUNTIFS('All Papers'!$D:$D,"*"&amp;$A44&amp;"*",'All Papers'!$G:$G,"*"&amp;Table1[[#Headers],[Discovery]]&amp;"*")</f>
        <v>2</v>
      </c>
      <c r="E44" s="8">
        <f>COUNTIFS('All Papers'!$D:$D,"*"&amp;$A44&amp;"*",'All Papers'!$G:$G,"*"&amp;Table1[[#Headers],[Selection]]&amp;"*")</f>
        <v>0</v>
      </c>
      <c r="F44" s="8">
        <f>COUNTIFS('All Papers'!$D:$D,"*"&amp;$A44&amp;"*",'All Papers'!$G:$G,"*"&amp;Table1[[#Headers],[Recommendation]]&amp;"*")</f>
        <v>0</v>
      </c>
      <c r="G44" s="8">
        <f>COUNTIFS('All Papers'!$D:$D,"*"&amp;$A44&amp;"*",'All Papers'!$G:$G,"*"&amp;Table1[[#Headers],[Resource Management-CS]]&amp;"*")</f>
        <v>3</v>
      </c>
      <c r="H44" s="8">
        <f>COUNTIFS('All Papers'!$D:$D,"*"&amp;$A44&amp;"*",'All Papers'!$G:$G,"*"&amp;Table1[[#Headers],[Resource Management-PS]]&amp;"*")</f>
        <v>0</v>
      </c>
      <c r="I44" s="8">
        <f>COUNTIFS('All Papers'!$D:$D,"*"&amp;$A44&amp;"*",'All Papers'!$G:$G,"*"&amp;Table1[[#Headers],[SLA Management]]&amp;"*")</f>
        <v>0</v>
      </c>
      <c r="J44" s="8">
        <f>COUNTIFS('All Papers'!$D:$D,"*"&amp;$A44&amp;"*",'All Papers'!$G:$G,"*"&amp;Table1[[#Headers],[Big Data]]&amp;"*")</f>
        <v>0</v>
      </c>
      <c r="K44" s="8">
        <f>COUNTIFS('All Papers'!$D:$D,"*"&amp;$A44&amp;"*",'All Papers'!$G:$G,"*"&amp;Table1[[#Headers],[Energy Management]]&amp;"*")</f>
        <v>1</v>
      </c>
      <c r="L44" s="8">
        <f>COUNTIFS('All Papers'!$D:$D,"*"&amp;$A44&amp;"*",'All Papers'!$G:$G,"*"&amp;Table1[[#Headers],[Monitoring]]&amp;"*")</f>
        <v>0</v>
      </c>
      <c r="M44" s="8">
        <f>COUNTIFS('All Papers'!$D:$D,"*"&amp;$A44&amp;"*",'All Papers'!$G:$G,"*"&amp;Table1[[#Headers],[Pricing]]&amp;"*")</f>
        <v>0</v>
      </c>
      <c r="P44">
        <v>4</v>
      </c>
      <c r="Q44">
        <v>10</v>
      </c>
      <c r="R44">
        <f>L5</f>
        <v>0</v>
      </c>
    </row>
    <row r="45" spans="1:18" x14ac:dyDescent="0.25">
      <c r="A45" s="8" t="s">
        <v>2478</v>
      </c>
      <c r="B45" s="8">
        <f>COUNTIF('All Papers'!D:D,"*"&amp;Table1[[#This Row],[Name]]&amp;"*")</f>
        <v>4</v>
      </c>
      <c r="C45" s="8">
        <f>COUNTIFS('All Papers'!$D:$D,"*"&amp;$A45&amp;"*",'All Papers'!$G:$G,"*"&amp;Table1[[#Headers],[Composition]]&amp;"*")</f>
        <v>0</v>
      </c>
      <c r="D45" s="8">
        <f>COUNTIFS('All Papers'!$D:$D,"*"&amp;$A45&amp;"*",'All Papers'!$G:$G,"*"&amp;Table1[[#Headers],[Discovery]]&amp;"*")</f>
        <v>0</v>
      </c>
      <c r="E45" s="8">
        <f>COUNTIFS('All Papers'!$D:$D,"*"&amp;$A45&amp;"*",'All Papers'!$G:$G,"*"&amp;Table1[[#Headers],[Selection]]&amp;"*")</f>
        <v>4</v>
      </c>
      <c r="F45" s="8">
        <f>COUNTIFS('All Papers'!$D:$D,"*"&amp;$A45&amp;"*",'All Papers'!$G:$G,"*"&amp;Table1[[#Headers],[Recommendation]]&amp;"*")</f>
        <v>0</v>
      </c>
      <c r="G45" s="8">
        <f>COUNTIFS('All Papers'!$D:$D,"*"&amp;$A45&amp;"*",'All Papers'!$G:$G,"*"&amp;Table1[[#Headers],[Resource Management-CS]]&amp;"*")</f>
        <v>0</v>
      </c>
      <c r="H45" s="8">
        <f>COUNTIFS('All Papers'!$D:$D,"*"&amp;$A45&amp;"*",'All Papers'!$G:$G,"*"&amp;Table1[[#Headers],[Resource Management-PS]]&amp;"*")</f>
        <v>0</v>
      </c>
      <c r="I45" s="8">
        <f>COUNTIFS('All Papers'!$D:$D,"*"&amp;$A45&amp;"*",'All Papers'!$G:$G,"*"&amp;Table1[[#Headers],[SLA Management]]&amp;"*")</f>
        <v>0</v>
      </c>
      <c r="J45" s="8">
        <f>COUNTIFS('All Papers'!$D:$D,"*"&amp;$A45&amp;"*",'All Papers'!$G:$G,"*"&amp;Table1[[#Headers],[Big Data]]&amp;"*")</f>
        <v>0</v>
      </c>
      <c r="K45" s="8">
        <f>COUNTIFS('All Papers'!$D:$D,"*"&amp;$A45&amp;"*",'All Papers'!$G:$G,"*"&amp;Table1[[#Headers],[Energy Management]]&amp;"*")</f>
        <v>0</v>
      </c>
      <c r="L45" s="8">
        <f>COUNTIFS('All Papers'!$D:$D,"*"&amp;$A45&amp;"*",'All Papers'!$G:$G,"*"&amp;Table1[[#Headers],[Monitoring]]&amp;"*")</f>
        <v>0</v>
      </c>
      <c r="M45" s="8">
        <f>COUNTIFS('All Papers'!$D:$D,"*"&amp;$A45&amp;"*",'All Papers'!$G:$G,"*"&amp;Table1[[#Headers],[Pricing]]&amp;"*")</f>
        <v>0</v>
      </c>
      <c r="P45">
        <v>4</v>
      </c>
      <c r="Q45">
        <v>11</v>
      </c>
      <c r="R45">
        <f>M5</f>
        <v>0</v>
      </c>
    </row>
    <row r="46" spans="1:18" x14ac:dyDescent="0.25">
      <c r="A46" s="8" t="s">
        <v>2479</v>
      </c>
      <c r="B46" s="8">
        <f>COUNTIF('All Papers'!D:D,"*"&amp;Table1[[#This Row],[Name]]&amp;"*")</f>
        <v>4</v>
      </c>
      <c r="C46" s="8">
        <f>COUNTIFS('All Papers'!$D:$D,"*"&amp;$A46&amp;"*",'All Papers'!$G:$G,"*"&amp;Table1[[#Headers],[Composition]]&amp;"*")</f>
        <v>0</v>
      </c>
      <c r="D46" s="8">
        <f>COUNTIFS('All Papers'!$D:$D,"*"&amp;$A46&amp;"*",'All Papers'!$G:$G,"*"&amp;Table1[[#Headers],[Discovery]]&amp;"*")</f>
        <v>0</v>
      </c>
      <c r="E46" s="8">
        <f>COUNTIFS('All Papers'!$D:$D,"*"&amp;$A46&amp;"*",'All Papers'!$G:$G,"*"&amp;Table1[[#Headers],[Selection]]&amp;"*")</f>
        <v>4</v>
      </c>
      <c r="F46" s="8">
        <f>COUNTIFS('All Papers'!$D:$D,"*"&amp;$A46&amp;"*",'All Papers'!$G:$G,"*"&amp;Table1[[#Headers],[Recommendation]]&amp;"*")</f>
        <v>0</v>
      </c>
      <c r="G46" s="8">
        <f>COUNTIFS('All Papers'!$D:$D,"*"&amp;$A46&amp;"*",'All Papers'!$G:$G,"*"&amp;Table1[[#Headers],[Resource Management-CS]]&amp;"*")</f>
        <v>0</v>
      </c>
      <c r="H46" s="8">
        <f>COUNTIFS('All Papers'!$D:$D,"*"&amp;$A46&amp;"*",'All Papers'!$G:$G,"*"&amp;Table1[[#Headers],[Resource Management-PS]]&amp;"*")</f>
        <v>0</v>
      </c>
      <c r="I46" s="8">
        <f>COUNTIFS('All Papers'!$D:$D,"*"&amp;$A46&amp;"*",'All Papers'!$G:$G,"*"&amp;Table1[[#Headers],[SLA Management]]&amp;"*")</f>
        <v>0</v>
      </c>
      <c r="J46" s="8">
        <f>COUNTIFS('All Papers'!$D:$D,"*"&amp;$A46&amp;"*",'All Papers'!$G:$G,"*"&amp;Table1[[#Headers],[Big Data]]&amp;"*")</f>
        <v>0</v>
      </c>
      <c r="K46" s="8">
        <f>COUNTIFS('All Papers'!$D:$D,"*"&amp;$A46&amp;"*",'All Papers'!$G:$G,"*"&amp;Table1[[#Headers],[Energy Management]]&amp;"*")</f>
        <v>0</v>
      </c>
      <c r="L46" s="8">
        <f>COUNTIFS('All Papers'!$D:$D,"*"&amp;$A46&amp;"*",'All Papers'!$G:$G,"*"&amp;Table1[[#Headers],[Monitoring]]&amp;"*")</f>
        <v>0</v>
      </c>
      <c r="M46" s="8">
        <f>COUNTIFS('All Papers'!$D:$D,"*"&amp;$A46&amp;"*",'All Papers'!$G:$G,"*"&amp;Table1[[#Headers],[Pricing]]&amp;"*")</f>
        <v>0</v>
      </c>
      <c r="P46">
        <v>5</v>
      </c>
      <c r="Q46">
        <v>1</v>
      </c>
      <c r="R46">
        <f>C6</f>
        <v>5</v>
      </c>
    </row>
    <row r="47" spans="1:18" x14ac:dyDescent="0.25">
      <c r="A47" s="8" t="s">
        <v>2480</v>
      </c>
      <c r="B47" s="8">
        <f>COUNTIF('All Papers'!D:D,"*"&amp;Table1[[#This Row],[Name]]&amp;"*")</f>
        <v>4</v>
      </c>
      <c r="C47" s="8">
        <f>COUNTIFS('All Papers'!$D:$D,"*"&amp;$A47&amp;"*",'All Papers'!$G:$G,"*"&amp;Table1[[#Headers],[Composition]]&amp;"*")</f>
        <v>1</v>
      </c>
      <c r="D47" s="8">
        <f>COUNTIFS('All Papers'!$D:$D,"*"&amp;$A47&amp;"*",'All Papers'!$G:$G,"*"&amp;Table1[[#Headers],[Discovery]]&amp;"*")</f>
        <v>0</v>
      </c>
      <c r="E47" s="8">
        <f>COUNTIFS('All Papers'!$D:$D,"*"&amp;$A47&amp;"*",'All Papers'!$G:$G,"*"&amp;Table1[[#Headers],[Selection]]&amp;"*")</f>
        <v>2</v>
      </c>
      <c r="F47" s="8">
        <f>COUNTIFS('All Papers'!$D:$D,"*"&amp;$A47&amp;"*",'All Papers'!$G:$G,"*"&amp;Table1[[#Headers],[Recommendation]]&amp;"*")</f>
        <v>0</v>
      </c>
      <c r="G47" s="8">
        <f>COUNTIFS('All Papers'!$D:$D,"*"&amp;$A47&amp;"*",'All Papers'!$G:$G,"*"&amp;Table1[[#Headers],[Resource Management-CS]]&amp;"*")</f>
        <v>0</v>
      </c>
      <c r="H47" s="8">
        <f>COUNTIFS('All Papers'!$D:$D,"*"&amp;$A47&amp;"*",'All Papers'!$G:$G,"*"&amp;Table1[[#Headers],[Resource Management-PS]]&amp;"*")</f>
        <v>0</v>
      </c>
      <c r="I47" s="8">
        <f>COUNTIFS('All Papers'!$D:$D,"*"&amp;$A47&amp;"*",'All Papers'!$G:$G,"*"&amp;Table1[[#Headers],[SLA Management]]&amp;"*")</f>
        <v>0</v>
      </c>
      <c r="J47" s="8">
        <f>COUNTIFS('All Papers'!$D:$D,"*"&amp;$A47&amp;"*",'All Papers'!$G:$G,"*"&amp;Table1[[#Headers],[Big Data]]&amp;"*")</f>
        <v>0</v>
      </c>
      <c r="K47" s="8">
        <f>COUNTIFS('All Papers'!$D:$D,"*"&amp;$A47&amp;"*",'All Papers'!$G:$G,"*"&amp;Table1[[#Headers],[Energy Management]]&amp;"*")</f>
        <v>0</v>
      </c>
      <c r="L47" s="8">
        <f>COUNTIFS('All Papers'!$D:$D,"*"&amp;$A47&amp;"*",'All Papers'!$G:$G,"*"&amp;Table1[[#Headers],[Monitoring]]&amp;"*")</f>
        <v>1</v>
      </c>
      <c r="M47" s="8">
        <f>COUNTIFS('All Papers'!$D:$D,"*"&amp;$A47&amp;"*",'All Papers'!$G:$G,"*"&amp;Table1[[#Headers],[Pricing]]&amp;"*")</f>
        <v>0</v>
      </c>
      <c r="P47">
        <v>5</v>
      </c>
      <c r="Q47">
        <v>2</v>
      </c>
      <c r="R47">
        <f>D6</f>
        <v>0</v>
      </c>
    </row>
    <row r="48" spans="1:18" x14ac:dyDescent="0.25">
      <c r="A48" s="8" t="s">
        <v>2481</v>
      </c>
      <c r="B48" s="8">
        <f>COUNTIF('All Papers'!D:D,"*"&amp;Table1[[#This Row],[Name]]&amp;"*")</f>
        <v>4</v>
      </c>
      <c r="C48" s="8">
        <f>COUNTIFS('All Papers'!$D:$D,"*"&amp;$A48&amp;"*",'All Papers'!$G:$G,"*"&amp;Table1[[#Headers],[Composition]]&amp;"*")</f>
        <v>4</v>
      </c>
      <c r="D48" s="8">
        <f>COUNTIFS('All Papers'!$D:$D,"*"&amp;$A48&amp;"*",'All Papers'!$G:$G,"*"&amp;Table1[[#Headers],[Discovery]]&amp;"*")</f>
        <v>0</v>
      </c>
      <c r="E48" s="8">
        <f>COUNTIFS('All Papers'!$D:$D,"*"&amp;$A48&amp;"*",'All Papers'!$G:$G,"*"&amp;Table1[[#Headers],[Selection]]&amp;"*")</f>
        <v>0</v>
      </c>
      <c r="F48" s="8">
        <f>COUNTIFS('All Papers'!$D:$D,"*"&amp;$A48&amp;"*",'All Papers'!$G:$G,"*"&amp;Table1[[#Headers],[Recommendation]]&amp;"*")</f>
        <v>0</v>
      </c>
      <c r="G48" s="8">
        <f>COUNTIFS('All Papers'!$D:$D,"*"&amp;$A48&amp;"*",'All Papers'!$G:$G,"*"&amp;Table1[[#Headers],[Resource Management-CS]]&amp;"*")</f>
        <v>0</v>
      </c>
      <c r="H48" s="8">
        <f>COUNTIFS('All Papers'!$D:$D,"*"&amp;$A48&amp;"*",'All Papers'!$G:$G,"*"&amp;Table1[[#Headers],[Resource Management-PS]]&amp;"*")</f>
        <v>0</v>
      </c>
      <c r="I48" s="8">
        <f>COUNTIFS('All Papers'!$D:$D,"*"&amp;$A48&amp;"*",'All Papers'!$G:$G,"*"&amp;Table1[[#Headers],[SLA Management]]&amp;"*")</f>
        <v>0</v>
      </c>
      <c r="J48" s="8">
        <f>COUNTIFS('All Papers'!$D:$D,"*"&amp;$A48&amp;"*",'All Papers'!$G:$G,"*"&amp;Table1[[#Headers],[Big Data]]&amp;"*")</f>
        <v>0</v>
      </c>
      <c r="K48" s="8">
        <f>COUNTIFS('All Papers'!$D:$D,"*"&amp;$A48&amp;"*",'All Papers'!$G:$G,"*"&amp;Table1[[#Headers],[Energy Management]]&amp;"*")</f>
        <v>0</v>
      </c>
      <c r="L48" s="8">
        <f>COUNTIFS('All Papers'!$D:$D,"*"&amp;$A48&amp;"*",'All Papers'!$G:$G,"*"&amp;Table1[[#Headers],[Monitoring]]&amp;"*")</f>
        <v>0</v>
      </c>
      <c r="M48" s="8">
        <f>COUNTIFS('All Papers'!$D:$D,"*"&amp;$A48&amp;"*",'All Papers'!$G:$G,"*"&amp;Table1[[#Headers],[Pricing]]&amp;"*")</f>
        <v>0</v>
      </c>
      <c r="P48">
        <v>5</v>
      </c>
      <c r="Q48">
        <v>3</v>
      </c>
      <c r="R48">
        <f>E6</f>
        <v>1</v>
      </c>
    </row>
    <row r="49" spans="1:18" x14ac:dyDescent="0.25">
      <c r="A49" s="8" t="s">
        <v>2482</v>
      </c>
      <c r="B49" s="8">
        <f>COUNTIF('All Papers'!D:D,"*"&amp;Table1[[#This Row],[Name]]&amp;"*")</f>
        <v>4</v>
      </c>
      <c r="C49" s="8">
        <f>COUNTIFS('All Papers'!$D:$D,"*"&amp;$A49&amp;"*",'All Papers'!$G:$G,"*"&amp;Table1[[#Headers],[Composition]]&amp;"*")</f>
        <v>1</v>
      </c>
      <c r="D49" s="8">
        <f>COUNTIFS('All Papers'!$D:$D,"*"&amp;$A49&amp;"*",'All Papers'!$G:$G,"*"&amp;Table1[[#Headers],[Discovery]]&amp;"*")</f>
        <v>1</v>
      </c>
      <c r="E49" s="8">
        <f>COUNTIFS('All Papers'!$D:$D,"*"&amp;$A49&amp;"*",'All Papers'!$G:$G,"*"&amp;Table1[[#Headers],[Selection]]&amp;"*")</f>
        <v>3</v>
      </c>
      <c r="F49" s="8">
        <f>COUNTIFS('All Papers'!$D:$D,"*"&amp;$A49&amp;"*",'All Papers'!$G:$G,"*"&amp;Table1[[#Headers],[Recommendation]]&amp;"*")</f>
        <v>0</v>
      </c>
      <c r="G49" s="8">
        <f>COUNTIFS('All Papers'!$D:$D,"*"&amp;$A49&amp;"*",'All Papers'!$G:$G,"*"&amp;Table1[[#Headers],[Resource Management-CS]]&amp;"*")</f>
        <v>0</v>
      </c>
      <c r="H49" s="8">
        <f>COUNTIFS('All Papers'!$D:$D,"*"&amp;$A49&amp;"*",'All Papers'!$G:$G,"*"&amp;Table1[[#Headers],[Resource Management-PS]]&amp;"*")</f>
        <v>0</v>
      </c>
      <c r="I49" s="8">
        <f>COUNTIFS('All Papers'!$D:$D,"*"&amp;$A49&amp;"*",'All Papers'!$G:$G,"*"&amp;Table1[[#Headers],[SLA Management]]&amp;"*")</f>
        <v>1</v>
      </c>
      <c r="J49" s="8">
        <f>COUNTIFS('All Papers'!$D:$D,"*"&amp;$A49&amp;"*",'All Papers'!$G:$G,"*"&amp;Table1[[#Headers],[Big Data]]&amp;"*")</f>
        <v>0</v>
      </c>
      <c r="K49" s="8">
        <f>COUNTIFS('All Papers'!$D:$D,"*"&amp;$A49&amp;"*",'All Papers'!$G:$G,"*"&amp;Table1[[#Headers],[Energy Management]]&amp;"*")</f>
        <v>0</v>
      </c>
      <c r="L49" s="8">
        <f>COUNTIFS('All Papers'!$D:$D,"*"&amp;$A49&amp;"*",'All Papers'!$G:$G,"*"&amp;Table1[[#Headers],[Monitoring]]&amp;"*")</f>
        <v>0</v>
      </c>
      <c r="M49" s="8">
        <f>COUNTIFS('All Papers'!$D:$D,"*"&amp;$A49&amp;"*",'All Papers'!$G:$G,"*"&amp;Table1[[#Headers],[Pricing]]&amp;"*")</f>
        <v>0</v>
      </c>
      <c r="P49">
        <v>5</v>
      </c>
      <c r="Q49">
        <v>4</v>
      </c>
      <c r="R49">
        <f>F6</f>
        <v>0</v>
      </c>
    </row>
    <row r="50" spans="1:18" x14ac:dyDescent="0.25">
      <c r="A50" s="8" t="s">
        <v>2483</v>
      </c>
      <c r="B50" s="8">
        <f>COUNTIF('All Papers'!D:D,"*"&amp;Table1[[#This Row],[Name]]&amp;"*")</f>
        <v>4</v>
      </c>
      <c r="C50" s="8">
        <f>COUNTIFS('All Papers'!$D:$D,"*"&amp;$A50&amp;"*",'All Papers'!$G:$G,"*"&amp;Table1[[#Headers],[Composition]]&amp;"*")</f>
        <v>2</v>
      </c>
      <c r="D50" s="8">
        <f>COUNTIFS('All Papers'!$D:$D,"*"&amp;$A50&amp;"*",'All Papers'!$G:$G,"*"&amp;Table1[[#Headers],[Discovery]]&amp;"*")</f>
        <v>1</v>
      </c>
      <c r="E50" s="8">
        <f>COUNTIFS('All Papers'!$D:$D,"*"&amp;$A50&amp;"*",'All Papers'!$G:$G,"*"&amp;Table1[[#Headers],[Selection]]&amp;"*")</f>
        <v>1</v>
      </c>
      <c r="F50" s="8">
        <f>COUNTIFS('All Papers'!$D:$D,"*"&amp;$A50&amp;"*",'All Papers'!$G:$G,"*"&amp;Table1[[#Headers],[Recommendation]]&amp;"*")</f>
        <v>0</v>
      </c>
      <c r="G50" s="8">
        <f>COUNTIFS('All Papers'!$D:$D,"*"&amp;$A50&amp;"*",'All Papers'!$G:$G,"*"&amp;Table1[[#Headers],[Resource Management-CS]]&amp;"*")</f>
        <v>0</v>
      </c>
      <c r="H50" s="8">
        <f>COUNTIFS('All Papers'!$D:$D,"*"&amp;$A50&amp;"*",'All Papers'!$G:$G,"*"&amp;Table1[[#Headers],[Resource Management-PS]]&amp;"*")</f>
        <v>0</v>
      </c>
      <c r="I50" s="8">
        <f>COUNTIFS('All Papers'!$D:$D,"*"&amp;$A50&amp;"*",'All Papers'!$G:$G,"*"&amp;Table1[[#Headers],[SLA Management]]&amp;"*")</f>
        <v>1</v>
      </c>
      <c r="J50" s="8">
        <f>COUNTIFS('All Papers'!$D:$D,"*"&amp;$A50&amp;"*",'All Papers'!$G:$G,"*"&amp;Table1[[#Headers],[Big Data]]&amp;"*")</f>
        <v>0</v>
      </c>
      <c r="K50" s="8">
        <f>COUNTIFS('All Papers'!$D:$D,"*"&amp;$A50&amp;"*",'All Papers'!$G:$G,"*"&amp;Table1[[#Headers],[Energy Management]]&amp;"*")</f>
        <v>0</v>
      </c>
      <c r="L50" s="8">
        <f>COUNTIFS('All Papers'!$D:$D,"*"&amp;$A50&amp;"*",'All Papers'!$G:$G,"*"&amp;Table1[[#Headers],[Monitoring]]&amp;"*")</f>
        <v>0</v>
      </c>
      <c r="M50" s="8">
        <f>COUNTIFS('All Papers'!$D:$D,"*"&amp;$A50&amp;"*",'All Papers'!$G:$G,"*"&amp;Table1[[#Headers],[Pricing]]&amp;"*")</f>
        <v>1</v>
      </c>
      <c r="P50">
        <v>5</v>
      </c>
      <c r="Q50">
        <v>5</v>
      </c>
      <c r="R50">
        <f>G6</f>
        <v>0</v>
      </c>
    </row>
    <row r="51" spans="1:18" x14ac:dyDescent="0.25">
      <c r="A51" s="8" t="s">
        <v>2484</v>
      </c>
      <c r="B51" s="8">
        <f>COUNTIF('All Papers'!D:D,"*"&amp;Table1[[#This Row],[Name]]&amp;"*")</f>
        <v>4</v>
      </c>
      <c r="C51" s="8">
        <f>COUNTIFS('All Papers'!$D:$D,"*"&amp;$A51&amp;"*",'All Papers'!$G:$G,"*"&amp;Table1[[#Headers],[Composition]]&amp;"*")</f>
        <v>2</v>
      </c>
      <c r="D51" s="8">
        <f>COUNTIFS('All Papers'!$D:$D,"*"&amp;$A51&amp;"*",'All Papers'!$G:$G,"*"&amp;Table1[[#Headers],[Discovery]]&amp;"*")</f>
        <v>0</v>
      </c>
      <c r="E51" s="8">
        <f>COUNTIFS('All Papers'!$D:$D,"*"&amp;$A51&amp;"*",'All Papers'!$G:$G,"*"&amp;Table1[[#Headers],[Selection]]&amp;"*")</f>
        <v>0</v>
      </c>
      <c r="F51" s="8">
        <f>COUNTIFS('All Papers'!$D:$D,"*"&amp;$A51&amp;"*",'All Papers'!$G:$G,"*"&amp;Table1[[#Headers],[Recommendation]]&amp;"*")</f>
        <v>0</v>
      </c>
      <c r="G51" s="8">
        <f>COUNTIFS('All Papers'!$D:$D,"*"&amp;$A51&amp;"*",'All Papers'!$G:$G,"*"&amp;Table1[[#Headers],[Resource Management-CS]]&amp;"*")</f>
        <v>1</v>
      </c>
      <c r="H51" s="8">
        <f>COUNTIFS('All Papers'!$D:$D,"*"&amp;$A51&amp;"*",'All Papers'!$G:$G,"*"&amp;Table1[[#Headers],[Resource Management-PS]]&amp;"*")</f>
        <v>0</v>
      </c>
      <c r="I51" s="8">
        <f>COUNTIFS('All Papers'!$D:$D,"*"&amp;$A51&amp;"*",'All Papers'!$G:$G,"*"&amp;Table1[[#Headers],[SLA Management]]&amp;"*")</f>
        <v>1</v>
      </c>
      <c r="J51" s="8">
        <f>COUNTIFS('All Papers'!$D:$D,"*"&amp;$A51&amp;"*",'All Papers'!$G:$G,"*"&amp;Table1[[#Headers],[Big Data]]&amp;"*")</f>
        <v>0</v>
      </c>
      <c r="K51" s="8">
        <f>COUNTIFS('All Papers'!$D:$D,"*"&amp;$A51&amp;"*",'All Papers'!$G:$G,"*"&amp;Table1[[#Headers],[Energy Management]]&amp;"*")</f>
        <v>0</v>
      </c>
      <c r="L51" s="8">
        <f>COUNTIFS('All Papers'!$D:$D,"*"&amp;$A51&amp;"*",'All Papers'!$G:$G,"*"&amp;Table1[[#Headers],[Monitoring]]&amp;"*")</f>
        <v>1</v>
      </c>
      <c r="M51" s="8">
        <f>COUNTIFS('All Papers'!$D:$D,"*"&amp;$A51&amp;"*",'All Papers'!$G:$G,"*"&amp;Table1[[#Headers],[Pricing]]&amp;"*")</f>
        <v>0</v>
      </c>
      <c r="P51">
        <v>5</v>
      </c>
      <c r="Q51">
        <v>6</v>
      </c>
      <c r="R51">
        <f>H6</f>
        <v>0</v>
      </c>
    </row>
    <row r="52" spans="1:18" x14ac:dyDescent="0.25">
      <c r="A52" s="8" t="s">
        <v>2485</v>
      </c>
      <c r="B52" s="8">
        <f>COUNTIF('All Papers'!D:D,"*"&amp;Table1[[#This Row],[Name]]&amp;"*")</f>
        <v>4</v>
      </c>
      <c r="C52" s="8">
        <f>COUNTIFS('All Papers'!$D:$D,"*"&amp;$A52&amp;"*",'All Papers'!$G:$G,"*"&amp;Table1[[#Headers],[Composition]]&amp;"*")</f>
        <v>1</v>
      </c>
      <c r="D52" s="8">
        <f>COUNTIFS('All Papers'!$D:$D,"*"&amp;$A52&amp;"*",'All Papers'!$G:$G,"*"&amp;Table1[[#Headers],[Discovery]]&amp;"*")</f>
        <v>0</v>
      </c>
      <c r="E52" s="8">
        <f>COUNTIFS('All Papers'!$D:$D,"*"&amp;$A52&amp;"*",'All Papers'!$G:$G,"*"&amp;Table1[[#Headers],[Selection]]&amp;"*")</f>
        <v>2</v>
      </c>
      <c r="F52" s="8">
        <f>COUNTIFS('All Papers'!$D:$D,"*"&amp;$A52&amp;"*",'All Papers'!$G:$G,"*"&amp;Table1[[#Headers],[Recommendation]]&amp;"*")</f>
        <v>1</v>
      </c>
      <c r="G52" s="8">
        <f>COUNTIFS('All Papers'!$D:$D,"*"&amp;$A52&amp;"*",'All Papers'!$G:$G,"*"&amp;Table1[[#Headers],[Resource Management-CS]]&amp;"*")</f>
        <v>0</v>
      </c>
      <c r="H52" s="8">
        <f>COUNTIFS('All Papers'!$D:$D,"*"&amp;$A52&amp;"*",'All Papers'!$G:$G,"*"&amp;Table1[[#Headers],[Resource Management-PS]]&amp;"*")</f>
        <v>0</v>
      </c>
      <c r="I52" s="8">
        <f>COUNTIFS('All Papers'!$D:$D,"*"&amp;$A52&amp;"*",'All Papers'!$G:$G,"*"&amp;Table1[[#Headers],[SLA Management]]&amp;"*")</f>
        <v>0</v>
      </c>
      <c r="J52" s="8">
        <f>COUNTIFS('All Papers'!$D:$D,"*"&amp;$A52&amp;"*",'All Papers'!$G:$G,"*"&amp;Table1[[#Headers],[Big Data]]&amp;"*")</f>
        <v>1</v>
      </c>
      <c r="K52" s="8">
        <f>COUNTIFS('All Papers'!$D:$D,"*"&amp;$A52&amp;"*",'All Papers'!$G:$G,"*"&amp;Table1[[#Headers],[Energy Management]]&amp;"*")</f>
        <v>0</v>
      </c>
      <c r="L52" s="8">
        <f>COUNTIFS('All Papers'!$D:$D,"*"&amp;$A52&amp;"*",'All Papers'!$G:$G,"*"&amp;Table1[[#Headers],[Monitoring]]&amp;"*")</f>
        <v>0</v>
      </c>
      <c r="M52" s="8">
        <f>COUNTIFS('All Papers'!$D:$D,"*"&amp;$A52&amp;"*",'All Papers'!$G:$G,"*"&amp;Table1[[#Headers],[Pricing]]&amp;"*")</f>
        <v>0</v>
      </c>
      <c r="P52">
        <v>5</v>
      </c>
      <c r="Q52">
        <v>7</v>
      </c>
      <c r="R52">
        <f>I6</f>
        <v>0</v>
      </c>
    </row>
    <row r="53" spans="1:18" x14ac:dyDescent="0.25">
      <c r="A53" s="8" t="s">
        <v>2486</v>
      </c>
      <c r="B53" s="8">
        <f>COUNTIF('All Papers'!D:D,"*"&amp;Table1[[#This Row],[Name]]&amp;"*")</f>
        <v>4</v>
      </c>
      <c r="C53" s="8">
        <f>COUNTIFS('All Papers'!$D:$D,"*"&amp;$A53&amp;"*",'All Papers'!$G:$G,"*"&amp;Table1[[#Headers],[Composition]]&amp;"*")</f>
        <v>4</v>
      </c>
      <c r="D53" s="8">
        <f>COUNTIFS('All Papers'!$D:$D,"*"&amp;$A53&amp;"*",'All Papers'!$G:$G,"*"&amp;Table1[[#Headers],[Discovery]]&amp;"*")</f>
        <v>0</v>
      </c>
      <c r="E53" s="8">
        <f>COUNTIFS('All Papers'!$D:$D,"*"&amp;$A53&amp;"*",'All Papers'!$G:$G,"*"&amp;Table1[[#Headers],[Selection]]&amp;"*")</f>
        <v>0</v>
      </c>
      <c r="F53" s="8">
        <f>COUNTIFS('All Papers'!$D:$D,"*"&amp;$A53&amp;"*",'All Papers'!$G:$G,"*"&amp;Table1[[#Headers],[Recommendation]]&amp;"*")</f>
        <v>0</v>
      </c>
      <c r="G53" s="8">
        <f>COUNTIFS('All Papers'!$D:$D,"*"&amp;$A53&amp;"*",'All Papers'!$G:$G,"*"&amp;Table1[[#Headers],[Resource Management-CS]]&amp;"*")</f>
        <v>0</v>
      </c>
      <c r="H53" s="8">
        <f>COUNTIFS('All Papers'!$D:$D,"*"&amp;$A53&amp;"*",'All Papers'!$G:$G,"*"&amp;Table1[[#Headers],[Resource Management-PS]]&amp;"*")</f>
        <v>0</v>
      </c>
      <c r="I53" s="8">
        <f>COUNTIFS('All Papers'!$D:$D,"*"&amp;$A53&amp;"*",'All Papers'!$G:$G,"*"&amp;Table1[[#Headers],[SLA Management]]&amp;"*")</f>
        <v>0</v>
      </c>
      <c r="J53" s="8">
        <f>COUNTIFS('All Papers'!$D:$D,"*"&amp;$A53&amp;"*",'All Papers'!$G:$G,"*"&amp;Table1[[#Headers],[Big Data]]&amp;"*")</f>
        <v>0</v>
      </c>
      <c r="K53" s="8">
        <f>COUNTIFS('All Papers'!$D:$D,"*"&amp;$A53&amp;"*",'All Papers'!$G:$G,"*"&amp;Table1[[#Headers],[Energy Management]]&amp;"*")</f>
        <v>0</v>
      </c>
      <c r="L53" s="8">
        <f>COUNTIFS('All Papers'!$D:$D,"*"&amp;$A53&amp;"*",'All Papers'!$G:$G,"*"&amp;Table1[[#Headers],[Monitoring]]&amp;"*")</f>
        <v>0</v>
      </c>
      <c r="M53" s="8">
        <f>COUNTIFS('All Papers'!$D:$D,"*"&amp;$A53&amp;"*",'All Papers'!$G:$G,"*"&amp;Table1[[#Headers],[Pricing]]&amp;"*")</f>
        <v>0</v>
      </c>
      <c r="P53">
        <v>5</v>
      </c>
      <c r="Q53">
        <v>8</v>
      </c>
      <c r="R53">
        <f>J6</f>
        <v>0</v>
      </c>
    </row>
    <row r="54" spans="1:18" x14ac:dyDescent="0.25">
      <c r="A54" s="8" t="s">
        <v>2487</v>
      </c>
      <c r="B54" s="8">
        <f>COUNTIF('All Papers'!D:D,"*"&amp;Table1[[#This Row],[Name]]&amp;"*")</f>
        <v>4</v>
      </c>
      <c r="C54" s="8">
        <f>COUNTIFS('All Papers'!$D:$D,"*"&amp;$A54&amp;"*",'All Papers'!$G:$G,"*"&amp;Table1[[#Headers],[Composition]]&amp;"*")</f>
        <v>2</v>
      </c>
      <c r="D54" s="8">
        <f>COUNTIFS('All Papers'!$D:$D,"*"&amp;$A54&amp;"*",'All Papers'!$G:$G,"*"&amp;Table1[[#Headers],[Discovery]]&amp;"*")</f>
        <v>0</v>
      </c>
      <c r="E54" s="8">
        <f>COUNTIFS('All Papers'!$D:$D,"*"&amp;$A54&amp;"*",'All Papers'!$G:$G,"*"&amp;Table1[[#Headers],[Selection]]&amp;"*")</f>
        <v>2</v>
      </c>
      <c r="F54" s="8">
        <f>COUNTIFS('All Papers'!$D:$D,"*"&amp;$A54&amp;"*",'All Papers'!$G:$G,"*"&amp;Table1[[#Headers],[Recommendation]]&amp;"*")</f>
        <v>0</v>
      </c>
      <c r="G54" s="8">
        <f>COUNTIFS('All Papers'!$D:$D,"*"&amp;$A54&amp;"*",'All Papers'!$G:$G,"*"&amp;Table1[[#Headers],[Resource Management-CS]]&amp;"*")</f>
        <v>0</v>
      </c>
      <c r="H54" s="8">
        <f>COUNTIFS('All Papers'!$D:$D,"*"&amp;$A54&amp;"*",'All Papers'!$G:$G,"*"&amp;Table1[[#Headers],[Resource Management-PS]]&amp;"*")</f>
        <v>0</v>
      </c>
      <c r="I54" s="8">
        <f>COUNTIFS('All Papers'!$D:$D,"*"&amp;$A54&amp;"*",'All Papers'!$G:$G,"*"&amp;Table1[[#Headers],[SLA Management]]&amp;"*")</f>
        <v>0</v>
      </c>
      <c r="J54" s="8">
        <f>COUNTIFS('All Papers'!$D:$D,"*"&amp;$A54&amp;"*",'All Papers'!$G:$G,"*"&amp;Table1[[#Headers],[Big Data]]&amp;"*")</f>
        <v>0</v>
      </c>
      <c r="K54" s="8">
        <f>COUNTIFS('All Papers'!$D:$D,"*"&amp;$A54&amp;"*",'All Papers'!$G:$G,"*"&amp;Table1[[#Headers],[Energy Management]]&amp;"*")</f>
        <v>0</v>
      </c>
      <c r="L54" s="8">
        <f>COUNTIFS('All Papers'!$D:$D,"*"&amp;$A54&amp;"*",'All Papers'!$G:$G,"*"&amp;Table1[[#Headers],[Monitoring]]&amp;"*")</f>
        <v>1</v>
      </c>
      <c r="M54" s="8">
        <f>COUNTIFS('All Papers'!$D:$D,"*"&amp;$A54&amp;"*",'All Papers'!$G:$G,"*"&amp;Table1[[#Headers],[Pricing]]&amp;"*")</f>
        <v>0</v>
      </c>
      <c r="P54">
        <v>5</v>
      </c>
      <c r="Q54">
        <v>9</v>
      </c>
      <c r="R54">
        <f>K6</f>
        <v>0</v>
      </c>
    </row>
    <row r="55" spans="1:18" x14ac:dyDescent="0.25">
      <c r="A55" s="8" t="s">
        <v>2488</v>
      </c>
      <c r="B55" s="8">
        <f>COUNTIF('All Papers'!D:D,"*"&amp;Table1[[#This Row],[Name]]&amp;"*")</f>
        <v>4</v>
      </c>
      <c r="C55" s="8">
        <f>COUNTIFS('All Papers'!$D:$D,"*"&amp;$A55&amp;"*",'All Papers'!$G:$G,"*"&amp;Table1[[#Headers],[Composition]]&amp;"*")</f>
        <v>0</v>
      </c>
      <c r="D55" s="8">
        <f>COUNTIFS('All Papers'!$D:$D,"*"&amp;$A55&amp;"*",'All Papers'!$G:$G,"*"&amp;Table1[[#Headers],[Discovery]]&amp;"*")</f>
        <v>0</v>
      </c>
      <c r="E55" s="8">
        <f>COUNTIFS('All Papers'!$D:$D,"*"&amp;$A55&amp;"*",'All Papers'!$G:$G,"*"&amp;Table1[[#Headers],[Selection]]&amp;"*")</f>
        <v>1</v>
      </c>
      <c r="F55" s="8">
        <f>COUNTIFS('All Papers'!$D:$D,"*"&amp;$A55&amp;"*",'All Papers'!$G:$G,"*"&amp;Table1[[#Headers],[Recommendation]]&amp;"*")</f>
        <v>0</v>
      </c>
      <c r="G55" s="8">
        <f>COUNTIFS('All Papers'!$D:$D,"*"&amp;$A55&amp;"*",'All Papers'!$G:$G,"*"&amp;Table1[[#Headers],[Resource Management-CS]]&amp;"*")</f>
        <v>3</v>
      </c>
      <c r="H55" s="8">
        <f>COUNTIFS('All Papers'!$D:$D,"*"&amp;$A55&amp;"*",'All Papers'!$G:$G,"*"&amp;Table1[[#Headers],[Resource Management-PS]]&amp;"*")</f>
        <v>0</v>
      </c>
      <c r="I55" s="8">
        <f>COUNTIFS('All Papers'!$D:$D,"*"&amp;$A55&amp;"*",'All Papers'!$G:$G,"*"&amp;Table1[[#Headers],[SLA Management]]&amp;"*")</f>
        <v>0</v>
      </c>
      <c r="J55" s="8">
        <f>COUNTIFS('All Papers'!$D:$D,"*"&amp;$A55&amp;"*",'All Papers'!$G:$G,"*"&amp;Table1[[#Headers],[Big Data]]&amp;"*")</f>
        <v>0</v>
      </c>
      <c r="K55" s="8">
        <f>COUNTIFS('All Papers'!$D:$D,"*"&amp;$A55&amp;"*",'All Papers'!$G:$G,"*"&amp;Table1[[#Headers],[Energy Management]]&amp;"*")</f>
        <v>0</v>
      </c>
      <c r="L55" s="8">
        <f>COUNTIFS('All Papers'!$D:$D,"*"&amp;$A55&amp;"*",'All Papers'!$G:$G,"*"&amp;Table1[[#Headers],[Monitoring]]&amp;"*")</f>
        <v>0</v>
      </c>
      <c r="M55" s="8">
        <f>COUNTIFS('All Papers'!$D:$D,"*"&amp;$A55&amp;"*",'All Papers'!$G:$G,"*"&amp;Table1[[#Headers],[Pricing]]&amp;"*")</f>
        <v>3</v>
      </c>
      <c r="P55">
        <v>5</v>
      </c>
      <c r="Q55">
        <v>10</v>
      </c>
      <c r="R55">
        <f>L6</f>
        <v>0</v>
      </c>
    </row>
    <row r="56" spans="1:18" x14ac:dyDescent="0.25">
      <c r="A56" s="8" t="s">
        <v>2489</v>
      </c>
      <c r="B56" s="8">
        <f>COUNTIF('All Papers'!D:D,"*"&amp;Table1[[#This Row],[Name]]&amp;"*")</f>
        <v>4</v>
      </c>
      <c r="C56" s="8">
        <f>COUNTIFS('All Papers'!$D:$D,"*"&amp;$A56&amp;"*",'All Papers'!$G:$G,"*"&amp;Table1[[#Headers],[Composition]]&amp;"*")</f>
        <v>1</v>
      </c>
      <c r="D56" s="8">
        <f>COUNTIFS('All Papers'!$D:$D,"*"&amp;$A56&amp;"*",'All Papers'!$G:$G,"*"&amp;Table1[[#Headers],[Discovery]]&amp;"*")</f>
        <v>0</v>
      </c>
      <c r="E56" s="8">
        <f>COUNTIFS('All Papers'!$D:$D,"*"&amp;$A56&amp;"*",'All Papers'!$G:$G,"*"&amp;Table1[[#Headers],[Selection]]&amp;"*")</f>
        <v>1</v>
      </c>
      <c r="F56" s="8">
        <f>COUNTIFS('All Papers'!$D:$D,"*"&amp;$A56&amp;"*",'All Papers'!$G:$G,"*"&amp;Table1[[#Headers],[Recommendation]]&amp;"*")</f>
        <v>1</v>
      </c>
      <c r="G56" s="8">
        <f>COUNTIFS('All Papers'!$D:$D,"*"&amp;$A56&amp;"*",'All Papers'!$G:$G,"*"&amp;Table1[[#Headers],[Resource Management-CS]]&amp;"*")</f>
        <v>0</v>
      </c>
      <c r="H56" s="8">
        <f>COUNTIFS('All Papers'!$D:$D,"*"&amp;$A56&amp;"*",'All Papers'!$G:$G,"*"&amp;Table1[[#Headers],[Resource Management-PS]]&amp;"*")</f>
        <v>0</v>
      </c>
      <c r="I56" s="8">
        <f>COUNTIFS('All Papers'!$D:$D,"*"&amp;$A56&amp;"*",'All Papers'!$G:$G,"*"&amp;Table1[[#Headers],[SLA Management]]&amp;"*")</f>
        <v>0</v>
      </c>
      <c r="J56" s="8">
        <f>COUNTIFS('All Papers'!$D:$D,"*"&amp;$A56&amp;"*",'All Papers'!$G:$G,"*"&amp;Table1[[#Headers],[Big Data]]&amp;"*")</f>
        <v>0</v>
      </c>
      <c r="K56" s="8">
        <f>COUNTIFS('All Papers'!$D:$D,"*"&amp;$A56&amp;"*",'All Papers'!$G:$G,"*"&amp;Table1[[#Headers],[Energy Management]]&amp;"*")</f>
        <v>0</v>
      </c>
      <c r="L56" s="8">
        <f>COUNTIFS('All Papers'!$D:$D,"*"&amp;$A56&amp;"*",'All Papers'!$G:$G,"*"&amp;Table1[[#Headers],[Monitoring]]&amp;"*")</f>
        <v>1</v>
      </c>
      <c r="M56" s="8">
        <f>COUNTIFS('All Papers'!$D:$D,"*"&amp;$A56&amp;"*",'All Papers'!$G:$G,"*"&amp;Table1[[#Headers],[Pricing]]&amp;"*")</f>
        <v>0</v>
      </c>
      <c r="P56">
        <v>5</v>
      </c>
      <c r="Q56">
        <v>11</v>
      </c>
      <c r="R56">
        <f>M6</f>
        <v>0</v>
      </c>
    </row>
    <row r="57" spans="1:18" x14ac:dyDescent="0.25">
      <c r="A57" s="8" t="s">
        <v>2490</v>
      </c>
      <c r="B57" s="8">
        <f>COUNTIF('All Papers'!D:D,"*"&amp;Table1[[#This Row],[Name]]&amp;"*")</f>
        <v>4</v>
      </c>
      <c r="C57" s="8">
        <f>COUNTIFS('All Papers'!$D:$D,"*"&amp;$A57&amp;"*",'All Papers'!$G:$G,"*"&amp;Table1[[#Headers],[Composition]]&amp;"*")</f>
        <v>0</v>
      </c>
      <c r="D57" s="8">
        <f>COUNTIFS('All Papers'!$D:$D,"*"&amp;$A57&amp;"*",'All Papers'!$G:$G,"*"&amp;Table1[[#Headers],[Discovery]]&amp;"*")</f>
        <v>1</v>
      </c>
      <c r="E57" s="8">
        <f>COUNTIFS('All Papers'!$D:$D,"*"&amp;$A57&amp;"*",'All Papers'!$G:$G,"*"&amp;Table1[[#Headers],[Selection]]&amp;"*")</f>
        <v>0</v>
      </c>
      <c r="F57" s="8">
        <f>COUNTIFS('All Papers'!$D:$D,"*"&amp;$A57&amp;"*",'All Papers'!$G:$G,"*"&amp;Table1[[#Headers],[Recommendation]]&amp;"*")</f>
        <v>0</v>
      </c>
      <c r="G57" s="8">
        <f>COUNTIFS('All Papers'!$D:$D,"*"&amp;$A57&amp;"*",'All Papers'!$G:$G,"*"&amp;Table1[[#Headers],[Resource Management-CS]]&amp;"*")</f>
        <v>2</v>
      </c>
      <c r="H57" s="8">
        <f>COUNTIFS('All Papers'!$D:$D,"*"&amp;$A57&amp;"*",'All Papers'!$G:$G,"*"&amp;Table1[[#Headers],[Resource Management-PS]]&amp;"*")</f>
        <v>1</v>
      </c>
      <c r="I57" s="8">
        <f>COUNTIFS('All Papers'!$D:$D,"*"&amp;$A57&amp;"*",'All Papers'!$G:$G,"*"&amp;Table1[[#Headers],[SLA Management]]&amp;"*")</f>
        <v>0</v>
      </c>
      <c r="J57" s="8">
        <f>COUNTIFS('All Papers'!$D:$D,"*"&amp;$A57&amp;"*",'All Papers'!$G:$G,"*"&amp;Table1[[#Headers],[Big Data]]&amp;"*")</f>
        <v>0</v>
      </c>
      <c r="K57" s="8">
        <f>COUNTIFS('All Papers'!$D:$D,"*"&amp;$A57&amp;"*",'All Papers'!$G:$G,"*"&amp;Table1[[#Headers],[Energy Management]]&amp;"*")</f>
        <v>0</v>
      </c>
      <c r="L57" s="8">
        <f>COUNTIFS('All Papers'!$D:$D,"*"&amp;$A57&amp;"*",'All Papers'!$G:$G,"*"&amp;Table1[[#Headers],[Monitoring]]&amp;"*")</f>
        <v>0</v>
      </c>
      <c r="M57" s="8">
        <f>COUNTIFS('All Papers'!$D:$D,"*"&amp;$A57&amp;"*",'All Papers'!$G:$G,"*"&amp;Table1[[#Headers],[Pricing]]&amp;"*")</f>
        <v>0</v>
      </c>
      <c r="P57">
        <v>6</v>
      </c>
      <c r="Q57">
        <v>1</v>
      </c>
      <c r="R57">
        <f>C7</f>
        <v>0</v>
      </c>
    </row>
    <row r="58" spans="1:18" x14ac:dyDescent="0.25">
      <c r="A58" s="8" t="s">
        <v>2491</v>
      </c>
      <c r="B58" s="8">
        <f>COUNTIF('All Papers'!D:D,"*"&amp;Table1[[#This Row],[Name]]&amp;"*")</f>
        <v>3</v>
      </c>
      <c r="C58" s="8">
        <f>COUNTIFS('All Papers'!$D:$D,"*"&amp;$A58&amp;"*",'All Papers'!$G:$G,"*"&amp;Table1[[#Headers],[Composition]]&amp;"*")</f>
        <v>1</v>
      </c>
      <c r="D58" s="8">
        <f>COUNTIFS('All Papers'!$D:$D,"*"&amp;$A58&amp;"*",'All Papers'!$G:$G,"*"&amp;Table1[[#Headers],[Discovery]]&amp;"*")</f>
        <v>0</v>
      </c>
      <c r="E58" s="8">
        <f>COUNTIFS('All Papers'!$D:$D,"*"&amp;$A58&amp;"*",'All Papers'!$G:$G,"*"&amp;Table1[[#Headers],[Selection]]&amp;"*")</f>
        <v>0</v>
      </c>
      <c r="F58" s="8">
        <f>COUNTIFS('All Papers'!$D:$D,"*"&amp;$A58&amp;"*",'All Papers'!$G:$G,"*"&amp;Table1[[#Headers],[Recommendation]]&amp;"*")</f>
        <v>0</v>
      </c>
      <c r="G58" s="8">
        <f>COUNTIFS('All Papers'!$D:$D,"*"&amp;$A58&amp;"*",'All Papers'!$G:$G,"*"&amp;Table1[[#Headers],[Resource Management-CS]]&amp;"*")</f>
        <v>2</v>
      </c>
      <c r="H58" s="8">
        <f>COUNTIFS('All Papers'!$D:$D,"*"&amp;$A58&amp;"*",'All Papers'!$G:$G,"*"&amp;Table1[[#Headers],[Resource Management-PS]]&amp;"*")</f>
        <v>0</v>
      </c>
      <c r="I58" s="8">
        <f>COUNTIFS('All Papers'!$D:$D,"*"&amp;$A58&amp;"*",'All Papers'!$G:$G,"*"&amp;Table1[[#Headers],[SLA Management]]&amp;"*")</f>
        <v>0</v>
      </c>
      <c r="J58" s="8">
        <f>COUNTIFS('All Papers'!$D:$D,"*"&amp;$A58&amp;"*",'All Papers'!$G:$G,"*"&amp;Table1[[#Headers],[Big Data]]&amp;"*")</f>
        <v>0</v>
      </c>
      <c r="K58" s="8">
        <f>COUNTIFS('All Papers'!$D:$D,"*"&amp;$A58&amp;"*",'All Papers'!$G:$G,"*"&amp;Table1[[#Headers],[Energy Management]]&amp;"*")</f>
        <v>0</v>
      </c>
      <c r="L58" s="8">
        <f>COUNTIFS('All Papers'!$D:$D,"*"&amp;$A58&amp;"*",'All Papers'!$G:$G,"*"&amp;Table1[[#Headers],[Monitoring]]&amp;"*")</f>
        <v>0</v>
      </c>
      <c r="M58" s="8">
        <f>COUNTIFS('All Papers'!$D:$D,"*"&amp;$A58&amp;"*",'All Papers'!$G:$G,"*"&amp;Table1[[#Headers],[Pricing]]&amp;"*")</f>
        <v>0</v>
      </c>
      <c r="P58">
        <v>6</v>
      </c>
      <c r="Q58">
        <v>2</v>
      </c>
      <c r="R58">
        <f>D7</f>
        <v>1</v>
      </c>
    </row>
    <row r="59" spans="1:18" x14ac:dyDescent="0.25">
      <c r="A59" s="8" t="s">
        <v>2492</v>
      </c>
      <c r="B59" s="8">
        <f>COUNTIF('All Papers'!D:D,"*"&amp;Table1[[#This Row],[Name]]&amp;"*")</f>
        <v>3</v>
      </c>
      <c r="C59" s="8">
        <f>COUNTIFS('All Papers'!$D:$D,"*"&amp;$A59&amp;"*",'All Papers'!$G:$G,"*"&amp;Table1[[#Headers],[Composition]]&amp;"*")</f>
        <v>1</v>
      </c>
      <c r="D59" s="8">
        <f>COUNTIFS('All Papers'!$D:$D,"*"&amp;$A59&amp;"*",'All Papers'!$G:$G,"*"&amp;Table1[[#Headers],[Discovery]]&amp;"*")</f>
        <v>0</v>
      </c>
      <c r="E59" s="8">
        <f>COUNTIFS('All Papers'!$D:$D,"*"&amp;$A59&amp;"*",'All Papers'!$G:$G,"*"&amp;Table1[[#Headers],[Selection]]&amp;"*")</f>
        <v>0</v>
      </c>
      <c r="F59" s="8">
        <f>COUNTIFS('All Papers'!$D:$D,"*"&amp;$A59&amp;"*",'All Papers'!$G:$G,"*"&amp;Table1[[#Headers],[Recommendation]]&amp;"*")</f>
        <v>0</v>
      </c>
      <c r="G59" s="8">
        <f>COUNTIFS('All Papers'!$D:$D,"*"&amp;$A59&amp;"*",'All Papers'!$G:$G,"*"&amp;Table1[[#Headers],[Resource Management-CS]]&amp;"*")</f>
        <v>2</v>
      </c>
      <c r="H59" s="8">
        <f>COUNTIFS('All Papers'!$D:$D,"*"&amp;$A59&amp;"*",'All Papers'!$G:$G,"*"&amp;Table1[[#Headers],[Resource Management-PS]]&amp;"*")</f>
        <v>0</v>
      </c>
      <c r="I59" s="8">
        <f>COUNTIFS('All Papers'!$D:$D,"*"&amp;$A59&amp;"*",'All Papers'!$G:$G,"*"&amp;Table1[[#Headers],[SLA Management]]&amp;"*")</f>
        <v>0</v>
      </c>
      <c r="J59" s="8">
        <f>COUNTIFS('All Papers'!$D:$D,"*"&amp;$A59&amp;"*",'All Papers'!$G:$G,"*"&amp;Table1[[#Headers],[Big Data]]&amp;"*")</f>
        <v>0</v>
      </c>
      <c r="K59" s="8">
        <f>COUNTIFS('All Papers'!$D:$D,"*"&amp;$A59&amp;"*",'All Papers'!$G:$G,"*"&amp;Table1[[#Headers],[Energy Management]]&amp;"*")</f>
        <v>0</v>
      </c>
      <c r="L59" s="8">
        <f>COUNTIFS('All Papers'!$D:$D,"*"&amp;$A59&amp;"*",'All Papers'!$G:$G,"*"&amp;Table1[[#Headers],[Monitoring]]&amp;"*")</f>
        <v>0</v>
      </c>
      <c r="M59" s="8">
        <f>COUNTIFS('All Papers'!$D:$D,"*"&amp;$A59&amp;"*",'All Papers'!$G:$G,"*"&amp;Table1[[#Headers],[Pricing]]&amp;"*")</f>
        <v>0</v>
      </c>
      <c r="P59">
        <v>6</v>
      </c>
      <c r="Q59">
        <v>3</v>
      </c>
      <c r="R59">
        <f>E7</f>
        <v>0</v>
      </c>
    </row>
    <row r="60" spans="1:18" x14ac:dyDescent="0.25">
      <c r="A60" s="8" t="s">
        <v>2493</v>
      </c>
      <c r="B60" s="8">
        <f>COUNTIF('All Papers'!D:D,"*"&amp;Table1[[#This Row],[Name]]&amp;"*")</f>
        <v>3</v>
      </c>
      <c r="C60" s="8">
        <f>COUNTIFS('All Papers'!$D:$D,"*"&amp;$A60&amp;"*",'All Papers'!$G:$G,"*"&amp;Table1[[#Headers],[Composition]]&amp;"*")</f>
        <v>3</v>
      </c>
      <c r="D60" s="8">
        <f>COUNTIFS('All Papers'!$D:$D,"*"&amp;$A60&amp;"*",'All Papers'!$G:$G,"*"&amp;Table1[[#Headers],[Discovery]]&amp;"*")</f>
        <v>0</v>
      </c>
      <c r="E60" s="8">
        <f>COUNTIFS('All Papers'!$D:$D,"*"&amp;$A60&amp;"*",'All Papers'!$G:$G,"*"&amp;Table1[[#Headers],[Selection]]&amp;"*")</f>
        <v>0</v>
      </c>
      <c r="F60" s="8">
        <f>COUNTIFS('All Papers'!$D:$D,"*"&amp;$A60&amp;"*",'All Papers'!$G:$G,"*"&amp;Table1[[#Headers],[Recommendation]]&amp;"*")</f>
        <v>0</v>
      </c>
      <c r="G60" s="8">
        <f>COUNTIFS('All Papers'!$D:$D,"*"&amp;$A60&amp;"*",'All Papers'!$G:$G,"*"&amp;Table1[[#Headers],[Resource Management-CS]]&amp;"*")</f>
        <v>0</v>
      </c>
      <c r="H60" s="8">
        <f>COUNTIFS('All Papers'!$D:$D,"*"&amp;$A60&amp;"*",'All Papers'!$G:$G,"*"&amp;Table1[[#Headers],[Resource Management-PS]]&amp;"*")</f>
        <v>0</v>
      </c>
      <c r="I60" s="8">
        <f>COUNTIFS('All Papers'!$D:$D,"*"&amp;$A60&amp;"*",'All Papers'!$G:$G,"*"&amp;Table1[[#Headers],[SLA Management]]&amp;"*")</f>
        <v>0</v>
      </c>
      <c r="J60" s="8">
        <f>COUNTIFS('All Papers'!$D:$D,"*"&amp;$A60&amp;"*",'All Papers'!$G:$G,"*"&amp;Table1[[#Headers],[Big Data]]&amp;"*")</f>
        <v>0</v>
      </c>
      <c r="K60" s="8">
        <f>COUNTIFS('All Papers'!$D:$D,"*"&amp;$A60&amp;"*",'All Papers'!$G:$G,"*"&amp;Table1[[#Headers],[Energy Management]]&amp;"*")</f>
        <v>0</v>
      </c>
      <c r="L60" s="8">
        <f>COUNTIFS('All Papers'!$D:$D,"*"&amp;$A60&amp;"*",'All Papers'!$G:$G,"*"&amp;Table1[[#Headers],[Monitoring]]&amp;"*")</f>
        <v>0</v>
      </c>
      <c r="M60" s="8">
        <f>COUNTIFS('All Papers'!$D:$D,"*"&amp;$A60&amp;"*",'All Papers'!$G:$G,"*"&amp;Table1[[#Headers],[Pricing]]&amp;"*")</f>
        <v>0</v>
      </c>
      <c r="P60">
        <v>6</v>
      </c>
      <c r="Q60">
        <v>4</v>
      </c>
      <c r="R60">
        <f>F7</f>
        <v>0</v>
      </c>
    </row>
    <row r="61" spans="1:18" x14ac:dyDescent="0.25">
      <c r="A61" s="8" t="s">
        <v>2494</v>
      </c>
      <c r="B61" s="8">
        <f>COUNTIF('All Papers'!D:D,"*"&amp;Table1[[#This Row],[Name]]&amp;"*")</f>
        <v>3</v>
      </c>
      <c r="C61" s="8">
        <f>COUNTIFS('All Papers'!$D:$D,"*"&amp;$A61&amp;"*",'All Papers'!$G:$G,"*"&amp;Table1[[#Headers],[Composition]]&amp;"*")</f>
        <v>1</v>
      </c>
      <c r="D61" s="8">
        <f>COUNTIFS('All Papers'!$D:$D,"*"&amp;$A61&amp;"*",'All Papers'!$G:$G,"*"&amp;Table1[[#Headers],[Discovery]]&amp;"*")</f>
        <v>0</v>
      </c>
      <c r="E61" s="8">
        <f>COUNTIFS('All Papers'!$D:$D,"*"&amp;$A61&amp;"*",'All Papers'!$G:$G,"*"&amp;Table1[[#Headers],[Selection]]&amp;"*")</f>
        <v>0</v>
      </c>
      <c r="F61" s="8">
        <f>COUNTIFS('All Papers'!$D:$D,"*"&amp;$A61&amp;"*",'All Papers'!$G:$G,"*"&amp;Table1[[#Headers],[Recommendation]]&amp;"*")</f>
        <v>0</v>
      </c>
      <c r="G61" s="8">
        <f>COUNTIFS('All Papers'!$D:$D,"*"&amp;$A61&amp;"*",'All Papers'!$G:$G,"*"&amp;Table1[[#Headers],[Resource Management-CS]]&amp;"*")</f>
        <v>2</v>
      </c>
      <c r="H61" s="8">
        <f>COUNTIFS('All Papers'!$D:$D,"*"&amp;$A61&amp;"*",'All Papers'!$G:$G,"*"&amp;Table1[[#Headers],[Resource Management-PS]]&amp;"*")</f>
        <v>0</v>
      </c>
      <c r="I61" s="8">
        <f>COUNTIFS('All Papers'!$D:$D,"*"&amp;$A61&amp;"*",'All Papers'!$G:$G,"*"&amp;Table1[[#Headers],[SLA Management]]&amp;"*")</f>
        <v>0</v>
      </c>
      <c r="J61" s="8">
        <f>COUNTIFS('All Papers'!$D:$D,"*"&amp;$A61&amp;"*",'All Papers'!$G:$G,"*"&amp;Table1[[#Headers],[Big Data]]&amp;"*")</f>
        <v>1</v>
      </c>
      <c r="K61" s="8">
        <f>COUNTIFS('All Papers'!$D:$D,"*"&amp;$A61&amp;"*",'All Papers'!$G:$G,"*"&amp;Table1[[#Headers],[Energy Management]]&amp;"*")</f>
        <v>0</v>
      </c>
      <c r="L61" s="8">
        <f>COUNTIFS('All Papers'!$D:$D,"*"&amp;$A61&amp;"*",'All Papers'!$G:$G,"*"&amp;Table1[[#Headers],[Monitoring]]&amp;"*")</f>
        <v>0</v>
      </c>
      <c r="M61" s="8">
        <f>COUNTIFS('All Papers'!$D:$D,"*"&amp;$A61&amp;"*",'All Papers'!$G:$G,"*"&amp;Table1[[#Headers],[Pricing]]&amp;"*")</f>
        <v>0</v>
      </c>
      <c r="P61">
        <v>6</v>
      </c>
      <c r="Q61">
        <v>5</v>
      </c>
      <c r="R61">
        <f>G7</f>
        <v>4</v>
      </c>
    </row>
    <row r="62" spans="1:18" x14ac:dyDescent="0.25">
      <c r="A62" s="8" t="s">
        <v>2495</v>
      </c>
      <c r="B62" s="8">
        <f>COUNTIF('All Papers'!D:D,"*"&amp;Table1[[#This Row],[Name]]&amp;"*")</f>
        <v>3</v>
      </c>
      <c r="C62" s="8">
        <f>COUNTIFS('All Papers'!$D:$D,"*"&amp;$A62&amp;"*",'All Papers'!$G:$G,"*"&amp;Table1[[#Headers],[Composition]]&amp;"*")</f>
        <v>0</v>
      </c>
      <c r="D62" s="8">
        <f>COUNTIFS('All Papers'!$D:$D,"*"&amp;$A62&amp;"*",'All Papers'!$G:$G,"*"&amp;Table1[[#Headers],[Discovery]]&amp;"*")</f>
        <v>0</v>
      </c>
      <c r="E62" s="8">
        <f>COUNTIFS('All Papers'!$D:$D,"*"&amp;$A62&amp;"*",'All Papers'!$G:$G,"*"&amp;Table1[[#Headers],[Selection]]&amp;"*")</f>
        <v>0</v>
      </c>
      <c r="F62" s="8">
        <f>COUNTIFS('All Papers'!$D:$D,"*"&amp;$A62&amp;"*",'All Papers'!$G:$G,"*"&amp;Table1[[#Headers],[Recommendation]]&amp;"*")</f>
        <v>0</v>
      </c>
      <c r="G62" s="8">
        <f>COUNTIFS('All Papers'!$D:$D,"*"&amp;$A62&amp;"*",'All Papers'!$G:$G,"*"&amp;Table1[[#Headers],[Resource Management-CS]]&amp;"*")</f>
        <v>1</v>
      </c>
      <c r="H62" s="8">
        <f>COUNTIFS('All Papers'!$D:$D,"*"&amp;$A62&amp;"*",'All Papers'!$G:$G,"*"&amp;Table1[[#Headers],[Resource Management-PS]]&amp;"*")</f>
        <v>2</v>
      </c>
      <c r="I62" s="8">
        <f>COUNTIFS('All Papers'!$D:$D,"*"&amp;$A62&amp;"*",'All Papers'!$G:$G,"*"&amp;Table1[[#Headers],[SLA Management]]&amp;"*")</f>
        <v>0</v>
      </c>
      <c r="J62" s="8">
        <f>COUNTIFS('All Papers'!$D:$D,"*"&amp;$A62&amp;"*",'All Papers'!$G:$G,"*"&amp;Table1[[#Headers],[Big Data]]&amp;"*")</f>
        <v>0</v>
      </c>
      <c r="K62" s="8">
        <f>COUNTIFS('All Papers'!$D:$D,"*"&amp;$A62&amp;"*",'All Papers'!$G:$G,"*"&amp;Table1[[#Headers],[Energy Management]]&amp;"*")</f>
        <v>0</v>
      </c>
      <c r="L62" s="8">
        <f>COUNTIFS('All Papers'!$D:$D,"*"&amp;$A62&amp;"*",'All Papers'!$G:$G,"*"&amp;Table1[[#Headers],[Monitoring]]&amp;"*")</f>
        <v>0</v>
      </c>
      <c r="M62" s="8">
        <f>COUNTIFS('All Papers'!$D:$D,"*"&amp;$A62&amp;"*",'All Papers'!$G:$G,"*"&amp;Table1[[#Headers],[Pricing]]&amp;"*")</f>
        <v>0</v>
      </c>
      <c r="P62">
        <v>6</v>
      </c>
      <c r="Q62">
        <v>6</v>
      </c>
      <c r="R62">
        <f>H7</f>
        <v>1</v>
      </c>
    </row>
    <row r="63" spans="1:18" x14ac:dyDescent="0.25">
      <c r="A63" s="8" t="s">
        <v>2496</v>
      </c>
      <c r="B63" s="8">
        <f>COUNTIF('All Papers'!D:D,"*"&amp;Table1[[#This Row],[Name]]&amp;"*")</f>
        <v>3</v>
      </c>
      <c r="C63" s="8">
        <f>COUNTIFS('All Papers'!$D:$D,"*"&amp;$A63&amp;"*",'All Papers'!$G:$G,"*"&amp;Table1[[#Headers],[Composition]]&amp;"*")</f>
        <v>0</v>
      </c>
      <c r="D63" s="8">
        <f>COUNTIFS('All Papers'!$D:$D,"*"&amp;$A63&amp;"*",'All Papers'!$G:$G,"*"&amp;Table1[[#Headers],[Discovery]]&amp;"*")</f>
        <v>0</v>
      </c>
      <c r="E63" s="8">
        <f>COUNTIFS('All Papers'!$D:$D,"*"&amp;$A63&amp;"*",'All Papers'!$G:$G,"*"&amp;Table1[[#Headers],[Selection]]&amp;"*")</f>
        <v>1</v>
      </c>
      <c r="F63" s="8">
        <f>COUNTIFS('All Papers'!$D:$D,"*"&amp;$A63&amp;"*",'All Papers'!$G:$G,"*"&amp;Table1[[#Headers],[Recommendation]]&amp;"*")</f>
        <v>0</v>
      </c>
      <c r="G63" s="8">
        <f>COUNTIFS('All Papers'!$D:$D,"*"&amp;$A63&amp;"*",'All Papers'!$G:$G,"*"&amp;Table1[[#Headers],[Resource Management-CS]]&amp;"*")</f>
        <v>0</v>
      </c>
      <c r="H63" s="8">
        <f>COUNTIFS('All Papers'!$D:$D,"*"&amp;$A63&amp;"*",'All Papers'!$G:$G,"*"&amp;Table1[[#Headers],[Resource Management-PS]]&amp;"*")</f>
        <v>1</v>
      </c>
      <c r="I63" s="8">
        <f>COUNTIFS('All Papers'!$D:$D,"*"&amp;$A63&amp;"*",'All Papers'!$G:$G,"*"&amp;Table1[[#Headers],[SLA Management]]&amp;"*")</f>
        <v>0</v>
      </c>
      <c r="J63" s="8">
        <f>COUNTIFS('All Papers'!$D:$D,"*"&amp;$A63&amp;"*",'All Papers'!$G:$G,"*"&amp;Table1[[#Headers],[Big Data]]&amp;"*")</f>
        <v>1</v>
      </c>
      <c r="K63" s="8">
        <f>COUNTIFS('All Papers'!$D:$D,"*"&amp;$A63&amp;"*",'All Papers'!$G:$G,"*"&amp;Table1[[#Headers],[Energy Management]]&amp;"*")</f>
        <v>0</v>
      </c>
      <c r="L63" s="8">
        <f>COUNTIFS('All Papers'!$D:$D,"*"&amp;$A63&amp;"*",'All Papers'!$G:$G,"*"&amp;Table1[[#Headers],[Monitoring]]&amp;"*")</f>
        <v>0</v>
      </c>
      <c r="M63" s="8">
        <f>COUNTIFS('All Papers'!$D:$D,"*"&amp;$A63&amp;"*",'All Papers'!$G:$G,"*"&amp;Table1[[#Headers],[Pricing]]&amp;"*")</f>
        <v>0</v>
      </c>
      <c r="P63">
        <v>6</v>
      </c>
      <c r="Q63">
        <v>7</v>
      </c>
      <c r="R63">
        <f>I7</f>
        <v>0</v>
      </c>
    </row>
    <row r="64" spans="1:18" x14ac:dyDescent="0.25">
      <c r="A64" s="8" t="s">
        <v>2497</v>
      </c>
      <c r="B64" s="8">
        <f>COUNTIF('All Papers'!D:D,"*"&amp;Table1[[#This Row],[Name]]&amp;"*")</f>
        <v>3</v>
      </c>
      <c r="C64" s="8">
        <f>COUNTIFS('All Papers'!$D:$D,"*"&amp;$A64&amp;"*",'All Papers'!$G:$G,"*"&amp;Table1[[#Headers],[Composition]]&amp;"*")</f>
        <v>0</v>
      </c>
      <c r="D64" s="8">
        <f>COUNTIFS('All Papers'!$D:$D,"*"&amp;$A64&amp;"*",'All Papers'!$G:$G,"*"&amp;Table1[[#Headers],[Discovery]]&amp;"*")</f>
        <v>0</v>
      </c>
      <c r="E64" s="8">
        <f>COUNTIFS('All Papers'!$D:$D,"*"&amp;$A64&amp;"*",'All Papers'!$G:$G,"*"&amp;Table1[[#Headers],[Selection]]&amp;"*")</f>
        <v>0</v>
      </c>
      <c r="F64" s="8">
        <f>COUNTIFS('All Papers'!$D:$D,"*"&amp;$A64&amp;"*",'All Papers'!$G:$G,"*"&amp;Table1[[#Headers],[Recommendation]]&amp;"*")</f>
        <v>0</v>
      </c>
      <c r="G64" s="8">
        <f>COUNTIFS('All Papers'!$D:$D,"*"&amp;$A64&amp;"*",'All Papers'!$G:$G,"*"&amp;Table1[[#Headers],[Resource Management-CS]]&amp;"*")</f>
        <v>1</v>
      </c>
      <c r="H64" s="8">
        <f>COUNTIFS('All Papers'!$D:$D,"*"&amp;$A64&amp;"*",'All Papers'!$G:$G,"*"&amp;Table1[[#Headers],[Resource Management-PS]]&amp;"*")</f>
        <v>2</v>
      </c>
      <c r="I64" s="8">
        <f>COUNTIFS('All Papers'!$D:$D,"*"&amp;$A64&amp;"*",'All Papers'!$G:$G,"*"&amp;Table1[[#Headers],[SLA Management]]&amp;"*")</f>
        <v>0</v>
      </c>
      <c r="J64" s="8">
        <f>COUNTIFS('All Papers'!$D:$D,"*"&amp;$A64&amp;"*",'All Papers'!$G:$G,"*"&amp;Table1[[#Headers],[Big Data]]&amp;"*")</f>
        <v>0</v>
      </c>
      <c r="K64" s="8">
        <f>COUNTIFS('All Papers'!$D:$D,"*"&amp;$A64&amp;"*",'All Papers'!$G:$G,"*"&amp;Table1[[#Headers],[Energy Management]]&amp;"*")</f>
        <v>0</v>
      </c>
      <c r="L64" s="8">
        <f>COUNTIFS('All Papers'!$D:$D,"*"&amp;$A64&amp;"*",'All Papers'!$G:$G,"*"&amp;Table1[[#Headers],[Monitoring]]&amp;"*")</f>
        <v>0</v>
      </c>
      <c r="M64" s="8">
        <f>COUNTIFS('All Papers'!$D:$D,"*"&amp;$A64&amp;"*",'All Papers'!$G:$G,"*"&amp;Table1[[#Headers],[Pricing]]&amp;"*")</f>
        <v>0</v>
      </c>
      <c r="P64">
        <v>6</v>
      </c>
      <c r="Q64">
        <v>8</v>
      </c>
      <c r="R64">
        <f>J7</f>
        <v>0</v>
      </c>
    </row>
    <row r="65" spans="1:24" x14ac:dyDescent="0.25">
      <c r="A65" s="8" t="s">
        <v>2498</v>
      </c>
      <c r="B65" s="8">
        <f>COUNTIF('All Papers'!D:D,"*"&amp;Table1[[#This Row],[Name]]&amp;"*")</f>
        <v>3</v>
      </c>
      <c r="C65" s="8">
        <f>COUNTIFS('All Papers'!$D:$D,"*"&amp;$A65&amp;"*",'All Papers'!$G:$G,"*"&amp;Table1[[#Headers],[Composition]]&amp;"*")</f>
        <v>1</v>
      </c>
      <c r="D65" s="8">
        <f>COUNTIFS('All Papers'!$D:$D,"*"&amp;$A65&amp;"*",'All Papers'!$G:$G,"*"&amp;Table1[[#Headers],[Discovery]]&amp;"*")</f>
        <v>0</v>
      </c>
      <c r="E65" s="8">
        <f>COUNTIFS('All Papers'!$D:$D,"*"&amp;$A65&amp;"*",'All Papers'!$G:$G,"*"&amp;Table1[[#Headers],[Selection]]&amp;"*")</f>
        <v>0</v>
      </c>
      <c r="F65" s="8">
        <f>COUNTIFS('All Papers'!$D:$D,"*"&amp;$A65&amp;"*",'All Papers'!$G:$G,"*"&amp;Table1[[#Headers],[Recommendation]]&amp;"*")</f>
        <v>0</v>
      </c>
      <c r="G65" s="8">
        <f>COUNTIFS('All Papers'!$D:$D,"*"&amp;$A65&amp;"*",'All Papers'!$G:$G,"*"&amp;Table1[[#Headers],[Resource Management-CS]]&amp;"*")</f>
        <v>1</v>
      </c>
      <c r="H65" s="8">
        <f>COUNTIFS('All Papers'!$D:$D,"*"&amp;$A65&amp;"*",'All Papers'!$G:$G,"*"&amp;Table1[[#Headers],[Resource Management-PS]]&amp;"*")</f>
        <v>2</v>
      </c>
      <c r="I65" s="8">
        <f>COUNTIFS('All Papers'!$D:$D,"*"&amp;$A65&amp;"*",'All Papers'!$G:$G,"*"&amp;Table1[[#Headers],[SLA Management]]&amp;"*")</f>
        <v>0</v>
      </c>
      <c r="J65" s="8">
        <f>COUNTIFS('All Papers'!$D:$D,"*"&amp;$A65&amp;"*",'All Papers'!$G:$G,"*"&amp;Table1[[#Headers],[Big Data]]&amp;"*")</f>
        <v>0</v>
      </c>
      <c r="K65" s="8">
        <f>COUNTIFS('All Papers'!$D:$D,"*"&amp;$A65&amp;"*",'All Papers'!$G:$G,"*"&amp;Table1[[#Headers],[Energy Management]]&amp;"*")</f>
        <v>0</v>
      </c>
      <c r="L65" s="8">
        <f>COUNTIFS('All Papers'!$D:$D,"*"&amp;$A65&amp;"*",'All Papers'!$G:$G,"*"&amp;Table1[[#Headers],[Monitoring]]&amp;"*")</f>
        <v>2</v>
      </c>
      <c r="M65" s="8">
        <f>COUNTIFS('All Papers'!$D:$D,"*"&amp;$A65&amp;"*",'All Papers'!$G:$G,"*"&amp;Table1[[#Headers],[Pricing]]&amp;"*")</f>
        <v>1</v>
      </c>
      <c r="P65">
        <v>6</v>
      </c>
      <c r="Q65">
        <v>9</v>
      </c>
      <c r="R65">
        <f>K7</f>
        <v>0</v>
      </c>
    </row>
    <row r="66" spans="1:24" x14ac:dyDescent="0.25">
      <c r="A66" s="8" t="s">
        <v>2499</v>
      </c>
      <c r="B66" s="8">
        <f>COUNTIF('All Papers'!D:D,"*"&amp;Table1[[#This Row],[Name]]&amp;"*")</f>
        <v>3</v>
      </c>
      <c r="C66" s="8">
        <f>COUNTIFS('All Papers'!$D:$D,"*"&amp;$A66&amp;"*",'All Papers'!$G:$G,"*"&amp;Table1[[#Headers],[Composition]]&amp;"*")</f>
        <v>1</v>
      </c>
      <c r="D66" s="8">
        <f>COUNTIFS('All Papers'!$D:$D,"*"&amp;$A66&amp;"*",'All Papers'!$G:$G,"*"&amp;Table1[[#Headers],[Discovery]]&amp;"*")</f>
        <v>0</v>
      </c>
      <c r="E66" s="8">
        <f>COUNTIFS('All Papers'!$D:$D,"*"&amp;$A66&amp;"*",'All Papers'!$G:$G,"*"&amp;Table1[[#Headers],[Selection]]&amp;"*")</f>
        <v>0</v>
      </c>
      <c r="F66" s="8">
        <f>COUNTIFS('All Papers'!$D:$D,"*"&amp;$A66&amp;"*",'All Papers'!$G:$G,"*"&amp;Table1[[#Headers],[Recommendation]]&amp;"*")</f>
        <v>0</v>
      </c>
      <c r="G66" s="8">
        <f>COUNTIFS('All Papers'!$D:$D,"*"&amp;$A66&amp;"*",'All Papers'!$G:$G,"*"&amp;Table1[[#Headers],[Resource Management-CS]]&amp;"*")</f>
        <v>2</v>
      </c>
      <c r="H66" s="8">
        <f>COUNTIFS('All Papers'!$D:$D,"*"&amp;$A66&amp;"*",'All Papers'!$G:$G,"*"&amp;Table1[[#Headers],[Resource Management-PS]]&amp;"*")</f>
        <v>0</v>
      </c>
      <c r="I66" s="8">
        <f>COUNTIFS('All Papers'!$D:$D,"*"&amp;$A66&amp;"*",'All Papers'!$G:$G,"*"&amp;Table1[[#Headers],[SLA Management]]&amp;"*")</f>
        <v>0</v>
      </c>
      <c r="J66" s="8">
        <f>COUNTIFS('All Papers'!$D:$D,"*"&amp;$A66&amp;"*",'All Papers'!$G:$G,"*"&amp;Table1[[#Headers],[Big Data]]&amp;"*")</f>
        <v>0</v>
      </c>
      <c r="K66" s="8">
        <f>COUNTIFS('All Papers'!$D:$D,"*"&amp;$A66&amp;"*",'All Papers'!$G:$G,"*"&amp;Table1[[#Headers],[Energy Management]]&amp;"*")</f>
        <v>0</v>
      </c>
      <c r="L66" s="8">
        <f>COUNTIFS('All Papers'!$D:$D,"*"&amp;$A66&amp;"*",'All Papers'!$G:$G,"*"&amp;Table1[[#Headers],[Monitoring]]&amp;"*")</f>
        <v>0</v>
      </c>
      <c r="M66" s="8">
        <f>COUNTIFS('All Papers'!$D:$D,"*"&amp;$A66&amp;"*",'All Papers'!$G:$G,"*"&amp;Table1[[#Headers],[Pricing]]&amp;"*")</f>
        <v>2</v>
      </c>
      <c r="P66">
        <v>6</v>
      </c>
      <c r="Q66">
        <v>10</v>
      </c>
      <c r="R66">
        <f>L7</f>
        <v>0</v>
      </c>
    </row>
    <row r="67" spans="1:24" x14ac:dyDescent="0.25">
      <c r="A67" s="8" t="s">
        <v>2500</v>
      </c>
      <c r="B67" s="8">
        <f>COUNTIF('All Papers'!D:D,"*"&amp;Table1[[#This Row],[Name]]&amp;"*")</f>
        <v>3</v>
      </c>
      <c r="C67" s="8">
        <f>COUNTIFS('All Papers'!$D:$D,"*"&amp;$A67&amp;"*",'All Papers'!$G:$G,"*"&amp;Table1[[#Headers],[Composition]]&amp;"*")</f>
        <v>0</v>
      </c>
      <c r="D67" s="8">
        <f>COUNTIFS('All Papers'!$D:$D,"*"&amp;$A67&amp;"*",'All Papers'!$G:$G,"*"&amp;Table1[[#Headers],[Discovery]]&amp;"*")</f>
        <v>0</v>
      </c>
      <c r="E67" s="8">
        <f>COUNTIFS('All Papers'!$D:$D,"*"&amp;$A67&amp;"*",'All Papers'!$G:$G,"*"&amp;Table1[[#Headers],[Selection]]&amp;"*")</f>
        <v>2</v>
      </c>
      <c r="F67" s="8">
        <f>COUNTIFS('All Papers'!$D:$D,"*"&amp;$A67&amp;"*",'All Papers'!$G:$G,"*"&amp;Table1[[#Headers],[Recommendation]]&amp;"*")</f>
        <v>0</v>
      </c>
      <c r="G67" s="8">
        <f>COUNTIFS('All Papers'!$D:$D,"*"&amp;$A67&amp;"*",'All Papers'!$G:$G,"*"&amp;Table1[[#Headers],[Resource Management-CS]]&amp;"*")</f>
        <v>0</v>
      </c>
      <c r="H67" s="8">
        <f>COUNTIFS('All Papers'!$D:$D,"*"&amp;$A67&amp;"*",'All Papers'!$G:$G,"*"&amp;Table1[[#Headers],[Resource Management-PS]]&amp;"*")</f>
        <v>1</v>
      </c>
      <c r="I67" s="8">
        <f>COUNTIFS('All Papers'!$D:$D,"*"&amp;$A67&amp;"*",'All Papers'!$G:$G,"*"&amp;Table1[[#Headers],[SLA Management]]&amp;"*")</f>
        <v>0</v>
      </c>
      <c r="J67" s="8">
        <f>COUNTIFS('All Papers'!$D:$D,"*"&amp;$A67&amp;"*",'All Papers'!$G:$G,"*"&amp;Table1[[#Headers],[Big Data]]&amp;"*")</f>
        <v>0</v>
      </c>
      <c r="K67" s="8">
        <f>COUNTIFS('All Papers'!$D:$D,"*"&amp;$A67&amp;"*",'All Papers'!$G:$G,"*"&amp;Table1[[#Headers],[Energy Management]]&amp;"*")</f>
        <v>0</v>
      </c>
      <c r="L67" s="8">
        <f>COUNTIFS('All Papers'!$D:$D,"*"&amp;$A67&amp;"*",'All Papers'!$G:$G,"*"&amp;Table1[[#Headers],[Monitoring]]&amp;"*")</f>
        <v>0</v>
      </c>
      <c r="M67" s="8">
        <f>COUNTIFS('All Papers'!$D:$D,"*"&amp;$A67&amp;"*",'All Papers'!$G:$G,"*"&amp;Table1[[#Headers],[Pricing]]&amp;"*")</f>
        <v>0</v>
      </c>
      <c r="P67">
        <v>6</v>
      </c>
      <c r="Q67">
        <v>11</v>
      </c>
      <c r="R67">
        <f>M7</f>
        <v>0</v>
      </c>
    </row>
    <row r="68" spans="1:24" x14ac:dyDescent="0.25">
      <c r="A68" s="8" t="s">
        <v>2501</v>
      </c>
      <c r="B68" s="8">
        <f>COUNTIF('All Papers'!D:D,"*"&amp;Table1[[#This Row],[Name]]&amp;"*")</f>
        <v>3</v>
      </c>
      <c r="C68" s="8">
        <f>COUNTIFS('All Papers'!$D:$D,"*"&amp;$A68&amp;"*",'All Papers'!$G:$G,"*"&amp;Table1[[#Headers],[Composition]]&amp;"*")</f>
        <v>3</v>
      </c>
      <c r="D68" s="8">
        <f>COUNTIFS('All Papers'!$D:$D,"*"&amp;$A68&amp;"*",'All Papers'!$G:$G,"*"&amp;Table1[[#Headers],[Discovery]]&amp;"*")</f>
        <v>0</v>
      </c>
      <c r="E68" s="8">
        <f>COUNTIFS('All Papers'!$D:$D,"*"&amp;$A68&amp;"*",'All Papers'!$G:$G,"*"&amp;Table1[[#Headers],[Selection]]&amp;"*")</f>
        <v>0</v>
      </c>
      <c r="F68" s="8">
        <f>COUNTIFS('All Papers'!$D:$D,"*"&amp;$A68&amp;"*",'All Papers'!$G:$G,"*"&amp;Table1[[#Headers],[Recommendation]]&amp;"*")</f>
        <v>0</v>
      </c>
      <c r="G68" s="8">
        <f>COUNTIFS('All Papers'!$D:$D,"*"&amp;$A68&amp;"*",'All Papers'!$G:$G,"*"&amp;Table1[[#Headers],[Resource Management-CS]]&amp;"*")</f>
        <v>0</v>
      </c>
      <c r="H68" s="8">
        <f>COUNTIFS('All Papers'!$D:$D,"*"&amp;$A68&amp;"*",'All Papers'!$G:$G,"*"&amp;Table1[[#Headers],[Resource Management-PS]]&amp;"*")</f>
        <v>0</v>
      </c>
      <c r="I68" s="8">
        <f>COUNTIFS('All Papers'!$D:$D,"*"&amp;$A68&amp;"*",'All Papers'!$G:$G,"*"&amp;Table1[[#Headers],[SLA Management]]&amp;"*")</f>
        <v>0</v>
      </c>
      <c r="J68" s="8">
        <f>COUNTIFS('All Papers'!$D:$D,"*"&amp;$A68&amp;"*",'All Papers'!$G:$G,"*"&amp;Table1[[#Headers],[Big Data]]&amp;"*")</f>
        <v>0</v>
      </c>
      <c r="K68" s="8">
        <f>COUNTIFS('All Papers'!$D:$D,"*"&amp;$A68&amp;"*",'All Papers'!$G:$G,"*"&amp;Table1[[#Headers],[Energy Management]]&amp;"*")</f>
        <v>0</v>
      </c>
      <c r="L68" s="8">
        <f>COUNTIFS('All Papers'!$D:$D,"*"&amp;$A68&amp;"*",'All Papers'!$G:$G,"*"&amp;Table1[[#Headers],[Monitoring]]&amp;"*")</f>
        <v>0</v>
      </c>
      <c r="M68" s="8">
        <f>COUNTIFS('All Papers'!$D:$D,"*"&amp;$A68&amp;"*",'All Papers'!$G:$G,"*"&amp;Table1[[#Headers],[Pricing]]&amp;"*")</f>
        <v>0</v>
      </c>
      <c r="P68">
        <v>7</v>
      </c>
      <c r="Q68">
        <v>1</v>
      </c>
      <c r="R68">
        <f>C8</f>
        <v>5</v>
      </c>
    </row>
    <row r="69" spans="1:24" x14ac:dyDescent="0.25">
      <c r="A69" s="8" t="s">
        <v>2502</v>
      </c>
      <c r="B69" s="8">
        <f>COUNTIF('All Papers'!D:D,"*"&amp;Table1[[#This Row],[Name]]&amp;"*")</f>
        <v>3</v>
      </c>
      <c r="C69" s="8">
        <f>COUNTIFS('All Papers'!$D:$D,"*"&amp;$A69&amp;"*",'All Papers'!$G:$G,"*"&amp;Table1[[#Headers],[Composition]]&amp;"*")</f>
        <v>0</v>
      </c>
      <c r="D69" s="8">
        <f>COUNTIFS('All Papers'!$D:$D,"*"&amp;$A69&amp;"*",'All Papers'!$G:$G,"*"&amp;Table1[[#Headers],[Discovery]]&amp;"*")</f>
        <v>0</v>
      </c>
      <c r="E69" s="8">
        <f>COUNTIFS('All Papers'!$D:$D,"*"&amp;$A69&amp;"*",'All Papers'!$G:$G,"*"&amp;Table1[[#Headers],[Selection]]&amp;"*")</f>
        <v>0</v>
      </c>
      <c r="F69" s="8">
        <f>COUNTIFS('All Papers'!$D:$D,"*"&amp;$A69&amp;"*",'All Papers'!$G:$G,"*"&amp;Table1[[#Headers],[Recommendation]]&amp;"*")</f>
        <v>0</v>
      </c>
      <c r="G69" s="8">
        <f>COUNTIFS('All Papers'!$D:$D,"*"&amp;$A69&amp;"*",'All Papers'!$G:$G,"*"&amp;Table1[[#Headers],[Resource Management-CS]]&amp;"*")</f>
        <v>1</v>
      </c>
      <c r="H69" s="8">
        <f>COUNTIFS('All Papers'!$D:$D,"*"&amp;$A69&amp;"*",'All Papers'!$G:$G,"*"&amp;Table1[[#Headers],[Resource Management-PS]]&amp;"*")</f>
        <v>0</v>
      </c>
      <c r="I69" s="8">
        <f>COUNTIFS('All Papers'!$D:$D,"*"&amp;$A69&amp;"*",'All Papers'!$G:$G,"*"&amp;Table1[[#Headers],[SLA Management]]&amp;"*")</f>
        <v>2</v>
      </c>
      <c r="J69" s="8">
        <f>COUNTIFS('All Papers'!$D:$D,"*"&amp;$A69&amp;"*",'All Papers'!$G:$G,"*"&amp;Table1[[#Headers],[Big Data]]&amp;"*")</f>
        <v>0</v>
      </c>
      <c r="K69" s="8">
        <f>COUNTIFS('All Papers'!$D:$D,"*"&amp;$A69&amp;"*",'All Papers'!$G:$G,"*"&amp;Table1[[#Headers],[Energy Management]]&amp;"*")</f>
        <v>0</v>
      </c>
      <c r="L69" s="8">
        <f>COUNTIFS('All Papers'!$D:$D,"*"&amp;$A69&amp;"*",'All Papers'!$G:$G,"*"&amp;Table1[[#Headers],[Monitoring]]&amp;"*")</f>
        <v>0</v>
      </c>
      <c r="M69" s="8">
        <f>COUNTIFS('All Papers'!$D:$D,"*"&amp;$A69&amp;"*",'All Papers'!$G:$G,"*"&amp;Table1[[#Headers],[Pricing]]&amp;"*")</f>
        <v>0</v>
      </c>
      <c r="P69">
        <v>7</v>
      </c>
      <c r="Q69">
        <v>2</v>
      </c>
      <c r="R69">
        <f>D8</f>
        <v>0</v>
      </c>
    </row>
    <row r="70" spans="1:24" x14ac:dyDescent="0.25">
      <c r="A70" s="8" t="s">
        <v>2503</v>
      </c>
      <c r="B70" s="8">
        <f>COUNTIF('All Papers'!D:D,"*"&amp;Table1[[#This Row],[Name]]&amp;"*")</f>
        <v>3</v>
      </c>
      <c r="C70" s="8">
        <f>COUNTIFS('All Papers'!$D:$D,"*"&amp;$A70&amp;"*",'All Papers'!$G:$G,"*"&amp;Table1[[#Headers],[Composition]]&amp;"*")</f>
        <v>0</v>
      </c>
      <c r="D70" s="8">
        <f>COUNTIFS('All Papers'!$D:$D,"*"&amp;$A70&amp;"*",'All Papers'!$G:$G,"*"&amp;Table1[[#Headers],[Discovery]]&amp;"*")</f>
        <v>0</v>
      </c>
      <c r="E70" s="8">
        <f>COUNTIFS('All Papers'!$D:$D,"*"&amp;$A70&amp;"*",'All Papers'!$G:$G,"*"&amp;Table1[[#Headers],[Selection]]&amp;"*")</f>
        <v>0</v>
      </c>
      <c r="F70" s="8">
        <f>COUNTIFS('All Papers'!$D:$D,"*"&amp;$A70&amp;"*",'All Papers'!$G:$G,"*"&amp;Table1[[#Headers],[Recommendation]]&amp;"*")</f>
        <v>0</v>
      </c>
      <c r="G70" s="8">
        <f>COUNTIFS('All Papers'!$D:$D,"*"&amp;$A70&amp;"*",'All Papers'!$G:$G,"*"&amp;Table1[[#Headers],[Resource Management-CS]]&amp;"*")</f>
        <v>3</v>
      </c>
      <c r="H70" s="8">
        <f>COUNTIFS('All Papers'!$D:$D,"*"&amp;$A70&amp;"*",'All Papers'!$G:$G,"*"&amp;Table1[[#Headers],[Resource Management-PS]]&amp;"*")</f>
        <v>0</v>
      </c>
      <c r="I70" s="8">
        <f>COUNTIFS('All Papers'!$D:$D,"*"&amp;$A70&amp;"*",'All Papers'!$G:$G,"*"&amp;Table1[[#Headers],[SLA Management]]&amp;"*")</f>
        <v>0</v>
      </c>
      <c r="J70" s="8">
        <f>COUNTIFS('All Papers'!$D:$D,"*"&amp;$A70&amp;"*",'All Papers'!$G:$G,"*"&amp;Table1[[#Headers],[Big Data]]&amp;"*")</f>
        <v>0</v>
      </c>
      <c r="K70" s="8">
        <f>COUNTIFS('All Papers'!$D:$D,"*"&amp;$A70&amp;"*",'All Papers'!$G:$G,"*"&amp;Table1[[#Headers],[Energy Management]]&amp;"*")</f>
        <v>0</v>
      </c>
      <c r="L70" s="8">
        <f>COUNTIFS('All Papers'!$D:$D,"*"&amp;$A70&amp;"*",'All Papers'!$G:$G,"*"&amp;Table1[[#Headers],[Monitoring]]&amp;"*")</f>
        <v>0</v>
      </c>
      <c r="M70" s="8">
        <f>COUNTIFS('All Papers'!$D:$D,"*"&amp;$A70&amp;"*",'All Papers'!$G:$G,"*"&amp;Table1[[#Headers],[Pricing]]&amp;"*")</f>
        <v>2</v>
      </c>
      <c r="P70">
        <v>7</v>
      </c>
      <c r="Q70">
        <v>3</v>
      </c>
      <c r="R70">
        <f>E8</f>
        <v>0</v>
      </c>
    </row>
    <row r="71" spans="1:24" x14ac:dyDescent="0.25">
      <c r="A71" s="8" t="s">
        <v>2504</v>
      </c>
      <c r="B71" s="8">
        <f>COUNTIF('All Papers'!D:D,"*"&amp;Table1[[#This Row],[Name]]&amp;"*")</f>
        <v>3</v>
      </c>
      <c r="C71" s="8">
        <f>COUNTIFS('All Papers'!$D:$D,"*"&amp;$A71&amp;"*",'All Papers'!$G:$G,"*"&amp;Table1[[#Headers],[Composition]]&amp;"*")</f>
        <v>0</v>
      </c>
      <c r="D71" s="8">
        <f>COUNTIFS('All Papers'!$D:$D,"*"&amp;$A71&amp;"*",'All Papers'!$G:$G,"*"&amp;Table1[[#Headers],[Discovery]]&amp;"*")</f>
        <v>0</v>
      </c>
      <c r="E71" s="8">
        <f>COUNTIFS('All Papers'!$D:$D,"*"&amp;$A71&amp;"*",'All Papers'!$G:$G,"*"&amp;Table1[[#Headers],[Selection]]&amp;"*")</f>
        <v>0</v>
      </c>
      <c r="F71" s="8">
        <f>COUNTIFS('All Papers'!$D:$D,"*"&amp;$A71&amp;"*",'All Papers'!$G:$G,"*"&amp;Table1[[#Headers],[Recommendation]]&amp;"*")</f>
        <v>0</v>
      </c>
      <c r="G71" s="8">
        <f>COUNTIFS('All Papers'!$D:$D,"*"&amp;$A71&amp;"*",'All Papers'!$G:$G,"*"&amp;Table1[[#Headers],[Resource Management-CS]]&amp;"*")</f>
        <v>0</v>
      </c>
      <c r="H71" s="8">
        <f>COUNTIFS('All Papers'!$D:$D,"*"&amp;$A71&amp;"*",'All Papers'!$G:$G,"*"&amp;Table1[[#Headers],[Resource Management-PS]]&amp;"*")</f>
        <v>2</v>
      </c>
      <c r="I71" s="8">
        <f>COUNTIFS('All Papers'!$D:$D,"*"&amp;$A71&amp;"*",'All Papers'!$G:$G,"*"&amp;Table1[[#Headers],[SLA Management]]&amp;"*")</f>
        <v>0</v>
      </c>
      <c r="J71" s="8">
        <f>COUNTIFS('All Papers'!$D:$D,"*"&amp;$A71&amp;"*",'All Papers'!$G:$G,"*"&amp;Table1[[#Headers],[Big Data]]&amp;"*")</f>
        <v>0</v>
      </c>
      <c r="K71" s="8">
        <f>COUNTIFS('All Papers'!$D:$D,"*"&amp;$A71&amp;"*",'All Papers'!$G:$G,"*"&amp;Table1[[#Headers],[Energy Management]]&amp;"*")</f>
        <v>0</v>
      </c>
      <c r="L71" s="8">
        <f>COUNTIFS('All Papers'!$D:$D,"*"&amp;$A71&amp;"*",'All Papers'!$G:$G,"*"&amp;Table1[[#Headers],[Monitoring]]&amp;"*")</f>
        <v>0</v>
      </c>
      <c r="M71" s="8">
        <f>COUNTIFS('All Papers'!$D:$D,"*"&amp;$A71&amp;"*",'All Papers'!$G:$G,"*"&amp;Table1[[#Headers],[Pricing]]&amp;"*")</f>
        <v>1</v>
      </c>
      <c r="P71">
        <v>7</v>
      </c>
      <c r="Q71">
        <v>4</v>
      </c>
      <c r="R71">
        <f>F8</f>
        <v>0</v>
      </c>
    </row>
    <row r="72" spans="1:24" x14ac:dyDescent="0.25">
      <c r="A72" s="8" t="s">
        <v>2505</v>
      </c>
      <c r="B72" s="8">
        <f>COUNTIF('All Papers'!D:D,"*"&amp;Table1[[#This Row],[Name]]&amp;"*")</f>
        <v>3</v>
      </c>
      <c r="C72" s="8">
        <f>COUNTIFS('All Papers'!$D:$D,"*"&amp;$A72&amp;"*",'All Papers'!$G:$G,"*"&amp;Table1[[#Headers],[Composition]]&amp;"*")</f>
        <v>0</v>
      </c>
      <c r="D72" s="8">
        <f>COUNTIFS('All Papers'!$D:$D,"*"&amp;$A72&amp;"*",'All Papers'!$G:$G,"*"&amp;Table1[[#Headers],[Discovery]]&amp;"*")</f>
        <v>0</v>
      </c>
      <c r="E72" s="8">
        <f>COUNTIFS('All Papers'!$D:$D,"*"&amp;$A72&amp;"*",'All Papers'!$G:$G,"*"&amp;Table1[[#Headers],[Selection]]&amp;"*")</f>
        <v>0</v>
      </c>
      <c r="F72" s="8">
        <f>COUNTIFS('All Papers'!$D:$D,"*"&amp;$A72&amp;"*",'All Papers'!$G:$G,"*"&amp;Table1[[#Headers],[Recommendation]]&amp;"*")</f>
        <v>0</v>
      </c>
      <c r="G72" s="8">
        <f>COUNTIFS('All Papers'!$D:$D,"*"&amp;$A72&amp;"*",'All Papers'!$G:$G,"*"&amp;Table1[[#Headers],[Resource Management-CS]]&amp;"*")</f>
        <v>0</v>
      </c>
      <c r="H72" s="8">
        <f>COUNTIFS('All Papers'!$D:$D,"*"&amp;$A72&amp;"*",'All Papers'!$G:$G,"*"&amp;Table1[[#Headers],[Resource Management-PS]]&amp;"*")</f>
        <v>2</v>
      </c>
      <c r="I72" s="8">
        <f>COUNTIFS('All Papers'!$D:$D,"*"&amp;$A72&amp;"*",'All Papers'!$G:$G,"*"&amp;Table1[[#Headers],[SLA Management]]&amp;"*")</f>
        <v>0</v>
      </c>
      <c r="J72" s="8">
        <f>COUNTIFS('All Papers'!$D:$D,"*"&amp;$A72&amp;"*",'All Papers'!$G:$G,"*"&amp;Table1[[#Headers],[Big Data]]&amp;"*")</f>
        <v>0</v>
      </c>
      <c r="K72" s="8">
        <f>COUNTIFS('All Papers'!$D:$D,"*"&amp;$A72&amp;"*",'All Papers'!$G:$G,"*"&amp;Table1[[#Headers],[Energy Management]]&amp;"*")</f>
        <v>0</v>
      </c>
      <c r="L72" s="8">
        <f>COUNTIFS('All Papers'!$D:$D,"*"&amp;$A72&amp;"*",'All Papers'!$G:$G,"*"&amp;Table1[[#Headers],[Monitoring]]&amp;"*")</f>
        <v>0</v>
      </c>
      <c r="M72" s="8">
        <f>COUNTIFS('All Papers'!$D:$D,"*"&amp;$A72&amp;"*",'All Papers'!$G:$G,"*"&amp;Table1[[#Headers],[Pricing]]&amp;"*")</f>
        <v>1</v>
      </c>
      <c r="P72">
        <v>7</v>
      </c>
      <c r="Q72">
        <v>5</v>
      </c>
      <c r="R72">
        <f>G8</f>
        <v>1</v>
      </c>
      <c r="X72" t="s">
        <v>4303</v>
      </c>
    </row>
    <row r="73" spans="1:24" x14ac:dyDescent="0.25">
      <c r="A73" s="8" t="s">
        <v>2506</v>
      </c>
      <c r="B73" s="8">
        <f>COUNTIF('All Papers'!D:D,"*"&amp;Table1[[#This Row],[Name]]&amp;"*")</f>
        <v>3</v>
      </c>
      <c r="C73" s="8">
        <f>COUNTIFS('All Papers'!$D:$D,"*"&amp;$A73&amp;"*",'All Papers'!$G:$G,"*"&amp;Table1[[#Headers],[Composition]]&amp;"*")</f>
        <v>0</v>
      </c>
      <c r="D73" s="8">
        <f>COUNTIFS('All Papers'!$D:$D,"*"&amp;$A73&amp;"*",'All Papers'!$G:$G,"*"&amp;Table1[[#Headers],[Discovery]]&amp;"*")</f>
        <v>1</v>
      </c>
      <c r="E73" s="8">
        <f>COUNTIFS('All Papers'!$D:$D,"*"&amp;$A73&amp;"*",'All Papers'!$G:$G,"*"&amp;Table1[[#Headers],[Selection]]&amp;"*")</f>
        <v>2</v>
      </c>
      <c r="F73" s="8">
        <f>COUNTIFS('All Papers'!$D:$D,"*"&amp;$A73&amp;"*",'All Papers'!$G:$G,"*"&amp;Table1[[#Headers],[Recommendation]]&amp;"*")</f>
        <v>0</v>
      </c>
      <c r="G73" s="8">
        <f>COUNTIFS('All Papers'!$D:$D,"*"&amp;$A73&amp;"*",'All Papers'!$G:$G,"*"&amp;Table1[[#Headers],[Resource Management-CS]]&amp;"*")</f>
        <v>0</v>
      </c>
      <c r="H73" s="8">
        <f>COUNTIFS('All Papers'!$D:$D,"*"&amp;$A73&amp;"*",'All Papers'!$G:$G,"*"&amp;Table1[[#Headers],[Resource Management-PS]]&amp;"*")</f>
        <v>0</v>
      </c>
      <c r="I73" s="8">
        <f>COUNTIFS('All Papers'!$D:$D,"*"&amp;$A73&amp;"*",'All Papers'!$G:$G,"*"&amp;Table1[[#Headers],[SLA Management]]&amp;"*")</f>
        <v>1</v>
      </c>
      <c r="J73" s="8">
        <f>COUNTIFS('All Papers'!$D:$D,"*"&amp;$A73&amp;"*",'All Papers'!$G:$G,"*"&amp;Table1[[#Headers],[Big Data]]&amp;"*")</f>
        <v>0</v>
      </c>
      <c r="K73" s="8">
        <f>COUNTIFS('All Papers'!$D:$D,"*"&amp;$A73&amp;"*",'All Papers'!$G:$G,"*"&amp;Table1[[#Headers],[Energy Management]]&amp;"*")</f>
        <v>0</v>
      </c>
      <c r="L73" s="8">
        <f>COUNTIFS('All Papers'!$D:$D,"*"&amp;$A73&amp;"*",'All Papers'!$G:$G,"*"&amp;Table1[[#Headers],[Monitoring]]&amp;"*")</f>
        <v>0</v>
      </c>
      <c r="M73" s="8">
        <f>COUNTIFS('All Papers'!$D:$D,"*"&amp;$A73&amp;"*",'All Papers'!$G:$G,"*"&amp;Table1[[#Headers],[Pricing]]&amp;"*")</f>
        <v>0</v>
      </c>
      <c r="P73">
        <v>7</v>
      </c>
      <c r="Q73">
        <v>6</v>
      </c>
      <c r="R73">
        <f>H8</f>
        <v>0</v>
      </c>
    </row>
    <row r="74" spans="1:24" x14ac:dyDescent="0.25">
      <c r="A74" s="8" t="s">
        <v>2507</v>
      </c>
      <c r="B74" s="8">
        <f>COUNTIF('All Papers'!D:D,"*"&amp;Table1[[#This Row],[Name]]&amp;"*")</f>
        <v>3</v>
      </c>
      <c r="C74" s="8">
        <f>COUNTIFS('All Papers'!$D:$D,"*"&amp;$A74&amp;"*",'All Papers'!$G:$G,"*"&amp;Table1[[#Headers],[Composition]]&amp;"*")</f>
        <v>0</v>
      </c>
      <c r="D74" s="8">
        <f>COUNTIFS('All Papers'!$D:$D,"*"&amp;$A74&amp;"*",'All Papers'!$G:$G,"*"&amp;Table1[[#Headers],[Discovery]]&amp;"*")</f>
        <v>0</v>
      </c>
      <c r="E74" s="8">
        <f>COUNTIFS('All Papers'!$D:$D,"*"&amp;$A74&amp;"*",'All Papers'!$G:$G,"*"&amp;Table1[[#Headers],[Selection]]&amp;"*")</f>
        <v>1</v>
      </c>
      <c r="F74" s="8">
        <f>COUNTIFS('All Papers'!$D:$D,"*"&amp;$A74&amp;"*",'All Papers'!$G:$G,"*"&amp;Table1[[#Headers],[Recommendation]]&amp;"*")</f>
        <v>1</v>
      </c>
      <c r="G74" s="8">
        <f>COUNTIFS('All Papers'!$D:$D,"*"&amp;$A74&amp;"*",'All Papers'!$G:$G,"*"&amp;Table1[[#Headers],[Resource Management-CS]]&amp;"*")</f>
        <v>1</v>
      </c>
      <c r="H74" s="8">
        <f>COUNTIFS('All Papers'!$D:$D,"*"&amp;$A74&amp;"*",'All Papers'!$G:$G,"*"&amp;Table1[[#Headers],[Resource Management-PS]]&amp;"*")</f>
        <v>0</v>
      </c>
      <c r="I74" s="8">
        <f>COUNTIFS('All Papers'!$D:$D,"*"&amp;$A74&amp;"*",'All Papers'!$G:$G,"*"&amp;Table1[[#Headers],[SLA Management]]&amp;"*")</f>
        <v>0</v>
      </c>
      <c r="J74" s="8">
        <f>COUNTIFS('All Papers'!$D:$D,"*"&amp;$A74&amp;"*",'All Papers'!$G:$G,"*"&amp;Table1[[#Headers],[Big Data]]&amp;"*")</f>
        <v>0</v>
      </c>
      <c r="K74" s="8">
        <f>COUNTIFS('All Papers'!$D:$D,"*"&amp;$A74&amp;"*",'All Papers'!$G:$G,"*"&amp;Table1[[#Headers],[Energy Management]]&amp;"*")</f>
        <v>0</v>
      </c>
      <c r="L74" s="8">
        <f>COUNTIFS('All Papers'!$D:$D,"*"&amp;$A74&amp;"*",'All Papers'!$G:$G,"*"&amp;Table1[[#Headers],[Monitoring]]&amp;"*")</f>
        <v>0</v>
      </c>
      <c r="M74" s="8">
        <f>COUNTIFS('All Papers'!$D:$D,"*"&amp;$A74&amp;"*",'All Papers'!$G:$G,"*"&amp;Table1[[#Headers],[Pricing]]&amp;"*")</f>
        <v>0</v>
      </c>
      <c r="P74">
        <v>7</v>
      </c>
      <c r="Q74">
        <v>7</v>
      </c>
      <c r="R74">
        <f>I8</f>
        <v>0</v>
      </c>
    </row>
    <row r="75" spans="1:24" x14ac:dyDescent="0.25">
      <c r="A75" s="8" t="s">
        <v>2508</v>
      </c>
      <c r="B75" s="8">
        <f>COUNTIF('All Papers'!D:D,"*"&amp;Table1[[#This Row],[Name]]&amp;"*")</f>
        <v>3</v>
      </c>
      <c r="C75" s="8">
        <f>COUNTIFS('All Papers'!$D:$D,"*"&amp;$A75&amp;"*",'All Papers'!$G:$G,"*"&amp;Table1[[#Headers],[Composition]]&amp;"*")</f>
        <v>0</v>
      </c>
      <c r="D75" s="8">
        <f>COUNTIFS('All Papers'!$D:$D,"*"&amp;$A75&amp;"*",'All Papers'!$G:$G,"*"&amp;Table1[[#Headers],[Discovery]]&amp;"*")</f>
        <v>0</v>
      </c>
      <c r="E75" s="8">
        <f>COUNTIFS('All Papers'!$D:$D,"*"&amp;$A75&amp;"*",'All Papers'!$G:$G,"*"&amp;Table1[[#Headers],[Selection]]&amp;"*")</f>
        <v>1</v>
      </c>
      <c r="F75" s="8">
        <f>COUNTIFS('All Papers'!$D:$D,"*"&amp;$A75&amp;"*",'All Papers'!$G:$G,"*"&amp;Table1[[#Headers],[Recommendation]]&amp;"*")</f>
        <v>1</v>
      </c>
      <c r="G75" s="8">
        <f>COUNTIFS('All Papers'!$D:$D,"*"&amp;$A75&amp;"*",'All Papers'!$G:$G,"*"&amp;Table1[[#Headers],[Resource Management-CS]]&amp;"*")</f>
        <v>1</v>
      </c>
      <c r="H75" s="8">
        <f>COUNTIFS('All Papers'!$D:$D,"*"&amp;$A75&amp;"*",'All Papers'!$G:$G,"*"&amp;Table1[[#Headers],[Resource Management-PS]]&amp;"*")</f>
        <v>0</v>
      </c>
      <c r="I75" s="8">
        <f>COUNTIFS('All Papers'!$D:$D,"*"&amp;$A75&amp;"*",'All Papers'!$G:$G,"*"&amp;Table1[[#Headers],[SLA Management]]&amp;"*")</f>
        <v>0</v>
      </c>
      <c r="J75" s="8">
        <f>COUNTIFS('All Papers'!$D:$D,"*"&amp;$A75&amp;"*",'All Papers'!$G:$G,"*"&amp;Table1[[#Headers],[Big Data]]&amp;"*")</f>
        <v>0</v>
      </c>
      <c r="K75" s="8">
        <f>COUNTIFS('All Papers'!$D:$D,"*"&amp;$A75&amp;"*",'All Papers'!$G:$G,"*"&amp;Table1[[#Headers],[Energy Management]]&amp;"*")</f>
        <v>0</v>
      </c>
      <c r="L75" s="8">
        <f>COUNTIFS('All Papers'!$D:$D,"*"&amp;$A75&amp;"*",'All Papers'!$G:$G,"*"&amp;Table1[[#Headers],[Monitoring]]&amp;"*")</f>
        <v>0</v>
      </c>
      <c r="M75" s="8">
        <f>COUNTIFS('All Papers'!$D:$D,"*"&amp;$A75&amp;"*",'All Papers'!$G:$G,"*"&amp;Table1[[#Headers],[Pricing]]&amp;"*")</f>
        <v>0</v>
      </c>
      <c r="P75">
        <v>7</v>
      </c>
      <c r="Q75">
        <v>8</v>
      </c>
      <c r="R75">
        <f>J8</f>
        <v>0</v>
      </c>
    </row>
    <row r="76" spans="1:24" x14ac:dyDescent="0.25">
      <c r="A76" s="8" t="s">
        <v>2509</v>
      </c>
      <c r="B76" s="8">
        <f>COUNTIF('All Papers'!D:D,"*"&amp;Table1[[#This Row],[Name]]&amp;"*")</f>
        <v>3</v>
      </c>
      <c r="C76" s="8">
        <f>COUNTIFS('All Papers'!$D:$D,"*"&amp;$A76&amp;"*",'All Papers'!$G:$G,"*"&amp;Table1[[#Headers],[Composition]]&amp;"*")</f>
        <v>0</v>
      </c>
      <c r="D76" s="8">
        <f>COUNTIFS('All Papers'!$D:$D,"*"&amp;$A76&amp;"*",'All Papers'!$G:$G,"*"&amp;Table1[[#Headers],[Discovery]]&amp;"*")</f>
        <v>0</v>
      </c>
      <c r="E76" s="8">
        <f>COUNTIFS('All Papers'!$D:$D,"*"&amp;$A76&amp;"*",'All Papers'!$G:$G,"*"&amp;Table1[[#Headers],[Selection]]&amp;"*")</f>
        <v>0</v>
      </c>
      <c r="F76" s="8">
        <f>COUNTIFS('All Papers'!$D:$D,"*"&amp;$A76&amp;"*",'All Papers'!$G:$G,"*"&amp;Table1[[#Headers],[Recommendation]]&amp;"*")</f>
        <v>0</v>
      </c>
      <c r="G76" s="8">
        <f>COUNTIFS('All Papers'!$D:$D,"*"&amp;$A76&amp;"*",'All Papers'!$G:$G,"*"&amp;Table1[[#Headers],[Resource Management-CS]]&amp;"*")</f>
        <v>1</v>
      </c>
      <c r="H76" s="8">
        <f>COUNTIFS('All Papers'!$D:$D,"*"&amp;$A76&amp;"*",'All Papers'!$G:$G,"*"&amp;Table1[[#Headers],[Resource Management-PS]]&amp;"*")</f>
        <v>2</v>
      </c>
      <c r="I76" s="8">
        <f>COUNTIFS('All Papers'!$D:$D,"*"&amp;$A76&amp;"*",'All Papers'!$G:$G,"*"&amp;Table1[[#Headers],[SLA Management]]&amp;"*")</f>
        <v>0</v>
      </c>
      <c r="J76" s="8">
        <f>COUNTIFS('All Papers'!$D:$D,"*"&amp;$A76&amp;"*",'All Papers'!$G:$G,"*"&amp;Table1[[#Headers],[Big Data]]&amp;"*")</f>
        <v>0</v>
      </c>
      <c r="K76" s="8">
        <f>COUNTIFS('All Papers'!$D:$D,"*"&amp;$A76&amp;"*",'All Papers'!$G:$G,"*"&amp;Table1[[#Headers],[Energy Management]]&amp;"*")</f>
        <v>1</v>
      </c>
      <c r="L76" s="8">
        <f>COUNTIFS('All Papers'!$D:$D,"*"&amp;$A76&amp;"*",'All Papers'!$G:$G,"*"&amp;Table1[[#Headers],[Monitoring]]&amp;"*")</f>
        <v>0</v>
      </c>
      <c r="M76" s="8">
        <f>COUNTIFS('All Papers'!$D:$D,"*"&amp;$A76&amp;"*",'All Papers'!$G:$G,"*"&amp;Table1[[#Headers],[Pricing]]&amp;"*")</f>
        <v>0</v>
      </c>
      <c r="P76">
        <v>7</v>
      </c>
      <c r="Q76">
        <v>9</v>
      </c>
      <c r="R76">
        <f>K8</f>
        <v>0</v>
      </c>
    </row>
    <row r="77" spans="1:24" x14ac:dyDescent="0.25">
      <c r="A77" s="8" t="s">
        <v>2510</v>
      </c>
      <c r="B77" s="8">
        <f>COUNTIF('All Papers'!D:D,"*"&amp;Table1[[#This Row],[Name]]&amp;"*")</f>
        <v>3</v>
      </c>
      <c r="C77" s="8">
        <f>COUNTIFS('All Papers'!$D:$D,"*"&amp;$A77&amp;"*",'All Papers'!$G:$G,"*"&amp;Table1[[#Headers],[Composition]]&amp;"*")</f>
        <v>0</v>
      </c>
      <c r="D77" s="8">
        <f>COUNTIFS('All Papers'!$D:$D,"*"&amp;$A77&amp;"*",'All Papers'!$G:$G,"*"&amp;Table1[[#Headers],[Discovery]]&amp;"*")</f>
        <v>0</v>
      </c>
      <c r="E77" s="8">
        <f>COUNTIFS('All Papers'!$D:$D,"*"&amp;$A77&amp;"*",'All Papers'!$G:$G,"*"&amp;Table1[[#Headers],[Selection]]&amp;"*")</f>
        <v>0</v>
      </c>
      <c r="F77" s="8">
        <f>COUNTIFS('All Papers'!$D:$D,"*"&amp;$A77&amp;"*",'All Papers'!$G:$G,"*"&amp;Table1[[#Headers],[Recommendation]]&amp;"*")</f>
        <v>0</v>
      </c>
      <c r="G77" s="8">
        <f>COUNTIFS('All Papers'!$D:$D,"*"&amp;$A77&amp;"*",'All Papers'!$G:$G,"*"&amp;Table1[[#Headers],[Resource Management-CS]]&amp;"*")</f>
        <v>2</v>
      </c>
      <c r="H77" s="8">
        <f>COUNTIFS('All Papers'!$D:$D,"*"&amp;$A77&amp;"*",'All Papers'!$G:$G,"*"&amp;Table1[[#Headers],[Resource Management-PS]]&amp;"*")</f>
        <v>1</v>
      </c>
      <c r="I77" s="8">
        <f>COUNTIFS('All Papers'!$D:$D,"*"&amp;$A77&amp;"*",'All Papers'!$G:$G,"*"&amp;Table1[[#Headers],[SLA Management]]&amp;"*")</f>
        <v>0</v>
      </c>
      <c r="J77" s="8">
        <f>COUNTIFS('All Papers'!$D:$D,"*"&amp;$A77&amp;"*",'All Papers'!$G:$G,"*"&amp;Table1[[#Headers],[Big Data]]&amp;"*")</f>
        <v>0</v>
      </c>
      <c r="K77" s="8">
        <f>COUNTIFS('All Papers'!$D:$D,"*"&amp;$A77&amp;"*",'All Papers'!$G:$G,"*"&amp;Table1[[#Headers],[Energy Management]]&amp;"*")</f>
        <v>0</v>
      </c>
      <c r="L77" s="8">
        <f>COUNTIFS('All Papers'!$D:$D,"*"&amp;$A77&amp;"*",'All Papers'!$G:$G,"*"&amp;Table1[[#Headers],[Monitoring]]&amp;"*")</f>
        <v>0</v>
      </c>
      <c r="M77" s="8">
        <f>COUNTIFS('All Papers'!$D:$D,"*"&amp;$A77&amp;"*",'All Papers'!$G:$G,"*"&amp;Table1[[#Headers],[Pricing]]&amp;"*")</f>
        <v>1</v>
      </c>
      <c r="P77">
        <v>7</v>
      </c>
      <c r="Q77">
        <v>10</v>
      </c>
      <c r="R77">
        <f>L8</f>
        <v>0</v>
      </c>
    </row>
    <row r="78" spans="1:24" x14ac:dyDescent="0.25">
      <c r="A78" s="8" t="s">
        <v>2511</v>
      </c>
      <c r="B78" s="8">
        <f>COUNTIF('All Papers'!D:D,"*"&amp;Table1[[#This Row],[Name]]&amp;"*")</f>
        <v>3</v>
      </c>
      <c r="C78" s="8">
        <f>COUNTIFS('All Papers'!$D:$D,"*"&amp;$A78&amp;"*",'All Papers'!$G:$G,"*"&amp;Table1[[#Headers],[Composition]]&amp;"*")</f>
        <v>0</v>
      </c>
      <c r="D78" s="8">
        <f>COUNTIFS('All Papers'!$D:$D,"*"&amp;$A78&amp;"*",'All Papers'!$G:$G,"*"&amp;Table1[[#Headers],[Discovery]]&amp;"*")</f>
        <v>0</v>
      </c>
      <c r="E78" s="8">
        <f>COUNTIFS('All Papers'!$D:$D,"*"&amp;$A78&amp;"*",'All Papers'!$G:$G,"*"&amp;Table1[[#Headers],[Selection]]&amp;"*")</f>
        <v>0</v>
      </c>
      <c r="F78" s="8">
        <f>COUNTIFS('All Papers'!$D:$D,"*"&amp;$A78&amp;"*",'All Papers'!$G:$G,"*"&amp;Table1[[#Headers],[Recommendation]]&amp;"*")</f>
        <v>0</v>
      </c>
      <c r="G78" s="8">
        <f>COUNTIFS('All Papers'!$D:$D,"*"&amp;$A78&amp;"*",'All Papers'!$G:$G,"*"&amp;Table1[[#Headers],[Resource Management-CS]]&amp;"*")</f>
        <v>2</v>
      </c>
      <c r="H78" s="8">
        <f>COUNTIFS('All Papers'!$D:$D,"*"&amp;$A78&amp;"*",'All Papers'!$G:$G,"*"&amp;Table1[[#Headers],[Resource Management-PS]]&amp;"*")</f>
        <v>1</v>
      </c>
      <c r="I78" s="8">
        <f>COUNTIFS('All Papers'!$D:$D,"*"&amp;$A78&amp;"*",'All Papers'!$G:$G,"*"&amp;Table1[[#Headers],[SLA Management]]&amp;"*")</f>
        <v>0</v>
      </c>
      <c r="J78" s="8">
        <f>COUNTIFS('All Papers'!$D:$D,"*"&amp;$A78&amp;"*",'All Papers'!$G:$G,"*"&amp;Table1[[#Headers],[Big Data]]&amp;"*")</f>
        <v>0</v>
      </c>
      <c r="K78" s="8">
        <f>COUNTIFS('All Papers'!$D:$D,"*"&amp;$A78&amp;"*",'All Papers'!$G:$G,"*"&amp;Table1[[#Headers],[Energy Management]]&amp;"*")</f>
        <v>0</v>
      </c>
      <c r="L78" s="8">
        <f>COUNTIFS('All Papers'!$D:$D,"*"&amp;$A78&amp;"*",'All Papers'!$G:$G,"*"&amp;Table1[[#Headers],[Monitoring]]&amp;"*")</f>
        <v>0</v>
      </c>
      <c r="M78" s="8">
        <f>COUNTIFS('All Papers'!$D:$D,"*"&amp;$A78&amp;"*",'All Papers'!$G:$G,"*"&amp;Table1[[#Headers],[Pricing]]&amp;"*")</f>
        <v>0</v>
      </c>
      <c r="P78">
        <v>7</v>
      </c>
      <c r="Q78">
        <v>11</v>
      </c>
      <c r="R78">
        <f>M8</f>
        <v>0</v>
      </c>
    </row>
    <row r="79" spans="1:24" x14ac:dyDescent="0.25">
      <c r="A79" s="8" t="s">
        <v>2512</v>
      </c>
      <c r="B79" s="8">
        <f>COUNTIF('All Papers'!D:D,"*"&amp;Table1[[#This Row],[Name]]&amp;"*")</f>
        <v>3</v>
      </c>
      <c r="C79" s="8">
        <f>COUNTIFS('All Papers'!$D:$D,"*"&amp;$A79&amp;"*",'All Papers'!$G:$G,"*"&amp;Table1[[#Headers],[Composition]]&amp;"*")</f>
        <v>0</v>
      </c>
      <c r="D79" s="8">
        <f>COUNTIFS('All Papers'!$D:$D,"*"&amp;$A79&amp;"*",'All Papers'!$G:$G,"*"&amp;Table1[[#Headers],[Discovery]]&amp;"*")</f>
        <v>1</v>
      </c>
      <c r="E79" s="8">
        <f>COUNTIFS('All Papers'!$D:$D,"*"&amp;$A79&amp;"*",'All Papers'!$G:$G,"*"&amp;Table1[[#Headers],[Selection]]&amp;"*")</f>
        <v>1</v>
      </c>
      <c r="F79" s="8">
        <f>COUNTIFS('All Papers'!$D:$D,"*"&amp;$A79&amp;"*",'All Papers'!$G:$G,"*"&amp;Table1[[#Headers],[Recommendation]]&amp;"*")</f>
        <v>0</v>
      </c>
      <c r="G79" s="8">
        <f>COUNTIFS('All Papers'!$D:$D,"*"&amp;$A79&amp;"*",'All Papers'!$G:$G,"*"&amp;Table1[[#Headers],[Resource Management-CS]]&amp;"*")</f>
        <v>0</v>
      </c>
      <c r="H79" s="8">
        <f>COUNTIFS('All Papers'!$D:$D,"*"&amp;$A79&amp;"*",'All Papers'!$G:$G,"*"&amp;Table1[[#Headers],[Resource Management-PS]]&amp;"*")</f>
        <v>2</v>
      </c>
      <c r="I79" s="8">
        <f>COUNTIFS('All Papers'!$D:$D,"*"&amp;$A79&amp;"*",'All Papers'!$G:$G,"*"&amp;Table1[[#Headers],[SLA Management]]&amp;"*")</f>
        <v>0</v>
      </c>
      <c r="J79" s="8">
        <f>COUNTIFS('All Papers'!$D:$D,"*"&amp;$A79&amp;"*",'All Papers'!$G:$G,"*"&amp;Table1[[#Headers],[Big Data]]&amp;"*")</f>
        <v>0</v>
      </c>
      <c r="K79" s="8">
        <f>COUNTIFS('All Papers'!$D:$D,"*"&amp;$A79&amp;"*",'All Papers'!$G:$G,"*"&amp;Table1[[#Headers],[Energy Management]]&amp;"*")</f>
        <v>0</v>
      </c>
      <c r="L79" s="8">
        <f>COUNTIFS('All Papers'!$D:$D,"*"&amp;$A79&amp;"*",'All Papers'!$G:$G,"*"&amp;Table1[[#Headers],[Monitoring]]&amp;"*")</f>
        <v>0</v>
      </c>
      <c r="M79" s="8">
        <f>COUNTIFS('All Papers'!$D:$D,"*"&amp;$A79&amp;"*",'All Papers'!$G:$G,"*"&amp;Table1[[#Headers],[Pricing]]&amp;"*")</f>
        <v>0</v>
      </c>
    </row>
    <row r="80" spans="1:24" x14ac:dyDescent="0.25">
      <c r="A80" s="8" t="s">
        <v>2513</v>
      </c>
      <c r="B80" s="8">
        <f>COUNTIF('All Papers'!D:D,"*"&amp;Table1[[#This Row],[Name]]&amp;"*")</f>
        <v>3</v>
      </c>
      <c r="C80" s="8">
        <f>COUNTIFS('All Papers'!$D:$D,"*"&amp;$A80&amp;"*",'All Papers'!$G:$G,"*"&amp;Table1[[#Headers],[Composition]]&amp;"*")</f>
        <v>0</v>
      </c>
      <c r="D80" s="8">
        <f>COUNTIFS('All Papers'!$D:$D,"*"&amp;$A80&amp;"*",'All Papers'!$G:$G,"*"&amp;Table1[[#Headers],[Discovery]]&amp;"*")</f>
        <v>0</v>
      </c>
      <c r="E80" s="8">
        <f>COUNTIFS('All Papers'!$D:$D,"*"&amp;$A80&amp;"*",'All Papers'!$G:$G,"*"&amp;Table1[[#Headers],[Selection]]&amp;"*")</f>
        <v>0</v>
      </c>
      <c r="F80" s="8">
        <f>COUNTIFS('All Papers'!$D:$D,"*"&amp;$A80&amp;"*",'All Papers'!$G:$G,"*"&amp;Table1[[#Headers],[Recommendation]]&amp;"*")</f>
        <v>0</v>
      </c>
      <c r="G80" s="8">
        <f>COUNTIFS('All Papers'!$D:$D,"*"&amp;$A80&amp;"*",'All Papers'!$G:$G,"*"&amp;Table1[[#Headers],[Resource Management-CS]]&amp;"*")</f>
        <v>1</v>
      </c>
      <c r="H80" s="8">
        <f>COUNTIFS('All Papers'!$D:$D,"*"&amp;$A80&amp;"*",'All Papers'!$G:$G,"*"&amp;Table1[[#Headers],[Resource Management-PS]]&amp;"*")</f>
        <v>2</v>
      </c>
      <c r="I80" s="8">
        <f>COUNTIFS('All Papers'!$D:$D,"*"&amp;$A80&amp;"*",'All Papers'!$G:$G,"*"&amp;Table1[[#Headers],[SLA Management]]&amp;"*")</f>
        <v>0</v>
      </c>
      <c r="J80" s="8">
        <f>COUNTIFS('All Papers'!$D:$D,"*"&amp;$A80&amp;"*",'All Papers'!$G:$G,"*"&amp;Table1[[#Headers],[Big Data]]&amp;"*")</f>
        <v>0</v>
      </c>
      <c r="K80" s="8">
        <f>COUNTIFS('All Papers'!$D:$D,"*"&amp;$A80&amp;"*",'All Papers'!$G:$G,"*"&amp;Table1[[#Headers],[Energy Management]]&amp;"*")</f>
        <v>0</v>
      </c>
      <c r="L80" s="8">
        <f>COUNTIFS('All Papers'!$D:$D,"*"&amp;$A80&amp;"*",'All Papers'!$G:$G,"*"&amp;Table1[[#Headers],[Monitoring]]&amp;"*")</f>
        <v>0</v>
      </c>
      <c r="M80" s="8">
        <f>COUNTIFS('All Papers'!$D:$D,"*"&amp;$A80&amp;"*",'All Papers'!$G:$G,"*"&amp;Table1[[#Headers],[Pricing]]&amp;"*")</f>
        <v>0</v>
      </c>
    </row>
    <row r="81" spans="1:13" x14ac:dyDescent="0.25">
      <c r="A81" s="8" t="s">
        <v>2514</v>
      </c>
      <c r="B81" s="8">
        <f>COUNTIF('All Papers'!D:D,"*"&amp;Table1[[#This Row],[Name]]&amp;"*")</f>
        <v>3</v>
      </c>
      <c r="C81" s="8">
        <f>COUNTIFS('All Papers'!$D:$D,"*"&amp;$A81&amp;"*",'All Papers'!$G:$G,"*"&amp;Table1[[#Headers],[Composition]]&amp;"*")</f>
        <v>1</v>
      </c>
      <c r="D81" s="8">
        <f>COUNTIFS('All Papers'!$D:$D,"*"&amp;$A81&amp;"*",'All Papers'!$G:$G,"*"&amp;Table1[[#Headers],[Discovery]]&amp;"*")</f>
        <v>0</v>
      </c>
      <c r="E81" s="8">
        <f>COUNTIFS('All Papers'!$D:$D,"*"&amp;$A81&amp;"*",'All Papers'!$G:$G,"*"&amp;Table1[[#Headers],[Selection]]&amp;"*")</f>
        <v>0</v>
      </c>
      <c r="F81" s="8">
        <f>COUNTIFS('All Papers'!$D:$D,"*"&amp;$A81&amp;"*",'All Papers'!$G:$G,"*"&amp;Table1[[#Headers],[Recommendation]]&amp;"*")</f>
        <v>0</v>
      </c>
      <c r="G81" s="8">
        <f>COUNTIFS('All Papers'!$D:$D,"*"&amp;$A81&amp;"*",'All Papers'!$G:$G,"*"&amp;Table1[[#Headers],[Resource Management-CS]]&amp;"*")</f>
        <v>3</v>
      </c>
      <c r="H81" s="8">
        <f>COUNTIFS('All Papers'!$D:$D,"*"&amp;$A81&amp;"*",'All Papers'!$G:$G,"*"&amp;Table1[[#Headers],[Resource Management-PS]]&amp;"*")</f>
        <v>0</v>
      </c>
      <c r="I81" s="8">
        <f>COUNTIFS('All Papers'!$D:$D,"*"&amp;$A81&amp;"*",'All Papers'!$G:$G,"*"&amp;Table1[[#Headers],[SLA Management]]&amp;"*")</f>
        <v>1</v>
      </c>
      <c r="J81" s="8">
        <f>COUNTIFS('All Papers'!$D:$D,"*"&amp;$A81&amp;"*",'All Papers'!$G:$G,"*"&amp;Table1[[#Headers],[Big Data]]&amp;"*")</f>
        <v>0</v>
      </c>
      <c r="K81" s="8">
        <f>COUNTIFS('All Papers'!$D:$D,"*"&amp;$A81&amp;"*",'All Papers'!$G:$G,"*"&amp;Table1[[#Headers],[Energy Management]]&amp;"*")</f>
        <v>0</v>
      </c>
      <c r="L81" s="8">
        <f>COUNTIFS('All Papers'!$D:$D,"*"&amp;$A81&amp;"*",'All Papers'!$G:$G,"*"&amp;Table1[[#Headers],[Monitoring]]&amp;"*")</f>
        <v>0</v>
      </c>
      <c r="M81" s="8">
        <f>COUNTIFS('All Papers'!$D:$D,"*"&amp;$A81&amp;"*",'All Papers'!$G:$G,"*"&amp;Table1[[#Headers],[Pricing]]&amp;"*")</f>
        <v>1</v>
      </c>
    </row>
    <row r="82" spans="1:13" x14ac:dyDescent="0.25">
      <c r="A82" s="8" t="s">
        <v>2515</v>
      </c>
      <c r="B82" s="8">
        <f>COUNTIF('All Papers'!D:D,"*"&amp;Table1[[#This Row],[Name]]&amp;"*")</f>
        <v>3</v>
      </c>
      <c r="C82" s="8">
        <f>COUNTIFS('All Papers'!$D:$D,"*"&amp;$A82&amp;"*",'All Papers'!$G:$G,"*"&amp;Table1[[#Headers],[Composition]]&amp;"*")</f>
        <v>1</v>
      </c>
      <c r="D82" s="8">
        <f>COUNTIFS('All Papers'!$D:$D,"*"&amp;$A82&amp;"*",'All Papers'!$G:$G,"*"&amp;Table1[[#Headers],[Discovery]]&amp;"*")</f>
        <v>0</v>
      </c>
      <c r="E82" s="8">
        <f>COUNTIFS('All Papers'!$D:$D,"*"&amp;$A82&amp;"*",'All Papers'!$G:$G,"*"&amp;Table1[[#Headers],[Selection]]&amp;"*")</f>
        <v>0</v>
      </c>
      <c r="F82" s="8">
        <f>COUNTIFS('All Papers'!$D:$D,"*"&amp;$A82&amp;"*",'All Papers'!$G:$G,"*"&amp;Table1[[#Headers],[Recommendation]]&amp;"*")</f>
        <v>0</v>
      </c>
      <c r="G82" s="8">
        <f>COUNTIFS('All Papers'!$D:$D,"*"&amp;$A82&amp;"*",'All Papers'!$G:$G,"*"&amp;Table1[[#Headers],[Resource Management-CS]]&amp;"*")</f>
        <v>3</v>
      </c>
      <c r="H82" s="8">
        <f>COUNTIFS('All Papers'!$D:$D,"*"&amp;$A82&amp;"*",'All Papers'!$G:$G,"*"&amp;Table1[[#Headers],[Resource Management-PS]]&amp;"*")</f>
        <v>0</v>
      </c>
      <c r="I82" s="8">
        <f>COUNTIFS('All Papers'!$D:$D,"*"&amp;$A82&amp;"*",'All Papers'!$G:$G,"*"&amp;Table1[[#Headers],[SLA Management]]&amp;"*")</f>
        <v>1</v>
      </c>
      <c r="J82" s="8">
        <f>COUNTIFS('All Papers'!$D:$D,"*"&amp;$A82&amp;"*",'All Papers'!$G:$G,"*"&amp;Table1[[#Headers],[Big Data]]&amp;"*")</f>
        <v>0</v>
      </c>
      <c r="K82" s="8">
        <f>COUNTIFS('All Papers'!$D:$D,"*"&amp;$A82&amp;"*",'All Papers'!$G:$G,"*"&amp;Table1[[#Headers],[Energy Management]]&amp;"*")</f>
        <v>0</v>
      </c>
      <c r="L82" s="8">
        <f>COUNTIFS('All Papers'!$D:$D,"*"&amp;$A82&amp;"*",'All Papers'!$G:$G,"*"&amp;Table1[[#Headers],[Monitoring]]&amp;"*")</f>
        <v>0</v>
      </c>
      <c r="M82" s="8">
        <f>COUNTIFS('All Papers'!$D:$D,"*"&amp;$A82&amp;"*",'All Papers'!$G:$G,"*"&amp;Table1[[#Headers],[Pricing]]&amp;"*")</f>
        <v>1</v>
      </c>
    </row>
    <row r="83" spans="1:13" x14ac:dyDescent="0.25">
      <c r="A83" s="8" t="s">
        <v>2516</v>
      </c>
      <c r="B83" s="8">
        <f>COUNTIF('All Papers'!D:D,"*"&amp;Table1[[#This Row],[Name]]&amp;"*")</f>
        <v>3</v>
      </c>
      <c r="C83" s="8">
        <f>COUNTIFS('All Papers'!$D:$D,"*"&amp;$A83&amp;"*",'All Papers'!$G:$G,"*"&amp;Table1[[#Headers],[Composition]]&amp;"*")</f>
        <v>0</v>
      </c>
      <c r="D83" s="8">
        <f>COUNTIFS('All Papers'!$D:$D,"*"&amp;$A83&amp;"*",'All Papers'!$G:$G,"*"&amp;Table1[[#Headers],[Discovery]]&amp;"*")</f>
        <v>0</v>
      </c>
      <c r="E83" s="8">
        <f>COUNTIFS('All Papers'!$D:$D,"*"&amp;$A83&amp;"*",'All Papers'!$G:$G,"*"&amp;Table1[[#Headers],[Selection]]&amp;"*")</f>
        <v>0</v>
      </c>
      <c r="F83" s="8">
        <f>COUNTIFS('All Papers'!$D:$D,"*"&amp;$A83&amp;"*",'All Papers'!$G:$G,"*"&amp;Table1[[#Headers],[Recommendation]]&amp;"*")</f>
        <v>0</v>
      </c>
      <c r="G83" s="8">
        <f>COUNTIFS('All Papers'!$D:$D,"*"&amp;$A83&amp;"*",'All Papers'!$G:$G,"*"&amp;Table1[[#Headers],[Resource Management-CS]]&amp;"*")</f>
        <v>0</v>
      </c>
      <c r="H83" s="8">
        <f>COUNTIFS('All Papers'!$D:$D,"*"&amp;$A83&amp;"*",'All Papers'!$G:$G,"*"&amp;Table1[[#Headers],[Resource Management-PS]]&amp;"*")</f>
        <v>3</v>
      </c>
      <c r="I83" s="8">
        <f>COUNTIFS('All Papers'!$D:$D,"*"&amp;$A83&amp;"*",'All Papers'!$G:$G,"*"&amp;Table1[[#Headers],[SLA Management]]&amp;"*")</f>
        <v>0</v>
      </c>
      <c r="J83" s="8">
        <f>COUNTIFS('All Papers'!$D:$D,"*"&amp;$A83&amp;"*",'All Papers'!$G:$G,"*"&amp;Table1[[#Headers],[Big Data]]&amp;"*")</f>
        <v>0</v>
      </c>
      <c r="K83" s="8">
        <f>COUNTIFS('All Papers'!$D:$D,"*"&amp;$A83&amp;"*",'All Papers'!$G:$G,"*"&amp;Table1[[#Headers],[Energy Management]]&amp;"*")</f>
        <v>0</v>
      </c>
      <c r="L83" s="8">
        <f>COUNTIFS('All Papers'!$D:$D,"*"&amp;$A83&amp;"*",'All Papers'!$G:$G,"*"&amp;Table1[[#Headers],[Monitoring]]&amp;"*")</f>
        <v>0</v>
      </c>
      <c r="M83" s="8">
        <f>COUNTIFS('All Papers'!$D:$D,"*"&amp;$A83&amp;"*",'All Papers'!$G:$G,"*"&amp;Table1[[#Headers],[Pricing]]&amp;"*")</f>
        <v>0</v>
      </c>
    </row>
    <row r="84" spans="1:13" x14ac:dyDescent="0.25">
      <c r="A84" s="8" t="s">
        <v>2517</v>
      </c>
      <c r="B84" s="8">
        <f>COUNTIF('All Papers'!D:D,"*"&amp;Table1[[#This Row],[Name]]&amp;"*")</f>
        <v>3</v>
      </c>
      <c r="C84" s="8">
        <f>COUNTIFS('All Papers'!$D:$D,"*"&amp;$A84&amp;"*",'All Papers'!$G:$G,"*"&amp;Table1[[#Headers],[Composition]]&amp;"*")</f>
        <v>0</v>
      </c>
      <c r="D84" s="8">
        <f>COUNTIFS('All Papers'!$D:$D,"*"&amp;$A84&amp;"*",'All Papers'!$G:$G,"*"&amp;Table1[[#Headers],[Discovery]]&amp;"*")</f>
        <v>0</v>
      </c>
      <c r="E84" s="8">
        <f>COUNTIFS('All Papers'!$D:$D,"*"&amp;$A84&amp;"*",'All Papers'!$G:$G,"*"&amp;Table1[[#Headers],[Selection]]&amp;"*")</f>
        <v>0</v>
      </c>
      <c r="F84" s="8">
        <f>COUNTIFS('All Papers'!$D:$D,"*"&amp;$A84&amp;"*",'All Papers'!$G:$G,"*"&amp;Table1[[#Headers],[Recommendation]]&amp;"*")</f>
        <v>0</v>
      </c>
      <c r="G84" s="8">
        <f>COUNTIFS('All Papers'!$D:$D,"*"&amp;$A84&amp;"*",'All Papers'!$G:$G,"*"&amp;Table1[[#Headers],[Resource Management-CS]]&amp;"*")</f>
        <v>0</v>
      </c>
      <c r="H84" s="8">
        <f>COUNTIFS('All Papers'!$D:$D,"*"&amp;$A84&amp;"*",'All Papers'!$G:$G,"*"&amp;Table1[[#Headers],[Resource Management-PS]]&amp;"*")</f>
        <v>3</v>
      </c>
      <c r="I84" s="8">
        <f>COUNTIFS('All Papers'!$D:$D,"*"&amp;$A84&amp;"*",'All Papers'!$G:$G,"*"&amp;Table1[[#Headers],[SLA Management]]&amp;"*")</f>
        <v>0</v>
      </c>
      <c r="J84" s="8">
        <f>COUNTIFS('All Papers'!$D:$D,"*"&amp;$A84&amp;"*",'All Papers'!$G:$G,"*"&amp;Table1[[#Headers],[Big Data]]&amp;"*")</f>
        <v>0</v>
      </c>
      <c r="K84" s="8">
        <f>COUNTIFS('All Papers'!$D:$D,"*"&amp;$A84&amp;"*",'All Papers'!$G:$G,"*"&amp;Table1[[#Headers],[Energy Management]]&amp;"*")</f>
        <v>0</v>
      </c>
      <c r="L84" s="8">
        <f>COUNTIFS('All Papers'!$D:$D,"*"&amp;$A84&amp;"*",'All Papers'!$G:$G,"*"&amp;Table1[[#Headers],[Monitoring]]&amp;"*")</f>
        <v>0</v>
      </c>
      <c r="M84" s="8">
        <f>COUNTIFS('All Papers'!$D:$D,"*"&amp;$A84&amp;"*",'All Papers'!$G:$G,"*"&amp;Table1[[#Headers],[Pricing]]&amp;"*")</f>
        <v>0</v>
      </c>
    </row>
    <row r="85" spans="1:13" x14ac:dyDescent="0.25">
      <c r="A85" s="8" t="s">
        <v>2518</v>
      </c>
      <c r="B85" s="8">
        <f>COUNTIF('All Papers'!D:D,"*"&amp;Table1[[#This Row],[Name]]&amp;"*")</f>
        <v>3</v>
      </c>
      <c r="C85" s="8">
        <f>COUNTIFS('All Papers'!$D:$D,"*"&amp;$A85&amp;"*",'All Papers'!$G:$G,"*"&amp;Table1[[#Headers],[Composition]]&amp;"*")</f>
        <v>1</v>
      </c>
      <c r="D85" s="8">
        <f>COUNTIFS('All Papers'!$D:$D,"*"&amp;$A85&amp;"*",'All Papers'!$G:$G,"*"&amp;Table1[[#Headers],[Discovery]]&amp;"*")</f>
        <v>0</v>
      </c>
      <c r="E85" s="8">
        <f>COUNTIFS('All Papers'!$D:$D,"*"&amp;$A85&amp;"*",'All Papers'!$G:$G,"*"&amp;Table1[[#Headers],[Selection]]&amp;"*")</f>
        <v>0</v>
      </c>
      <c r="F85" s="8">
        <f>COUNTIFS('All Papers'!$D:$D,"*"&amp;$A85&amp;"*",'All Papers'!$G:$G,"*"&amp;Table1[[#Headers],[Recommendation]]&amp;"*")</f>
        <v>0</v>
      </c>
      <c r="G85" s="8">
        <f>COUNTIFS('All Papers'!$D:$D,"*"&amp;$A85&amp;"*",'All Papers'!$G:$G,"*"&amp;Table1[[#Headers],[Resource Management-CS]]&amp;"*")</f>
        <v>1</v>
      </c>
      <c r="H85" s="8">
        <f>COUNTIFS('All Papers'!$D:$D,"*"&amp;$A85&amp;"*",'All Papers'!$G:$G,"*"&amp;Table1[[#Headers],[Resource Management-PS]]&amp;"*")</f>
        <v>1</v>
      </c>
      <c r="I85" s="8">
        <f>COUNTIFS('All Papers'!$D:$D,"*"&amp;$A85&amp;"*",'All Papers'!$G:$G,"*"&amp;Table1[[#Headers],[SLA Management]]&amp;"*")</f>
        <v>0</v>
      </c>
      <c r="J85" s="8">
        <f>COUNTIFS('All Papers'!$D:$D,"*"&amp;$A85&amp;"*",'All Papers'!$G:$G,"*"&amp;Table1[[#Headers],[Big Data]]&amp;"*")</f>
        <v>0</v>
      </c>
      <c r="K85" s="8">
        <f>COUNTIFS('All Papers'!$D:$D,"*"&amp;$A85&amp;"*",'All Papers'!$G:$G,"*"&amp;Table1[[#Headers],[Energy Management]]&amp;"*")</f>
        <v>0</v>
      </c>
      <c r="L85" s="8">
        <f>COUNTIFS('All Papers'!$D:$D,"*"&amp;$A85&amp;"*",'All Papers'!$G:$G,"*"&amp;Table1[[#Headers],[Monitoring]]&amp;"*")</f>
        <v>0</v>
      </c>
      <c r="M85" s="8">
        <f>COUNTIFS('All Papers'!$D:$D,"*"&amp;$A85&amp;"*",'All Papers'!$G:$G,"*"&amp;Table1[[#Headers],[Pricing]]&amp;"*")</f>
        <v>2</v>
      </c>
    </row>
    <row r="86" spans="1:13" x14ac:dyDescent="0.25">
      <c r="A86" s="8" t="s">
        <v>2519</v>
      </c>
      <c r="B86" s="8">
        <f>COUNTIF('All Papers'!D:D,"*"&amp;Table1[[#This Row],[Name]]&amp;"*")</f>
        <v>3</v>
      </c>
      <c r="C86" s="8">
        <f>COUNTIFS('All Papers'!$D:$D,"*"&amp;$A86&amp;"*",'All Papers'!$G:$G,"*"&amp;Table1[[#Headers],[Composition]]&amp;"*")</f>
        <v>1</v>
      </c>
      <c r="D86" s="8">
        <f>COUNTIFS('All Papers'!$D:$D,"*"&amp;$A86&amp;"*",'All Papers'!$G:$G,"*"&amp;Table1[[#Headers],[Discovery]]&amp;"*")</f>
        <v>0</v>
      </c>
      <c r="E86" s="8">
        <f>COUNTIFS('All Papers'!$D:$D,"*"&amp;$A86&amp;"*",'All Papers'!$G:$G,"*"&amp;Table1[[#Headers],[Selection]]&amp;"*")</f>
        <v>0</v>
      </c>
      <c r="F86" s="8">
        <f>COUNTIFS('All Papers'!$D:$D,"*"&amp;$A86&amp;"*",'All Papers'!$G:$G,"*"&amp;Table1[[#Headers],[Recommendation]]&amp;"*")</f>
        <v>0</v>
      </c>
      <c r="G86" s="8">
        <f>COUNTIFS('All Papers'!$D:$D,"*"&amp;$A86&amp;"*",'All Papers'!$G:$G,"*"&amp;Table1[[#Headers],[Resource Management-CS]]&amp;"*")</f>
        <v>1</v>
      </c>
      <c r="H86" s="8">
        <f>COUNTIFS('All Papers'!$D:$D,"*"&amp;$A86&amp;"*",'All Papers'!$G:$G,"*"&amp;Table1[[#Headers],[Resource Management-PS]]&amp;"*")</f>
        <v>1</v>
      </c>
      <c r="I86" s="8">
        <f>COUNTIFS('All Papers'!$D:$D,"*"&amp;$A86&amp;"*",'All Papers'!$G:$G,"*"&amp;Table1[[#Headers],[SLA Management]]&amp;"*")</f>
        <v>0</v>
      </c>
      <c r="J86" s="8">
        <f>COUNTIFS('All Papers'!$D:$D,"*"&amp;$A86&amp;"*",'All Papers'!$G:$G,"*"&amp;Table1[[#Headers],[Big Data]]&amp;"*")</f>
        <v>0</v>
      </c>
      <c r="K86" s="8">
        <f>COUNTIFS('All Papers'!$D:$D,"*"&amp;$A86&amp;"*",'All Papers'!$G:$G,"*"&amp;Table1[[#Headers],[Energy Management]]&amp;"*")</f>
        <v>0</v>
      </c>
      <c r="L86" s="8">
        <f>COUNTIFS('All Papers'!$D:$D,"*"&amp;$A86&amp;"*",'All Papers'!$G:$G,"*"&amp;Table1[[#Headers],[Monitoring]]&amp;"*")</f>
        <v>0</v>
      </c>
      <c r="M86" s="8">
        <f>COUNTIFS('All Papers'!$D:$D,"*"&amp;$A86&amp;"*",'All Papers'!$G:$G,"*"&amp;Table1[[#Headers],[Pricing]]&amp;"*")</f>
        <v>2</v>
      </c>
    </row>
    <row r="87" spans="1:13" x14ac:dyDescent="0.25">
      <c r="A87" s="8" t="s">
        <v>2520</v>
      </c>
      <c r="B87" s="8">
        <f>COUNTIF('All Papers'!D:D,"*"&amp;Table1[[#This Row],[Name]]&amp;"*")</f>
        <v>3</v>
      </c>
      <c r="C87" s="8">
        <f>COUNTIFS('All Papers'!$D:$D,"*"&amp;$A87&amp;"*",'All Papers'!$G:$G,"*"&amp;Table1[[#Headers],[Composition]]&amp;"*")</f>
        <v>0</v>
      </c>
      <c r="D87" s="8">
        <f>COUNTIFS('All Papers'!$D:$D,"*"&amp;$A87&amp;"*",'All Papers'!$G:$G,"*"&amp;Table1[[#Headers],[Discovery]]&amp;"*")</f>
        <v>0</v>
      </c>
      <c r="E87" s="8">
        <f>COUNTIFS('All Papers'!$D:$D,"*"&amp;$A87&amp;"*",'All Papers'!$G:$G,"*"&amp;Table1[[#Headers],[Selection]]&amp;"*")</f>
        <v>0</v>
      </c>
      <c r="F87" s="8">
        <f>COUNTIFS('All Papers'!$D:$D,"*"&amp;$A87&amp;"*",'All Papers'!$G:$G,"*"&amp;Table1[[#Headers],[Recommendation]]&amp;"*")</f>
        <v>0</v>
      </c>
      <c r="G87" s="8">
        <f>COUNTIFS('All Papers'!$D:$D,"*"&amp;$A87&amp;"*",'All Papers'!$G:$G,"*"&amp;Table1[[#Headers],[Resource Management-CS]]&amp;"*")</f>
        <v>3</v>
      </c>
      <c r="H87" s="8">
        <f>COUNTIFS('All Papers'!$D:$D,"*"&amp;$A87&amp;"*",'All Papers'!$G:$G,"*"&amp;Table1[[#Headers],[Resource Management-PS]]&amp;"*")</f>
        <v>0</v>
      </c>
      <c r="I87" s="8">
        <f>COUNTIFS('All Papers'!$D:$D,"*"&amp;$A87&amp;"*",'All Papers'!$G:$G,"*"&amp;Table1[[#Headers],[SLA Management]]&amp;"*")</f>
        <v>0</v>
      </c>
      <c r="J87" s="8">
        <f>COUNTIFS('All Papers'!$D:$D,"*"&amp;$A87&amp;"*",'All Papers'!$G:$G,"*"&amp;Table1[[#Headers],[Big Data]]&amp;"*")</f>
        <v>0</v>
      </c>
      <c r="K87" s="8">
        <f>COUNTIFS('All Papers'!$D:$D,"*"&amp;$A87&amp;"*",'All Papers'!$G:$G,"*"&amp;Table1[[#Headers],[Energy Management]]&amp;"*")</f>
        <v>0</v>
      </c>
      <c r="L87" s="8">
        <f>COUNTIFS('All Papers'!$D:$D,"*"&amp;$A87&amp;"*",'All Papers'!$G:$G,"*"&amp;Table1[[#Headers],[Monitoring]]&amp;"*")</f>
        <v>0</v>
      </c>
      <c r="M87" s="8">
        <f>COUNTIFS('All Papers'!$D:$D,"*"&amp;$A87&amp;"*",'All Papers'!$G:$G,"*"&amp;Table1[[#Headers],[Pricing]]&amp;"*")</f>
        <v>0</v>
      </c>
    </row>
    <row r="88" spans="1:13" x14ac:dyDescent="0.25">
      <c r="A88" s="8" t="s">
        <v>2521</v>
      </c>
      <c r="B88" s="8">
        <f>COUNTIF('All Papers'!D:D,"*"&amp;Table1[[#This Row],[Name]]&amp;"*")</f>
        <v>3</v>
      </c>
      <c r="C88" s="8">
        <f>COUNTIFS('All Papers'!$D:$D,"*"&amp;$A88&amp;"*",'All Papers'!$G:$G,"*"&amp;Table1[[#Headers],[Composition]]&amp;"*")</f>
        <v>3</v>
      </c>
      <c r="D88" s="8">
        <f>COUNTIFS('All Papers'!$D:$D,"*"&amp;$A88&amp;"*",'All Papers'!$G:$G,"*"&amp;Table1[[#Headers],[Discovery]]&amp;"*")</f>
        <v>0</v>
      </c>
      <c r="E88" s="8">
        <f>COUNTIFS('All Papers'!$D:$D,"*"&amp;$A88&amp;"*",'All Papers'!$G:$G,"*"&amp;Table1[[#Headers],[Selection]]&amp;"*")</f>
        <v>0</v>
      </c>
      <c r="F88" s="8">
        <f>COUNTIFS('All Papers'!$D:$D,"*"&amp;$A88&amp;"*",'All Papers'!$G:$G,"*"&amp;Table1[[#Headers],[Recommendation]]&amp;"*")</f>
        <v>0</v>
      </c>
      <c r="G88" s="8">
        <f>COUNTIFS('All Papers'!$D:$D,"*"&amp;$A88&amp;"*",'All Papers'!$G:$G,"*"&amp;Table1[[#Headers],[Resource Management-CS]]&amp;"*")</f>
        <v>0</v>
      </c>
      <c r="H88" s="8">
        <f>COUNTIFS('All Papers'!$D:$D,"*"&amp;$A88&amp;"*",'All Papers'!$G:$G,"*"&amp;Table1[[#Headers],[Resource Management-PS]]&amp;"*")</f>
        <v>0</v>
      </c>
      <c r="I88" s="8">
        <f>COUNTIFS('All Papers'!$D:$D,"*"&amp;$A88&amp;"*",'All Papers'!$G:$G,"*"&amp;Table1[[#Headers],[SLA Management]]&amp;"*")</f>
        <v>0</v>
      </c>
      <c r="J88" s="8">
        <f>COUNTIFS('All Papers'!$D:$D,"*"&amp;$A88&amp;"*",'All Papers'!$G:$G,"*"&amp;Table1[[#Headers],[Big Data]]&amp;"*")</f>
        <v>0</v>
      </c>
      <c r="K88" s="8">
        <f>COUNTIFS('All Papers'!$D:$D,"*"&amp;$A88&amp;"*",'All Papers'!$G:$G,"*"&amp;Table1[[#Headers],[Energy Management]]&amp;"*")</f>
        <v>0</v>
      </c>
      <c r="L88" s="8">
        <f>COUNTIFS('All Papers'!$D:$D,"*"&amp;$A88&amp;"*",'All Papers'!$G:$G,"*"&amp;Table1[[#Headers],[Monitoring]]&amp;"*")</f>
        <v>0</v>
      </c>
      <c r="M88" s="8">
        <f>COUNTIFS('All Papers'!$D:$D,"*"&amp;$A88&amp;"*",'All Papers'!$G:$G,"*"&amp;Table1[[#Headers],[Pricing]]&amp;"*")</f>
        <v>0</v>
      </c>
    </row>
    <row r="89" spans="1:13" x14ac:dyDescent="0.25">
      <c r="A89" s="8" t="s">
        <v>2522</v>
      </c>
      <c r="B89" s="8">
        <f>COUNTIF('All Papers'!D:D,"*"&amp;Table1[[#This Row],[Name]]&amp;"*")</f>
        <v>3</v>
      </c>
      <c r="C89" s="8">
        <f>COUNTIFS('All Papers'!$D:$D,"*"&amp;$A89&amp;"*",'All Papers'!$G:$G,"*"&amp;Table1[[#Headers],[Composition]]&amp;"*")</f>
        <v>0</v>
      </c>
      <c r="D89" s="8">
        <f>COUNTIFS('All Papers'!$D:$D,"*"&amp;$A89&amp;"*",'All Papers'!$G:$G,"*"&amp;Table1[[#Headers],[Discovery]]&amp;"*")</f>
        <v>0</v>
      </c>
      <c r="E89" s="8">
        <f>COUNTIFS('All Papers'!$D:$D,"*"&amp;$A89&amp;"*",'All Papers'!$G:$G,"*"&amp;Table1[[#Headers],[Selection]]&amp;"*")</f>
        <v>1</v>
      </c>
      <c r="F89" s="8">
        <f>COUNTIFS('All Papers'!$D:$D,"*"&amp;$A89&amp;"*",'All Papers'!$G:$G,"*"&amp;Table1[[#Headers],[Recommendation]]&amp;"*")</f>
        <v>0</v>
      </c>
      <c r="G89" s="8">
        <f>COUNTIFS('All Papers'!$D:$D,"*"&amp;$A89&amp;"*",'All Papers'!$G:$G,"*"&amp;Table1[[#Headers],[Resource Management-CS]]&amp;"*")</f>
        <v>2</v>
      </c>
      <c r="H89" s="8">
        <f>COUNTIFS('All Papers'!$D:$D,"*"&amp;$A89&amp;"*",'All Papers'!$G:$G,"*"&amp;Table1[[#Headers],[Resource Management-PS]]&amp;"*")</f>
        <v>0</v>
      </c>
      <c r="I89" s="8">
        <f>COUNTIFS('All Papers'!$D:$D,"*"&amp;$A89&amp;"*",'All Papers'!$G:$G,"*"&amp;Table1[[#Headers],[SLA Management]]&amp;"*")</f>
        <v>0</v>
      </c>
      <c r="J89" s="8">
        <f>COUNTIFS('All Papers'!$D:$D,"*"&amp;$A89&amp;"*",'All Papers'!$G:$G,"*"&amp;Table1[[#Headers],[Big Data]]&amp;"*")</f>
        <v>0</v>
      </c>
      <c r="K89" s="8">
        <f>COUNTIFS('All Papers'!$D:$D,"*"&amp;$A89&amp;"*",'All Papers'!$G:$G,"*"&amp;Table1[[#Headers],[Energy Management]]&amp;"*")</f>
        <v>0</v>
      </c>
      <c r="L89" s="8">
        <f>COUNTIFS('All Papers'!$D:$D,"*"&amp;$A89&amp;"*",'All Papers'!$G:$G,"*"&amp;Table1[[#Headers],[Monitoring]]&amp;"*")</f>
        <v>0</v>
      </c>
      <c r="M89" s="8">
        <f>COUNTIFS('All Papers'!$D:$D,"*"&amp;$A89&amp;"*",'All Papers'!$G:$G,"*"&amp;Table1[[#Headers],[Pricing]]&amp;"*")</f>
        <v>2</v>
      </c>
    </row>
    <row r="90" spans="1:13" x14ac:dyDescent="0.25">
      <c r="A90" s="8" t="s">
        <v>2523</v>
      </c>
      <c r="B90" s="8">
        <f>COUNTIF('All Papers'!D:D,"*"&amp;Table1[[#This Row],[Name]]&amp;"*")</f>
        <v>3</v>
      </c>
      <c r="C90" s="8">
        <f>COUNTIFS('All Papers'!$D:$D,"*"&amp;$A90&amp;"*",'All Papers'!$G:$G,"*"&amp;Table1[[#Headers],[Composition]]&amp;"*")</f>
        <v>1</v>
      </c>
      <c r="D90" s="8">
        <f>COUNTIFS('All Papers'!$D:$D,"*"&amp;$A90&amp;"*",'All Papers'!$G:$G,"*"&amp;Table1[[#Headers],[Discovery]]&amp;"*")</f>
        <v>0</v>
      </c>
      <c r="E90" s="8">
        <f>COUNTIFS('All Papers'!$D:$D,"*"&amp;$A90&amp;"*",'All Papers'!$G:$G,"*"&amp;Table1[[#Headers],[Selection]]&amp;"*")</f>
        <v>2</v>
      </c>
      <c r="F90" s="8">
        <f>COUNTIFS('All Papers'!$D:$D,"*"&amp;$A90&amp;"*",'All Papers'!$G:$G,"*"&amp;Table1[[#Headers],[Recommendation]]&amp;"*")</f>
        <v>1</v>
      </c>
      <c r="G90" s="8">
        <f>COUNTIFS('All Papers'!$D:$D,"*"&amp;$A90&amp;"*",'All Papers'!$G:$G,"*"&amp;Table1[[#Headers],[Resource Management-CS]]&amp;"*")</f>
        <v>0</v>
      </c>
      <c r="H90" s="8">
        <f>COUNTIFS('All Papers'!$D:$D,"*"&amp;$A90&amp;"*",'All Papers'!$G:$G,"*"&amp;Table1[[#Headers],[Resource Management-PS]]&amp;"*")</f>
        <v>1</v>
      </c>
      <c r="I90" s="8">
        <f>COUNTIFS('All Papers'!$D:$D,"*"&amp;$A90&amp;"*",'All Papers'!$G:$G,"*"&amp;Table1[[#Headers],[SLA Management]]&amp;"*")</f>
        <v>0</v>
      </c>
      <c r="J90" s="8">
        <f>COUNTIFS('All Papers'!$D:$D,"*"&amp;$A90&amp;"*",'All Papers'!$G:$G,"*"&amp;Table1[[#Headers],[Big Data]]&amp;"*")</f>
        <v>0</v>
      </c>
      <c r="K90" s="8">
        <f>COUNTIFS('All Papers'!$D:$D,"*"&amp;$A90&amp;"*",'All Papers'!$G:$G,"*"&amp;Table1[[#Headers],[Energy Management]]&amp;"*")</f>
        <v>0</v>
      </c>
      <c r="L90" s="8">
        <f>COUNTIFS('All Papers'!$D:$D,"*"&amp;$A90&amp;"*",'All Papers'!$G:$G,"*"&amp;Table1[[#Headers],[Monitoring]]&amp;"*")</f>
        <v>0</v>
      </c>
      <c r="M90" s="8">
        <f>COUNTIFS('All Papers'!$D:$D,"*"&amp;$A90&amp;"*",'All Papers'!$G:$G,"*"&amp;Table1[[#Headers],[Pricing]]&amp;"*")</f>
        <v>1</v>
      </c>
    </row>
    <row r="91" spans="1:13" x14ac:dyDescent="0.25">
      <c r="A91" s="8" t="s">
        <v>2524</v>
      </c>
      <c r="B91" s="8">
        <f>COUNTIF('All Papers'!D:D,"*"&amp;Table1[[#This Row],[Name]]&amp;"*")</f>
        <v>3</v>
      </c>
      <c r="C91" s="8">
        <f>COUNTIFS('All Papers'!$D:$D,"*"&amp;$A91&amp;"*",'All Papers'!$G:$G,"*"&amp;Table1[[#Headers],[Composition]]&amp;"*")</f>
        <v>0</v>
      </c>
      <c r="D91" s="8">
        <f>COUNTIFS('All Papers'!$D:$D,"*"&amp;$A91&amp;"*",'All Papers'!$G:$G,"*"&amp;Table1[[#Headers],[Discovery]]&amp;"*")</f>
        <v>0</v>
      </c>
      <c r="E91" s="8">
        <f>COUNTIFS('All Papers'!$D:$D,"*"&amp;$A91&amp;"*",'All Papers'!$G:$G,"*"&amp;Table1[[#Headers],[Selection]]&amp;"*")</f>
        <v>0</v>
      </c>
      <c r="F91" s="8">
        <f>COUNTIFS('All Papers'!$D:$D,"*"&amp;$A91&amp;"*",'All Papers'!$G:$G,"*"&amp;Table1[[#Headers],[Recommendation]]&amp;"*")</f>
        <v>0</v>
      </c>
      <c r="G91" s="8">
        <f>COUNTIFS('All Papers'!$D:$D,"*"&amp;$A91&amp;"*",'All Papers'!$G:$G,"*"&amp;Table1[[#Headers],[Resource Management-CS]]&amp;"*")</f>
        <v>3</v>
      </c>
      <c r="H91" s="8">
        <f>COUNTIFS('All Papers'!$D:$D,"*"&amp;$A91&amp;"*",'All Papers'!$G:$G,"*"&amp;Table1[[#Headers],[Resource Management-PS]]&amp;"*")</f>
        <v>0</v>
      </c>
      <c r="I91" s="8">
        <f>COUNTIFS('All Papers'!$D:$D,"*"&amp;$A91&amp;"*",'All Papers'!$G:$G,"*"&amp;Table1[[#Headers],[SLA Management]]&amp;"*")</f>
        <v>0</v>
      </c>
      <c r="J91" s="8">
        <f>COUNTIFS('All Papers'!$D:$D,"*"&amp;$A91&amp;"*",'All Papers'!$G:$G,"*"&amp;Table1[[#Headers],[Big Data]]&amp;"*")</f>
        <v>0</v>
      </c>
      <c r="K91" s="8">
        <f>COUNTIFS('All Papers'!$D:$D,"*"&amp;$A91&amp;"*",'All Papers'!$G:$G,"*"&amp;Table1[[#Headers],[Energy Management]]&amp;"*")</f>
        <v>0</v>
      </c>
      <c r="L91" s="8">
        <f>COUNTIFS('All Papers'!$D:$D,"*"&amp;$A91&amp;"*",'All Papers'!$G:$G,"*"&amp;Table1[[#Headers],[Monitoring]]&amp;"*")</f>
        <v>0</v>
      </c>
      <c r="M91" s="8">
        <f>COUNTIFS('All Papers'!$D:$D,"*"&amp;$A91&amp;"*",'All Papers'!$G:$G,"*"&amp;Table1[[#Headers],[Pricing]]&amp;"*")</f>
        <v>0</v>
      </c>
    </row>
    <row r="92" spans="1:13" x14ac:dyDescent="0.25">
      <c r="A92" s="8" t="s">
        <v>2525</v>
      </c>
      <c r="B92" s="8">
        <f>COUNTIF('All Papers'!D:D,"*"&amp;Table1[[#This Row],[Name]]&amp;"*")</f>
        <v>3</v>
      </c>
      <c r="C92" s="8">
        <f>COUNTIFS('All Papers'!$D:$D,"*"&amp;$A92&amp;"*",'All Papers'!$G:$G,"*"&amp;Table1[[#Headers],[Composition]]&amp;"*")</f>
        <v>0</v>
      </c>
      <c r="D92" s="8">
        <f>COUNTIFS('All Papers'!$D:$D,"*"&amp;$A92&amp;"*",'All Papers'!$G:$G,"*"&amp;Table1[[#Headers],[Discovery]]&amp;"*")</f>
        <v>0</v>
      </c>
      <c r="E92" s="8">
        <f>COUNTIFS('All Papers'!$D:$D,"*"&amp;$A92&amp;"*",'All Papers'!$G:$G,"*"&amp;Table1[[#Headers],[Selection]]&amp;"*")</f>
        <v>0</v>
      </c>
      <c r="F92" s="8">
        <f>COUNTIFS('All Papers'!$D:$D,"*"&amp;$A92&amp;"*",'All Papers'!$G:$G,"*"&amp;Table1[[#Headers],[Recommendation]]&amp;"*")</f>
        <v>0</v>
      </c>
      <c r="G92" s="8">
        <f>COUNTIFS('All Papers'!$D:$D,"*"&amp;$A92&amp;"*",'All Papers'!$G:$G,"*"&amp;Table1[[#Headers],[Resource Management-CS]]&amp;"*")</f>
        <v>1</v>
      </c>
      <c r="H92" s="8">
        <f>COUNTIFS('All Papers'!$D:$D,"*"&amp;$A92&amp;"*",'All Papers'!$G:$G,"*"&amp;Table1[[#Headers],[Resource Management-PS]]&amp;"*")</f>
        <v>2</v>
      </c>
      <c r="I92" s="8">
        <f>COUNTIFS('All Papers'!$D:$D,"*"&amp;$A92&amp;"*",'All Papers'!$G:$G,"*"&amp;Table1[[#Headers],[SLA Management]]&amp;"*")</f>
        <v>1</v>
      </c>
      <c r="J92" s="8">
        <f>COUNTIFS('All Papers'!$D:$D,"*"&amp;$A92&amp;"*",'All Papers'!$G:$G,"*"&amp;Table1[[#Headers],[Big Data]]&amp;"*")</f>
        <v>0</v>
      </c>
      <c r="K92" s="8">
        <f>COUNTIFS('All Papers'!$D:$D,"*"&amp;$A92&amp;"*",'All Papers'!$G:$G,"*"&amp;Table1[[#Headers],[Energy Management]]&amp;"*")</f>
        <v>0</v>
      </c>
      <c r="L92" s="8">
        <f>COUNTIFS('All Papers'!$D:$D,"*"&amp;$A92&amp;"*",'All Papers'!$G:$G,"*"&amp;Table1[[#Headers],[Monitoring]]&amp;"*")</f>
        <v>0</v>
      </c>
      <c r="M92" s="8">
        <f>COUNTIFS('All Papers'!$D:$D,"*"&amp;$A92&amp;"*",'All Papers'!$G:$G,"*"&amp;Table1[[#Headers],[Pricing]]&amp;"*")</f>
        <v>0</v>
      </c>
    </row>
    <row r="93" spans="1:13" x14ac:dyDescent="0.25">
      <c r="A93" s="8" t="s">
        <v>2526</v>
      </c>
      <c r="B93" s="8">
        <f>COUNTIF('All Papers'!D:D,"*"&amp;Table1[[#This Row],[Name]]&amp;"*")</f>
        <v>3</v>
      </c>
      <c r="C93" s="8">
        <f>COUNTIFS('All Papers'!$D:$D,"*"&amp;$A93&amp;"*",'All Papers'!$G:$G,"*"&amp;Table1[[#Headers],[Composition]]&amp;"*")</f>
        <v>2</v>
      </c>
      <c r="D93" s="8">
        <f>COUNTIFS('All Papers'!$D:$D,"*"&amp;$A93&amp;"*",'All Papers'!$G:$G,"*"&amp;Table1[[#Headers],[Discovery]]&amp;"*")</f>
        <v>0</v>
      </c>
      <c r="E93" s="8">
        <f>COUNTIFS('All Papers'!$D:$D,"*"&amp;$A93&amp;"*",'All Papers'!$G:$G,"*"&amp;Table1[[#Headers],[Selection]]&amp;"*")</f>
        <v>3</v>
      </c>
      <c r="F93" s="8">
        <f>COUNTIFS('All Papers'!$D:$D,"*"&amp;$A93&amp;"*",'All Papers'!$G:$G,"*"&amp;Table1[[#Headers],[Recommendation]]&amp;"*")</f>
        <v>0</v>
      </c>
      <c r="G93" s="8">
        <f>COUNTIFS('All Papers'!$D:$D,"*"&amp;$A93&amp;"*",'All Papers'!$G:$G,"*"&amp;Table1[[#Headers],[Resource Management-CS]]&amp;"*")</f>
        <v>0</v>
      </c>
      <c r="H93" s="8">
        <f>COUNTIFS('All Papers'!$D:$D,"*"&amp;$A93&amp;"*",'All Papers'!$G:$G,"*"&amp;Table1[[#Headers],[Resource Management-PS]]&amp;"*")</f>
        <v>0</v>
      </c>
      <c r="I93" s="8">
        <f>COUNTIFS('All Papers'!$D:$D,"*"&amp;$A93&amp;"*",'All Papers'!$G:$G,"*"&amp;Table1[[#Headers],[SLA Management]]&amp;"*")</f>
        <v>0</v>
      </c>
      <c r="J93" s="8">
        <f>COUNTIFS('All Papers'!$D:$D,"*"&amp;$A93&amp;"*",'All Papers'!$G:$G,"*"&amp;Table1[[#Headers],[Big Data]]&amp;"*")</f>
        <v>0</v>
      </c>
      <c r="K93" s="8">
        <f>COUNTIFS('All Papers'!$D:$D,"*"&amp;$A93&amp;"*",'All Papers'!$G:$G,"*"&amp;Table1[[#Headers],[Energy Management]]&amp;"*")</f>
        <v>0</v>
      </c>
      <c r="L93" s="8">
        <f>COUNTIFS('All Papers'!$D:$D,"*"&amp;$A93&amp;"*",'All Papers'!$G:$G,"*"&amp;Table1[[#Headers],[Monitoring]]&amp;"*")</f>
        <v>0</v>
      </c>
      <c r="M93" s="8">
        <f>COUNTIFS('All Papers'!$D:$D,"*"&amp;$A93&amp;"*",'All Papers'!$G:$G,"*"&amp;Table1[[#Headers],[Pricing]]&amp;"*")</f>
        <v>0</v>
      </c>
    </row>
    <row r="94" spans="1:13" x14ac:dyDescent="0.25">
      <c r="A94" s="8" t="s">
        <v>2527</v>
      </c>
      <c r="B94" s="8">
        <f>COUNTIF('All Papers'!D:D,"*"&amp;Table1[[#This Row],[Name]]&amp;"*")</f>
        <v>3</v>
      </c>
      <c r="C94" s="8">
        <f>COUNTIFS('All Papers'!$D:$D,"*"&amp;$A94&amp;"*",'All Papers'!$G:$G,"*"&amp;Table1[[#Headers],[Composition]]&amp;"*")</f>
        <v>0</v>
      </c>
      <c r="D94" s="8">
        <f>COUNTIFS('All Papers'!$D:$D,"*"&amp;$A94&amp;"*",'All Papers'!$G:$G,"*"&amp;Table1[[#Headers],[Discovery]]&amp;"*")</f>
        <v>0</v>
      </c>
      <c r="E94" s="8">
        <f>COUNTIFS('All Papers'!$D:$D,"*"&amp;$A94&amp;"*",'All Papers'!$G:$G,"*"&amp;Table1[[#Headers],[Selection]]&amp;"*")</f>
        <v>2</v>
      </c>
      <c r="F94" s="8">
        <f>COUNTIFS('All Papers'!$D:$D,"*"&amp;$A94&amp;"*",'All Papers'!$G:$G,"*"&amp;Table1[[#Headers],[Recommendation]]&amp;"*")</f>
        <v>0</v>
      </c>
      <c r="G94" s="8">
        <f>COUNTIFS('All Papers'!$D:$D,"*"&amp;$A94&amp;"*",'All Papers'!$G:$G,"*"&amp;Table1[[#Headers],[Resource Management-CS]]&amp;"*")</f>
        <v>1</v>
      </c>
      <c r="H94" s="8">
        <f>COUNTIFS('All Papers'!$D:$D,"*"&amp;$A94&amp;"*",'All Papers'!$G:$G,"*"&amp;Table1[[#Headers],[Resource Management-PS]]&amp;"*")</f>
        <v>0</v>
      </c>
      <c r="I94" s="8">
        <f>COUNTIFS('All Papers'!$D:$D,"*"&amp;$A94&amp;"*",'All Papers'!$G:$G,"*"&amp;Table1[[#Headers],[SLA Management]]&amp;"*")</f>
        <v>1</v>
      </c>
      <c r="J94" s="8">
        <f>COUNTIFS('All Papers'!$D:$D,"*"&amp;$A94&amp;"*",'All Papers'!$G:$G,"*"&amp;Table1[[#Headers],[Big Data]]&amp;"*")</f>
        <v>0</v>
      </c>
      <c r="K94" s="8">
        <f>COUNTIFS('All Papers'!$D:$D,"*"&amp;$A94&amp;"*",'All Papers'!$G:$G,"*"&amp;Table1[[#Headers],[Energy Management]]&amp;"*")</f>
        <v>0</v>
      </c>
      <c r="L94" s="8">
        <f>COUNTIFS('All Papers'!$D:$D,"*"&amp;$A94&amp;"*",'All Papers'!$G:$G,"*"&amp;Table1[[#Headers],[Monitoring]]&amp;"*")</f>
        <v>0</v>
      </c>
      <c r="M94" s="8">
        <f>COUNTIFS('All Papers'!$D:$D,"*"&amp;$A94&amp;"*",'All Papers'!$G:$G,"*"&amp;Table1[[#Headers],[Pricing]]&amp;"*")</f>
        <v>0</v>
      </c>
    </row>
    <row r="95" spans="1:13" x14ac:dyDescent="0.25">
      <c r="A95" s="8" t="s">
        <v>2528</v>
      </c>
      <c r="B95" s="8">
        <f>COUNTIF('All Papers'!D:D,"*"&amp;Table1[[#This Row],[Name]]&amp;"*")</f>
        <v>3</v>
      </c>
      <c r="C95" s="8">
        <f>COUNTIFS('All Papers'!$D:$D,"*"&amp;$A95&amp;"*",'All Papers'!$G:$G,"*"&amp;Table1[[#Headers],[Composition]]&amp;"*")</f>
        <v>0</v>
      </c>
      <c r="D95" s="8">
        <f>COUNTIFS('All Papers'!$D:$D,"*"&amp;$A95&amp;"*",'All Papers'!$G:$G,"*"&amp;Table1[[#Headers],[Discovery]]&amp;"*")</f>
        <v>0</v>
      </c>
      <c r="E95" s="8">
        <f>COUNTIFS('All Papers'!$D:$D,"*"&amp;$A95&amp;"*",'All Papers'!$G:$G,"*"&amp;Table1[[#Headers],[Selection]]&amp;"*")</f>
        <v>2</v>
      </c>
      <c r="F95" s="8">
        <f>COUNTIFS('All Papers'!$D:$D,"*"&amp;$A95&amp;"*",'All Papers'!$G:$G,"*"&amp;Table1[[#Headers],[Recommendation]]&amp;"*")</f>
        <v>0</v>
      </c>
      <c r="G95" s="8">
        <f>COUNTIFS('All Papers'!$D:$D,"*"&amp;$A95&amp;"*",'All Papers'!$G:$G,"*"&amp;Table1[[#Headers],[Resource Management-CS]]&amp;"*")</f>
        <v>1</v>
      </c>
      <c r="H95" s="8">
        <f>COUNTIFS('All Papers'!$D:$D,"*"&amp;$A95&amp;"*",'All Papers'!$G:$G,"*"&amp;Table1[[#Headers],[Resource Management-PS]]&amp;"*")</f>
        <v>0</v>
      </c>
      <c r="I95" s="8">
        <f>COUNTIFS('All Papers'!$D:$D,"*"&amp;$A95&amp;"*",'All Papers'!$G:$G,"*"&amp;Table1[[#Headers],[SLA Management]]&amp;"*")</f>
        <v>1</v>
      </c>
      <c r="J95" s="8">
        <f>COUNTIFS('All Papers'!$D:$D,"*"&amp;$A95&amp;"*",'All Papers'!$G:$G,"*"&amp;Table1[[#Headers],[Big Data]]&amp;"*")</f>
        <v>0</v>
      </c>
      <c r="K95" s="8">
        <f>COUNTIFS('All Papers'!$D:$D,"*"&amp;$A95&amp;"*",'All Papers'!$G:$G,"*"&amp;Table1[[#Headers],[Energy Management]]&amp;"*")</f>
        <v>0</v>
      </c>
      <c r="L95" s="8">
        <f>COUNTIFS('All Papers'!$D:$D,"*"&amp;$A95&amp;"*",'All Papers'!$G:$G,"*"&amp;Table1[[#Headers],[Monitoring]]&amp;"*")</f>
        <v>0</v>
      </c>
      <c r="M95" s="8">
        <f>COUNTIFS('All Papers'!$D:$D,"*"&amp;$A95&amp;"*",'All Papers'!$G:$G,"*"&amp;Table1[[#Headers],[Pricing]]&amp;"*")</f>
        <v>0</v>
      </c>
    </row>
    <row r="96" spans="1:13" x14ac:dyDescent="0.25">
      <c r="A96" s="8" t="s">
        <v>2529</v>
      </c>
      <c r="B96" s="8">
        <f>COUNTIF('All Papers'!D:D,"*"&amp;Table1[[#This Row],[Name]]&amp;"*")</f>
        <v>3</v>
      </c>
      <c r="C96" s="8">
        <f>COUNTIFS('All Papers'!$D:$D,"*"&amp;$A96&amp;"*",'All Papers'!$G:$G,"*"&amp;Table1[[#Headers],[Composition]]&amp;"*")</f>
        <v>0</v>
      </c>
      <c r="D96" s="8">
        <f>COUNTIFS('All Papers'!$D:$D,"*"&amp;$A96&amp;"*",'All Papers'!$G:$G,"*"&amp;Table1[[#Headers],[Discovery]]&amp;"*")</f>
        <v>0</v>
      </c>
      <c r="E96" s="8">
        <f>COUNTIFS('All Papers'!$D:$D,"*"&amp;$A96&amp;"*",'All Papers'!$G:$G,"*"&amp;Table1[[#Headers],[Selection]]&amp;"*")</f>
        <v>0</v>
      </c>
      <c r="F96" s="8">
        <f>COUNTIFS('All Papers'!$D:$D,"*"&amp;$A96&amp;"*",'All Papers'!$G:$G,"*"&amp;Table1[[#Headers],[Recommendation]]&amp;"*")</f>
        <v>0</v>
      </c>
      <c r="G96" s="8">
        <f>COUNTIFS('All Papers'!$D:$D,"*"&amp;$A96&amp;"*",'All Papers'!$G:$G,"*"&amp;Table1[[#Headers],[Resource Management-CS]]&amp;"*")</f>
        <v>0</v>
      </c>
      <c r="H96" s="8">
        <f>COUNTIFS('All Papers'!$D:$D,"*"&amp;$A96&amp;"*",'All Papers'!$G:$G,"*"&amp;Table1[[#Headers],[Resource Management-PS]]&amp;"*")</f>
        <v>3</v>
      </c>
      <c r="I96" s="8">
        <f>COUNTIFS('All Papers'!$D:$D,"*"&amp;$A96&amp;"*",'All Papers'!$G:$G,"*"&amp;Table1[[#Headers],[SLA Management]]&amp;"*")</f>
        <v>0</v>
      </c>
      <c r="J96" s="8">
        <f>COUNTIFS('All Papers'!$D:$D,"*"&amp;$A96&amp;"*",'All Papers'!$G:$G,"*"&amp;Table1[[#Headers],[Big Data]]&amp;"*")</f>
        <v>0</v>
      </c>
      <c r="K96" s="8">
        <f>COUNTIFS('All Papers'!$D:$D,"*"&amp;$A96&amp;"*",'All Papers'!$G:$G,"*"&amp;Table1[[#Headers],[Energy Management]]&amp;"*")</f>
        <v>0</v>
      </c>
      <c r="L96" s="8">
        <f>COUNTIFS('All Papers'!$D:$D,"*"&amp;$A96&amp;"*",'All Papers'!$G:$G,"*"&amp;Table1[[#Headers],[Monitoring]]&amp;"*")</f>
        <v>0</v>
      </c>
      <c r="M96" s="8">
        <f>COUNTIFS('All Papers'!$D:$D,"*"&amp;$A96&amp;"*",'All Papers'!$G:$G,"*"&amp;Table1[[#Headers],[Pricing]]&amp;"*")</f>
        <v>0</v>
      </c>
    </row>
    <row r="97" spans="1:13" x14ac:dyDescent="0.25">
      <c r="A97" s="8" t="s">
        <v>2530</v>
      </c>
      <c r="B97" s="8">
        <f>COUNTIF('All Papers'!D:D,"*"&amp;Table1[[#This Row],[Name]]&amp;"*")</f>
        <v>3</v>
      </c>
      <c r="C97" s="8">
        <f>COUNTIFS('All Papers'!$D:$D,"*"&amp;$A97&amp;"*",'All Papers'!$G:$G,"*"&amp;Table1[[#Headers],[Composition]]&amp;"*")</f>
        <v>0</v>
      </c>
      <c r="D97" s="8">
        <f>COUNTIFS('All Papers'!$D:$D,"*"&amp;$A97&amp;"*",'All Papers'!$G:$G,"*"&amp;Table1[[#Headers],[Discovery]]&amp;"*")</f>
        <v>0</v>
      </c>
      <c r="E97" s="8">
        <f>COUNTIFS('All Papers'!$D:$D,"*"&amp;$A97&amp;"*",'All Papers'!$G:$G,"*"&amp;Table1[[#Headers],[Selection]]&amp;"*")</f>
        <v>1</v>
      </c>
      <c r="F97" s="8">
        <f>COUNTIFS('All Papers'!$D:$D,"*"&amp;$A97&amp;"*",'All Papers'!$G:$G,"*"&amp;Table1[[#Headers],[Recommendation]]&amp;"*")</f>
        <v>0</v>
      </c>
      <c r="G97" s="8">
        <f>COUNTIFS('All Papers'!$D:$D,"*"&amp;$A97&amp;"*",'All Papers'!$G:$G,"*"&amp;Table1[[#Headers],[Resource Management-CS]]&amp;"*")</f>
        <v>1</v>
      </c>
      <c r="H97" s="8">
        <f>COUNTIFS('All Papers'!$D:$D,"*"&amp;$A97&amp;"*",'All Papers'!$G:$G,"*"&amp;Table1[[#Headers],[Resource Management-PS]]&amp;"*")</f>
        <v>0</v>
      </c>
      <c r="I97" s="8">
        <f>COUNTIFS('All Papers'!$D:$D,"*"&amp;$A97&amp;"*",'All Papers'!$G:$G,"*"&amp;Table1[[#Headers],[SLA Management]]&amp;"*")</f>
        <v>0</v>
      </c>
      <c r="J97" s="8">
        <f>COUNTIFS('All Papers'!$D:$D,"*"&amp;$A97&amp;"*",'All Papers'!$G:$G,"*"&amp;Table1[[#Headers],[Big Data]]&amp;"*")</f>
        <v>0</v>
      </c>
      <c r="K97" s="8">
        <f>COUNTIFS('All Papers'!$D:$D,"*"&amp;$A97&amp;"*",'All Papers'!$G:$G,"*"&amp;Table1[[#Headers],[Energy Management]]&amp;"*")</f>
        <v>0</v>
      </c>
      <c r="L97" s="8">
        <f>COUNTIFS('All Papers'!$D:$D,"*"&amp;$A97&amp;"*",'All Papers'!$G:$G,"*"&amp;Table1[[#Headers],[Monitoring]]&amp;"*")</f>
        <v>0</v>
      </c>
      <c r="M97" s="8">
        <f>COUNTIFS('All Papers'!$D:$D,"*"&amp;$A97&amp;"*",'All Papers'!$G:$G,"*"&amp;Table1[[#Headers],[Pricing]]&amp;"*")</f>
        <v>1</v>
      </c>
    </row>
    <row r="98" spans="1:13" x14ac:dyDescent="0.25">
      <c r="A98" s="8" t="s">
        <v>2531</v>
      </c>
      <c r="B98" s="8">
        <f>COUNTIF('All Papers'!D:D,"*"&amp;Table1[[#This Row],[Name]]&amp;"*")</f>
        <v>3</v>
      </c>
      <c r="C98" s="8">
        <f>COUNTIFS('All Papers'!$D:$D,"*"&amp;$A98&amp;"*",'All Papers'!$G:$G,"*"&amp;Table1[[#Headers],[Composition]]&amp;"*")</f>
        <v>0</v>
      </c>
      <c r="D98" s="8">
        <f>COUNTIFS('All Papers'!$D:$D,"*"&amp;$A98&amp;"*",'All Papers'!$G:$G,"*"&amp;Table1[[#Headers],[Discovery]]&amp;"*")</f>
        <v>1</v>
      </c>
      <c r="E98" s="8">
        <f>COUNTIFS('All Papers'!$D:$D,"*"&amp;$A98&amp;"*",'All Papers'!$G:$G,"*"&amp;Table1[[#Headers],[Selection]]&amp;"*")</f>
        <v>0</v>
      </c>
      <c r="F98" s="8">
        <f>COUNTIFS('All Papers'!$D:$D,"*"&amp;$A98&amp;"*",'All Papers'!$G:$G,"*"&amp;Table1[[#Headers],[Recommendation]]&amp;"*")</f>
        <v>0</v>
      </c>
      <c r="G98" s="8">
        <f>COUNTIFS('All Papers'!$D:$D,"*"&amp;$A98&amp;"*",'All Papers'!$G:$G,"*"&amp;Table1[[#Headers],[Resource Management-CS]]&amp;"*")</f>
        <v>0</v>
      </c>
      <c r="H98" s="8">
        <f>COUNTIFS('All Papers'!$D:$D,"*"&amp;$A98&amp;"*",'All Papers'!$G:$G,"*"&amp;Table1[[#Headers],[Resource Management-PS]]&amp;"*")</f>
        <v>3</v>
      </c>
      <c r="I98" s="8">
        <f>COUNTIFS('All Papers'!$D:$D,"*"&amp;$A98&amp;"*",'All Papers'!$G:$G,"*"&amp;Table1[[#Headers],[SLA Management]]&amp;"*")</f>
        <v>0</v>
      </c>
      <c r="J98" s="8">
        <f>COUNTIFS('All Papers'!$D:$D,"*"&amp;$A98&amp;"*",'All Papers'!$G:$G,"*"&amp;Table1[[#Headers],[Big Data]]&amp;"*")</f>
        <v>0</v>
      </c>
      <c r="K98" s="8">
        <f>COUNTIFS('All Papers'!$D:$D,"*"&amp;$A98&amp;"*",'All Papers'!$G:$G,"*"&amp;Table1[[#Headers],[Energy Management]]&amp;"*")</f>
        <v>0</v>
      </c>
      <c r="L98" s="8">
        <f>COUNTIFS('All Papers'!$D:$D,"*"&amp;$A98&amp;"*",'All Papers'!$G:$G,"*"&amp;Table1[[#Headers],[Monitoring]]&amp;"*")</f>
        <v>0</v>
      </c>
      <c r="M98" s="8">
        <f>COUNTIFS('All Papers'!$D:$D,"*"&amp;$A98&amp;"*",'All Papers'!$G:$G,"*"&amp;Table1[[#Headers],[Pricing]]&amp;"*")</f>
        <v>0</v>
      </c>
    </row>
    <row r="99" spans="1:13" x14ac:dyDescent="0.25">
      <c r="A99" s="8" t="s">
        <v>2532</v>
      </c>
      <c r="B99" s="8">
        <f>COUNTIF('All Papers'!D:D,"*"&amp;Table1[[#This Row],[Name]]&amp;"*")</f>
        <v>3</v>
      </c>
      <c r="C99" s="8">
        <f>COUNTIFS('All Papers'!$D:$D,"*"&amp;$A99&amp;"*",'All Papers'!$G:$G,"*"&amp;Table1[[#Headers],[Composition]]&amp;"*")</f>
        <v>0</v>
      </c>
      <c r="D99" s="8">
        <f>COUNTIFS('All Papers'!$D:$D,"*"&amp;$A99&amp;"*",'All Papers'!$G:$G,"*"&amp;Table1[[#Headers],[Discovery]]&amp;"*")</f>
        <v>1</v>
      </c>
      <c r="E99" s="8">
        <f>COUNTIFS('All Papers'!$D:$D,"*"&amp;$A99&amp;"*",'All Papers'!$G:$G,"*"&amp;Table1[[#Headers],[Selection]]&amp;"*")</f>
        <v>0</v>
      </c>
      <c r="F99" s="8">
        <f>COUNTIFS('All Papers'!$D:$D,"*"&amp;$A99&amp;"*",'All Papers'!$G:$G,"*"&amp;Table1[[#Headers],[Recommendation]]&amp;"*")</f>
        <v>0</v>
      </c>
      <c r="G99" s="8">
        <f>COUNTIFS('All Papers'!$D:$D,"*"&amp;$A99&amp;"*",'All Papers'!$G:$G,"*"&amp;Table1[[#Headers],[Resource Management-CS]]&amp;"*")</f>
        <v>0</v>
      </c>
      <c r="H99" s="8">
        <f>COUNTIFS('All Papers'!$D:$D,"*"&amp;$A99&amp;"*",'All Papers'!$G:$G,"*"&amp;Table1[[#Headers],[Resource Management-PS]]&amp;"*")</f>
        <v>3</v>
      </c>
      <c r="I99" s="8">
        <f>COUNTIFS('All Papers'!$D:$D,"*"&amp;$A99&amp;"*",'All Papers'!$G:$G,"*"&amp;Table1[[#Headers],[SLA Management]]&amp;"*")</f>
        <v>0</v>
      </c>
      <c r="J99" s="8">
        <f>COUNTIFS('All Papers'!$D:$D,"*"&amp;$A99&amp;"*",'All Papers'!$G:$G,"*"&amp;Table1[[#Headers],[Big Data]]&amp;"*")</f>
        <v>0</v>
      </c>
      <c r="K99" s="8">
        <f>COUNTIFS('All Papers'!$D:$D,"*"&amp;$A99&amp;"*",'All Papers'!$G:$G,"*"&amp;Table1[[#Headers],[Energy Management]]&amp;"*")</f>
        <v>0</v>
      </c>
      <c r="L99" s="8">
        <f>COUNTIFS('All Papers'!$D:$D,"*"&amp;$A99&amp;"*",'All Papers'!$G:$G,"*"&amp;Table1[[#Headers],[Monitoring]]&amp;"*")</f>
        <v>0</v>
      </c>
      <c r="M99" s="8">
        <f>COUNTIFS('All Papers'!$D:$D,"*"&amp;$A99&amp;"*",'All Papers'!$G:$G,"*"&amp;Table1[[#Headers],[Pricing]]&amp;"*")</f>
        <v>0</v>
      </c>
    </row>
    <row r="100" spans="1:13" x14ac:dyDescent="0.25">
      <c r="A100" s="8" t="s">
        <v>2533</v>
      </c>
      <c r="B100" s="8">
        <f>COUNTIF('All Papers'!D:D,"*"&amp;Table1[[#This Row],[Name]]&amp;"*")</f>
        <v>3</v>
      </c>
      <c r="C100" s="8">
        <f>COUNTIFS('All Papers'!$D:$D,"*"&amp;$A100&amp;"*",'All Papers'!$G:$G,"*"&amp;Table1[[#Headers],[Composition]]&amp;"*")</f>
        <v>0</v>
      </c>
      <c r="D100" s="8">
        <f>COUNTIFS('All Papers'!$D:$D,"*"&amp;$A100&amp;"*",'All Papers'!$G:$G,"*"&amp;Table1[[#Headers],[Discovery]]&amp;"*")</f>
        <v>0</v>
      </c>
      <c r="E100" s="8">
        <f>COUNTIFS('All Papers'!$D:$D,"*"&amp;$A100&amp;"*",'All Papers'!$G:$G,"*"&amp;Table1[[#Headers],[Selection]]&amp;"*")</f>
        <v>0</v>
      </c>
      <c r="F100" s="8">
        <f>COUNTIFS('All Papers'!$D:$D,"*"&amp;$A100&amp;"*",'All Papers'!$G:$G,"*"&amp;Table1[[#Headers],[Recommendation]]&amp;"*")</f>
        <v>0</v>
      </c>
      <c r="G100" s="8">
        <f>COUNTIFS('All Papers'!$D:$D,"*"&amp;$A100&amp;"*",'All Papers'!$G:$G,"*"&amp;Table1[[#Headers],[Resource Management-CS]]&amp;"*")</f>
        <v>3</v>
      </c>
      <c r="H100" s="8">
        <f>COUNTIFS('All Papers'!$D:$D,"*"&amp;$A100&amp;"*",'All Papers'!$G:$G,"*"&amp;Table1[[#Headers],[Resource Management-PS]]&amp;"*")</f>
        <v>0</v>
      </c>
      <c r="I100" s="8">
        <f>COUNTIFS('All Papers'!$D:$D,"*"&amp;$A100&amp;"*",'All Papers'!$G:$G,"*"&amp;Table1[[#Headers],[SLA Management]]&amp;"*")</f>
        <v>1</v>
      </c>
      <c r="J100" s="8">
        <f>COUNTIFS('All Papers'!$D:$D,"*"&amp;$A100&amp;"*",'All Papers'!$G:$G,"*"&amp;Table1[[#Headers],[Big Data]]&amp;"*")</f>
        <v>0</v>
      </c>
      <c r="K100" s="8">
        <f>COUNTIFS('All Papers'!$D:$D,"*"&amp;$A100&amp;"*",'All Papers'!$G:$G,"*"&amp;Table1[[#Headers],[Energy Management]]&amp;"*")</f>
        <v>0</v>
      </c>
      <c r="L100" s="8">
        <f>COUNTIFS('All Papers'!$D:$D,"*"&amp;$A100&amp;"*",'All Papers'!$G:$G,"*"&amp;Table1[[#Headers],[Monitoring]]&amp;"*")</f>
        <v>0</v>
      </c>
      <c r="M100" s="8">
        <f>COUNTIFS('All Papers'!$D:$D,"*"&amp;$A100&amp;"*",'All Papers'!$G:$G,"*"&amp;Table1[[#Headers],[Pricing]]&amp;"*")</f>
        <v>0</v>
      </c>
    </row>
    <row r="101" spans="1:13" x14ac:dyDescent="0.25">
      <c r="A101" s="8" t="s">
        <v>2534</v>
      </c>
      <c r="B101" s="8">
        <f>COUNTIF('All Papers'!D:D,"*"&amp;Table1[[#This Row],[Name]]&amp;"*")</f>
        <v>3</v>
      </c>
      <c r="C101" s="8">
        <f>COUNTIFS('All Papers'!$D:$D,"*"&amp;$A101&amp;"*",'All Papers'!$G:$G,"*"&amp;Table1[[#Headers],[Composition]]&amp;"*")</f>
        <v>2</v>
      </c>
      <c r="D101" s="8">
        <f>COUNTIFS('All Papers'!$D:$D,"*"&amp;$A101&amp;"*",'All Papers'!$G:$G,"*"&amp;Table1[[#Headers],[Discovery]]&amp;"*")</f>
        <v>0</v>
      </c>
      <c r="E101" s="8">
        <f>COUNTIFS('All Papers'!$D:$D,"*"&amp;$A101&amp;"*",'All Papers'!$G:$G,"*"&amp;Table1[[#Headers],[Selection]]&amp;"*")</f>
        <v>0</v>
      </c>
      <c r="F101" s="8">
        <f>COUNTIFS('All Papers'!$D:$D,"*"&amp;$A101&amp;"*",'All Papers'!$G:$G,"*"&amp;Table1[[#Headers],[Recommendation]]&amp;"*")</f>
        <v>0</v>
      </c>
      <c r="G101" s="8">
        <f>COUNTIFS('All Papers'!$D:$D,"*"&amp;$A101&amp;"*",'All Papers'!$G:$G,"*"&amp;Table1[[#Headers],[Resource Management-CS]]&amp;"*")</f>
        <v>1</v>
      </c>
      <c r="H101" s="8">
        <f>COUNTIFS('All Papers'!$D:$D,"*"&amp;$A101&amp;"*",'All Papers'!$G:$G,"*"&amp;Table1[[#Headers],[Resource Management-PS]]&amp;"*")</f>
        <v>0</v>
      </c>
      <c r="I101" s="8">
        <f>COUNTIFS('All Papers'!$D:$D,"*"&amp;$A101&amp;"*",'All Papers'!$G:$G,"*"&amp;Table1[[#Headers],[SLA Management]]&amp;"*")</f>
        <v>0</v>
      </c>
      <c r="J101" s="8">
        <f>COUNTIFS('All Papers'!$D:$D,"*"&amp;$A101&amp;"*",'All Papers'!$G:$G,"*"&amp;Table1[[#Headers],[Big Data]]&amp;"*")</f>
        <v>0</v>
      </c>
      <c r="K101" s="8">
        <f>COUNTIFS('All Papers'!$D:$D,"*"&amp;$A101&amp;"*",'All Papers'!$G:$G,"*"&amp;Table1[[#Headers],[Energy Management]]&amp;"*")</f>
        <v>0</v>
      </c>
      <c r="L101" s="8">
        <f>COUNTIFS('All Papers'!$D:$D,"*"&amp;$A101&amp;"*",'All Papers'!$G:$G,"*"&amp;Table1[[#Headers],[Monitoring]]&amp;"*")</f>
        <v>0</v>
      </c>
      <c r="M101" s="8">
        <f>COUNTIFS('All Papers'!$D:$D,"*"&amp;$A101&amp;"*",'All Papers'!$G:$G,"*"&amp;Table1[[#Headers],[Pricing]]&amp;"*")</f>
        <v>0</v>
      </c>
    </row>
    <row r="102" spans="1:13" x14ac:dyDescent="0.25">
      <c r="A102" s="8" t="s">
        <v>2535</v>
      </c>
      <c r="B102" s="8">
        <f>COUNTIF('All Papers'!D:D,"*"&amp;Table1[[#This Row],[Name]]&amp;"*")</f>
        <v>3</v>
      </c>
      <c r="C102" s="8">
        <f>COUNTIFS('All Papers'!$D:$D,"*"&amp;$A102&amp;"*",'All Papers'!$G:$G,"*"&amp;Table1[[#Headers],[Composition]]&amp;"*")</f>
        <v>2</v>
      </c>
      <c r="D102" s="8">
        <f>COUNTIFS('All Papers'!$D:$D,"*"&amp;$A102&amp;"*",'All Papers'!$G:$G,"*"&amp;Table1[[#Headers],[Discovery]]&amp;"*")</f>
        <v>0</v>
      </c>
      <c r="E102" s="8">
        <f>COUNTIFS('All Papers'!$D:$D,"*"&amp;$A102&amp;"*",'All Papers'!$G:$G,"*"&amp;Table1[[#Headers],[Selection]]&amp;"*")</f>
        <v>0</v>
      </c>
      <c r="F102" s="8">
        <f>COUNTIFS('All Papers'!$D:$D,"*"&amp;$A102&amp;"*",'All Papers'!$G:$G,"*"&amp;Table1[[#Headers],[Recommendation]]&amp;"*")</f>
        <v>0</v>
      </c>
      <c r="G102" s="8">
        <f>COUNTIFS('All Papers'!$D:$D,"*"&amp;$A102&amp;"*",'All Papers'!$G:$G,"*"&amp;Table1[[#Headers],[Resource Management-CS]]&amp;"*")</f>
        <v>1</v>
      </c>
      <c r="H102" s="8">
        <f>COUNTIFS('All Papers'!$D:$D,"*"&amp;$A102&amp;"*",'All Papers'!$G:$G,"*"&amp;Table1[[#Headers],[Resource Management-PS]]&amp;"*")</f>
        <v>0</v>
      </c>
      <c r="I102" s="8">
        <f>COUNTIFS('All Papers'!$D:$D,"*"&amp;$A102&amp;"*",'All Papers'!$G:$G,"*"&amp;Table1[[#Headers],[SLA Management]]&amp;"*")</f>
        <v>0</v>
      </c>
      <c r="J102" s="8">
        <f>COUNTIFS('All Papers'!$D:$D,"*"&amp;$A102&amp;"*",'All Papers'!$G:$G,"*"&amp;Table1[[#Headers],[Big Data]]&amp;"*")</f>
        <v>0</v>
      </c>
      <c r="K102" s="8">
        <f>COUNTIFS('All Papers'!$D:$D,"*"&amp;$A102&amp;"*",'All Papers'!$G:$G,"*"&amp;Table1[[#Headers],[Energy Management]]&amp;"*")</f>
        <v>0</v>
      </c>
      <c r="L102" s="8">
        <f>COUNTIFS('All Papers'!$D:$D,"*"&amp;$A102&amp;"*",'All Papers'!$G:$G,"*"&amp;Table1[[#Headers],[Monitoring]]&amp;"*")</f>
        <v>0</v>
      </c>
      <c r="M102" s="8">
        <f>COUNTIFS('All Papers'!$D:$D,"*"&amp;$A102&amp;"*",'All Papers'!$G:$G,"*"&amp;Table1[[#Headers],[Pricing]]&amp;"*")</f>
        <v>0</v>
      </c>
    </row>
    <row r="103" spans="1:13" x14ac:dyDescent="0.25">
      <c r="A103" s="8" t="s">
        <v>2536</v>
      </c>
      <c r="B103" s="8">
        <f>COUNTIF('All Papers'!D:D,"*"&amp;Table1[[#This Row],[Name]]&amp;"*")</f>
        <v>3</v>
      </c>
      <c r="C103" s="8">
        <f>COUNTIFS('All Papers'!$D:$D,"*"&amp;$A103&amp;"*",'All Papers'!$G:$G,"*"&amp;Table1[[#Headers],[Composition]]&amp;"*")</f>
        <v>3</v>
      </c>
      <c r="D103" s="8">
        <f>COUNTIFS('All Papers'!$D:$D,"*"&amp;$A103&amp;"*",'All Papers'!$G:$G,"*"&amp;Table1[[#Headers],[Discovery]]&amp;"*")</f>
        <v>0</v>
      </c>
      <c r="E103" s="8">
        <f>COUNTIFS('All Papers'!$D:$D,"*"&amp;$A103&amp;"*",'All Papers'!$G:$G,"*"&amp;Table1[[#Headers],[Selection]]&amp;"*")</f>
        <v>0</v>
      </c>
      <c r="F103" s="8">
        <f>COUNTIFS('All Papers'!$D:$D,"*"&amp;$A103&amp;"*",'All Papers'!$G:$G,"*"&amp;Table1[[#Headers],[Recommendation]]&amp;"*")</f>
        <v>0</v>
      </c>
      <c r="G103" s="8">
        <f>COUNTIFS('All Papers'!$D:$D,"*"&amp;$A103&amp;"*",'All Papers'!$G:$G,"*"&amp;Table1[[#Headers],[Resource Management-CS]]&amp;"*")</f>
        <v>0</v>
      </c>
      <c r="H103" s="8">
        <f>COUNTIFS('All Papers'!$D:$D,"*"&amp;$A103&amp;"*",'All Papers'!$G:$G,"*"&amp;Table1[[#Headers],[Resource Management-PS]]&amp;"*")</f>
        <v>0</v>
      </c>
      <c r="I103" s="8">
        <f>COUNTIFS('All Papers'!$D:$D,"*"&amp;$A103&amp;"*",'All Papers'!$G:$G,"*"&amp;Table1[[#Headers],[SLA Management]]&amp;"*")</f>
        <v>0</v>
      </c>
      <c r="J103" s="8">
        <f>COUNTIFS('All Papers'!$D:$D,"*"&amp;$A103&amp;"*",'All Papers'!$G:$G,"*"&amp;Table1[[#Headers],[Big Data]]&amp;"*")</f>
        <v>0</v>
      </c>
      <c r="K103" s="8">
        <f>COUNTIFS('All Papers'!$D:$D,"*"&amp;$A103&amp;"*",'All Papers'!$G:$G,"*"&amp;Table1[[#Headers],[Energy Management]]&amp;"*")</f>
        <v>0</v>
      </c>
      <c r="L103" s="8">
        <f>COUNTIFS('All Papers'!$D:$D,"*"&amp;$A103&amp;"*",'All Papers'!$G:$G,"*"&amp;Table1[[#Headers],[Monitoring]]&amp;"*")</f>
        <v>0</v>
      </c>
      <c r="M103" s="8">
        <f>COUNTIFS('All Papers'!$D:$D,"*"&amp;$A103&amp;"*",'All Papers'!$G:$G,"*"&amp;Table1[[#Headers],[Pricing]]&amp;"*")</f>
        <v>0</v>
      </c>
    </row>
    <row r="104" spans="1:13" x14ac:dyDescent="0.25">
      <c r="A104" s="8" t="s">
        <v>2537</v>
      </c>
      <c r="B104" s="8">
        <f>COUNTIF('All Papers'!D:D,"*"&amp;Table1[[#This Row],[Name]]&amp;"*")</f>
        <v>3</v>
      </c>
      <c r="C104" s="8">
        <f>COUNTIFS('All Papers'!$D:$D,"*"&amp;$A104&amp;"*",'All Papers'!$G:$G,"*"&amp;Table1[[#Headers],[Composition]]&amp;"*")</f>
        <v>1</v>
      </c>
      <c r="D104" s="8">
        <f>COUNTIFS('All Papers'!$D:$D,"*"&amp;$A104&amp;"*",'All Papers'!$G:$G,"*"&amp;Table1[[#Headers],[Discovery]]&amp;"*")</f>
        <v>0</v>
      </c>
      <c r="E104" s="8">
        <f>COUNTIFS('All Papers'!$D:$D,"*"&amp;$A104&amp;"*",'All Papers'!$G:$G,"*"&amp;Table1[[#Headers],[Selection]]&amp;"*")</f>
        <v>1</v>
      </c>
      <c r="F104" s="8">
        <f>COUNTIFS('All Papers'!$D:$D,"*"&amp;$A104&amp;"*",'All Papers'!$G:$G,"*"&amp;Table1[[#Headers],[Recommendation]]&amp;"*")</f>
        <v>0</v>
      </c>
      <c r="G104" s="8">
        <f>COUNTIFS('All Papers'!$D:$D,"*"&amp;$A104&amp;"*",'All Papers'!$G:$G,"*"&amp;Table1[[#Headers],[Resource Management-CS]]&amp;"*")</f>
        <v>1</v>
      </c>
      <c r="H104" s="8">
        <f>COUNTIFS('All Papers'!$D:$D,"*"&amp;$A104&amp;"*",'All Papers'!$G:$G,"*"&amp;Table1[[#Headers],[Resource Management-PS]]&amp;"*")</f>
        <v>0</v>
      </c>
      <c r="I104" s="8">
        <f>COUNTIFS('All Papers'!$D:$D,"*"&amp;$A104&amp;"*",'All Papers'!$G:$G,"*"&amp;Table1[[#Headers],[SLA Management]]&amp;"*")</f>
        <v>0</v>
      </c>
      <c r="J104" s="8">
        <f>COUNTIFS('All Papers'!$D:$D,"*"&amp;$A104&amp;"*",'All Papers'!$G:$G,"*"&amp;Table1[[#Headers],[Big Data]]&amp;"*")</f>
        <v>0</v>
      </c>
      <c r="K104" s="8">
        <f>COUNTIFS('All Papers'!$D:$D,"*"&amp;$A104&amp;"*",'All Papers'!$G:$G,"*"&amp;Table1[[#Headers],[Energy Management]]&amp;"*")</f>
        <v>0</v>
      </c>
      <c r="L104" s="8">
        <f>COUNTIFS('All Papers'!$D:$D,"*"&amp;$A104&amp;"*",'All Papers'!$G:$G,"*"&amp;Table1[[#Headers],[Monitoring]]&amp;"*")</f>
        <v>0</v>
      </c>
      <c r="M104" s="8">
        <f>COUNTIFS('All Papers'!$D:$D,"*"&amp;$A104&amp;"*",'All Papers'!$G:$G,"*"&amp;Table1[[#Headers],[Pricing]]&amp;"*")</f>
        <v>0</v>
      </c>
    </row>
    <row r="105" spans="1:13" x14ac:dyDescent="0.25">
      <c r="A105" s="8" t="s">
        <v>2538</v>
      </c>
      <c r="B105" s="8">
        <f>COUNTIF('All Papers'!D:D,"*"&amp;Table1[[#This Row],[Name]]&amp;"*")</f>
        <v>3</v>
      </c>
      <c r="C105" s="8">
        <f>COUNTIFS('All Papers'!$D:$D,"*"&amp;$A105&amp;"*",'All Papers'!$G:$G,"*"&amp;Table1[[#Headers],[Composition]]&amp;"*")</f>
        <v>0</v>
      </c>
      <c r="D105" s="8">
        <f>COUNTIFS('All Papers'!$D:$D,"*"&amp;$A105&amp;"*",'All Papers'!$G:$G,"*"&amp;Table1[[#Headers],[Discovery]]&amp;"*")</f>
        <v>0</v>
      </c>
      <c r="E105" s="8">
        <f>COUNTIFS('All Papers'!$D:$D,"*"&amp;$A105&amp;"*",'All Papers'!$G:$G,"*"&amp;Table1[[#Headers],[Selection]]&amp;"*")</f>
        <v>0</v>
      </c>
      <c r="F105" s="8">
        <f>COUNTIFS('All Papers'!$D:$D,"*"&amp;$A105&amp;"*",'All Papers'!$G:$G,"*"&amp;Table1[[#Headers],[Recommendation]]&amp;"*")</f>
        <v>0</v>
      </c>
      <c r="G105" s="8">
        <f>COUNTIFS('All Papers'!$D:$D,"*"&amp;$A105&amp;"*",'All Papers'!$G:$G,"*"&amp;Table1[[#Headers],[Resource Management-CS]]&amp;"*")</f>
        <v>2</v>
      </c>
      <c r="H105" s="8">
        <f>COUNTIFS('All Papers'!$D:$D,"*"&amp;$A105&amp;"*",'All Papers'!$G:$G,"*"&amp;Table1[[#Headers],[Resource Management-PS]]&amp;"*")</f>
        <v>1</v>
      </c>
      <c r="I105" s="8">
        <f>COUNTIFS('All Papers'!$D:$D,"*"&amp;$A105&amp;"*",'All Papers'!$G:$G,"*"&amp;Table1[[#Headers],[SLA Management]]&amp;"*")</f>
        <v>0</v>
      </c>
      <c r="J105" s="8">
        <f>COUNTIFS('All Papers'!$D:$D,"*"&amp;$A105&amp;"*",'All Papers'!$G:$G,"*"&amp;Table1[[#Headers],[Big Data]]&amp;"*")</f>
        <v>0</v>
      </c>
      <c r="K105" s="8">
        <f>COUNTIFS('All Papers'!$D:$D,"*"&amp;$A105&amp;"*",'All Papers'!$G:$G,"*"&amp;Table1[[#Headers],[Energy Management]]&amp;"*")</f>
        <v>0</v>
      </c>
      <c r="L105" s="8">
        <f>COUNTIFS('All Papers'!$D:$D,"*"&amp;$A105&amp;"*",'All Papers'!$G:$G,"*"&amp;Table1[[#Headers],[Monitoring]]&amp;"*")</f>
        <v>0</v>
      </c>
      <c r="M105" s="8">
        <f>COUNTIFS('All Papers'!$D:$D,"*"&amp;$A105&amp;"*",'All Papers'!$G:$G,"*"&amp;Table1[[#Headers],[Pricing]]&amp;"*")</f>
        <v>0</v>
      </c>
    </row>
    <row r="106" spans="1:13" x14ac:dyDescent="0.25">
      <c r="A106" s="8" t="s">
        <v>2539</v>
      </c>
      <c r="B106" s="8">
        <f>COUNTIF('All Papers'!D:D,"*"&amp;Table1[[#This Row],[Name]]&amp;"*")</f>
        <v>3</v>
      </c>
      <c r="C106" s="8">
        <f>COUNTIFS('All Papers'!$D:$D,"*"&amp;$A106&amp;"*",'All Papers'!$G:$G,"*"&amp;Table1[[#Headers],[Composition]]&amp;"*")</f>
        <v>3</v>
      </c>
      <c r="D106" s="8">
        <f>COUNTIFS('All Papers'!$D:$D,"*"&amp;$A106&amp;"*",'All Papers'!$G:$G,"*"&amp;Table1[[#Headers],[Discovery]]&amp;"*")</f>
        <v>0</v>
      </c>
      <c r="E106" s="8">
        <f>COUNTIFS('All Papers'!$D:$D,"*"&amp;$A106&amp;"*",'All Papers'!$G:$G,"*"&amp;Table1[[#Headers],[Selection]]&amp;"*")</f>
        <v>1</v>
      </c>
      <c r="F106" s="8">
        <f>COUNTIFS('All Papers'!$D:$D,"*"&amp;$A106&amp;"*",'All Papers'!$G:$G,"*"&amp;Table1[[#Headers],[Recommendation]]&amp;"*")</f>
        <v>0</v>
      </c>
      <c r="G106" s="8">
        <f>COUNTIFS('All Papers'!$D:$D,"*"&amp;$A106&amp;"*",'All Papers'!$G:$G,"*"&amp;Table1[[#Headers],[Resource Management-CS]]&amp;"*")</f>
        <v>0</v>
      </c>
      <c r="H106" s="8">
        <f>COUNTIFS('All Papers'!$D:$D,"*"&amp;$A106&amp;"*",'All Papers'!$G:$G,"*"&amp;Table1[[#Headers],[Resource Management-PS]]&amp;"*")</f>
        <v>0</v>
      </c>
      <c r="I106" s="8">
        <f>COUNTIFS('All Papers'!$D:$D,"*"&amp;$A106&amp;"*",'All Papers'!$G:$G,"*"&amp;Table1[[#Headers],[SLA Management]]&amp;"*")</f>
        <v>0</v>
      </c>
      <c r="J106" s="8">
        <f>COUNTIFS('All Papers'!$D:$D,"*"&amp;$A106&amp;"*",'All Papers'!$G:$G,"*"&amp;Table1[[#Headers],[Big Data]]&amp;"*")</f>
        <v>0</v>
      </c>
      <c r="K106" s="8">
        <f>COUNTIFS('All Papers'!$D:$D,"*"&amp;$A106&amp;"*",'All Papers'!$G:$G,"*"&amp;Table1[[#Headers],[Energy Management]]&amp;"*")</f>
        <v>0</v>
      </c>
      <c r="L106" s="8">
        <f>COUNTIFS('All Papers'!$D:$D,"*"&amp;$A106&amp;"*",'All Papers'!$G:$G,"*"&amp;Table1[[#Headers],[Monitoring]]&amp;"*")</f>
        <v>0</v>
      </c>
      <c r="M106" s="8">
        <f>COUNTIFS('All Papers'!$D:$D,"*"&amp;$A106&amp;"*",'All Papers'!$G:$G,"*"&amp;Table1[[#Headers],[Pricing]]&amp;"*")</f>
        <v>0</v>
      </c>
    </row>
    <row r="107" spans="1:13" x14ac:dyDescent="0.25">
      <c r="A107" s="8" t="s">
        <v>2540</v>
      </c>
      <c r="B107" s="8">
        <f>COUNTIF('All Papers'!D:D,"*"&amp;Table1[[#This Row],[Name]]&amp;"*")</f>
        <v>3</v>
      </c>
      <c r="C107" s="8">
        <f>COUNTIFS('All Papers'!$D:$D,"*"&amp;$A107&amp;"*",'All Papers'!$G:$G,"*"&amp;Table1[[#Headers],[Composition]]&amp;"*")</f>
        <v>0</v>
      </c>
      <c r="D107" s="8">
        <f>COUNTIFS('All Papers'!$D:$D,"*"&amp;$A107&amp;"*",'All Papers'!$G:$G,"*"&amp;Table1[[#Headers],[Discovery]]&amp;"*")</f>
        <v>1</v>
      </c>
      <c r="E107" s="8">
        <f>COUNTIFS('All Papers'!$D:$D,"*"&amp;$A107&amp;"*",'All Papers'!$G:$G,"*"&amp;Table1[[#Headers],[Selection]]&amp;"*")</f>
        <v>0</v>
      </c>
      <c r="F107" s="8">
        <f>COUNTIFS('All Papers'!$D:$D,"*"&amp;$A107&amp;"*",'All Papers'!$G:$G,"*"&amp;Table1[[#Headers],[Recommendation]]&amp;"*")</f>
        <v>0</v>
      </c>
      <c r="G107" s="8">
        <f>COUNTIFS('All Papers'!$D:$D,"*"&amp;$A107&amp;"*",'All Papers'!$G:$G,"*"&amp;Table1[[#Headers],[Resource Management-CS]]&amp;"*")</f>
        <v>1</v>
      </c>
      <c r="H107" s="8">
        <f>COUNTIFS('All Papers'!$D:$D,"*"&amp;$A107&amp;"*",'All Papers'!$G:$G,"*"&amp;Table1[[#Headers],[Resource Management-PS]]&amp;"*")</f>
        <v>1</v>
      </c>
      <c r="I107" s="8">
        <f>COUNTIFS('All Papers'!$D:$D,"*"&amp;$A107&amp;"*",'All Papers'!$G:$G,"*"&amp;Table1[[#Headers],[SLA Management]]&amp;"*")</f>
        <v>0</v>
      </c>
      <c r="J107" s="8">
        <f>COUNTIFS('All Papers'!$D:$D,"*"&amp;$A107&amp;"*",'All Papers'!$G:$G,"*"&amp;Table1[[#Headers],[Big Data]]&amp;"*")</f>
        <v>0</v>
      </c>
      <c r="K107" s="8">
        <f>COUNTIFS('All Papers'!$D:$D,"*"&amp;$A107&amp;"*",'All Papers'!$G:$G,"*"&amp;Table1[[#Headers],[Energy Management]]&amp;"*")</f>
        <v>0</v>
      </c>
      <c r="L107" s="8">
        <f>COUNTIFS('All Papers'!$D:$D,"*"&amp;$A107&amp;"*",'All Papers'!$G:$G,"*"&amp;Table1[[#Headers],[Monitoring]]&amp;"*")</f>
        <v>0</v>
      </c>
      <c r="M107" s="8">
        <f>COUNTIFS('All Papers'!$D:$D,"*"&amp;$A107&amp;"*",'All Papers'!$G:$G,"*"&amp;Table1[[#Headers],[Pricing]]&amp;"*")</f>
        <v>1</v>
      </c>
    </row>
    <row r="108" spans="1:13" x14ac:dyDescent="0.25">
      <c r="A108" s="8" t="s">
        <v>2541</v>
      </c>
      <c r="B108" s="8">
        <f>COUNTIF('All Papers'!D:D,"*"&amp;Table1[[#This Row],[Name]]&amp;"*")</f>
        <v>3</v>
      </c>
      <c r="C108" s="8">
        <f>COUNTIFS('All Papers'!$D:$D,"*"&amp;$A108&amp;"*",'All Papers'!$G:$G,"*"&amp;Table1[[#Headers],[Composition]]&amp;"*")</f>
        <v>3</v>
      </c>
      <c r="D108" s="8">
        <f>COUNTIFS('All Papers'!$D:$D,"*"&amp;$A108&amp;"*",'All Papers'!$G:$G,"*"&amp;Table1[[#Headers],[Discovery]]&amp;"*")</f>
        <v>0</v>
      </c>
      <c r="E108" s="8">
        <f>COUNTIFS('All Papers'!$D:$D,"*"&amp;$A108&amp;"*",'All Papers'!$G:$G,"*"&amp;Table1[[#Headers],[Selection]]&amp;"*")</f>
        <v>0</v>
      </c>
      <c r="F108" s="8">
        <f>COUNTIFS('All Papers'!$D:$D,"*"&amp;$A108&amp;"*",'All Papers'!$G:$G,"*"&amp;Table1[[#Headers],[Recommendation]]&amp;"*")</f>
        <v>0</v>
      </c>
      <c r="G108" s="8">
        <f>COUNTIFS('All Papers'!$D:$D,"*"&amp;$A108&amp;"*",'All Papers'!$G:$G,"*"&amp;Table1[[#Headers],[Resource Management-CS]]&amp;"*")</f>
        <v>0</v>
      </c>
      <c r="H108" s="8">
        <f>COUNTIFS('All Papers'!$D:$D,"*"&amp;$A108&amp;"*",'All Papers'!$G:$G,"*"&amp;Table1[[#Headers],[Resource Management-PS]]&amp;"*")</f>
        <v>0</v>
      </c>
      <c r="I108" s="8">
        <f>COUNTIFS('All Papers'!$D:$D,"*"&amp;$A108&amp;"*",'All Papers'!$G:$G,"*"&amp;Table1[[#Headers],[SLA Management]]&amp;"*")</f>
        <v>0</v>
      </c>
      <c r="J108" s="8">
        <f>COUNTIFS('All Papers'!$D:$D,"*"&amp;$A108&amp;"*",'All Papers'!$G:$G,"*"&amp;Table1[[#Headers],[Big Data]]&amp;"*")</f>
        <v>0</v>
      </c>
      <c r="K108" s="8">
        <f>COUNTIFS('All Papers'!$D:$D,"*"&amp;$A108&amp;"*",'All Papers'!$G:$G,"*"&amp;Table1[[#Headers],[Energy Management]]&amp;"*")</f>
        <v>0</v>
      </c>
      <c r="L108" s="8">
        <f>COUNTIFS('All Papers'!$D:$D,"*"&amp;$A108&amp;"*",'All Papers'!$G:$G,"*"&amp;Table1[[#Headers],[Monitoring]]&amp;"*")</f>
        <v>0</v>
      </c>
      <c r="M108" s="8">
        <f>COUNTIFS('All Papers'!$D:$D,"*"&amp;$A108&amp;"*",'All Papers'!$G:$G,"*"&amp;Table1[[#Headers],[Pricing]]&amp;"*")</f>
        <v>0</v>
      </c>
    </row>
    <row r="109" spans="1:13" x14ac:dyDescent="0.25">
      <c r="A109" s="8" t="s">
        <v>2542</v>
      </c>
      <c r="B109" s="8">
        <f>COUNTIF('All Papers'!D:D,"*"&amp;Table1[[#This Row],[Name]]&amp;"*")</f>
        <v>3</v>
      </c>
      <c r="C109" s="8">
        <f>COUNTIFS('All Papers'!$D:$D,"*"&amp;$A109&amp;"*",'All Papers'!$G:$G,"*"&amp;Table1[[#Headers],[Composition]]&amp;"*")</f>
        <v>0</v>
      </c>
      <c r="D109" s="8">
        <f>COUNTIFS('All Papers'!$D:$D,"*"&amp;$A109&amp;"*",'All Papers'!$G:$G,"*"&amp;Table1[[#Headers],[Discovery]]&amp;"*")</f>
        <v>0</v>
      </c>
      <c r="E109" s="8">
        <f>COUNTIFS('All Papers'!$D:$D,"*"&amp;$A109&amp;"*",'All Papers'!$G:$G,"*"&amp;Table1[[#Headers],[Selection]]&amp;"*")</f>
        <v>2</v>
      </c>
      <c r="F109" s="8">
        <f>COUNTIFS('All Papers'!$D:$D,"*"&amp;$A109&amp;"*",'All Papers'!$G:$G,"*"&amp;Table1[[#Headers],[Recommendation]]&amp;"*")</f>
        <v>0</v>
      </c>
      <c r="G109" s="8">
        <f>COUNTIFS('All Papers'!$D:$D,"*"&amp;$A109&amp;"*",'All Papers'!$G:$G,"*"&amp;Table1[[#Headers],[Resource Management-CS]]&amp;"*")</f>
        <v>1</v>
      </c>
      <c r="H109" s="8">
        <f>COUNTIFS('All Papers'!$D:$D,"*"&amp;$A109&amp;"*",'All Papers'!$G:$G,"*"&amp;Table1[[#Headers],[Resource Management-PS]]&amp;"*")</f>
        <v>0</v>
      </c>
      <c r="I109" s="8">
        <f>COUNTIFS('All Papers'!$D:$D,"*"&amp;$A109&amp;"*",'All Papers'!$G:$G,"*"&amp;Table1[[#Headers],[SLA Management]]&amp;"*")</f>
        <v>0</v>
      </c>
      <c r="J109" s="8">
        <f>COUNTIFS('All Papers'!$D:$D,"*"&amp;$A109&amp;"*",'All Papers'!$G:$G,"*"&amp;Table1[[#Headers],[Big Data]]&amp;"*")</f>
        <v>0</v>
      </c>
      <c r="K109" s="8">
        <f>COUNTIFS('All Papers'!$D:$D,"*"&amp;$A109&amp;"*",'All Papers'!$G:$G,"*"&amp;Table1[[#Headers],[Energy Management]]&amp;"*")</f>
        <v>0</v>
      </c>
      <c r="L109" s="8">
        <f>COUNTIFS('All Papers'!$D:$D,"*"&amp;$A109&amp;"*",'All Papers'!$G:$G,"*"&amp;Table1[[#Headers],[Monitoring]]&amp;"*")</f>
        <v>0</v>
      </c>
      <c r="M109" s="8">
        <f>COUNTIFS('All Papers'!$D:$D,"*"&amp;$A109&amp;"*",'All Papers'!$G:$G,"*"&amp;Table1[[#Headers],[Pricing]]&amp;"*")</f>
        <v>1</v>
      </c>
    </row>
    <row r="110" spans="1:13" x14ac:dyDescent="0.25">
      <c r="A110" s="8" t="s">
        <v>2543</v>
      </c>
      <c r="B110" s="8">
        <f>COUNTIF('All Papers'!D:D,"*"&amp;Table1[[#This Row],[Name]]&amp;"*")</f>
        <v>3</v>
      </c>
      <c r="C110" s="8">
        <f>COUNTIFS('All Papers'!$D:$D,"*"&amp;$A110&amp;"*",'All Papers'!$G:$G,"*"&amp;Table1[[#Headers],[Composition]]&amp;"*")</f>
        <v>3</v>
      </c>
      <c r="D110" s="8">
        <f>COUNTIFS('All Papers'!$D:$D,"*"&amp;$A110&amp;"*",'All Papers'!$G:$G,"*"&amp;Table1[[#Headers],[Discovery]]&amp;"*")</f>
        <v>0</v>
      </c>
      <c r="E110" s="8">
        <f>COUNTIFS('All Papers'!$D:$D,"*"&amp;$A110&amp;"*",'All Papers'!$G:$G,"*"&amp;Table1[[#Headers],[Selection]]&amp;"*")</f>
        <v>0</v>
      </c>
      <c r="F110" s="8">
        <f>COUNTIFS('All Papers'!$D:$D,"*"&amp;$A110&amp;"*",'All Papers'!$G:$G,"*"&amp;Table1[[#Headers],[Recommendation]]&amp;"*")</f>
        <v>0</v>
      </c>
      <c r="G110" s="8">
        <f>COUNTIFS('All Papers'!$D:$D,"*"&amp;$A110&amp;"*",'All Papers'!$G:$G,"*"&amp;Table1[[#Headers],[Resource Management-CS]]&amp;"*")</f>
        <v>0</v>
      </c>
      <c r="H110" s="8">
        <f>COUNTIFS('All Papers'!$D:$D,"*"&amp;$A110&amp;"*",'All Papers'!$G:$G,"*"&amp;Table1[[#Headers],[Resource Management-PS]]&amp;"*")</f>
        <v>0</v>
      </c>
      <c r="I110" s="8">
        <f>COUNTIFS('All Papers'!$D:$D,"*"&amp;$A110&amp;"*",'All Papers'!$G:$G,"*"&amp;Table1[[#Headers],[SLA Management]]&amp;"*")</f>
        <v>0</v>
      </c>
      <c r="J110" s="8">
        <f>COUNTIFS('All Papers'!$D:$D,"*"&amp;$A110&amp;"*",'All Papers'!$G:$G,"*"&amp;Table1[[#Headers],[Big Data]]&amp;"*")</f>
        <v>0</v>
      </c>
      <c r="K110" s="8">
        <f>COUNTIFS('All Papers'!$D:$D,"*"&amp;$A110&amp;"*",'All Papers'!$G:$G,"*"&amp;Table1[[#Headers],[Energy Management]]&amp;"*")</f>
        <v>0</v>
      </c>
      <c r="L110" s="8">
        <f>COUNTIFS('All Papers'!$D:$D,"*"&amp;$A110&amp;"*",'All Papers'!$G:$G,"*"&amp;Table1[[#Headers],[Monitoring]]&amp;"*")</f>
        <v>0</v>
      </c>
      <c r="M110" s="8">
        <f>COUNTIFS('All Papers'!$D:$D,"*"&amp;$A110&amp;"*",'All Papers'!$G:$G,"*"&amp;Table1[[#Headers],[Pricing]]&amp;"*")</f>
        <v>0</v>
      </c>
    </row>
    <row r="111" spans="1:13" x14ac:dyDescent="0.25">
      <c r="A111" s="8" t="s">
        <v>2544</v>
      </c>
      <c r="B111" s="8">
        <f>COUNTIF('All Papers'!D:D,"*"&amp;Table1[[#This Row],[Name]]&amp;"*")</f>
        <v>3</v>
      </c>
      <c r="C111" s="8">
        <f>COUNTIFS('All Papers'!$D:$D,"*"&amp;$A111&amp;"*",'All Papers'!$G:$G,"*"&amp;Table1[[#Headers],[Composition]]&amp;"*")</f>
        <v>0</v>
      </c>
      <c r="D111" s="8">
        <f>COUNTIFS('All Papers'!$D:$D,"*"&amp;$A111&amp;"*",'All Papers'!$G:$G,"*"&amp;Table1[[#Headers],[Discovery]]&amp;"*")</f>
        <v>0</v>
      </c>
      <c r="E111" s="8">
        <f>COUNTIFS('All Papers'!$D:$D,"*"&amp;$A111&amp;"*",'All Papers'!$G:$G,"*"&amp;Table1[[#Headers],[Selection]]&amp;"*")</f>
        <v>3</v>
      </c>
      <c r="F111" s="8">
        <f>COUNTIFS('All Papers'!$D:$D,"*"&amp;$A111&amp;"*",'All Papers'!$G:$G,"*"&amp;Table1[[#Headers],[Recommendation]]&amp;"*")</f>
        <v>0</v>
      </c>
      <c r="G111" s="8">
        <f>COUNTIFS('All Papers'!$D:$D,"*"&amp;$A111&amp;"*",'All Papers'!$G:$G,"*"&amp;Table1[[#Headers],[Resource Management-CS]]&amp;"*")</f>
        <v>0</v>
      </c>
      <c r="H111" s="8">
        <f>COUNTIFS('All Papers'!$D:$D,"*"&amp;$A111&amp;"*",'All Papers'!$G:$G,"*"&amp;Table1[[#Headers],[Resource Management-PS]]&amp;"*")</f>
        <v>0</v>
      </c>
      <c r="I111" s="8">
        <f>COUNTIFS('All Papers'!$D:$D,"*"&amp;$A111&amp;"*",'All Papers'!$G:$G,"*"&amp;Table1[[#Headers],[SLA Management]]&amp;"*")</f>
        <v>0</v>
      </c>
      <c r="J111" s="8">
        <f>COUNTIFS('All Papers'!$D:$D,"*"&amp;$A111&amp;"*",'All Papers'!$G:$G,"*"&amp;Table1[[#Headers],[Big Data]]&amp;"*")</f>
        <v>0</v>
      </c>
      <c r="K111" s="8">
        <f>COUNTIFS('All Papers'!$D:$D,"*"&amp;$A111&amp;"*",'All Papers'!$G:$G,"*"&amp;Table1[[#Headers],[Energy Management]]&amp;"*")</f>
        <v>0</v>
      </c>
      <c r="L111" s="8">
        <f>COUNTIFS('All Papers'!$D:$D,"*"&amp;$A111&amp;"*",'All Papers'!$G:$G,"*"&amp;Table1[[#Headers],[Monitoring]]&amp;"*")</f>
        <v>0</v>
      </c>
      <c r="M111" s="8">
        <f>COUNTIFS('All Papers'!$D:$D,"*"&amp;$A111&amp;"*",'All Papers'!$G:$G,"*"&amp;Table1[[#Headers],[Pricing]]&amp;"*")</f>
        <v>0</v>
      </c>
    </row>
    <row r="112" spans="1:13" x14ac:dyDescent="0.25">
      <c r="A112" s="8" t="s">
        <v>2545</v>
      </c>
      <c r="B112" s="8">
        <f>COUNTIF('All Papers'!D:D,"*"&amp;Table1[[#This Row],[Name]]&amp;"*")</f>
        <v>3</v>
      </c>
      <c r="C112" s="8">
        <f>COUNTIFS('All Papers'!$D:$D,"*"&amp;$A112&amp;"*",'All Papers'!$G:$G,"*"&amp;Table1[[#Headers],[Composition]]&amp;"*")</f>
        <v>2</v>
      </c>
      <c r="D112" s="8">
        <f>COUNTIFS('All Papers'!$D:$D,"*"&amp;$A112&amp;"*",'All Papers'!$G:$G,"*"&amp;Table1[[#Headers],[Discovery]]&amp;"*")</f>
        <v>0</v>
      </c>
      <c r="E112" s="8">
        <f>COUNTIFS('All Papers'!$D:$D,"*"&amp;$A112&amp;"*",'All Papers'!$G:$G,"*"&amp;Table1[[#Headers],[Selection]]&amp;"*")</f>
        <v>0</v>
      </c>
      <c r="F112" s="8">
        <f>COUNTIFS('All Papers'!$D:$D,"*"&amp;$A112&amp;"*",'All Papers'!$G:$G,"*"&amp;Table1[[#Headers],[Recommendation]]&amp;"*")</f>
        <v>1</v>
      </c>
      <c r="G112" s="8">
        <f>COUNTIFS('All Papers'!$D:$D,"*"&amp;$A112&amp;"*",'All Papers'!$G:$G,"*"&amp;Table1[[#Headers],[Resource Management-CS]]&amp;"*")</f>
        <v>0</v>
      </c>
      <c r="H112" s="8">
        <f>COUNTIFS('All Papers'!$D:$D,"*"&amp;$A112&amp;"*",'All Papers'!$G:$G,"*"&amp;Table1[[#Headers],[Resource Management-PS]]&amp;"*")</f>
        <v>0</v>
      </c>
      <c r="I112" s="8">
        <f>COUNTIFS('All Papers'!$D:$D,"*"&amp;$A112&amp;"*",'All Papers'!$G:$G,"*"&amp;Table1[[#Headers],[SLA Management]]&amp;"*")</f>
        <v>0</v>
      </c>
      <c r="J112" s="8">
        <f>COUNTIFS('All Papers'!$D:$D,"*"&amp;$A112&amp;"*",'All Papers'!$G:$G,"*"&amp;Table1[[#Headers],[Big Data]]&amp;"*")</f>
        <v>1</v>
      </c>
      <c r="K112" s="8">
        <f>COUNTIFS('All Papers'!$D:$D,"*"&amp;$A112&amp;"*",'All Papers'!$G:$G,"*"&amp;Table1[[#Headers],[Energy Management]]&amp;"*")</f>
        <v>0</v>
      </c>
      <c r="L112" s="8">
        <f>COUNTIFS('All Papers'!$D:$D,"*"&amp;$A112&amp;"*",'All Papers'!$G:$G,"*"&amp;Table1[[#Headers],[Monitoring]]&amp;"*")</f>
        <v>0</v>
      </c>
      <c r="M112" s="8">
        <f>COUNTIFS('All Papers'!$D:$D,"*"&amp;$A112&amp;"*",'All Papers'!$G:$G,"*"&amp;Table1[[#Headers],[Pricing]]&amp;"*")</f>
        <v>0</v>
      </c>
    </row>
    <row r="113" spans="1:13" x14ac:dyDescent="0.25">
      <c r="A113" s="8" t="s">
        <v>2546</v>
      </c>
      <c r="B113" s="8">
        <f>COUNTIF('All Papers'!D:D,"*"&amp;Table1[[#This Row],[Name]]&amp;"*")</f>
        <v>3</v>
      </c>
      <c r="C113" s="8">
        <f>COUNTIFS('All Papers'!$D:$D,"*"&amp;$A113&amp;"*",'All Papers'!$G:$G,"*"&amp;Table1[[#Headers],[Composition]]&amp;"*")</f>
        <v>0</v>
      </c>
      <c r="D113" s="8">
        <f>COUNTIFS('All Papers'!$D:$D,"*"&amp;$A113&amp;"*",'All Papers'!$G:$G,"*"&amp;Table1[[#Headers],[Discovery]]&amp;"*")</f>
        <v>0</v>
      </c>
      <c r="E113" s="8">
        <f>COUNTIFS('All Papers'!$D:$D,"*"&amp;$A113&amp;"*",'All Papers'!$G:$G,"*"&amp;Table1[[#Headers],[Selection]]&amp;"*")</f>
        <v>2</v>
      </c>
      <c r="F113" s="8">
        <f>COUNTIFS('All Papers'!$D:$D,"*"&amp;$A113&amp;"*",'All Papers'!$G:$G,"*"&amp;Table1[[#Headers],[Recommendation]]&amp;"*")</f>
        <v>0</v>
      </c>
      <c r="G113" s="8">
        <f>COUNTIFS('All Papers'!$D:$D,"*"&amp;$A113&amp;"*",'All Papers'!$G:$G,"*"&amp;Table1[[#Headers],[Resource Management-CS]]&amp;"*")</f>
        <v>0</v>
      </c>
      <c r="H113" s="8">
        <f>COUNTIFS('All Papers'!$D:$D,"*"&amp;$A113&amp;"*",'All Papers'!$G:$G,"*"&amp;Table1[[#Headers],[Resource Management-PS]]&amp;"*")</f>
        <v>0</v>
      </c>
      <c r="I113" s="8">
        <f>COUNTIFS('All Papers'!$D:$D,"*"&amp;$A113&amp;"*",'All Papers'!$G:$G,"*"&amp;Table1[[#Headers],[SLA Management]]&amp;"*")</f>
        <v>0</v>
      </c>
      <c r="J113" s="8">
        <f>COUNTIFS('All Papers'!$D:$D,"*"&amp;$A113&amp;"*",'All Papers'!$G:$G,"*"&amp;Table1[[#Headers],[Big Data]]&amp;"*")</f>
        <v>0</v>
      </c>
      <c r="K113" s="8">
        <f>COUNTIFS('All Papers'!$D:$D,"*"&amp;$A113&amp;"*",'All Papers'!$G:$G,"*"&amp;Table1[[#Headers],[Energy Management]]&amp;"*")</f>
        <v>0</v>
      </c>
      <c r="L113" s="8">
        <f>COUNTIFS('All Papers'!$D:$D,"*"&amp;$A113&amp;"*",'All Papers'!$G:$G,"*"&amp;Table1[[#Headers],[Monitoring]]&amp;"*")</f>
        <v>1</v>
      </c>
      <c r="M113" s="8">
        <f>COUNTIFS('All Papers'!$D:$D,"*"&amp;$A113&amp;"*",'All Papers'!$G:$G,"*"&amp;Table1[[#Headers],[Pricing]]&amp;"*")</f>
        <v>0</v>
      </c>
    </row>
    <row r="114" spans="1:13" x14ac:dyDescent="0.25">
      <c r="A114" s="8" t="s">
        <v>2547</v>
      </c>
      <c r="B114" s="8">
        <f>COUNTIF('All Papers'!D:D,"*"&amp;Table1[[#This Row],[Name]]&amp;"*")</f>
        <v>3</v>
      </c>
      <c r="C114" s="8">
        <f>COUNTIFS('All Papers'!$D:$D,"*"&amp;$A114&amp;"*",'All Papers'!$G:$G,"*"&amp;Table1[[#Headers],[Composition]]&amp;"*")</f>
        <v>0</v>
      </c>
      <c r="D114" s="8">
        <f>COUNTIFS('All Papers'!$D:$D,"*"&amp;$A114&amp;"*",'All Papers'!$G:$G,"*"&amp;Table1[[#Headers],[Discovery]]&amp;"*")</f>
        <v>0</v>
      </c>
      <c r="E114" s="8">
        <f>COUNTIFS('All Papers'!$D:$D,"*"&amp;$A114&amp;"*",'All Papers'!$G:$G,"*"&amp;Table1[[#Headers],[Selection]]&amp;"*")</f>
        <v>2</v>
      </c>
      <c r="F114" s="8">
        <f>COUNTIFS('All Papers'!$D:$D,"*"&amp;$A114&amp;"*",'All Papers'!$G:$G,"*"&amp;Table1[[#Headers],[Recommendation]]&amp;"*")</f>
        <v>0</v>
      </c>
      <c r="G114" s="8">
        <f>COUNTIFS('All Papers'!$D:$D,"*"&amp;$A114&amp;"*",'All Papers'!$G:$G,"*"&amp;Table1[[#Headers],[Resource Management-CS]]&amp;"*")</f>
        <v>0</v>
      </c>
      <c r="H114" s="8">
        <f>COUNTIFS('All Papers'!$D:$D,"*"&amp;$A114&amp;"*",'All Papers'!$G:$G,"*"&amp;Table1[[#Headers],[Resource Management-PS]]&amp;"*")</f>
        <v>0</v>
      </c>
      <c r="I114" s="8">
        <f>COUNTIFS('All Papers'!$D:$D,"*"&amp;$A114&amp;"*",'All Papers'!$G:$G,"*"&amp;Table1[[#Headers],[SLA Management]]&amp;"*")</f>
        <v>0</v>
      </c>
      <c r="J114" s="8">
        <f>COUNTIFS('All Papers'!$D:$D,"*"&amp;$A114&amp;"*",'All Papers'!$G:$G,"*"&amp;Table1[[#Headers],[Big Data]]&amp;"*")</f>
        <v>0</v>
      </c>
      <c r="K114" s="8">
        <f>COUNTIFS('All Papers'!$D:$D,"*"&amp;$A114&amp;"*",'All Papers'!$G:$G,"*"&amp;Table1[[#Headers],[Energy Management]]&amp;"*")</f>
        <v>0</v>
      </c>
      <c r="L114" s="8">
        <f>COUNTIFS('All Papers'!$D:$D,"*"&amp;$A114&amp;"*",'All Papers'!$G:$G,"*"&amp;Table1[[#Headers],[Monitoring]]&amp;"*")</f>
        <v>1</v>
      </c>
      <c r="M114" s="8">
        <f>COUNTIFS('All Papers'!$D:$D,"*"&amp;$A114&amp;"*",'All Papers'!$G:$G,"*"&amp;Table1[[#Headers],[Pricing]]&amp;"*")</f>
        <v>0</v>
      </c>
    </row>
    <row r="115" spans="1:13" x14ac:dyDescent="0.25">
      <c r="A115" s="8" t="s">
        <v>2548</v>
      </c>
      <c r="B115" s="8">
        <f>COUNTIF('All Papers'!D:D,"*"&amp;Table1[[#This Row],[Name]]&amp;"*")</f>
        <v>3</v>
      </c>
      <c r="C115" s="8">
        <f>COUNTIFS('All Papers'!$D:$D,"*"&amp;$A115&amp;"*",'All Papers'!$G:$G,"*"&amp;Table1[[#Headers],[Composition]]&amp;"*")</f>
        <v>0</v>
      </c>
      <c r="D115" s="8">
        <f>COUNTIFS('All Papers'!$D:$D,"*"&amp;$A115&amp;"*",'All Papers'!$G:$G,"*"&amp;Table1[[#Headers],[Discovery]]&amp;"*")</f>
        <v>0</v>
      </c>
      <c r="E115" s="8">
        <f>COUNTIFS('All Papers'!$D:$D,"*"&amp;$A115&amp;"*",'All Papers'!$G:$G,"*"&amp;Table1[[#Headers],[Selection]]&amp;"*")</f>
        <v>1</v>
      </c>
      <c r="F115" s="8">
        <f>COUNTIFS('All Papers'!$D:$D,"*"&amp;$A115&amp;"*",'All Papers'!$G:$G,"*"&amp;Table1[[#Headers],[Recommendation]]&amp;"*")</f>
        <v>0</v>
      </c>
      <c r="G115" s="8">
        <f>COUNTIFS('All Papers'!$D:$D,"*"&amp;$A115&amp;"*",'All Papers'!$G:$G,"*"&amp;Table1[[#Headers],[Resource Management-CS]]&amp;"*")</f>
        <v>2</v>
      </c>
      <c r="H115" s="8">
        <f>COUNTIFS('All Papers'!$D:$D,"*"&amp;$A115&amp;"*",'All Papers'!$G:$G,"*"&amp;Table1[[#Headers],[Resource Management-PS]]&amp;"*")</f>
        <v>0</v>
      </c>
      <c r="I115" s="8">
        <f>COUNTIFS('All Papers'!$D:$D,"*"&amp;$A115&amp;"*",'All Papers'!$G:$G,"*"&amp;Table1[[#Headers],[SLA Management]]&amp;"*")</f>
        <v>0</v>
      </c>
      <c r="J115" s="8">
        <f>COUNTIFS('All Papers'!$D:$D,"*"&amp;$A115&amp;"*",'All Papers'!$G:$G,"*"&amp;Table1[[#Headers],[Big Data]]&amp;"*")</f>
        <v>0</v>
      </c>
      <c r="K115" s="8">
        <f>COUNTIFS('All Papers'!$D:$D,"*"&amp;$A115&amp;"*",'All Papers'!$G:$G,"*"&amp;Table1[[#Headers],[Energy Management]]&amp;"*")</f>
        <v>0</v>
      </c>
      <c r="L115" s="8">
        <f>COUNTIFS('All Papers'!$D:$D,"*"&amp;$A115&amp;"*",'All Papers'!$G:$G,"*"&amp;Table1[[#Headers],[Monitoring]]&amp;"*")</f>
        <v>0</v>
      </c>
      <c r="M115" s="8">
        <f>COUNTIFS('All Papers'!$D:$D,"*"&amp;$A115&amp;"*",'All Papers'!$G:$G,"*"&amp;Table1[[#Headers],[Pricing]]&amp;"*")</f>
        <v>2</v>
      </c>
    </row>
    <row r="116" spans="1:13" x14ac:dyDescent="0.25">
      <c r="A116" s="8" t="s">
        <v>2549</v>
      </c>
      <c r="B116" s="8">
        <f>COUNTIF('All Papers'!D:D,"*"&amp;Table1[[#This Row],[Name]]&amp;"*")</f>
        <v>3</v>
      </c>
      <c r="C116" s="8">
        <f>COUNTIFS('All Papers'!$D:$D,"*"&amp;$A116&amp;"*",'All Papers'!$G:$G,"*"&amp;Table1[[#Headers],[Composition]]&amp;"*")</f>
        <v>0</v>
      </c>
      <c r="D116" s="8">
        <f>COUNTIFS('All Papers'!$D:$D,"*"&amp;$A116&amp;"*",'All Papers'!$G:$G,"*"&amp;Table1[[#Headers],[Discovery]]&amp;"*")</f>
        <v>0</v>
      </c>
      <c r="E116" s="8">
        <f>COUNTIFS('All Papers'!$D:$D,"*"&amp;$A116&amp;"*",'All Papers'!$G:$G,"*"&amp;Table1[[#Headers],[Selection]]&amp;"*")</f>
        <v>0</v>
      </c>
      <c r="F116" s="8">
        <f>COUNTIFS('All Papers'!$D:$D,"*"&amp;$A116&amp;"*",'All Papers'!$G:$G,"*"&amp;Table1[[#Headers],[Recommendation]]&amp;"*")</f>
        <v>0</v>
      </c>
      <c r="G116" s="8">
        <f>COUNTIFS('All Papers'!$D:$D,"*"&amp;$A116&amp;"*",'All Papers'!$G:$G,"*"&amp;Table1[[#Headers],[Resource Management-CS]]&amp;"*")</f>
        <v>2</v>
      </c>
      <c r="H116" s="8">
        <f>COUNTIFS('All Papers'!$D:$D,"*"&amp;$A116&amp;"*",'All Papers'!$G:$G,"*"&amp;Table1[[#Headers],[Resource Management-PS]]&amp;"*")</f>
        <v>0</v>
      </c>
      <c r="I116" s="8">
        <f>COUNTIFS('All Papers'!$D:$D,"*"&amp;$A116&amp;"*",'All Papers'!$G:$G,"*"&amp;Table1[[#Headers],[SLA Management]]&amp;"*")</f>
        <v>2</v>
      </c>
      <c r="J116" s="8">
        <f>COUNTIFS('All Papers'!$D:$D,"*"&amp;$A116&amp;"*",'All Papers'!$G:$G,"*"&amp;Table1[[#Headers],[Big Data]]&amp;"*")</f>
        <v>0</v>
      </c>
      <c r="K116" s="8">
        <f>COUNTIFS('All Papers'!$D:$D,"*"&amp;$A116&amp;"*",'All Papers'!$G:$G,"*"&amp;Table1[[#Headers],[Energy Management]]&amp;"*")</f>
        <v>0</v>
      </c>
      <c r="L116" s="8">
        <f>COUNTIFS('All Papers'!$D:$D,"*"&amp;$A116&amp;"*",'All Papers'!$G:$G,"*"&amp;Table1[[#Headers],[Monitoring]]&amp;"*")</f>
        <v>0</v>
      </c>
      <c r="M116" s="8">
        <f>COUNTIFS('All Papers'!$D:$D,"*"&amp;$A116&amp;"*",'All Papers'!$G:$G,"*"&amp;Table1[[#Headers],[Pricing]]&amp;"*")</f>
        <v>1</v>
      </c>
    </row>
    <row r="117" spans="1:13" x14ac:dyDescent="0.25">
      <c r="A117" s="8" t="s">
        <v>2550</v>
      </c>
      <c r="B117" s="8">
        <f>COUNTIF('All Papers'!D:D,"*"&amp;Table1[[#This Row],[Name]]&amp;"*")</f>
        <v>3</v>
      </c>
      <c r="C117" s="8">
        <f>COUNTIFS('All Papers'!$D:$D,"*"&amp;$A117&amp;"*",'All Papers'!$G:$G,"*"&amp;Table1[[#Headers],[Composition]]&amp;"*")</f>
        <v>0</v>
      </c>
      <c r="D117" s="8">
        <f>COUNTIFS('All Papers'!$D:$D,"*"&amp;$A117&amp;"*",'All Papers'!$G:$G,"*"&amp;Table1[[#Headers],[Discovery]]&amp;"*")</f>
        <v>0</v>
      </c>
      <c r="E117" s="8">
        <f>COUNTIFS('All Papers'!$D:$D,"*"&amp;$A117&amp;"*",'All Papers'!$G:$G,"*"&amp;Table1[[#Headers],[Selection]]&amp;"*")</f>
        <v>2</v>
      </c>
      <c r="F117" s="8">
        <f>COUNTIFS('All Papers'!$D:$D,"*"&amp;$A117&amp;"*",'All Papers'!$G:$G,"*"&amp;Table1[[#Headers],[Recommendation]]&amp;"*")</f>
        <v>1</v>
      </c>
      <c r="G117" s="8">
        <f>COUNTIFS('All Papers'!$D:$D,"*"&amp;$A117&amp;"*",'All Papers'!$G:$G,"*"&amp;Table1[[#Headers],[Resource Management-CS]]&amp;"*")</f>
        <v>0</v>
      </c>
      <c r="H117" s="8">
        <f>COUNTIFS('All Papers'!$D:$D,"*"&amp;$A117&amp;"*",'All Papers'!$G:$G,"*"&amp;Table1[[#Headers],[Resource Management-PS]]&amp;"*")</f>
        <v>0</v>
      </c>
      <c r="I117" s="8">
        <f>COUNTIFS('All Papers'!$D:$D,"*"&amp;$A117&amp;"*",'All Papers'!$G:$G,"*"&amp;Table1[[#Headers],[SLA Management]]&amp;"*")</f>
        <v>0</v>
      </c>
      <c r="J117" s="8">
        <f>COUNTIFS('All Papers'!$D:$D,"*"&amp;$A117&amp;"*",'All Papers'!$G:$G,"*"&amp;Table1[[#Headers],[Big Data]]&amp;"*")</f>
        <v>0</v>
      </c>
      <c r="K117" s="8">
        <f>COUNTIFS('All Papers'!$D:$D,"*"&amp;$A117&amp;"*",'All Papers'!$G:$G,"*"&amp;Table1[[#Headers],[Energy Management]]&amp;"*")</f>
        <v>0</v>
      </c>
      <c r="L117" s="8">
        <f>COUNTIFS('All Papers'!$D:$D,"*"&amp;$A117&amp;"*",'All Papers'!$G:$G,"*"&amp;Table1[[#Headers],[Monitoring]]&amp;"*")</f>
        <v>0</v>
      </c>
      <c r="M117" s="8">
        <f>COUNTIFS('All Papers'!$D:$D,"*"&amp;$A117&amp;"*",'All Papers'!$G:$G,"*"&amp;Table1[[#Headers],[Pricing]]&amp;"*")</f>
        <v>0</v>
      </c>
    </row>
    <row r="118" spans="1:13" x14ac:dyDescent="0.25">
      <c r="A118" s="8" t="s">
        <v>2551</v>
      </c>
      <c r="B118" s="8">
        <f>COUNTIF('All Papers'!D:D,"*"&amp;Table1[[#This Row],[Name]]&amp;"*")</f>
        <v>3</v>
      </c>
      <c r="C118" s="8">
        <f>COUNTIFS('All Papers'!$D:$D,"*"&amp;$A118&amp;"*",'All Papers'!$G:$G,"*"&amp;Table1[[#Headers],[Composition]]&amp;"*")</f>
        <v>0</v>
      </c>
      <c r="D118" s="8">
        <f>COUNTIFS('All Papers'!$D:$D,"*"&amp;$A118&amp;"*",'All Papers'!$G:$G,"*"&amp;Table1[[#Headers],[Discovery]]&amp;"*")</f>
        <v>0</v>
      </c>
      <c r="E118" s="8">
        <f>COUNTIFS('All Papers'!$D:$D,"*"&amp;$A118&amp;"*",'All Papers'!$G:$G,"*"&amp;Table1[[#Headers],[Selection]]&amp;"*")</f>
        <v>1</v>
      </c>
      <c r="F118" s="8">
        <f>COUNTIFS('All Papers'!$D:$D,"*"&amp;$A118&amp;"*",'All Papers'!$G:$G,"*"&amp;Table1[[#Headers],[Recommendation]]&amp;"*")</f>
        <v>1</v>
      </c>
      <c r="G118" s="8">
        <f>COUNTIFS('All Papers'!$D:$D,"*"&amp;$A118&amp;"*",'All Papers'!$G:$G,"*"&amp;Table1[[#Headers],[Resource Management-CS]]&amp;"*")</f>
        <v>0</v>
      </c>
      <c r="H118" s="8">
        <f>COUNTIFS('All Papers'!$D:$D,"*"&amp;$A118&amp;"*",'All Papers'!$G:$G,"*"&amp;Table1[[#Headers],[Resource Management-PS]]&amp;"*")</f>
        <v>0</v>
      </c>
      <c r="I118" s="8">
        <f>COUNTIFS('All Papers'!$D:$D,"*"&amp;$A118&amp;"*",'All Papers'!$G:$G,"*"&amp;Table1[[#Headers],[SLA Management]]&amp;"*")</f>
        <v>1</v>
      </c>
      <c r="J118" s="8">
        <f>COUNTIFS('All Papers'!$D:$D,"*"&amp;$A118&amp;"*",'All Papers'!$G:$G,"*"&amp;Table1[[#Headers],[Big Data]]&amp;"*")</f>
        <v>0</v>
      </c>
      <c r="K118" s="8">
        <f>COUNTIFS('All Papers'!$D:$D,"*"&amp;$A118&amp;"*",'All Papers'!$G:$G,"*"&amp;Table1[[#Headers],[Energy Management]]&amp;"*")</f>
        <v>0</v>
      </c>
      <c r="L118" s="8">
        <f>COUNTIFS('All Papers'!$D:$D,"*"&amp;$A118&amp;"*",'All Papers'!$G:$G,"*"&amp;Table1[[#Headers],[Monitoring]]&amp;"*")</f>
        <v>1</v>
      </c>
      <c r="M118" s="8">
        <f>COUNTIFS('All Papers'!$D:$D,"*"&amp;$A118&amp;"*",'All Papers'!$G:$G,"*"&amp;Table1[[#Headers],[Pricing]]&amp;"*")</f>
        <v>0</v>
      </c>
    </row>
    <row r="119" spans="1:13" x14ac:dyDescent="0.25">
      <c r="A119" s="8" t="s">
        <v>2552</v>
      </c>
      <c r="B119" s="8">
        <f>COUNTIF('All Papers'!D:D,"*"&amp;Table1[[#This Row],[Name]]&amp;"*")</f>
        <v>3</v>
      </c>
      <c r="C119" s="8">
        <f>COUNTIFS('All Papers'!$D:$D,"*"&amp;$A119&amp;"*",'All Papers'!$G:$G,"*"&amp;Table1[[#Headers],[Composition]]&amp;"*")</f>
        <v>1</v>
      </c>
      <c r="D119" s="8">
        <f>COUNTIFS('All Papers'!$D:$D,"*"&amp;$A119&amp;"*",'All Papers'!$G:$G,"*"&amp;Table1[[#Headers],[Discovery]]&amp;"*")</f>
        <v>0</v>
      </c>
      <c r="E119" s="8">
        <f>COUNTIFS('All Papers'!$D:$D,"*"&amp;$A119&amp;"*",'All Papers'!$G:$G,"*"&amp;Table1[[#Headers],[Selection]]&amp;"*")</f>
        <v>1</v>
      </c>
      <c r="F119" s="8">
        <f>COUNTIFS('All Papers'!$D:$D,"*"&amp;$A119&amp;"*",'All Papers'!$G:$G,"*"&amp;Table1[[#Headers],[Recommendation]]&amp;"*")</f>
        <v>0</v>
      </c>
      <c r="G119" s="8">
        <f>COUNTIFS('All Papers'!$D:$D,"*"&amp;$A119&amp;"*",'All Papers'!$G:$G,"*"&amp;Table1[[#Headers],[Resource Management-CS]]&amp;"*")</f>
        <v>0</v>
      </c>
      <c r="H119" s="8">
        <f>COUNTIFS('All Papers'!$D:$D,"*"&amp;$A119&amp;"*",'All Papers'!$G:$G,"*"&amp;Table1[[#Headers],[Resource Management-PS]]&amp;"*")</f>
        <v>0</v>
      </c>
      <c r="I119" s="8">
        <f>COUNTIFS('All Papers'!$D:$D,"*"&amp;$A119&amp;"*",'All Papers'!$G:$G,"*"&amp;Table1[[#Headers],[SLA Management]]&amp;"*")</f>
        <v>1</v>
      </c>
      <c r="J119" s="8">
        <f>COUNTIFS('All Papers'!$D:$D,"*"&amp;$A119&amp;"*",'All Papers'!$G:$G,"*"&amp;Table1[[#Headers],[Big Data]]&amp;"*")</f>
        <v>0</v>
      </c>
      <c r="K119" s="8">
        <f>COUNTIFS('All Papers'!$D:$D,"*"&amp;$A119&amp;"*",'All Papers'!$G:$G,"*"&amp;Table1[[#Headers],[Energy Management]]&amp;"*")</f>
        <v>0</v>
      </c>
      <c r="L119" s="8">
        <f>COUNTIFS('All Papers'!$D:$D,"*"&amp;$A119&amp;"*",'All Papers'!$G:$G,"*"&amp;Table1[[#Headers],[Monitoring]]&amp;"*")</f>
        <v>0</v>
      </c>
      <c r="M119" s="8">
        <f>COUNTIFS('All Papers'!$D:$D,"*"&amp;$A119&amp;"*",'All Papers'!$G:$G,"*"&amp;Table1[[#Headers],[Pricing]]&amp;"*")</f>
        <v>0</v>
      </c>
    </row>
    <row r="120" spans="1:13" x14ac:dyDescent="0.25">
      <c r="A120" s="8" t="s">
        <v>2553</v>
      </c>
      <c r="B120" s="8">
        <f>COUNTIF('All Papers'!D:D,"*"&amp;Table1[[#This Row],[Name]]&amp;"*")</f>
        <v>3</v>
      </c>
      <c r="C120" s="8">
        <f>COUNTIFS('All Papers'!$D:$D,"*"&amp;$A120&amp;"*",'All Papers'!$G:$G,"*"&amp;Table1[[#Headers],[Composition]]&amp;"*")</f>
        <v>1</v>
      </c>
      <c r="D120" s="8">
        <f>COUNTIFS('All Papers'!$D:$D,"*"&amp;$A120&amp;"*",'All Papers'!$G:$G,"*"&amp;Table1[[#Headers],[Discovery]]&amp;"*")</f>
        <v>0</v>
      </c>
      <c r="E120" s="8">
        <f>COUNTIFS('All Papers'!$D:$D,"*"&amp;$A120&amp;"*",'All Papers'!$G:$G,"*"&amp;Table1[[#Headers],[Selection]]&amp;"*")</f>
        <v>1</v>
      </c>
      <c r="F120" s="8">
        <f>COUNTIFS('All Papers'!$D:$D,"*"&amp;$A120&amp;"*",'All Papers'!$G:$G,"*"&amp;Table1[[#Headers],[Recommendation]]&amp;"*")</f>
        <v>0</v>
      </c>
      <c r="G120" s="8">
        <f>COUNTIFS('All Papers'!$D:$D,"*"&amp;$A120&amp;"*",'All Papers'!$G:$G,"*"&amp;Table1[[#Headers],[Resource Management-CS]]&amp;"*")</f>
        <v>0</v>
      </c>
      <c r="H120" s="8">
        <f>COUNTIFS('All Papers'!$D:$D,"*"&amp;$A120&amp;"*",'All Papers'!$G:$G,"*"&amp;Table1[[#Headers],[Resource Management-PS]]&amp;"*")</f>
        <v>0</v>
      </c>
      <c r="I120" s="8">
        <f>COUNTIFS('All Papers'!$D:$D,"*"&amp;$A120&amp;"*",'All Papers'!$G:$G,"*"&amp;Table1[[#Headers],[SLA Management]]&amp;"*")</f>
        <v>1</v>
      </c>
      <c r="J120" s="8">
        <f>COUNTIFS('All Papers'!$D:$D,"*"&amp;$A120&amp;"*",'All Papers'!$G:$G,"*"&amp;Table1[[#Headers],[Big Data]]&amp;"*")</f>
        <v>0</v>
      </c>
      <c r="K120" s="8">
        <f>COUNTIFS('All Papers'!$D:$D,"*"&amp;$A120&amp;"*",'All Papers'!$G:$G,"*"&amp;Table1[[#Headers],[Energy Management]]&amp;"*")</f>
        <v>0</v>
      </c>
      <c r="L120" s="8">
        <f>COUNTIFS('All Papers'!$D:$D,"*"&amp;$A120&amp;"*",'All Papers'!$G:$G,"*"&amp;Table1[[#Headers],[Monitoring]]&amp;"*")</f>
        <v>0</v>
      </c>
      <c r="M120" s="8">
        <f>COUNTIFS('All Papers'!$D:$D,"*"&amp;$A120&amp;"*",'All Papers'!$G:$G,"*"&amp;Table1[[#Headers],[Pricing]]&amp;"*")</f>
        <v>0</v>
      </c>
    </row>
    <row r="121" spans="1:13" x14ac:dyDescent="0.25">
      <c r="A121" s="8" t="s">
        <v>2554</v>
      </c>
      <c r="B121" s="8">
        <f>COUNTIF('All Papers'!D:D,"*"&amp;Table1[[#This Row],[Name]]&amp;"*")</f>
        <v>3</v>
      </c>
      <c r="C121" s="8">
        <f>COUNTIFS('All Papers'!$D:$D,"*"&amp;$A121&amp;"*",'All Papers'!$G:$G,"*"&amp;Table1[[#Headers],[Composition]]&amp;"*")</f>
        <v>1</v>
      </c>
      <c r="D121" s="8">
        <f>COUNTIFS('All Papers'!$D:$D,"*"&amp;$A121&amp;"*",'All Papers'!$G:$G,"*"&amp;Table1[[#Headers],[Discovery]]&amp;"*")</f>
        <v>0</v>
      </c>
      <c r="E121" s="8">
        <f>COUNTIFS('All Papers'!$D:$D,"*"&amp;$A121&amp;"*",'All Papers'!$G:$G,"*"&amp;Table1[[#Headers],[Selection]]&amp;"*")</f>
        <v>1</v>
      </c>
      <c r="F121" s="8">
        <f>COUNTIFS('All Papers'!$D:$D,"*"&amp;$A121&amp;"*",'All Papers'!$G:$G,"*"&amp;Table1[[#Headers],[Recommendation]]&amp;"*")</f>
        <v>0</v>
      </c>
      <c r="G121" s="8">
        <f>COUNTIFS('All Papers'!$D:$D,"*"&amp;$A121&amp;"*",'All Papers'!$G:$G,"*"&amp;Table1[[#Headers],[Resource Management-CS]]&amp;"*")</f>
        <v>0</v>
      </c>
      <c r="H121" s="8">
        <f>COUNTIFS('All Papers'!$D:$D,"*"&amp;$A121&amp;"*",'All Papers'!$G:$G,"*"&amp;Table1[[#Headers],[Resource Management-PS]]&amp;"*")</f>
        <v>0</v>
      </c>
      <c r="I121" s="8">
        <f>COUNTIFS('All Papers'!$D:$D,"*"&amp;$A121&amp;"*",'All Papers'!$G:$G,"*"&amp;Table1[[#Headers],[SLA Management]]&amp;"*")</f>
        <v>1</v>
      </c>
      <c r="J121" s="8">
        <f>COUNTIFS('All Papers'!$D:$D,"*"&amp;$A121&amp;"*",'All Papers'!$G:$G,"*"&amp;Table1[[#Headers],[Big Data]]&amp;"*")</f>
        <v>0</v>
      </c>
      <c r="K121" s="8">
        <f>COUNTIFS('All Papers'!$D:$D,"*"&amp;$A121&amp;"*",'All Papers'!$G:$G,"*"&amp;Table1[[#Headers],[Energy Management]]&amp;"*")</f>
        <v>0</v>
      </c>
      <c r="L121" s="8">
        <f>COUNTIFS('All Papers'!$D:$D,"*"&amp;$A121&amp;"*",'All Papers'!$G:$G,"*"&amp;Table1[[#Headers],[Monitoring]]&amp;"*")</f>
        <v>0</v>
      </c>
      <c r="M121" s="8">
        <f>COUNTIFS('All Papers'!$D:$D,"*"&amp;$A121&amp;"*",'All Papers'!$G:$G,"*"&amp;Table1[[#Headers],[Pricing]]&amp;"*")</f>
        <v>0</v>
      </c>
    </row>
    <row r="122" spans="1:13" x14ac:dyDescent="0.25">
      <c r="A122" s="8" t="s">
        <v>2555</v>
      </c>
      <c r="B122" s="8">
        <f>COUNTIF('All Papers'!D:D,"*"&amp;Table1[[#This Row],[Name]]&amp;"*")</f>
        <v>3</v>
      </c>
      <c r="C122" s="8">
        <f>COUNTIFS('All Papers'!$D:$D,"*"&amp;$A122&amp;"*",'All Papers'!$G:$G,"*"&amp;Table1[[#Headers],[Composition]]&amp;"*")</f>
        <v>0</v>
      </c>
      <c r="D122" s="8">
        <f>COUNTIFS('All Papers'!$D:$D,"*"&amp;$A122&amp;"*",'All Papers'!$G:$G,"*"&amp;Table1[[#Headers],[Discovery]]&amp;"*")</f>
        <v>0</v>
      </c>
      <c r="E122" s="8">
        <f>COUNTIFS('All Papers'!$D:$D,"*"&amp;$A122&amp;"*",'All Papers'!$G:$G,"*"&amp;Table1[[#Headers],[Selection]]&amp;"*")</f>
        <v>3</v>
      </c>
      <c r="F122" s="8">
        <f>COUNTIFS('All Papers'!$D:$D,"*"&amp;$A122&amp;"*",'All Papers'!$G:$G,"*"&amp;Table1[[#Headers],[Recommendation]]&amp;"*")</f>
        <v>0</v>
      </c>
      <c r="G122" s="8">
        <f>COUNTIFS('All Papers'!$D:$D,"*"&amp;$A122&amp;"*",'All Papers'!$G:$G,"*"&amp;Table1[[#Headers],[Resource Management-CS]]&amp;"*")</f>
        <v>0</v>
      </c>
      <c r="H122" s="8">
        <f>COUNTIFS('All Papers'!$D:$D,"*"&amp;$A122&amp;"*",'All Papers'!$G:$G,"*"&amp;Table1[[#Headers],[Resource Management-PS]]&amp;"*")</f>
        <v>0</v>
      </c>
      <c r="I122" s="8">
        <f>COUNTIFS('All Papers'!$D:$D,"*"&amp;$A122&amp;"*",'All Papers'!$G:$G,"*"&amp;Table1[[#Headers],[SLA Management]]&amp;"*")</f>
        <v>0</v>
      </c>
      <c r="J122" s="8">
        <f>COUNTIFS('All Papers'!$D:$D,"*"&amp;$A122&amp;"*",'All Papers'!$G:$G,"*"&amp;Table1[[#Headers],[Big Data]]&amp;"*")</f>
        <v>0</v>
      </c>
      <c r="K122" s="8">
        <f>COUNTIFS('All Papers'!$D:$D,"*"&amp;$A122&amp;"*",'All Papers'!$G:$G,"*"&amp;Table1[[#Headers],[Energy Management]]&amp;"*")</f>
        <v>0</v>
      </c>
      <c r="L122" s="8">
        <f>COUNTIFS('All Papers'!$D:$D,"*"&amp;$A122&amp;"*",'All Papers'!$G:$G,"*"&amp;Table1[[#Headers],[Monitoring]]&amp;"*")</f>
        <v>0</v>
      </c>
      <c r="M122" s="8">
        <f>COUNTIFS('All Papers'!$D:$D,"*"&amp;$A122&amp;"*",'All Papers'!$G:$G,"*"&amp;Table1[[#Headers],[Pricing]]&amp;"*")</f>
        <v>0</v>
      </c>
    </row>
    <row r="123" spans="1:13" x14ac:dyDescent="0.25">
      <c r="A123" s="8" t="s">
        <v>2556</v>
      </c>
      <c r="B123" s="8">
        <f>COUNTIF('All Papers'!D:D,"*"&amp;Table1[[#This Row],[Name]]&amp;"*")</f>
        <v>3</v>
      </c>
      <c r="C123" s="8">
        <f>COUNTIFS('All Papers'!$D:$D,"*"&amp;$A123&amp;"*",'All Papers'!$G:$G,"*"&amp;Table1[[#Headers],[Composition]]&amp;"*")</f>
        <v>0</v>
      </c>
      <c r="D123" s="8">
        <f>COUNTIFS('All Papers'!$D:$D,"*"&amp;$A123&amp;"*",'All Papers'!$G:$G,"*"&amp;Table1[[#Headers],[Discovery]]&amp;"*")</f>
        <v>0</v>
      </c>
      <c r="E123" s="8">
        <f>COUNTIFS('All Papers'!$D:$D,"*"&amp;$A123&amp;"*",'All Papers'!$G:$G,"*"&amp;Table1[[#Headers],[Selection]]&amp;"*")</f>
        <v>3</v>
      </c>
      <c r="F123" s="8">
        <f>COUNTIFS('All Papers'!$D:$D,"*"&amp;$A123&amp;"*",'All Papers'!$G:$G,"*"&amp;Table1[[#Headers],[Recommendation]]&amp;"*")</f>
        <v>0</v>
      </c>
      <c r="G123" s="8">
        <f>COUNTIFS('All Papers'!$D:$D,"*"&amp;$A123&amp;"*",'All Papers'!$G:$G,"*"&amp;Table1[[#Headers],[Resource Management-CS]]&amp;"*")</f>
        <v>0</v>
      </c>
      <c r="H123" s="8">
        <f>COUNTIFS('All Papers'!$D:$D,"*"&amp;$A123&amp;"*",'All Papers'!$G:$G,"*"&amp;Table1[[#Headers],[Resource Management-PS]]&amp;"*")</f>
        <v>0</v>
      </c>
      <c r="I123" s="8">
        <f>COUNTIFS('All Papers'!$D:$D,"*"&amp;$A123&amp;"*",'All Papers'!$G:$G,"*"&amp;Table1[[#Headers],[SLA Management]]&amp;"*")</f>
        <v>0</v>
      </c>
      <c r="J123" s="8">
        <f>COUNTIFS('All Papers'!$D:$D,"*"&amp;$A123&amp;"*",'All Papers'!$G:$G,"*"&amp;Table1[[#Headers],[Big Data]]&amp;"*")</f>
        <v>0</v>
      </c>
      <c r="K123" s="8">
        <f>COUNTIFS('All Papers'!$D:$D,"*"&amp;$A123&amp;"*",'All Papers'!$G:$G,"*"&amp;Table1[[#Headers],[Energy Management]]&amp;"*")</f>
        <v>0</v>
      </c>
      <c r="L123" s="8">
        <f>COUNTIFS('All Papers'!$D:$D,"*"&amp;$A123&amp;"*",'All Papers'!$G:$G,"*"&amp;Table1[[#Headers],[Monitoring]]&amp;"*")</f>
        <v>0</v>
      </c>
      <c r="M123" s="8">
        <f>COUNTIFS('All Papers'!$D:$D,"*"&amp;$A123&amp;"*",'All Papers'!$G:$G,"*"&amp;Table1[[#Headers],[Pricing]]&amp;"*")</f>
        <v>0</v>
      </c>
    </row>
    <row r="124" spans="1:13" x14ac:dyDescent="0.25">
      <c r="A124" s="8" t="s">
        <v>2557</v>
      </c>
      <c r="B124" s="8">
        <f>COUNTIF('All Papers'!D:D,"*"&amp;Table1[[#This Row],[Name]]&amp;"*")</f>
        <v>3</v>
      </c>
      <c r="C124" s="8">
        <f>COUNTIFS('All Papers'!$D:$D,"*"&amp;$A124&amp;"*",'All Papers'!$G:$G,"*"&amp;Table1[[#Headers],[Composition]]&amp;"*")</f>
        <v>1</v>
      </c>
      <c r="D124" s="8">
        <f>COUNTIFS('All Papers'!$D:$D,"*"&amp;$A124&amp;"*",'All Papers'!$G:$G,"*"&amp;Table1[[#Headers],[Discovery]]&amp;"*")</f>
        <v>0</v>
      </c>
      <c r="E124" s="8">
        <f>COUNTIFS('All Papers'!$D:$D,"*"&amp;$A124&amp;"*",'All Papers'!$G:$G,"*"&amp;Table1[[#Headers],[Selection]]&amp;"*")</f>
        <v>0</v>
      </c>
      <c r="F124" s="8">
        <f>COUNTIFS('All Papers'!$D:$D,"*"&amp;$A124&amp;"*",'All Papers'!$G:$G,"*"&amp;Table1[[#Headers],[Recommendation]]&amp;"*")</f>
        <v>0</v>
      </c>
      <c r="G124" s="8">
        <f>COUNTIFS('All Papers'!$D:$D,"*"&amp;$A124&amp;"*",'All Papers'!$G:$G,"*"&amp;Table1[[#Headers],[Resource Management-CS]]&amp;"*")</f>
        <v>0</v>
      </c>
      <c r="H124" s="8">
        <f>COUNTIFS('All Papers'!$D:$D,"*"&amp;$A124&amp;"*",'All Papers'!$G:$G,"*"&amp;Table1[[#Headers],[Resource Management-PS]]&amp;"*")</f>
        <v>2</v>
      </c>
      <c r="I124" s="8">
        <f>COUNTIFS('All Papers'!$D:$D,"*"&amp;$A124&amp;"*",'All Papers'!$G:$G,"*"&amp;Table1[[#Headers],[SLA Management]]&amp;"*")</f>
        <v>0</v>
      </c>
      <c r="J124" s="8">
        <f>COUNTIFS('All Papers'!$D:$D,"*"&amp;$A124&amp;"*",'All Papers'!$G:$G,"*"&amp;Table1[[#Headers],[Big Data]]&amp;"*")</f>
        <v>0</v>
      </c>
      <c r="K124" s="8">
        <f>COUNTIFS('All Papers'!$D:$D,"*"&amp;$A124&amp;"*",'All Papers'!$G:$G,"*"&amp;Table1[[#Headers],[Energy Management]]&amp;"*")</f>
        <v>0</v>
      </c>
      <c r="L124" s="8">
        <f>COUNTIFS('All Papers'!$D:$D,"*"&amp;$A124&amp;"*",'All Papers'!$G:$G,"*"&amp;Table1[[#Headers],[Monitoring]]&amp;"*")</f>
        <v>0</v>
      </c>
      <c r="M124" s="8">
        <f>COUNTIFS('All Papers'!$D:$D,"*"&amp;$A124&amp;"*",'All Papers'!$G:$G,"*"&amp;Table1[[#Headers],[Pricing]]&amp;"*")</f>
        <v>0</v>
      </c>
    </row>
    <row r="125" spans="1:13" x14ac:dyDescent="0.25">
      <c r="A125" s="8" t="s">
        <v>2558</v>
      </c>
      <c r="B125" s="8">
        <f>COUNTIF('All Papers'!D:D,"*"&amp;Table1[[#This Row],[Name]]&amp;"*")</f>
        <v>3</v>
      </c>
      <c r="C125" s="8">
        <f>COUNTIFS('All Papers'!$D:$D,"*"&amp;$A125&amp;"*",'All Papers'!$G:$G,"*"&amp;Table1[[#Headers],[Composition]]&amp;"*")</f>
        <v>1</v>
      </c>
      <c r="D125" s="8">
        <f>COUNTIFS('All Papers'!$D:$D,"*"&amp;$A125&amp;"*",'All Papers'!$G:$G,"*"&amp;Table1[[#Headers],[Discovery]]&amp;"*")</f>
        <v>0</v>
      </c>
      <c r="E125" s="8">
        <f>COUNTIFS('All Papers'!$D:$D,"*"&amp;$A125&amp;"*",'All Papers'!$G:$G,"*"&amp;Table1[[#Headers],[Selection]]&amp;"*")</f>
        <v>0</v>
      </c>
      <c r="F125" s="8">
        <f>COUNTIFS('All Papers'!$D:$D,"*"&amp;$A125&amp;"*",'All Papers'!$G:$G,"*"&amp;Table1[[#Headers],[Recommendation]]&amp;"*")</f>
        <v>0</v>
      </c>
      <c r="G125" s="8">
        <f>COUNTIFS('All Papers'!$D:$D,"*"&amp;$A125&amp;"*",'All Papers'!$G:$G,"*"&amp;Table1[[#Headers],[Resource Management-CS]]&amp;"*")</f>
        <v>0</v>
      </c>
      <c r="H125" s="8">
        <f>COUNTIFS('All Papers'!$D:$D,"*"&amp;$A125&amp;"*",'All Papers'!$G:$G,"*"&amp;Table1[[#Headers],[Resource Management-PS]]&amp;"*")</f>
        <v>2</v>
      </c>
      <c r="I125" s="8">
        <f>COUNTIFS('All Papers'!$D:$D,"*"&amp;$A125&amp;"*",'All Papers'!$G:$G,"*"&amp;Table1[[#Headers],[SLA Management]]&amp;"*")</f>
        <v>0</v>
      </c>
      <c r="J125" s="8">
        <f>COUNTIFS('All Papers'!$D:$D,"*"&amp;$A125&amp;"*",'All Papers'!$G:$G,"*"&amp;Table1[[#Headers],[Big Data]]&amp;"*")</f>
        <v>0</v>
      </c>
      <c r="K125" s="8">
        <f>COUNTIFS('All Papers'!$D:$D,"*"&amp;$A125&amp;"*",'All Papers'!$G:$G,"*"&amp;Table1[[#Headers],[Energy Management]]&amp;"*")</f>
        <v>0</v>
      </c>
      <c r="L125" s="8">
        <f>COUNTIFS('All Papers'!$D:$D,"*"&amp;$A125&amp;"*",'All Papers'!$G:$G,"*"&amp;Table1[[#Headers],[Monitoring]]&amp;"*")</f>
        <v>0</v>
      </c>
      <c r="M125" s="8">
        <f>COUNTIFS('All Papers'!$D:$D,"*"&amp;$A125&amp;"*",'All Papers'!$G:$G,"*"&amp;Table1[[#Headers],[Pricing]]&amp;"*")</f>
        <v>0</v>
      </c>
    </row>
    <row r="126" spans="1:13" x14ac:dyDescent="0.25">
      <c r="A126" s="8" t="s">
        <v>2559</v>
      </c>
      <c r="B126" s="8">
        <f>COUNTIF('All Papers'!D:D,"*"&amp;Table1[[#This Row],[Name]]&amp;"*")</f>
        <v>3</v>
      </c>
      <c r="C126" s="8">
        <f>COUNTIFS('All Papers'!$D:$D,"*"&amp;$A126&amp;"*",'All Papers'!$G:$G,"*"&amp;Table1[[#Headers],[Composition]]&amp;"*")</f>
        <v>0</v>
      </c>
      <c r="D126" s="8">
        <f>COUNTIFS('All Papers'!$D:$D,"*"&amp;$A126&amp;"*",'All Papers'!$G:$G,"*"&amp;Table1[[#Headers],[Discovery]]&amp;"*")</f>
        <v>0</v>
      </c>
      <c r="E126" s="8">
        <f>COUNTIFS('All Papers'!$D:$D,"*"&amp;$A126&amp;"*",'All Papers'!$G:$G,"*"&amp;Table1[[#Headers],[Selection]]&amp;"*")</f>
        <v>0</v>
      </c>
      <c r="F126" s="8">
        <f>COUNTIFS('All Papers'!$D:$D,"*"&amp;$A126&amp;"*",'All Papers'!$G:$G,"*"&amp;Table1[[#Headers],[Recommendation]]&amp;"*")</f>
        <v>0</v>
      </c>
      <c r="G126" s="8">
        <f>COUNTIFS('All Papers'!$D:$D,"*"&amp;$A126&amp;"*",'All Papers'!$G:$G,"*"&amp;Table1[[#Headers],[Resource Management-CS]]&amp;"*")</f>
        <v>2</v>
      </c>
      <c r="H126" s="8">
        <f>COUNTIFS('All Papers'!$D:$D,"*"&amp;$A126&amp;"*",'All Papers'!$G:$G,"*"&amp;Table1[[#Headers],[Resource Management-PS]]&amp;"*")</f>
        <v>1</v>
      </c>
      <c r="I126" s="8">
        <f>COUNTIFS('All Papers'!$D:$D,"*"&amp;$A126&amp;"*",'All Papers'!$G:$G,"*"&amp;Table1[[#Headers],[SLA Management]]&amp;"*")</f>
        <v>0</v>
      </c>
      <c r="J126" s="8">
        <f>COUNTIFS('All Papers'!$D:$D,"*"&amp;$A126&amp;"*",'All Papers'!$G:$G,"*"&amp;Table1[[#Headers],[Big Data]]&amp;"*")</f>
        <v>0</v>
      </c>
      <c r="K126" s="8">
        <f>COUNTIFS('All Papers'!$D:$D,"*"&amp;$A126&amp;"*",'All Papers'!$G:$G,"*"&amp;Table1[[#Headers],[Energy Management]]&amp;"*")</f>
        <v>0</v>
      </c>
      <c r="L126" s="8">
        <f>COUNTIFS('All Papers'!$D:$D,"*"&amp;$A126&amp;"*",'All Papers'!$G:$G,"*"&amp;Table1[[#Headers],[Monitoring]]&amp;"*")</f>
        <v>0</v>
      </c>
      <c r="M126" s="8">
        <f>COUNTIFS('All Papers'!$D:$D,"*"&amp;$A126&amp;"*",'All Papers'!$G:$G,"*"&amp;Table1[[#Headers],[Pricing]]&amp;"*")</f>
        <v>0</v>
      </c>
    </row>
    <row r="127" spans="1:13" x14ac:dyDescent="0.25">
      <c r="A127" s="8" t="s">
        <v>2560</v>
      </c>
      <c r="B127" s="8">
        <f>COUNTIF('All Papers'!D:D,"*"&amp;Table1[[#This Row],[Name]]&amp;"*")</f>
        <v>3</v>
      </c>
      <c r="C127" s="8">
        <f>COUNTIFS('All Papers'!$D:$D,"*"&amp;$A127&amp;"*",'All Papers'!$G:$G,"*"&amp;Table1[[#Headers],[Composition]]&amp;"*")</f>
        <v>0</v>
      </c>
      <c r="D127" s="8">
        <f>COUNTIFS('All Papers'!$D:$D,"*"&amp;$A127&amp;"*",'All Papers'!$G:$G,"*"&amp;Table1[[#Headers],[Discovery]]&amp;"*")</f>
        <v>0</v>
      </c>
      <c r="E127" s="8">
        <f>COUNTIFS('All Papers'!$D:$D,"*"&amp;$A127&amp;"*",'All Papers'!$G:$G,"*"&amp;Table1[[#Headers],[Selection]]&amp;"*")</f>
        <v>0</v>
      </c>
      <c r="F127" s="8">
        <f>COUNTIFS('All Papers'!$D:$D,"*"&amp;$A127&amp;"*",'All Papers'!$G:$G,"*"&amp;Table1[[#Headers],[Recommendation]]&amp;"*")</f>
        <v>0</v>
      </c>
      <c r="G127" s="8">
        <f>COUNTIFS('All Papers'!$D:$D,"*"&amp;$A127&amp;"*",'All Papers'!$G:$G,"*"&amp;Table1[[#Headers],[Resource Management-CS]]&amp;"*")</f>
        <v>2</v>
      </c>
      <c r="H127" s="8">
        <f>COUNTIFS('All Papers'!$D:$D,"*"&amp;$A127&amp;"*",'All Papers'!$G:$G,"*"&amp;Table1[[#Headers],[Resource Management-PS]]&amp;"*")</f>
        <v>1</v>
      </c>
      <c r="I127" s="8">
        <f>COUNTIFS('All Papers'!$D:$D,"*"&amp;$A127&amp;"*",'All Papers'!$G:$G,"*"&amp;Table1[[#Headers],[SLA Management]]&amp;"*")</f>
        <v>0</v>
      </c>
      <c r="J127" s="8">
        <f>COUNTIFS('All Papers'!$D:$D,"*"&amp;$A127&amp;"*",'All Papers'!$G:$G,"*"&amp;Table1[[#Headers],[Big Data]]&amp;"*")</f>
        <v>0</v>
      </c>
      <c r="K127" s="8">
        <f>COUNTIFS('All Papers'!$D:$D,"*"&amp;$A127&amp;"*",'All Papers'!$G:$G,"*"&amp;Table1[[#Headers],[Energy Management]]&amp;"*")</f>
        <v>0</v>
      </c>
      <c r="L127" s="8">
        <f>COUNTIFS('All Papers'!$D:$D,"*"&amp;$A127&amp;"*",'All Papers'!$G:$G,"*"&amp;Table1[[#Headers],[Monitoring]]&amp;"*")</f>
        <v>0</v>
      </c>
      <c r="M127" s="8">
        <f>COUNTIFS('All Papers'!$D:$D,"*"&amp;$A127&amp;"*",'All Papers'!$G:$G,"*"&amp;Table1[[#Headers],[Pricing]]&amp;"*")</f>
        <v>0</v>
      </c>
    </row>
    <row r="128" spans="1:13" x14ac:dyDescent="0.25">
      <c r="A128" s="8" t="s">
        <v>2561</v>
      </c>
      <c r="B128" s="8">
        <f>COUNTIF('All Papers'!D:D,"*"&amp;Table1[[#This Row],[Name]]&amp;"*")</f>
        <v>3</v>
      </c>
      <c r="C128" s="8">
        <f>COUNTIFS('All Papers'!$D:$D,"*"&amp;$A128&amp;"*",'All Papers'!$G:$G,"*"&amp;Table1[[#Headers],[Composition]]&amp;"*")</f>
        <v>0</v>
      </c>
      <c r="D128" s="8">
        <f>COUNTIFS('All Papers'!$D:$D,"*"&amp;$A128&amp;"*",'All Papers'!$G:$G,"*"&amp;Table1[[#Headers],[Discovery]]&amp;"*")</f>
        <v>1</v>
      </c>
      <c r="E128" s="8">
        <f>COUNTIFS('All Papers'!$D:$D,"*"&amp;$A128&amp;"*",'All Papers'!$G:$G,"*"&amp;Table1[[#Headers],[Selection]]&amp;"*")</f>
        <v>1</v>
      </c>
      <c r="F128" s="8">
        <f>COUNTIFS('All Papers'!$D:$D,"*"&amp;$A128&amp;"*",'All Papers'!$G:$G,"*"&amp;Table1[[#Headers],[Recommendation]]&amp;"*")</f>
        <v>0</v>
      </c>
      <c r="G128" s="8">
        <f>COUNTIFS('All Papers'!$D:$D,"*"&amp;$A128&amp;"*",'All Papers'!$G:$G,"*"&amp;Table1[[#Headers],[Resource Management-CS]]&amp;"*")</f>
        <v>0</v>
      </c>
      <c r="H128" s="8">
        <f>COUNTIFS('All Papers'!$D:$D,"*"&amp;$A128&amp;"*",'All Papers'!$G:$G,"*"&amp;Table1[[#Headers],[Resource Management-PS]]&amp;"*")</f>
        <v>0</v>
      </c>
      <c r="I128" s="8">
        <f>COUNTIFS('All Papers'!$D:$D,"*"&amp;$A128&amp;"*",'All Papers'!$G:$G,"*"&amp;Table1[[#Headers],[SLA Management]]&amp;"*")</f>
        <v>0</v>
      </c>
      <c r="J128" s="8">
        <f>COUNTIFS('All Papers'!$D:$D,"*"&amp;$A128&amp;"*",'All Papers'!$G:$G,"*"&amp;Table1[[#Headers],[Big Data]]&amp;"*")</f>
        <v>0</v>
      </c>
      <c r="K128" s="8">
        <f>COUNTIFS('All Papers'!$D:$D,"*"&amp;$A128&amp;"*",'All Papers'!$G:$G,"*"&amp;Table1[[#Headers],[Energy Management]]&amp;"*")</f>
        <v>0</v>
      </c>
      <c r="L128" s="8">
        <f>COUNTIFS('All Papers'!$D:$D,"*"&amp;$A128&amp;"*",'All Papers'!$G:$G,"*"&amp;Table1[[#Headers],[Monitoring]]&amp;"*")</f>
        <v>1</v>
      </c>
      <c r="M128" s="8">
        <f>COUNTIFS('All Papers'!$D:$D,"*"&amp;$A128&amp;"*",'All Papers'!$G:$G,"*"&amp;Table1[[#Headers],[Pricing]]&amp;"*")</f>
        <v>0</v>
      </c>
    </row>
    <row r="129" spans="1:13" x14ac:dyDescent="0.25">
      <c r="A129" s="8" t="s">
        <v>2562</v>
      </c>
      <c r="B129" s="8">
        <f>COUNTIF('All Papers'!D:D,"*"&amp;Table1[[#This Row],[Name]]&amp;"*")</f>
        <v>2</v>
      </c>
      <c r="C129" s="8">
        <f>COUNTIFS('All Papers'!$D:$D,"*"&amp;$A129&amp;"*",'All Papers'!$G:$G,"*"&amp;Table1[[#Headers],[Composition]]&amp;"*")</f>
        <v>1</v>
      </c>
      <c r="D129" s="8">
        <f>COUNTIFS('All Papers'!$D:$D,"*"&amp;$A129&amp;"*",'All Papers'!$G:$G,"*"&amp;Table1[[#Headers],[Discovery]]&amp;"*")</f>
        <v>0</v>
      </c>
      <c r="E129" s="8">
        <f>COUNTIFS('All Papers'!$D:$D,"*"&amp;$A129&amp;"*",'All Papers'!$G:$G,"*"&amp;Table1[[#Headers],[Selection]]&amp;"*")</f>
        <v>0</v>
      </c>
      <c r="F129" s="8">
        <f>COUNTIFS('All Papers'!$D:$D,"*"&amp;$A129&amp;"*",'All Papers'!$G:$G,"*"&amp;Table1[[#Headers],[Recommendation]]&amp;"*")</f>
        <v>0</v>
      </c>
      <c r="G129" s="8">
        <f>COUNTIFS('All Papers'!$D:$D,"*"&amp;$A129&amp;"*",'All Papers'!$G:$G,"*"&amp;Table1[[#Headers],[Resource Management-CS]]&amp;"*")</f>
        <v>1</v>
      </c>
      <c r="H129" s="8">
        <f>COUNTIFS('All Papers'!$D:$D,"*"&amp;$A129&amp;"*",'All Papers'!$G:$G,"*"&amp;Table1[[#Headers],[Resource Management-PS]]&amp;"*")</f>
        <v>0</v>
      </c>
      <c r="I129" s="8">
        <f>COUNTIFS('All Papers'!$D:$D,"*"&amp;$A129&amp;"*",'All Papers'!$G:$G,"*"&amp;Table1[[#Headers],[SLA Management]]&amp;"*")</f>
        <v>0</v>
      </c>
      <c r="J129" s="8">
        <f>COUNTIFS('All Papers'!$D:$D,"*"&amp;$A129&amp;"*",'All Papers'!$G:$G,"*"&amp;Table1[[#Headers],[Big Data]]&amp;"*")</f>
        <v>0</v>
      </c>
      <c r="K129" s="8">
        <f>COUNTIFS('All Papers'!$D:$D,"*"&amp;$A129&amp;"*",'All Papers'!$G:$G,"*"&amp;Table1[[#Headers],[Energy Management]]&amp;"*")</f>
        <v>0</v>
      </c>
      <c r="L129" s="8">
        <f>COUNTIFS('All Papers'!$D:$D,"*"&amp;$A129&amp;"*",'All Papers'!$G:$G,"*"&amp;Table1[[#Headers],[Monitoring]]&amp;"*")</f>
        <v>0</v>
      </c>
      <c r="M129" s="8">
        <f>COUNTIFS('All Papers'!$D:$D,"*"&amp;$A129&amp;"*",'All Papers'!$G:$G,"*"&amp;Table1[[#Headers],[Pricing]]&amp;"*")</f>
        <v>0</v>
      </c>
    </row>
    <row r="130" spans="1:13" x14ac:dyDescent="0.25">
      <c r="A130" s="8" t="s">
        <v>2563</v>
      </c>
      <c r="B130" s="8">
        <f>COUNTIF('All Papers'!D:D,"*"&amp;Table1[[#This Row],[Name]]&amp;"*")</f>
        <v>2</v>
      </c>
      <c r="C130" s="8">
        <f>COUNTIFS('All Papers'!$D:$D,"*"&amp;$A130&amp;"*",'All Papers'!$G:$G,"*"&amp;Table1[[#Headers],[Composition]]&amp;"*")</f>
        <v>1</v>
      </c>
      <c r="D130" s="8">
        <f>COUNTIFS('All Papers'!$D:$D,"*"&amp;$A130&amp;"*",'All Papers'!$G:$G,"*"&amp;Table1[[#Headers],[Discovery]]&amp;"*")</f>
        <v>0</v>
      </c>
      <c r="E130" s="8">
        <f>COUNTIFS('All Papers'!$D:$D,"*"&amp;$A130&amp;"*",'All Papers'!$G:$G,"*"&amp;Table1[[#Headers],[Selection]]&amp;"*")</f>
        <v>0</v>
      </c>
      <c r="F130" s="8">
        <f>COUNTIFS('All Papers'!$D:$D,"*"&amp;$A130&amp;"*",'All Papers'!$G:$G,"*"&amp;Table1[[#Headers],[Recommendation]]&amp;"*")</f>
        <v>0</v>
      </c>
      <c r="G130" s="8">
        <f>COUNTIFS('All Papers'!$D:$D,"*"&amp;$A130&amp;"*",'All Papers'!$G:$G,"*"&amp;Table1[[#Headers],[Resource Management-CS]]&amp;"*")</f>
        <v>1</v>
      </c>
      <c r="H130" s="8">
        <f>COUNTIFS('All Papers'!$D:$D,"*"&amp;$A130&amp;"*",'All Papers'!$G:$G,"*"&amp;Table1[[#Headers],[Resource Management-PS]]&amp;"*")</f>
        <v>0</v>
      </c>
      <c r="I130" s="8">
        <f>COUNTIFS('All Papers'!$D:$D,"*"&amp;$A130&amp;"*",'All Papers'!$G:$G,"*"&amp;Table1[[#Headers],[SLA Management]]&amp;"*")</f>
        <v>0</v>
      </c>
      <c r="J130" s="8">
        <f>COUNTIFS('All Papers'!$D:$D,"*"&amp;$A130&amp;"*",'All Papers'!$G:$G,"*"&amp;Table1[[#Headers],[Big Data]]&amp;"*")</f>
        <v>0</v>
      </c>
      <c r="K130" s="8">
        <f>COUNTIFS('All Papers'!$D:$D,"*"&amp;$A130&amp;"*",'All Papers'!$G:$G,"*"&amp;Table1[[#Headers],[Energy Management]]&amp;"*")</f>
        <v>0</v>
      </c>
      <c r="L130" s="8">
        <f>COUNTIFS('All Papers'!$D:$D,"*"&amp;$A130&amp;"*",'All Papers'!$G:$G,"*"&amp;Table1[[#Headers],[Monitoring]]&amp;"*")</f>
        <v>0</v>
      </c>
      <c r="M130" s="8">
        <f>COUNTIFS('All Papers'!$D:$D,"*"&amp;$A130&amp;"*",'All Papers'!$G:$G,"*"&amp;Table1[[#Headers],[Pricing]]&amp;"*")</f>
        <v>0</v>
      </c>
    </row>
    <row r="131" spans="1:13" x14ac:dyDescent="0.25">
      <c r="A131" s="8" t="s">
        <v>2564</v>
      </c>
      <c r="B131" s="8">
        <f>COUNTIF('All Papers'!D:D,"*"&amp;Table1[[#This Row],[Name]]&amp;"*")</f>
        <v>2</v>
      </c>
      <c r="C131" s="8">
        <f>COUNTIFS('All Papers'!$D:$D,"*"&amp;$A131&amp;"*",'All Papers'!$G:$G,"*"&amp;Table1[[#Headers],[Composition]]&amp;"*")</f>
        <v>1</v>
      </c>
      <c r="D131" s="8">
        <f>COUNTIFS('All Papers'!$D:$D,"*"&amp;$A131&amp;"*",'All Papers'!$G:$G,"*"&amp;Table1[[#Headers],[Discovery]]&amp;"*")</f>
        <v>0</v>
      </c>
      <c r="E131" s="8">
        <f>COUNTIFS('All Papers'!$D:$D,"*"&amp;$A131&amp;"*",'All Papers'!$G:$G,"*"&amp;Table1[[#Headers],[Selection]]&amp;"*")</f>
        <v>2</v>
      </c>
      <c r="F131" s="8">
        <f>COUNTIFS('All Papers'!$D:$D,"*"&amp;$A131&amp;"*",'All Papers'!$G:$G,"*"&amp;Table1[[#Headers],[Recommendation]]&amp;"*")</f>
        <v>0</v>
      </c>
      <c r="G131" s="8">
        <f>COUNTIFS('All Papers'!$D:$D,"*"&amp;$A131&amp;"*",'All Papers'!$G:$G,"*"&amp;Table1[[#Headers],[Resource Management-CS]]&amp;"*")</f>
        <v>0</v>
      </c>
      <c r="H131" s="8">
        <f>COUNTIFS('All Papers'!$D:$D,"*"&amp;$A131&amp;"*",'All Papers'!$G:$G,"*"&amp;Table1[[#Headers],[Resource Management-PS]]&amp;"*")</f>
        <v>0</v>
      </c>
      <c r="I131" s="8">
        <f>COUNTIFS('All Papers'!$D:$D,"*"&amp;$A131&amp;"*",'All Papers'!$G:$G,"*"&amp;Table1[[#Headers],[SLA Management]]&amp;"*")</f>
        <v>0</v>
      </c>
      <c r="J131" s="8">
        <f>COUNTIFS('All Papers'!$D:$D,"*"&amp;$A131&amp;"*",'All Papers'!$G:$G,"*"&amp;Table1[[#Headers],[Big Data]]&amp;"*")</f>
        <v>0</v>
      </c>
      <c r="K131" s="8">
        <f>COUNTIFS('All Papers'!$D:$D,"*"&amp;$A131&amp;"*",'All Papers'!$G:$G,"*"&amp;Table1[[#Headers],[Energy Management]]&amp;"*")</f>
        <v>0</v>
      </c>
      <c r="L131" s="8">
        <f>COUNTIFS('All Papers'!$D:$D,"*"&amp;$A131&amp;"*",'All Papers'!$G:$G,"*"&amp;Table1[[#Headers],[Monitoring]]&amp;"*")</f>
        <v>0</v>
      </c>
      <c r="M131" s="8">
        <f>COUNTIFS('All Papers'!$D:$D,"*"&amp;$A131&amp;"*",'All Papers'!$G:$G,"*"&amp;Table1[[#Headers],[Pricing]]&amp;"*")</f>
        <v>0</v>
      </c>
    </row>
    <row r="132" spans="1:13" x14ac:dyDescent="0.25">
      <c r="A132" s="8" t="s">
        <v>2565</v>
      </c>
      <c r="B132" s="8">
        <f>COUNTIF('All Papers'!D:D,"*"&amp;Table1[[#This Row],[Name]]&amp;"*")</f>
        <v>2</v>
      </c>
      <c r="C132" s="8">
        <f>COUNTIFS('All Papers'!$D:$D,"*"&amp;$A132&amp;"*",'All Papers'!$G:$G,"*"&amp;Table1[[#Headers],[Composition]]&amp;"*")</f>
        <v>1</v>
      </c>
      <c r="D132" s="8">
        <f>COUNTIFS('All Papers'!$D:$D,"*"&amp;$A132&amp;"*",'All Papers'!$G:$G,"*"&amp;Table1[[#Headers],[Discovery]]&amp;"*")</f>
        <v>0</v>
      </c>
      <c r="E132" s="8">
        <f>COUNTIFS('All Papers'!$D:$D,"*"&amp;$A132&amp;"*",'All Papers'!$G:$G,"*"&amp;Table1[[#Headers],[Selection]]&amp;"*")</f>
        <v>0</v>
      </c>
      <c r="F132" s="8">
        <f>COUNTIFS('All Papers'!$D:$D,"*"&amp;$A132&amp;"*",'All Papers'!$G:$G,"*"&amp;Table1[[#Headers],[Recommendation]]&amp;"*")</f>
        <v>0</v>
      </c>
      <c r="G132" s="8">
        <f>COUNTIFS('All Papers'!$D:$D,"*"&amp;$A132&amp;"*",'All Papers'!$G:$G,"*"&amp;Table1[[#Headers],[Resource Management-CS]]&amp;"*")</f>
        <v>1</v>
      </c>
      <c r="H132" s="8">
        <f>COUNTIFS('All Papers'!$D:$D,"*"&amp;$A132&amp;"*",'All Papers'!$G:$G,"*"&amp;Table1[[#Headers],[Resource Management-PS]]&amp;"*")</f>
        <v>0</v>
      </c>
      <c r="I132" s="8">
        <f>COUNTIFS('All Papers'!$D:$D,"*"&amp;$A132&amp;"*",'All Papers'!$G:$G,"*"&amp;Table1[[#Headers],[SLA Management]]&amp;"*")</f>
        <v>0</v>
      </c>
      <c r="J132" s="8">
        <f>COUNTIFS('All Papers'!$D:$D,"*"&amp;$A132&amp;"*",'All Papers'!$G:$G,"*"&amp;Table1[[#Headers],[Big Data]]&amp;"*")</f>
        <v>1</v>
      </c>
      <c r="K132" s="8">
        <f>COUNTIFS('All Papers'!$D:$D,"*"&amp;$A132&amp;"*",'All Papers'!$G:$G,"*"&amp;Table1[[#Headers],[Energy Management]]&amp;"*")</f>
        <v>0</v>
      </c>
      <c r="L132" s="8">
        <f>COUNTIFS('All Papers'!$D:$D,"*"&amp;$A132&amp;"*",'All Papers'!$G:$G,"*"&amp;Table1[[#Headers],[Monitoring]]&amp;"*")</f>
        <v>0</v>
      </c>
      <c r="M132" s="8">
        <f>COUNTIFS('All Papers'!$D:$D,"*"&amp;$A132&amp;"*",'All Papers'!$G:$G,"*"&amp;Table1[[#Headers],[Pricing]]&amp;"*")</f>
        <v>0</v>
      </c>
    </row>
    <row r="133" spans="1:13" x14ac:dyDescent="0.25">
      <c r="A133" s="8" t="s">
        <v>2566</v>
      </c>
      <c r="B133" s="8">
        <f>COUNTIF('All Papers'!D:D,"*"&amp;Table1[[#This Row],[Name]]&amp;"*")</f>
        <v>2</v>
      </c>
      <c r="C133" s="8">
        <f>COUNTIFS('All Papers'!$D:$D,"*"&amp;$A133&amp;"*",'All Papers'!$G:$G,"*"&amp;Table1[[#Headers],[Composition]]&amp;"*")</f>
        <v>0</v>
      </c>
      <c r="D133" s="8">
        <f>COUNTIFS('All Papers'!$D:$D,"*"&amp;$A133&amp;"*",'All Papers'!$G:$G,"*"&amp;Table1[[#Headers],[Discovery]]&amp;"*")</f>
        <v>0</v>
      </c>
      <c r="E133" s="8">
        <f>COUNTIFS('All Papers'!$D:$D,"*"&amp;$A133&amp;"*",'All Papers'!$G:$G,"*"&amp;Table1[[#Headers],[Selection]]&amp;"*")</f>
        <v>1</v>
      </c>
      <c r="F133" s="8">
        <f>COUNTIFS('All Papers'!$D:$D,"*"&amp;$A133&amp;"*",'All Papers'!$G:$G,"*"&amp;Table1[[#Headers],[Recommendation]]&amp;"*")</f>
        <v>0</v>
      </c>
      <c r="G133" s="8">
        <f>COUNTIFS('All Papers'!$D:$D,"*"&amp;$A133&amp;"*",'All Papers'!$G:$G,"*"&amp;Table1[[#Headers],[Resource Management-CS]]&amp;"*")</f>
        <v>0</v>
      </c>
      <c r="H133" s="8">
        <f>COUNTIFS('All Papers'!$D:$D,"*"&amp;$A133&amp;"*",'All Papers'!$G:$G,"*"&amp;Table1[[#Headers],[Resource Management-PS]]&amp;"*")</f>
        <v>0</v>
      </c>
      <c r="I133" s="8">
        <f>COUNTIFS('All Papers'!$D:$D,"*"&amp;$A133&amp;"*",'All Papers'!$G:$G,"*"&amp;Table1[[#Headers],[SLA Management]]&amp;"*")</f>
        <v>0</v>
      </c>
      <c r="J133" s="8">
        <f>COUNTIFS('All Papers'!$D:$D,"*"&amp;$A133&amp;"*",'All Papers'!$G:$G,"*"&amp;Table1[[#Headers],[Big Data]]&amp;"*")</f>
        <v>1</v>
      </c>
      <c r="K133" s="8">
        <f>COUNTIFS('All Papers'!$D:$D,"*"&amp;$A133&amp;"*",'All Papers'!$G:$G,"*"&amp;Table1[[#Headers],[Energy Management]]&amp;"*")</f>
        <v>0</v>
      </c>
      <c r="L133" s="8">
        <f>COUNTIFS('All Papers'!$D:$D,"*"&amp;$A133&amp;"*",'All Papers'!$G:$G,"*"&amp;Table1[[#Headers],[Monitoring]]&amp;"*")</f>
        <v>0</v>
      </c>
      <c r="M133" s="8">
        <f>COUNTIFS('All Papers'!$D:$D,"*"&amp;$A133&amp;"*",'All Papers'!$G:$G,"*"&amp;Table1[[#Headers],[Pricing]]&amp;"*")</f>
        <v>0</v>
      </c>
    </row>
    <row r="134" spans="1:13" x14ac:dyDescent="0.25">
      <c r="A134" s="8" t="s">
        <v>2567</v>
      </c>
      <c r="B134" s="8">
        <f>COUNTIF('All Papers'!D:D,"*"&amp;Table1[[#This Row],[Name]]&amp;"*")</f>
        <v>2</v>
      </c>
      <c r="C134" s="8">
        <f>COUNTIFS('All Papers'!$D:$D,"*"&amp;$A134&amp;"*",'All Papers'!$G:$G,"*"&amp;Table1[[#Headers],[Composition]]&amp;"*")</f>
        <v>0</v>
      </c>
      <c r="D134" s="8">
        <f>COUNTIFS('All Papers'!$D:$D,"*"&amp;$A134&amp;"*",'All Papers'!$G:$G,"*"&amp;Table1[[#Headers],[Discovery]]&amp;"*")</f>
        <v>0</v>
      </c>
      <c r="E134" s="8">
        <f>COUNTIFS('All Papers'!$D:$D,"*"&amp;$A134&amp;"*",'All Papers'!$G:$G,"*"&amp;Table1[[#Headers],[Selection]]&amp;"*")</f>
        <v>0</v>
      </c>
      <c r="F134" s="8">
        <f>COUNTIFS('All Papers'!$D:$D,"*"&amp;$A134&amp;"*",'All Papers'!$G:$G,"*"&amp;Table1[[#Headers],[Recommendation]]&amp;"*")</f>
        <v>0</v>
      </c>
      <c r="G134" s="8">
        <f>COUNTIFS('All Papers'!$D:$D,"*"&amp;$A134&amp;"*",'All Papers'!$G:$G,"*"&amp;Table1[[#Headers],[Resource Management-CS]]&amp;"*")</f>
        <v>1</v>
      </c>
      <c r="H134" s="8">
        <f>COUNTIFS('All Papers'!$D:$D,"*"&amp;$A134&amp;"*",'All Papers'!$G:$G,"*"&amp;Table1[[#Headers],[Resource Management-PS]]&amp;"*")</f>
        <v>1</v>
      </c>
      <c r="I134" s="8">
        <f>COUNTIFS('All Papers'!$D:$D,"*"&amp;$A134&amp;"*",'All Papers'!$G:$G,"*"&amp;Table1[[#Headers],[SLA Management]]&amp;"*")</f>
        <v>0</v>
      </c>
      <c r="J134" s="8">
        <f>COUNTIFS('All Papers'!$D:$D,"*"&amp;$A134&amp;"*",'All Papers'!$G:$G,"*"&amp;Table1[[#Headers],[Big Data]]&amp;"*")</f>
        <v>0</v>
      </c>
      <c r="K134" s="8">
        <f>COUNTIFS('All Papers'!$D:$D,"*"&amp;$A134&amp;"*",'All Papers'!$G:$G,"*"&amp;Table1[[#Headers],[Energy Management]]&amp;"*")</f>
        <v>0</v>
      </c>
      <c r="L134" s="8">
        <f>COUNTIFS('All Papers'!$D:$D,"*"&amp;$A134&amp;"*",'All Papers'!$G:$G,"*"&amp;Table1[[#Headers],[Monitoring]]&amp;"*")</f>
        <v>0</v>
      </c>
      <c r="M134" s="8">
        <f>COUNTIFS('All Papers'!$D:$D,"*"&amp;$A134&amp;"*",'All Papers'!$G:$G,"*"&amp;Table1[[#Headers],[Pricing]]&amp;"*")</f>
        <v>0</v>
      </c>
    </row>
    <row r="135" spans="1:13" x14ac:dyDescent="0.25">
      <c r="A135" s="8" t="s">
        <v>2568</v>
      </c>
      <c r="B135" s="8">
        <f>COUNTIF('All Papers'!D:D,"*"&amp;Table1[[#This Row],[Name]]&amp;"*")</f>
        <v>2</v>
      </c>
      <c r="C135" s="8">
        <f>COUNTIFS('All Papers'!$D:$D,"*"&amp;$A135&amp;"*",'All Papers'!$G:$G,"*"&amp;Table1[[#Headers],[Composition]]&amp;"*")</f>
        <v>0</v>
      </c>
      <c r="D135" s="8">
        <f>COUNTIFS('All Papers'!$D:$D,"*"&amp;$A135&amp;"*",'All Papers'!$G:$G,"*"&amp;Table1[[#Headers],[Discovery]]&amp;"*")</f>
        <v>0</v>
      </c>
      <c r="E135" s="8">
        <f>COUNTIFS('All Papers'!$D:$D,"*"&amp;$A135&amp;"*",'All Papers'!$G:$G,"*"&amp;Table1[[#Headers],[Selection]]&amp;"*")</f>
        <v>0</v>
      </c>
      <c r="F135" s="8">
        <f>COUNTIFS('All Papers'!$D:$D,"*"&amp;$A135&amp;"*",'All Papers'!$G:$G,"*"&amp;Table1[[#Headers],[Recommendation]]&amp;"*")</f>
        <v>0</v>
      </c>
      <c r="G135" s="8">
        <f>COUNTIFS('All Papers'!$D:$D,"*"&amp;$A135&amp;"*",'All Papers'!$G:$G,"*"&amp;Table1[[#Headers],[Resource Management-CS]]&amp;"*")</f>
        <v>1</v>
      </c>
      <c r="H135" s="8">
        <f>COUNTIFS('All Papers'!$D:$D,"*"&amp;$A135&amp;"*",'All Papers'!$G:$G,"*"&amp;Table1[[#Headers],[Resource Management-PS]]&amp;"*")</f>
        <v>1</v>
      </c>
      <c r="I135" s="8">
        <f>COUNTIFS('All Papers'!$D:$D,"*"&amp;$A135&amp;"*",'All Papers'!$G:$G,"*"&amp;Table1[[#Headers],[SLA Management]]&amp;"*")</f>
        <v>0</v>
      </c>
      <c r="J135" s="8">
        <f>COUNTIFS('All Papers'!$D:$D,"*"&amp;$A135&amp;"*",'All Papers'!$G:$G,"*"&amp;Table1[[#Headers],[Big Data]]&amp;"*")</f>
        <v>0</v>
      </c>
      <c r="K135" s="8">
        <f>COUNTIFS('All Papers'!$D:$D,"*"&amp;$A135&amp;"*",'All Papers'!$G:$G,"*"&amp;Table1[[#Headers],[Energy Management]]&amp;"*")</f>
        <v>0</v>
      </c>
      <c r="L135" s="8">
        <f>COUNTIFS('All Papers'!$D:$D,"*"&amp;$A135&amp;"*",'All Papers'!$G:$G,"*"&amp;Table1[[#Headers],[Monitoring]]&amp;"*")</f>
        <v>0</v>
      </c>
      <c r="M135" s="8">
        <f>COUNTIFS('All Papers'!$D:$D,"*"&amp;$A135&amp;"*",'All Papers'!$G:$G,"*"&amp;Table1[[#Headers],[Pricing]]&amp;"*")</f>
        <v>0</v>
      </c>
    </row>
    <row r="136" spans="1:13" x14ac:dyDescent="0.25">
      <c r="A136" s="8" t="s">
        <v>2569</v>
      </c>
      <c r="B136" s="8">
        <f>COUNTIF('All Papers'!D:D,"*"&amp;Table1[[#This Row],[Name]]&amp;"*")</f>
        <v>2</v>
      </c>
      <c r="C136" s="8">
        <f>COUNTIFS('All Papers'!$D:$D,"*"&amp;$A136&amp;"*",'All Papers'!$G:$G,"*"&amp;Table1[[#Headers],[Composition]]&amp;"*")</f>
        <v>0</v>
      </c>
      <c r="D136" s="8">
        <f>COUNTIFS('All Papers'!$D:$D,"*"&amp;$A136&amp;"*",'All Papers'!$G:$G,"*"&amp;Table1[[#Headers],[Discovery]]&amp;"*")</f>
        <v>0</v>
      </c>
      <c r="E136" s="8">
        <f>COUNTIFS('All Papers'!$D:$D,"*"&amp;$A136&amp;"*",'All Papers'!$G:$G,"*"&amp;Table1[[#Headers],[Selection]]&amp;"*")</f>
        <v>0</v>
      </c>
      <c r="F136" s="8">
        <f>COUNTIFS('All Papers'!$D:$D,"*"&amp;$A136&amp;"*",'All Papers'!$G:$G,"*"&amp;Table1[[#Headers],[Recommendation]]&amp;"*")</f>
        <v>0</v>
      </c>
      <c r="G136" s="8">
        <f>COUNTIFS('All Papers'!$D:$D,"*"&amp;$A136&amp;"*",'All Papers'!$G:$G,"*"&amp;Table1[[#Headers],[Resource Management-CS]]&amp;"*")</f>
        <v>2</v>
      </c>
      <c r="H136" s="8">
        <f>COUNTIFS('All Papers'!$D:$D,"*"&amp;$A136&amp;"*",'All Papers'!$G:$G,"*"&amp;Table1[[#Headers],[Resource Management-PS]]&amp;"*")</f>
        <v>0</v>
      </c>
      <c r="I136" s="8">
        <f>COUNTIFS('All Papers'!$D:$D,"*"&amp;$A136&amp;"*",'All Papers'!$G:$G,"*"&amp;Table1[[#Headers],[SLA Management]]&amp;"*")</f>
        <v>0</v>
      </c>
      <c r="J136" s="8">
        <f>COUNTIFS('All Papers'!$D:$D,"*"&amp;$A136&amp;"*",'All Papers'!$G:$G,"*"&amp;Table1[[#Headers],[Big Data]]&amp;"*")</f>
        <v>0</v>
      </c>
      <c r="K136" s="8">
        <f>COUNTIFS('All Papers'!$D:$D,"*"&amp;$A136&amp;"*",'All Papers'!$G:$G,"*"&amp;Table1[[#Headers],[Energy Management]]&amp;"*")</f>
        <v>0</v>
      </c>
      <c r="L136" s="8">
        <f>COUNTIFS('All Papers'!$D:$D,"*"&amp;$A136&amp;"*",'All Papers'!$G:$G,"*"&amp;Table1[[#Headers],[Monitoring]]&amp;"*")</f>
        <v>0</v>
      </c>
      <c r="M136" s="8">
        <f>COUNTIFS('All Papers'!$D:$D,"*"&amp;$A136&amp;"*",'All Papers'!$G:$G,"*"&amp;Table1[[#Headers],[Pricing]]&amp;"*")</f>
        <v>0</v>
      </c>
    </row>
    <row r="137" spans="1:13" x14ac:dyDescent="0.25">
      <c r="A137" s="8" t="s">
        <v>2570</v>
      </c>
      <c r="B137" s="8">
        <f>COUNTIF('All Papers'!D:D,"*"&amp;Table1[[#This Row],[Name]]&amp;"*")</f>
        <v>2</v>
      </c>
      <c r="C137" s="8">
        <f>COUNTIFS('All Papers'!$D:$D,"*"&amp;$A137&amp;"*",'All Papers'!$G:$G,"*"&amp;Table1[[#Headers],[Composition]]&amp;"*")</f>
        <v>0</v>
      </c>
      <c r="D137" s="8">
        <f>COUNTIFS('All Papers'!$D:$D,"*"&amp;$A137&amp;"*",'All Papers'!$G:$G,"*"&amp;Table1[[#Headers],[Discovery]]&amp;"*")</f>
        <v>0</v>
      </c>
      <c r="E137" s="8">
        <f>COUNTIFS('All Papers'!$D:$D,"*"&amp;$A137&amp;"*",'All Papers'!$G:$G,"*"&amp;Table1[[#Headers],[Selection]]&amp;"*")</f>
        <v>0</v>
      </c>
      <c r="F137" s="8">
        <f>COUNTIFS('All Papers'!$D:$D,"*"&amp;$A137&amp;"*",'All Papers'!$G:$G,"*"&amp;Table1[[#Headers],[Recommendation]]&amp;"*")</f>
        <v>0</v>
      </c>
      <c r="G137" s="8">
        <f>COUNTIFS('All Papers'!$D:$D,"*"&amp;$A137&amp;"*",'All Papers'!$G:$G,"*"&amp;Table1[[#Headers],[Resource Management-CS]]&amp;"*")</f>
        <v>2</v>
      </c>
      <c r="H137" s="8">
        <f>COUNTIFS('All Papers'!$D:$D,"*"&amp;$A137&amp;"*",'All Papers'!$G:$G,"*"&amp;Table1[[#Headers],[Resource Management-PS]]&amp;"*")</f>
        <v>0</v>
      </c>
      <c r="I137" s="8">
        <f>COUNTIFS('All Papers'!$D:$D,"*"&amp;$A137&amp;"*",'All Papers'!$G:$G,"*"&amp;Table1[[#Headers],[SLA Management]]&amp;"*")</f>
        <v>0</v>
      </c>
      <c r="J137" s="8">
        <f>COUNTIFS('All Papers'!$D:$D,"*"&amp;$A137&amp;"*",'All Papers'!$G:$G,"*"&amp;Table1[[#Headers],[Big Data]]&amp;"*")</f>
        <v>0</v>
      </c>
      <c r="K137" s="8">
        <f>COUNTIFS('All Papers'!$D:$D,"*"&amp;$A137&amp;"*",'All Papers'!$G:$G,"*"&amp;Table1[[#Headers],[Energy Management]]&amp;"*")</f>
        <v>0</v>
      </c>
      <c r="L137" s="8">
        <f>COUNTIFS('All Papers'!$D:$D,"*"&amp;$A137&amp;"*",'All Papers'!$G:$G,"*"&amp;Table1[[#Headers],[Monitoring]]&amp;"*")</f>
        <v>0</v>
      </c>
      <c r="M137" s="8">
        <f>COUNTIFS('All Papers'!$D:$D,"*"&amp;$A137&amp;"*",'All Papers'!$G:$G,"*"&amp;Table1[[#Headers],[Pricing]]&amp;"*")</f>
        <v>0</v>
      </c>
    </row>
    <row r="138" spans="1:13" x14ac:dyDescent="0.25">
      <c r="A138" s="8" t="s">
        <v>2571</v>
      </c>
      <c r="B138" s="8">
        <f>COUNTIF('All Papers'!D:D,"*"&amp;Table1[[#This Row],[Name]]&amp;"*")</f>
        <v>2</v>
      </c>
      <c r="C138" s="8">
        <f>COUNTIFS('All Papers'!$D:$D,"*"&amp;$A138&amp;"*",'All Papers'!$G:$G,"*"&amp;Table1[[#Headers],[Composition]]&amp;"*")</f>
        <v>0</v>
      </c>
      <c r="D138" s="8">
        <f>COUNTIFS('All Papers'!$D:$D,"*"&amp;$A138&amp;"*",'All Papers'!$G:$G,"*"&amp;Table1[[#Headers],[Discovery]]&amp;"*")</f>
        <v>0</v>
      </c>
      <c r="E138" s="8">
        <f>COUNTIFS('All Papers'!$D:$D,"*"&amp;$A138&amp;"*",'All Papers'!$G:$G,"*"&amp;Table1[[#Headers],[Selection]]&amp;"*")</f>
        <v>0</v>
      </c>
      <c r="F138" s="8">
        <f>COUNTIFS('All Papers'!$D:$D,"*"&amp;$A138&amp;"*",'All Papers'!$G:$G,"*"&amp;Table1[[#Headers],[Recommendation]]&amp;"*")</f>
        <v>0</v>
      </c>
      <c r="G138" s="8">
        <f>COUNTIFS('All Papers'!$D:$D,"*"&amp;$A138&amp;"*",'All Papers'!$G:$G,"*"&amp;Table1[[#Headers],[Resource Management-CS]]&amp;"*")</f>
        <v>0</v>
      </c>
      <c r="H138" s="8">
        <f>COUNTIFS('All Papers'!$D:$D,"*"&amp;$A138&amp;"*",'All Papers'!$G:$G,"*"&amp;Table1[[#Headers],[Resource Management-PS]]&amp;"*")</f>
        <v>2</v>
      </c>
      <c r="I138" s="8">
        <f>COUNTIFS('All Papers'!$D:$D,"*"&amp;$A138&amp;"*",'All Papers'!$G:$G,"*"&amp;Table1[[#Headers],[SLA Management]]&amp;"*")</f>
        <v>0</v>
      </c>
      <c r="J138" s="8">
        <f>COUNTIFS('All Papers'!$D:$D,"*"&amp;$A138&amp;"*",'All Papers'!$G:$G,"*"&amp;Table1[[#Headers],[Big Data]]&amp;"*")</f>
        <v>0</v>
      </c>
      <c r="K138" s="8">
        <f>COUNTIFS('All Papers'!$D:$D,"*"&amp;$A138&amp;"*",'All Papers'!$G:$G,"*"&amp;Table1[[#Headers],[Energy Management]]&amp;"*")</f>
        <v>0</v>
      </c>
      <c r="L138" s="8">
        <f>COUNTIFS('All Papers'!$D:$D,"*"&amp;$A138&amp;"*",'All Papers'!$G:$G,"*"&amp;Table1[[#Headers],[Monitoring]]&amp;"*")</f>
        <v>1</v>
      </c>
      <c r="M138" s="8">
        <f>COUNTIFS('All Papers'!$D:$D,"*"&amp;$A138&amp;"*",'All Papers'!$G:$G,"*"&amp;Table1[[#Headers],[Pricing]]&amp;"*")</f>
        <v>1</v>
      </c>
    </row>
    <row r="139" spans="1:13" x14ac:dyDescent="0.25">
      <c r="A139" s="8" t="s">
        <v>2572</v>
      </c>
      <c r="B139" s="8">
        <f>COUNTIF('All Papers'!D:D,"*"&amp;Table1[[#This Row],[Name]]&amp;"*")</f>
        <v>2</v>
      </c>
      <c r="C139" s="8">
        <f>COUNTIFS('All Papers'!$D:$D,"*"&amp;$A139&amp;"*",'All Papers'!$G:$G,"*"&amp;Table1[[#Headers],[Composition]]&amp;"*")</f>
        <v>1</v>
      </c>
      <c r="D139" s="8">
        <f>COUNTIFS('All Papers'!$D:$D,"*"&amp;$A139&amp;"*",'All Papers'!$G:$G,"*"&amp;Table1[[#Headers],[Discovery]]&amp;"*")</f>
        <v>0</v>
      </c>
      <c r="E139" s="8">
        <f>COUNTIFS('All Papers'!$D:$D,"*"&amp;$A139&amp;"*",'All Papers'!$G:$G,"*"&amp;Table1[[#Headers],[Selection]]&amp;"*")</f>
        <v>0</v>
      </c>
      <c r="F139" s="8">
        <f>COUNTIFS('All Papers'!$D:$D,"*"&amp;$A139&amp;"*",'All Papers'!$G:$G,"*"&amp;Table1[[#Headers],[Recommendation]]&amp;"*")</f>
        <v>0</v>
      </c>
      <c r="G139" s="8">
        <f>COUNTIFS('All Papers'!$D:$D,"*"&amp;$A139&amp;"*",'All Papers'!$G:$G,"*"&amp;Table1[[#Headers],[Resource Management-CS]]&amp;"*")</f>
        <v>0</v>
      </c>
      <c r="H139" s="8">
        <f>COUNTIFS('All Papers'!$D:$D,"*"&amp;$A139&amp;"*",'All Papers'!$G:$G,"*"&amp;Table1[[#Headers],[Resource Management-PS]]&amp;"*")</f>
        <v>0</v>
      </c>
      <c r="I139" s="8">
        <f>COUNTIFS('All Papers'!$D:$D,"*"&amp;$A139&amp;"*",'All Papers'!$G:$G,"*"&amp;Table1[[#Headers],[SLA Management]]&amp;"*")</f>
        <v>0</v>
      </c>
      <c r="J139" s="8">
        <f>COUNTIFS('All Papers'!$D:$D,"*"&amp;$A139&amp;"*",'All Papers'!$G:$G,"*"&amp;Table1[[#Headers],[Big Data]]&amp;"*")</f>
        <v>0</v>
      </c>
      <c r="K139" s="8">
        <f>COUNTIFS('All Papers'!$D:$D,"*"&amp;$A139&amp;"*",'All Papers'!$G:$G,"*"&amp;Table1[[#Headers],[Energy Management]]&amp;"*")</f>
        <v>0</v>
      </c>
      <c r="L139" s="8">
        <f>COUNTIFS('All Papers'!$D:$D,"*"&amp;$A139&amp;"*",'All Papers'!$G:$G,"*"&amp;Table1[[#Headers],[Monitoring]]&amp;"*")</f>
        <v>0</v>
      </c>
      <c r="M139" s="8">
        <f>COUNTIFS('All Papers'!$D:$D,"*"&amp;$A139&amp;"*",'All Papers'!$G:$G,"*"&amp;Table1[[#Headers],[Pricing]]&amp;"*")</f>
        <v>0</v>
      </c>
    </row>
    <row r="140" spans="1:13" x14ac:dyDescent="0.25">
      <c r="A140" s="8" t="s">
        <v>2573</v>
      </c>
      <c r="B140" s="8">
        <f>COUNTIF('All Papers'!D:D,"*"&amp;Table1[[#This Row],[Name]]&amp;"*")</f>
        <v>2</v>
      </c>
      <c r="C140" s="8">
        <f>COUNTIFS('All Papers'!$D:$D,"*"&amp;$A140&amp;"*",'All Papers'!$G:$G,"*"&amp;Table1[[#Headers],[Composition]]&amp;"*")</f>
        <v>0</v>
      </c>
      <c r="D140" s="8">
        <f>COUNTIFS('All Papers'!$D:$D,"*"&amp;$A140&amp;"*",'All Papers'!$G:$G,"*"&amp;Table1[[#Headers],[Discovery]]&amp;"*")</f>
        <v>1</v>
      </c>
      <c r="E140" s="8">
        <f>COUNTIFS('All Papers'!$D:$D,"*"&amp;$A140&amp;"*",'All Papers'!$G:$G,"*"&amp;Table1[[#Headers],[Selection]]&amp;"*")</f>
        <v>0</v>
      </c>
      <c r="F140" s="8">
        <f>COUNTIFS('All Papers'!$D:$D,"*"&amp;$A140&amp;"*",'All Papers'!$G:$G,"*"&amp;Table1[[#Headers],[Recommendation]]&amp;"*")</f>
        <v>0</v>
      </c>
      <c r="G140" s="8">
        <f>COUNTIFS('All Papers'!$D:$D,"*"&amp;$A140&amp;"*",'All Papers'!$G:$G,"*"&amp;Table1[[#Headers],[Resource Management-CS]]&amp;"*")</f>
        <v>1</v>
      </c>
      <c r="H140" s="8">
        <f>COUNTIFS('All Papers'!$D:$D,"*"&amp;$A140&amp;"*",'All Papers'!$G:$G,"*"&amp;Table1[[#Headers],[Resource Management-PS]]&amp;"*")</f>
        <v>0</v>
      </c>
      <c r="I140" s="8">
        <f>COUNTIFS('All Papers'!$D:$D,"*"&amp;$A140&amp;"*",'All Papers'!$G:$G,"*"&amp;Table1[[#Headers],[SLA Management]]&amp;"*")</f>
        <v>0</v>
      </c>
      <c r="J140" s="8">
        <f>COUNTIFS('All Papers'!$D:$D,"*"&amp;$A140&amp;"*",'All Papers'!$G:$G,"*"&amp;Table1[[#Headers],[Big Data]]&amp;"*")</f>
        <v>0</v>
      </c>
      <c r="K140" s="8">
        <f>COUNTIFS('All Papers'!$D:$D,"*"&amp;$A140&amp;"*",'All Papers'!$G:$G,"*"&amp;Table1[[#Headers],[Energy Management]]&amp;"*")</f>
        <v>1</v>
      </c>
      <c r="L140" s="8">
        <f>COUNTIFS('All Papers'!$D:$D,"*"&amp;$A140&amp;"*",'All Papers'!$G:$G,"*"&amp;Table1[[#Headers],[Monitoring]]&amp;"*")</f>
        <v>0</v>
      </c>
      <c r="M140" s="8">
        <f>COUNTIFS('All Papers'!$D:$D,"*"&amp;$A140&amp;"*",'All Papers'!$G:$G,"*"&amp;Table1[[#Headers],[Pricing]]&amp;"*")</f>
        <v>0</v>
      </c>
    </row>
    <row r="141" spans="1:13" x14ac:dyDescent="0.25">
      <c r="A141" s="8" t="s">
        <v>2574</v>
      </c>
      <c r="B141" s="8">
        <f>COUNTIF('All Papers'!D:D,"*"&amp;Table1[[#This Row],[Name]]&amp;"*")</f>
        <v>2</v>
      </c>
      <c r="C141" s="8">
        <f>COUNTIFS('All Papers'!$D:$D,"*"&amp;$A141&amp;"*",'All Papers'!$G:$G,"*"&amp;Table1[[#Headers],[Composition]]&amp;"*")</f>
        <v>0</v>
      </c>
      <c r="D141" s="8">
        <f>COUNTIFS('All Papers'!$D:$D,"*"&amp;$A141&amp;"*",'All Papers'!$G:$G,"*"&amp;Table1[[#Headers],[Discovery]]&amp;"*")</f>
        <v>1</v>
      </c>
      <c r="E141" s="8">
        <f>COUNTIFS('All Papers'!$D:$D,"*"&amp;$A141&amp;"*",'All Papers'!$G:$G,"*"&amp;Table1[[#Headers],[Selection]]&amp;"*")</f>
        <v>0</v>
      </c>
      <c r="F141" s="8">
        <f>COUNTIFS('All Papers'!$D:$D,"*"&amp;$A141&amp;"*",'All Papers'!$G:$G,"*"&amp;Table1[[#Headers],[Recommendation]]&amp;"*")</f>
        <v>0</v>
      </c>
      <c r="G141" s="8">
        <f>COUNTIFS('All Papers'!$D:$D,"*"&amp;$A141&amp;"*",'All Papers'!$G:$G,"*"&amp;Table1[[#Headers],[Resource Management-CS]]&amp;"*")</f>
        <v>1</v>
      </c>
      <c r="H141" s="8">
        <f>COUNTIFS('All Papers'!$D:$D,"*"&amp;$A141&amp;"*",'All Papers'!$G:$G,"*"&amp;Table1[[#Headers],[Resource Management-PS]]&amp;"*")</f>
        <v>0</v>
      </c>
      <c r="I141" s="8">
        <f>COUNTIFS('All Papers'!$D:$D,"*"&amp;$A141&amp;"*",'All Papers'!$G:$G,"*"&amp;Table1[[#Headers],[SLA Management]]&amp;"*")</f>
        <v>0</v>
      </c>
      <c r="J141" s="8">
        <f>COUNTIFS('All Papers'!$D:$D,"*"&amp;$A141&amp;"*",'All Papers'!$G:$G,"*"&amp;Table1[[#Headers],[Big Data]]&amp;"*")</f>
        <v>0</v>
      </c>
      <c r="K141" s="8">
        <f>COUNTIFS('All Papers'!$D:$D,"*"&amp;$A141&amp;"*",'All Papers'!$G:$G,"*"&amp;Table1[[#Headers],[Energy Management]]&amp;"*")</f>
        <v>1</v>
      </c>
      <c r="L141" s="8">
        <f>COUNTIFS('All Papers'!$D:$D,"*"&amp;$A141&amp;"*",'All Papers'!$G:$G,"*"&amp;Table1[[#Headers],[Monitoring]]&amp;"*")</f>
        <v>0</v>
      </c>
      <c r="M141" s="8">
        <f>COUNTIFS('All Papers'!$D:$D,"*"&amp;$A141&amp;"*",'All Papers'!$G:$G,"*"&amp;Table1[[#Headers],[Pricing]]&amp;"*")</f>
        <v>0</v>
      </c>
    </row>
    <row r="142" spans="1:13" x14ac:dyDescent="0.25">
      <c r="A142" s="8" t="s">
        <v>2575</v>
      </c>
      <c r="B142" s="8">
        <f>COUNTIF('All Papers'!D:D,"*"&amp;Table1[[#This Row],[Name]]&amp;"*")</f>
        <v>2</v>
      </c>
      <c r="C142" s="8">
        <f>COUNTIFS('All Papers'!$D:$D,"*"&amp;$A142&amp;"*",'All Papers'!$G:$G,"*"&amp;Table1[[#Headers],[Composition]]&amp;"*")</f>
        <v>0</v>
      </c>
      <c r="D142" s="8">
        <f>COUNTIFS('All Papers'!$D:$D,"*"&amp;$A142&amp;"*",'All Papers'!$G:$G,"*"&amp;Table1[[#Headers],[Discovery]]&amp;"*")</f>
        <v>0</v>
      </c>
      <c r="E142" s="8">
        <f>COUNTIFS('All Papers'!$D:$D,"*"&amp;$A142&amp;"*",'All Papers'!$G:$G,"*"&amp;Table1[[#Headers],[Selection]]&amp;"*")</f>
        <v>1</v>
      </c>
      <c r="F142" s="8">
        <f>COUNTIFS('All Papers'!$D:$D,"*"&amp;$A142&amp;"*",'All Papers'!$G:$G,"*"&amp;Table1[[#Headers],[Recommendation]]&amp;"*")</f>
        <v>0</v>
      </c>
      <c r="G142" s="8">
        <f>COUNTIFS('All Papers'!$D:$D,"*"&amp;$A142&amp;"*",'All Papers'!$G:$G,"*"&amp;Table1[[#Headers],[Resource Management-CS]]&amp;"*")</f>
        <v>1</v>
      </c>
      <c r="H142" s="8">
        <f>COUNTIFS('All Papers'!$D:$D,"*"&amp;$A142&amp;"*",'All Papers'!$G:$G,"*"&amp;Table1[[#Headers],[Resource Management-PS]]&amp;"*")</f>
        <v>0</v>
      </c>
      <c r="I142" s="8">
        <f>COUNTIFS('All Papers'!$D:$D,"*"&amp;$A142&amp;"*",'All Papers'!$G:$G,"*"&amp;Table1[[#Headers],[SLA Management]]&amp;"*")</f>
        <v>0</v>
      </c>
      <c r="J142" s="8">
        <f>COUNTIFS('All Papers'!$D:$D,"*"&amp;$A142&amp;"*",'All Papers'!$G:$G,"*"&amp;Table1[[#Headers],[Big Data]]&amp;"*")</f>
        <v>0</v>
      </c>
      <c r="K142" s="8">
        <f>COUNTIFS('All Papers'!$D:$D,"*"&amp;$A142&amp;"*",'All Papers'!$G:$G,"*"&amp;Table1[[#Headers],[Energy Management]]&amp;"*")</f>
        <v>0</v>
      </c>
      <c r="L142" s="8">
        <f>COUNTIFS('All Papers'!$D:$D,"*"&amp;$A142&amp;"*",'All Papers'!$G:$G,"*"&amp;Table1[[#Headers],[Monitoring]]&amp;"*")</f>
        <v>0</v>
      </c>
      <c r="M142" s="8">
        <f>COUNTIFS('All Papers'!$D:$D,"*"&amp;$A142&amp;"*",'All Papers'!$G:$G,"*"&amp;Table1[[#Headers],[Pricing]]&amp;"*")</f>
        <v>1</v>
      </c>
    </row>
    <row r="143" spans="1:13" x14ac:dyDescent="0.25">
      <c r="A143" s="8" t="s">
        <v>2576</v>
      </c>
      <c r="B143" s="8">
        <f>COUNTIF('All Papers'!D:D,"*"&amp;Table1[[#This Row],[Name]]&amp;"*")</f>
        <v>2</v>
      </c>
      <c r="C143" s="8">
        <f>COUNTIFS('All Papers'!$D:$D,"*"&amp;$A143&amp;"*",'All Papers'!$G:$G,"*"&amp;Table1[[#Headers],[Composition]]&amp;"*")</f>
        <v>0</v>
      </c>
      <c r="D143" s="8">
        <f>COUNTIFS('All Papers'!$D:$D,"*"&amp;$A143&amp;"*",'All Papers'!$G:$G,"*"&amp;Table1[[#Headers],[Discovery]]&amp;"*")</f>
        <v>0</v>
      </c>
      <c r="E143" s="8">
        <f>COUNTIFS('All Papers'!$D:$D,"*"&amp;$A143&amp;"*",'All Papers'!$G:$G,"*"&amp;Table1[[#Headers],[Selection]]&amp;"*")</f>
        <v>1</v>
      </c>
      <c r="F143" s="8">
        <f>COUNTIFS('All Papers'!$D:$D,"*"&amp;$A143&amp;"*",'All Papers'!$G:$G,"*"&amp;Table1[[#Headers],[Recommendation]]&amp;"*")</f>
        <v>0</v>
      </c>
      <c r="G143" s="8">
        <f>COUNTIFS('All Papers'!$D:$D,"*"&amp;$A143&amp;"*",'All Papers'!$G:$G,"*"&amp;Table1[[#Headers],[Resource Management-CS]]&amp;"*")</f>
        <v>1</v>
      </c>
      <c r="H143" s="8">
        <f>COUNTIFS('All Papers'!$D:$D,"*"&amp;$A143&amp;"*",'All Papers'!$G:$G,"*"&amp;Table1[[#Headers],[Resource Management-PS]]&amp;"*")</f>
        <v>0</v>
      </c>
      <c r="I143" s="8">
        <f>COUNTIFS('All Papers'!$D:$D,"*"&amp;$A143&amp;"*",'All Papers'!$G:$G,"*"&amp;Table1[[#Headers],[SLA Management]]&amp;"*")</f>
        <v>0</v>
      </c>
      <c r="J143" s="8">
        <f>COUNTIFS('All Papers'!$D:$D,"*"&amp;$A143&amp;"*",'All Papers'!$G:$G,"*"&amp;Table1[[#Headers],[Big Data]]&amp;"*")</f>
        <v>1</v>
      </c>
      <c r="K143" s="8">
        <f>COUNTIFS('All Papers'!$D:$D,"*"&amp;$A143&amp;"*",'All Papers'!$G:$G,"*"&amp;Table1[[#Headers],[Energy Management]]&amp;"*")</f>
        <v>0</v>
      </c>
      <c r="L143" s="8">
        <f>COUNTIFS('All Papers'!$D:$D,"*"&amp;$A143&amp;"*",'All Papers'!$G:$G,"*"&amp;Table1[[#Headers],[Monitoring]]&amp;"*")</f>
        <v>0</v>
      </c>
      <c r="M143" s="8">
        <f>COUNTIFS('All Papers'!$D:$D,"*"&amp;$A143&amp;"*",'All Papers'!$G:$G,"*"&amp;Table1[[#Headers],[Pricing]]&amp;"*")</f>
        <v>1</v>
      </c>
    </row>
    <row r="144" spans="1:13" x14ac:dyDescent="0.25">
      <c r="A144" s="8" t="s">
        <v>2577</v>
      </c>
      <c r="B144" s="8">
        <f>COUNTIF('All Papers'!D:D,"*"&amp;Table1[[#This Row],[Name]]&amp;"*")</f>
        <v>2</v>
      </c>
      <c r="C144" s="8">
        <f>COUNTIFS('All Papers'!$D:$D,"*"&amp;$A144&amp;"*",'All Papers'!$G:$G,"*"&amp;Table1[[#Headers],[Composition]]&amp;"*")</f>
        <v>0</v>
      </c>
      <c r="D144" s="8">
        <f>COUNTIFS('All Papers'!$D:$D,"*"&amp;$A144&amp;"*",'All Papers'!$G:$G,"*"&amp;Table1[[#Headers],[Discovery]]&amp;"*")</f>
        <v>0</v>
      </c>
      <c r="E144" s="8">
        <f>COUNTIFS('All Papers'!$D:$D,"*"&amp;$A144&amp;"*",'All Papers'!$G:$G,"*"&amp;Table1[[#Headers],[Selection]]&amp;"*")</f>
        <v>1</v>
      </c>
      <c r="F144" s="8">
        <f>COUNTIFS('All Papers'!$D:$D,"*"&amp;$A144&amp;"*",'All Papers'!$G:$G,"*"&amp;Table1[[#Headers],[Recommendation]]&amp;"*")</f>
        <v>0</v>
      </c>
      <c r="G144" s="8">
        <f>COUNTIFS('All Papers'!$D:$D,"*"&amp;$A144&amp;"*",'All Papers'!$G:$G,"*"&amp;Table1[[#Headers],[Resource Management-CS]]&amp;"*")</f>
        <v>0</v>
      </c>
      <c r="H144" s="8">
        <f>COUNTIFS('All Papers'!$D:$D,"*"&amp;$A144&amp;"*",'All Papers'!$G:$G,"*"&amp;Table1[[#Headers],[Resource Management-PS]]&amp;"*")</f>
        <v>2</v>
      </c>
      <c r="I144" s="8">
        <f>COUNTIFS('All Papers'!$D:$D,"*"&amp;$A144&amp;"*",'All Papers'!$G:$G,"*"&amp;Table1[[#Headers],[SLA Management]]&amp;"*")</f>
        <v>0</v>
      </c>
      <c r="J144" s="8">
        <f>COUNTIFS('All Papers'!$D:$D,"*"&amp;$A144&amp;"*",'All Papers'!$G:$G,"*"&amp;Table1[[#Headers],[Big Data]]&amp;"*")</f>
        <v>0</v>
      </c>
      <c r="K144" s="8">
        <f>COUNTIFS('All Papers'!$D:$D,"*"&amp;$A144&amp;"*",'All Papers'!$G:$G,"*"&amp;Table1[[#Headers],[Energy Management]]&amp;"*")</f>
        <v>0</v>
      </c>
      <c r="L144" s="8">
        <f>COUNTIFS('All Papers'!$D:$D,"*"&amp;$A144&amp;"*",'All Papers'!$G:$G,"*"&amp;Table1[[#Headers],[Monitoring]]&amp;"*")</f>
        <v>0</v>
      </c>
      <c r="M144" s="8">
        <f>COUNTIFS('All Papers'!$D:$D,"*"&amp;$A144&amp;"*",'All Papers'!$G:$G,"*"&amp;Table1[[#Headers],[Pricing]]&amp;"*")</f>
        <v>1</v>
      </c>
    </row>
    <row r="145" spans="1:13" x14ac:dyDescent="0.25">
      <c r="A145" s="8" t="s">
        <v>2578</v>
      </c>
      <c r="B145" s="8">
        <f>COUNTIF('All Papers'!D:D,"*"&amp;Table1[[#This Row],[Name]]&amp;"*")</f>
        <v>2</v>
      </c>
      <c r="C145" s="8">
        <f>COUNTIFS('All Papers'!$D:$D,"*"&amp;$A145&amp;"*",'All Papers'!$G:$G,"*"&amp;Table1[[#Headers],[Composition]]&amp;"*")</f>
        <v>0</v>
      </c>
      <c r="D145" s="8">
        <f>COUNTIFS('All Papers'!$D:$D,"*"&amp;$A145&amp;"*",'All Papers'!$G:$G,"*"&amp;Table1[[#Headers],[Discovery]]&amp;"*")</f>
        <v>0</v>
      </c>
      <c r="E145" s="8">
        <f>COUNTIFS('All Papers'!$D:$D,"*"&amp;$A145&amp;"*",'All Papers'!$G:$G,"*"&amp;Table1[[#Headers],[Selection]]&amp;"*")</f>
        <v>1</v>
      </c>
      <c r="F145" s="8">
        <f>COUNTIFS('All Papers'!$D:$D,"*"&amp;$A145&amp;"*",'All Papers'!$G:$G,"*"&amp;Table1[[#Headers],[Recommendation]]&amp;"*")</f>
        <v>0</v>
      </c>
      <c r="G145" s="8">
        <f>COUNTIFS('All Papers'!$D:$D,"*"&amp;$A145&amp;"*",'All Papers'!$G:$G,"*"&amp;Table1[[#Headers],[Resource Management-CS]]&amp;"*")</f>
        <v>0</v>
      </c>
      <c r="H145" s="8">
        <f>COUNTIFS('All Papers'!$D:$D,"*"&amp;$A145&amp;"*",'All Papers'!$G:$G,"*"&amp;Table1[[#Headers],[Resource Management-PS]]&amp;"*")</f>
        <v>2</v>
      </c>
      <c r="I145" s="8">
        <f>COUNTIFS('All Papers'!$D:$D,"*"&amp;$A145&amp;"*",'All Papers'!$G:$G,"*"&amp;Table1[[#Headers],[SLA Management]]&amp;"*")</f>
        <v>0</v>
      </c>
      <c r="J145" s="8">
        <f>COUNTIFS('All Papers'!$D:$D,"*"&amp;$A145&amp;"*",'All Papers'!$G:$G,"*"&amp;Table1[[#Headers],[Big Data]]&amp;"*")</f>
        <v>0</v>
      </c>
      <c r="K145" s="8">
        <f>COUNTIFS('All Papers'!$D:$D,"*"&amp;$A145&amp;"*",'All Papers'!$G:$G,"*"&amp;Table1[[#Headers],[Energy Management]]&amp;"*")</f>
        <v>0</v>
      </c>
      <c r="L145" s="8">
        <f>COUNTIFS('All Papers'!$D:$D,"*"&amp;$A145&amp;"*",'All Papers'!$G:$G,"*"&amp;Table1[[#Headers],[Monitoring]]&amp;"*")</f>
        <v>0</v>
      </c>
      <c r="M145" s="8">
        <f>COUNTIFS('All Papers'!$D:$D,"*"&amp;$A145&amp;"*",'All Papers'!$G:$G,"*"&amp;Table1[[#Headers],[Pricing]]&amp;"*")</f>
        <v>1</v>
      </c>
    </row>
    <row r="146" spans="1:13" x14ac:dyDescent="0.25">
      <c r="A146" s="8" t="s">
        <v>2579</v>
      </c>
      <c r="B146" s="8">
        <f>COUNTIF('All Papers'!D:D,"*"&amp;Table1[[#This Row],[Name]]&amp;"*")</f>
        <v>2</v>
      </c>
      <c r="C146" s="8">
        <f>COUNTIFS('All Papers'!$D:$D,"*"&amp;$A146&amp;"*",'All Papers'!$G:$G,"*"&amp;Table1[[#Headers],[Composition]]&amp;"*")</f>
        <v>2</v>
      </c>
      <c r="D146" s="8">
        <f>COUNTIFS('All Papers'!$D:$D,"*"&amp;$A146&amp;"*",'All Papers'!$G:$G,"*"&amp;Table1[[#Headers],[Discovery]]&amp;"*")</f>
        <v>0</v>
      </c>
      <c r="E146" s="8">
        <f>COUNTIFS('All Papers'!$D:$D,"*"&amp;$A146&amp;"*",'All Papers'!$G:$G,"*"&amp;Table1[[#Headers],[Selection]]&amp;"*")</f>
        <v>0</v>
      </c>
      <c r="F146" s="8">
        <f>COUNTIFS('All Papers'!$D:$D,"*"&amp;$A146&amp;"*",'All Papers'!$G:$G,"*"&amp;Table1[[#Headers],[Recommendation]]&amp;"*")</f>
        <v>0</v>
      </c>
      <c r="G146" s="8">
        <f>COUNTIFS('All Papers'!$D:$D,"*"&amp;$A146&amp;"*",'All Papers'!$G:$G,"*"&amp;Table1[[#Headers],[Resource Management-CS]]&amp;"*")</f>
        <v>0</v>
      </c>
      <c r="H146" s="8">
        <f>COUNTIFS('All Papers'!$D:$D,"*"&amp;$A146&amp;"*",'All Papers'!$G:$G,"*"&amp;Table1[[#Headers],[Resource Management-PS]]&amp;"*")</f>
        <v>0</v>
      </c>
      <c r="I146" s="8">
        <f>COUNTIFS('All Papers'!$D:$D,"*"&amp;$A146&amp;"*",'All Papers'!$G:$G,"*"&amp;Table1[[#Headers],[SLA Management]]&amp;"*")</f>
        <v>0</v>
      </c>
      <c r="J146" s="8">
        <f>COUNTIFS('All Papers'!$D:$D,"*"&amp;$A146&amp;"*",'All Papers'!$G:$G,"*"&amp;Table1[[#Headers],[Big Data]]&amp;"*")</f>
        <v>0</v>
      </c>
      <c r="K146" s="8">
        <f>COUNTIFS('All Papers'!$D:$D,"*"&amp;$A146&amp;"*",'All Papers'!$G:$G,"*"&amp;Table1[[#Headers],[Energy Management]]&amp;"*")</f>
        <v>0</v>
      </c>
      <c r="L146" s="8">
        <f>COUNTIFS('All Papers'!$D:$D,"*"&amp;$A146&amp;"*",'All Papers'!$G:$G,"*"&amp;Table1[[#Headers],[Monitoring]]&amp;"*")</f>
        <v>0</v>
      </c>
      <c r="M146" s="8">
        <f>COUNTIFS('All Papers'!$D:$D,"*"&amp;$A146&amp;"*",'All Papers'!$G:$G,"*"&amp;Table1[[#Headers],[Pricing]]&amp;"*")</f>
        <v>0</v>
      </c>
    </row>
    <row r="147" spans="1:13" x14ac:dyDescent="0.25">
      <c r="A147" s="8" t="s">
        <v>2580</v>
      </c>
      <c r="B147" s="8">
        <f>COUNTIF('All Papers'!D:D,"*"&amp;Table1[[#This Row],[Name]]&amp;"*")</f>
        <v>2</v>
      </c>
      <c r="C147" s="8">
        <f>COUNTIFS('All Papers'!$D:$D,"*"&amp;$A147&amp;"*",'All Papers'!$G:$G,"*"&amp;Table1[[#Headers],[Composition]]&amp;"*")</f>
        <v>2</v>
      </c>
      <c r="D147" s="8">
        <f>COUNTIFS('All Papers'!$D:$D,"*"&amp;$A147&amp;"*",'All Papers'!$G:$G,"*"&amp;Table1[[#Headers],[Discovery]]&amp;"*")</f>
        <v>0</v>
      </c>
      <c r="E147" s="8">
        <f>COUNTIFS('All Papers'!$D:$D,"*"&amp;$A147&amp;"*",'All Papers'!$G:$G,"*"&amp;Table1[[#Headers],[Selection]]&amp;"*")</f>
        <v>0</v>
      </c>
      <c r="F147" s="8">
        <f>COUNTIFS('All Papers'!$D:$D,"*"&amp;$A147&amp;"*",'All Papers'!$G:$G,"*"&amp;Table1[[#Headers],[Recommendation]]&amp;"*")</f>
        <v>0</v>
      </c>
      <c r="G147" s="8">
        <f>COUNTIFS('All Papers'!$D:$D,"*"&amp;$A147&amp;"*",'All Papers'!$G:$G,"*"&amp;Table1[[#Headers],[Resource Management-CS]]&amp;"*")</f>
        <v>0</v>
      </c>
      <c r="H147" s="8">
        <f>COUNTIFS('All Papers'!$D:$D,"*"&amp;$A147&amp;"*",'All Papers'!$G:$G,"*"&amp;Table1[[#Headers],[Resource Management-PS]]&amp;"*")</f>
        <v>0</v>
      </c>
      <c r="I147" s="8">
        <f>COUNTIFS('All Papers'!$D:$D,"*"&amp;$A147&amp;"*",'All Papers'!$G:$G,"*"&amp;Table1[[#Headers],[SLA Management]]&amp;"*")</f>
        <v>0</v>
      </c>
      <c r="J147" s="8">
        <f>COUNTIFS('All Papers'!$D:$D,"*"&amp;$A147&amp;"*",'All Papers'!$G:$G,"*"&amp;Table1[[#Headers],[Big Data]]&amp;"*")</f>
        <v>0</v>
      </c>
      <c r="K147" s="8">
        <f>COUNTIFS('All Papers'!$D:$D,"*"&amp;$A147&amp;"*",'All Papers'!$G:$G,"*"&amp;Table1[[#Headers],[Energy Management]]&amp;"*")</f>
        <v>1</v>
      </c>
      <c r="L147" s="8">
        <f>COUNTIFS('All Papers'!$D:$D,"*"&amp;$A147&amp;"*",'All Papers'!$G:$G,"*"&amp;Table1[[#Headers],[Monitoring]]&amp;"*")</f>
        <v>0</v>
      </c>
      <c r="M147" s="8">
        <f>COUNTIFS('All Papers'!$D:$D,"*"&amp;$A147&amp;"*",'All Papers'!$G:$G,"*"&amp;Table1[[#Headers],[Pricing]]&amp;"*")</f>
        <v>0</v>
      </c>
    </row>
    <row r="148" spans="1:13" x14ac:dyDescent="0.25">
      <c r="A148" s="8" t="s">
        <v>2581</v>
      </c>
      <c r="B148" s="8">
        <f>COUNTIF('All Papers'!D:D,"*"&amp;Table1[[#This Row],[Name]]&amp;"*")</f>
        <v>2</v>
      </c>
      <c r="C148" s="8">
        <f>COUNTIFS('All Papers'!$D:$D,"*"&amp;$A148&amp;"*",'All Papers'!$G:$G,"*"&amp;Table1[[#Headers],[Composition]]&amp;"*")</f>
        <v>2</v>
      </c>
      <c r="D148" s="8">
        <f>COUNTIFS('All Papers'!$D:$D,"*"&amp;$A148&amp;"*",'All Papers'!$G:$G,"*"&amp;Table1[[#Headers],[Discovery]]&amp;"*")</f>
        <v>0</v>
      </c>
      <c r="E148" s="8">
        <f>COUNTIFS('All Papers'!$D:$D,"*"&amp;$A148&amp;"*",'All Papers'!$G:$G,"*"&amp;Table1[[#Headers],[Selection]]&amp;"*")</f>
        <v>0</v>
      </c>
      <c r="F148" s="8">
        <f>COUNTIFS('All Papers'!$D:$D,"*"&amp;$A148&amp;"*",'All Papers'!$G:$G,"*"&amp;Table1[[#Headers],[Recommendation]]&amp;"*")</f>
        <v>0</v>
      </c>
      <c r="G148" s="8">
        <f>COUNTIFS('All Papers'!$D:$D,"*"&amp;$A148&amp;"*",'All Papers'!$G:$G,"*"&amp;Table1[[#Headers],[Resource Management-CS]]&amp;"*")</f>
        <v>0</v>
      </c>
      <c r="H148" s="8">
        <f>COUNTIFS('All Papers'!$D:$D,"*"&amp;$A148&amp;"*",'All Papers'!$G:$G,"*"&amp;Table1[[#Headers],[Resource Management-PS]]&amp;"*")</f>
        <v>0</v>
      </c>
      <c r="I148" s="8">
        <f>COUNTIFS('All Papers'!$D:$D,"*"&amp;$A148&amp;"*",'All Papers'!$G:$G,"*"&amp;Table1[[#Headers],[SLA Management]]&amp;"*")</f>
        <v>0</v>
      </c>
      <c r="J148" s="8">
        <f>COUNTIFS('All Papers'!$D:$D,"*"&amp;$A148&amp;"*",'All Papers'!$G:$G,"*"&amp;Table1[[#Headers],[Big Data]]&amp;"*")</f>
        <v>0</v>
      </c>
      <c r="K148" s="8">
        <f>COUNTIFS('All Papers'!$D:$D,"*"&amp;$A148&amp;"*",'All Papers'!$G:$G,"*"&amp;Table1[[#Headers],[Energy Management]]&amp;"*")</f>
        <v>1</v>
      </c>
      <c r="L148" s="8">
        <f>COUNTIFS('All Papers'!$D:$D,"*"&amp;$A148&amp;"*",'All Papers'!$G:$G,"*"&amp;Table1[[#Headers],[Monitoring]]&amp;"*")</f>
        <v>0</v>
      </c>
      <c r="M148" s="8">
        <f>COUNTIFS('All Papers'!$D:$D,"*"&amp;$A148&amp;"*",'All Papers'!$G:$G,"*"&amp;Table1[[#Headers],[Pricing]]&amp;"*")</f>
        <v>0</v>
      </c>
    </row>
    <row r="149" spans="1:13" x14ac:dyDescent="0.25">
      <c r="A149" s="8" t="s">
        <v>2582</v>
      </c>
      <c r="B149" s="8">
        <f>COUNTIF('All Papers'!D:D,"*"&amp;Table1[[#This Row],[Name]]&amp;"*")</f>
        <v>2</v>
      </c>
      <c r="C149" s="8">
        <f>COUNTIFS('All Papers'!$D:$D,"*"&amp;$A149&amp;"*",'All Papers'!$G:$G,"*"&amp;Table1[[#Headers],[Composition]]&amp;"*")</f>
        <v>2</v>
      </c>
      <c r="D149" s="8">
        <f>COUNTIFS('All Papers'!$D:$D,"*"&amp;$A149&amp;"*",'All Papers'!$G:$G,"*"&amp;Table1[[#Headers],[Discovery]]&amp;"*")</f>
        <v>0</v>
      </c>
      <c r="E149" s="8">
        <f>COUNTIFS('All Papers'!$D:$D,"*"&amp;$A149&amp;"*",'All Papers'!$G:$G,"*"&amp;Table1[[#Headers],[Selection]]&amp;"*")</f>
        <v>0</v>
      </c>
      <c r="F149" s="8">
        <f>COUNTIFS('All Papers'!$D:$D,"*"&amp;$A149&amp;"*",'All Papers'!$G:$G,"*"&amp;Table1[[#Headers],[Recommendation]]&amp;"*")</f>
        <v>0</v>
      </c>
      <c r="G149" s="8">
        <f>COUNTIFS('All Papers'!$D:$D,"*"&amp;$A149&amp;"*",'All Papers'!$G:$G,"*"&amp;Table1[[#Headers],[Resource Management-CS]]&amp;"*")</f>
        <v>0</v>
      </c>
      <c r="H149" s="8">
        <f>COUNTIFS('All Papers'!$D:$D,"*"&amp;$A149&amp;"*",'All Papers'!$G:$G,"*"&amp;Table1[[#Headers],[Resource Management-PS]]&amp;"*")</f>
        <v>0</v>
      </c>
      <c r="I149" s="8">
        <f>COUNTIFS('All Papers'!$D:$D,"*"&amp;$A149&amp;"*",'All Papers'!$G:$G,"*"&amp;Table1[[#Headers],[SLA Management]]&amp;"*")</f>
        <v>0</v>
      </c>
      <c r="J149" s="8">
        <f>COUNTIFS('All Papers'!$D:$D,"*"&amp;$A149&amp;"*",'All Papers'!$G:$G,"*"&amp;Table1[[#Headers],[Big Data]]&amp;"*")</f>
        <v>0</v>
      </c>
      <c r="K149" s="8">
        <f>COUNTIFS('All Papers'!$D:$D,"*"&amp;$A149&amp;"*",'All Papers'!$G:$G,"*"&amp;Table1[[#Headers],[Energy Management]]&amp;"*")</f>
        <v>1</v>
      </c>
      <c r="L149" s="8">
        <f>COUNTIFS('All Papers'!$D:$D,"*"&amp;$A149&amp;"*",'All Papers'!$G:$G,"*"&amp;Table1[[#Headers],[Monitoring]]&amp;"*")</f>
        <v>0</v>
      </c>
      <c r="M149" s="8">
        <f>COUNTIFS('All Papers'!$D:$D,"*"&amp;$A149&amp;"*",'All Papers'!$G:$G,"*"&amp;Table1[[#Headers],[Pricing]]&amp;"*")</f>
        <v>0</v>
      </c>
    </row>
    <row r="150" spans="1:13" x14ac:dyDescent="0.25">
      <c r="A150" s="8" t="s">
        <v>2583</v>
      </c>
      <c r="B150" s="8">
        <f>COUNTIF('All Papers'!D:D,"*"&amp;Table1[[#This Row],[Name]]&amp;"*")</f>
        <v>2</v>
      </c>
      <c r="C150" s="8">
        <f>COUNTIFS('All Papers'!$D:$D,"*"&amp;$A150&amp;"*",'All Papers'!$G:$G,"*"&amp;Table1[[#Headers],[Composition]]&amp;"*")</f>
        <v>2</v>
      </c>
      <c r="D150" s="8">
        <f>COUNTIFS('All Papers'!$D:$D,"*"&amp;$A150&amp;"*",'All Papers'!$G:$G,"*"&amp;Table1[[#Headers],[Discovery]]&amp;"*")</f>
        <v>0</v>
      </c>
      <c r="E150" s="8">
        <f>COUNTIFS('All Papers'!$D:$D,"*"&amp;$A150&amp;"*",'All Papers'!$G:$G,"*"&amp;Table1[[#Headers],[Selection]]&amp;"*")</f>
        <v>0</v>
      </c>
      <c r="F150" s="8">
        <f>COUNTIFS('All Papers'!$D:$D,"*"&amp;$A150&amp;"*",'All Papers'!$G:$G,"*"&amp;Table1[[#Headers],[Recommendation]]&amp;"*")</f>
        <v>0</v>
      </c>
      <c r="G150" s="8">
        <f>COUNTIFS('All Papers'!$D:$D,"*"&amp;$A150&amp;"*",'All Papers'!$G:$G,"*"&amp;Table1[[#Headers],[Resource Management-CS]]&amp;"*")</f>
        <v>0</v>
      </c>
      <c r="H150" s="8">
        <f>COUNTIFS('All Papers'!$D:$D,"*"&amp;$A150&amp;"*",'All Papers'!$G:$G,"*"&amp;Table1[[#Headers],[Resource Management-PS]]&amp;"*")</f>
        <v>0</v>
      </c>
      <c r="I150" s="8">
        <f>COUNTIFS('All Papers'!$D:$D,"*"&amp;$A150&amp;"*",'All Papers'!$G:$G,"*"&amp;Table1[[#Headers],[SLA Management]]&amp;"*")</f>
        <v>0</v>
      </c>
      <c r="J150" s="8">
        <f>COUNTIFS('All Papers'!$D:$D,"*"&amp;$A150&amp;"*",'All Papers'!$G:$G,"*"&amp;Table1[[#Headers],[Big Data]]&amp;"*")</f>
        <v>0</v>
      </c>
      <c r="K150" s="8">
        <f>COUNTIFS('All Papers'!$D:$D,"*"&amp;$A150&amp;"*",'All Papers'!$G:$G,"*"&amp;Table1[[#Headers],[Energy Management]]&amp;"*")</f>
        <v>1</v>
      </c>
      <c r="L150" s="8">
        <f>COUNTIFS('All Papers'!$D:$D,"*"&amp;$A150&amp;"*",'All Papers'!$G:$G,"*"&amp;Table1[[#Headers],[Monitoring]]&amp;"*")</f>
        <v>0</v>
      </c>
      <c r="M150" s="8">
        <f>COUNTIFS('All Papers'!$D:$D,"*"&amp;$A150&amp;"*",'All Papers'!$G:$G,"*"&amp;Table1[[#Headers],[Pricing]]&amp;"*")</f>
        <v>0</v>
      </c>
    </row>
    <row r="151" spans="1:13" x14ac:dyDescent="0.25">
      <c r="A151" s="8" t="s">
        <v>2584</v>
      </c>
      <c r="B151" s="8">
        <f>COUNTIF('All Papers'!D:D,"*"&amp;Table1[[#This Row],[Name]]&amp;"*")</f>
        <v>2</v>
      </c>
      <c r="C151" s="8">
        <f>COUNTIFS('All Papers'!$D:$D,"*"&amp;$A151&amp;"*",'All Papers'!$G:$G,"*"&amp;Table1[[#Headers],[Composition]]&amp;"*")</f>
        <v>0</v>
      </c>
      <c r="D151" s="8">
        <f>COUNTIFS('All Papers'!$D:$D,"*"&amp;$A151&amp;"*",'All Papers'!$G:$G,"*"&amp;Table1[[#Headers],[Discovery]]&amp;"*")</f>
        <v>0</v>
      </c>
      <c r="E151" s="8">
        <f>COUNTIFS('All Papers'!$D:$D,"*"&amp;$A151&amp;"*",'All Papers'!$G:$G,"*"&amp;Table1[[#Headers],[Selection]]&amp;"*")</f>
        <v>0</v>
      </c>
      <c r="F151" s="8">
        <f>COUNTIFS('All Papers'!$D:$D,"*"&amp;$A151&amp;"*",'All Papers'!$G:$G,"*"&amp;Table1[[#Headers],[Recommendation]]&amp;"*")</f>
        <v>0</v>
      </c>
      <c r="G151" s="8">
        <f>COUNTIFS('All Papers'!$D:$D,"*"&amp;$A151&amp;"*",'All Papers'!$G:$G,"*"&amp;Table1[[#Headers],[Resource Management-CS]]&amp;"*")</f>
        <v>2</v>
      </c>
      <c r="H151" s="8">
        <f>COUNTIFS('All Papers'!$D:$D,"*"&amp;$A151&amp;"*",'All Papers'!$G:$G,"*"&amp;Table1[[#Headers],[Resource Management-PS]]&amp;"*")</f>
        <v>0</v>
      </c>
      <c r="I151" s="8">
        <f>COUNTIFS('All Papers'!$D:$D,"*"&amp;$A151&amp;"*",'All Papers'!$G:$G,"*"&amp;Table1[[#Headers],[SLA Management]]&amp;"*")</f>
        <v>0</v>
      </c>
      <c r="J151" s="8">
        <f>COUNTIFS('All Papers'!$D:$D,"*"&amp;$A151&amp;"*",'All Papers'!$G:$G,"*"&amp;Table1[[#Headers],[Big Data]]&amp;"*")</f>
        <v>0</v>
      </c>
      <c r="K151" s="8">
        <f>COUNTIFS('All Papers'!$D:$D,"*"&amp;$A151&amp;"*",'All Papers'!$G:$G,"*"&amp;Table1[[#Headers],[Energy Management]]&amp;"*")</f>
        <v>0</v>
      </c>
      <c r="L151" s="8">
        <f>COUNTIFS('All Papers'!$D:$D,"*"&amp;$A151&amp;"*",'All Papers'!$G:$G,"*"&amp;Table1[[#Headers],[Monitoring]]&amp;"*")</f>
        <v>0</v>
      </c>
      <c r="M151" s="8">
        <f>COUNTIFS('All Papers'!$D:$D,"*"&amp;$A151&amp;"*",'All Papers'!$G:$G,"*"&amp;Table1[[#Headers],[Pricing]]&amp;"*")</f>
        <v>2</v>
      </c>
    </row>
    <row r="152" spans="1:13" x14ac:dyDescent="0.25">
      <c r="A152" s="8" t="s">
        <v>2585</v>
      </c>
      <c r="B152" s="8">
        <f>COUNTIF('All Papers'!D:D,"*"&amp;Table1[[#This Row],[Name]]&amp;"*")</f>
        <v>2</v>
      </c>
      <c r="C152" s="8">
        <f>COUNTIFS('All Papers'!$D:$D,"*"&amp;$A152&amp;"*",'All Papers'!$G:$G,"*"&amp;Table1[[#Headers],[Composition]]&amp;"*")</f>
        <v>0</v>
      </c>
      <c r="D152" s="8">
        <f>COUNTIFS('All Papers'!$D:$D,"*"&amp;$A152&amp;"*",'All Papers'!$G:$G,"*"&amp;Table1[[#Headers],[Discovery]]&amp;"*")</f>
        <v>0</v>
      </c>
      <c r="E152" s="8">
        <f>COUNTIFS('All Papers'!$D:$D,"*"&amp;$A152&amp;"*",'All Papers'!$G:$G,"*"&amp;Table1[[#Headers],[Selection]]&amp;"*")</f>
        <v>0</v>
      </c>
      <c r="F152" s="8">
        <f>COUNTIFS('All Papers'!$D:$D,"*"&amp;$A152&amp;"*",'All Papers'!$G:$G,"*"&amp;Table1[[#Headers],[Recommendation]]&amp;"*")</f>
        <v>0</v>
      </c>
      <c r="G152" s="8">
        <f>COUNTIFS('All Papers'!$D:$D,"*"&amp;$A152&amp;"*",'All Papers'!$G:$G,"*"&amp;Table1[[#Headers],[Resource Management-CS]]&amp;"*")</f>
        <v>2</v>
      </c>
      <c r="H152" s="8">
        <f>COUNTIFS('All Papers'!$D:$D,"*"&amp;$A152&amp;"*",'All Papers'!$G:$G,"*"&amp;Table1[[#Headers],[Resource Management-PS]]&amp;"*")</f>
        <v>0</v>
      </c>
      <c r="I152" s="8">
        <f>COUNTIFS('All Papers'!$D:$D,"*"&amp;$A152&amp;"*",'All Papers'!$G:$G,"*"&amp;Table1[[#Headers],[SLA Management]]&amp;"*")</f>
        <v>0</v>
      </c>
      <c r="J152" s="8">
        <f>COUNTIFS('All Papers'!$D:$D,"*"&amp;$A152&amp;"*",'All Papers'!$G:$G,"*"&amp;Table1[[#Headers],[Big Data]]&amp;"*")</f>
        <v>0</v>
      </c>
      <c r="K152" s="8">
        <f>COUNTIFS('All Papers'!$D:$D,"*"&amp;$A152&amp;"*",'All Papers'!$G:$G,"*"&amp;Table1[[#Headers],[Energy Management]]&amp;"*")</f>
        <v>0</v>
      </c>
      <c r="L152" s="8">
        <f>COUNTIFS('All Papers'!$D:$D,"*"&amp;$A152&amp;"*",'All Papers'!$G:$G,"*"&amp;Table1[[#Headers],[Monitoring]]&amp;"*")</f>
        <v>0</v>
      </c>
      <c r="M152" s="8">
        <f>COUNTIFS('All Papers'!$D:$D,"*"&amp;$A152&amp;"*",'All Papers'!$G:$G,"*"&amp;Table1[[#Headers],[Pricing]]&amp;"*")</f>
        <v>2</v>
      </c>
    </row>
    <row r="153" spans="1:13" x14ac:dyDescent="0.25">
      <c r="A153" s="8" t="s">
        <v>2586</v>
      </c>
      <c r="B153" s="8">
        <f>COUNTIF('All Papers'!D:D,"*"&amp;Table1[[#This Row],[Name]]&amp;"*")</f>
        <v>2</v>
      </c>
      <c r="C153" s="8">
        <f>COUNTIFS('All Papers'!$D:$D,"*"&amp;$A153&amp;"*",'All Papers'!$G:$G,"*"&amp;Table1[[#Headers],[Composition]]&amp;"*")</f>
        <v>0</v>
      </c>
      <c r="D153" s="8">
        <f>COUNTIFS('All Papers'!$D:$D,"*"&amp;$A153&amp;"*",'All Papers'!$G:$G,"*"&amp;Table1[[#Headers],[Discovery]]&amp;"*")</f>
        <v>0</v>
      </c>
      <c r="E153" s="8">
        <f>COUNTIFS('All Papers'!$D:$D,"*"&amp;$A153&amp;"*",'All Papers'!$G:$G,"*"&amp;Table1[[#Headers],[Selection]]&amp;"*")</f>
        <v>0</v>
      </c>
      <c r="F153" s="8">
        <f>COUNTIFS('All Papers'!$D:$D,"*"&amp;$A153&amp;"*",'All Papers'!$G:$G,"*"&amp;Table1[[#Headers],[Recommendation]]&amp;"*")</f>
        <v>0</v>
      </c>
      <c r="G153" s="8">
        <f>COUNTIFS('All Papers'!$D:$D,"*"&amp;$A153&amp;"*",'All Papers'!$G:$G,"*"&amp;Table1[[#Headers],[Resource Management-CS]]&amp;"*")</f>
        <v>0</v>
      </c>
      <c r="H153" s="8">
        <f>COUNTIFS('All Papers'!$D:$D,"*"&amp;$A153&amp;"*",'All Papers'!$G:$G,"*"&amp;Table1[[#Headers],[Resource Management-PS]]&amp;"*")</f>
        <v>1</v>
      </c>
      <c r="I153" s="8">
        <f>COUNTIFS('All Papers'!$D:$D,"*"&amp;$A153&amp;"*",'All Papers'!$G:$G,"*"&amp;Table1[[#Headers],[SLA Management]]&amp;"*")</f>
        <v>0</v>
      </c>
      <c r="J153" s="8">
        <f>COUNTIFS('All Papers'!$D:$D,"*"&amp;$A153&amp;"*",'All Papers'!$G:$G,"*"&amp;Table1[[#Headers],[Big Data]]&amp;"*")</f>
        <v>0</v>
      </c>
      <c r="K153" s="8">
        <f>COUNTIFS('All Papers'!$D:$D,"*"&amp;$A153&amp;"*",'All Papers'!$G:$G,"*"&amp;Table1[[#Headers],[Energy Management]]&amp;"*")</f>
        <v>1</v>
      </c>
      <c r="L153" s="8">
        <f>COUNTIFS('All Papers'!$D:$D,"*"&amp;$A153&amp;"*",'All Papers'!$G:$G,"*"&amp;Table1[[#Headers],[Monitoring]]&amp;"*")</f>
        <v>0</v>
      </c>
      <c r="M153" s="8">
        <f>COUNTIFS('All Papers'!$D:$D,"*"&amp;$A153&amp;"*",'All Papers'!$G:$G,"*"&amp;Table1[[#Headers],[Pricing]]&amp;"*")</f>
        <v>0</v>
      </c>
    </row>
    <row r="154" spans="1:13" x14ac:dyDescent="0.25">
      <c r="A154" s="8" t="s">
        <v>2587</v>
      </c>
      <c r="B154" s="8">
        <f>COUNTIF('All Papers'!D:D,"*"&amp;Table1[[#This Row],[Name]]&amp;"*")</f>
        <v>2</v>
      </c>
      <c r="C154" s="8">
        <f>COUNTIFS('All Papers'!$D:$D,"*"&amp;$A154&amp;"*",'All Papers'!$G:$G,"*"&amp;Table1[[#Headers],[Composition]]&amp;"*")</f>
        <v>0</v>
      </c>
      <c r="D154" s="8">
        <f>COUNTIFS('All Papers'!$D:$D,"*"&amp;$A154&amp;"*",'All Papers'!$G:$G,"*"&amp;Table1[[#Headers],[Discovery]]&amp;"*")</f>
        <v>0</v>
      </c>
      <c r="E154" s="8">
        <f>COUNTIFS('All Papers'!$D:$D,"*"&amp;$A154&amp;"*",'All Papers'!$G:$G,"*"&amp;Table1[[#Headers],[Selection]]&amp;"*")</f>
        <v>1</v>
      </c>
      <c r="F154" s="8">
        <f>COUNTIFS('All Papers'!$D:$D,"*"&amp;$A154&amp;"*",'All Papers'!$G:$G,"*"&amp;Table1[[#Headers],[Recommendation]]&amp;"*")</f>
        <v>0</v>
      </c>
      <c r="G154" s="8">
        <f>COUNTIFS('All Papers'!$D:$D,"*"&amp;$A154&amp;"*",'All Papers'!$G:$G,"*"&amp;Table1[[#Headers],[Resource Management-CS]]&amp;"*")</f>
        <v>1</v>
      </c>
      <c r="H154" s="8">
        <f>COUNTIFS('All Papers'!$D:$D,"*"&amp;$A154&amp;"*",'All Papers'!$G:$G,"*"&amp;Table1[[#Headers],[Resource Management-PS]]&amp;"*")</f>
        <v>0</v>
      </c>
      <c r="I154" s="8">
        <f>COUNTIFS('All Papers'!$D:$D,"*"&amp;$A154&amp;"*",'All Papers'!$G:$G,"*"&amp;Table1[[#Headers],[SLA Management]]&amp;"*")</f>
        <v>0</v>
      </c>
      <c r="J154" s="8">
        <f>COUNTIFS('All Papers'!$D:$D,"*"&amp;$A154&amp;"*",'All Papers'!$G:$G,"*"&amp;Table1[[#Headers],[Big Data]]&amp;"*")</f>
        <v>0</v>
      </c>
      <c r="K154" s="8">
        <f>COUNTIFS('All Papers'!$D:$D,"*"&amp;$A154&amp;"*",'All Papers'!$G:$G,"*"&amp;Table1[[#Headers],[Energy Management]]&amp;"*")</f>
        <v>0</v>
      </c>
      <c r="L154" s="8">
        <f>COUNTIFS('All Papers'!$D:$D,"*"&amp;$A154&amp;"*",'All Papers'!$G:$G,"*"&amp;Table1[[#Headers],[Monitoring]]&amp;"*")</f>
        <v>0</v>
      </c>
      <c r="M154" s="8">
        <f>COUNTIFS('All Papers'!$D:$D,"*"&amp;$A154&amp;"*",'All Papers'!$G:$G,"*"&amp;Table1[[#Headers],[Pricing]]&amp;"*")</f>
        <v>0</v>
      </c>
    </row>
    <row r="155" spans="1:13" x14ac:dyDescent="0.25">
      <c r="A155" s="8" t="s">
        <v>2588</v>
      </c>
      <c r="B155" s="8">
        <f>COUNTIF('All Papers'!D:D,"*"&amp;Table1[[#This Row],[Name]]&amp;"*")</f>
        <v>2</v>
      </c>
      <c r="C155" s="8">
        <f>COUNTIFS('All Papers'!$D:$D,"*"&amp;$A155&amp;"*",'All Papers'!$G:$G,"*"&amp;Table1[[#Headers],[Composition]]&amp;"*")</f>
        <v>0</v>
      </c>
      <c r="D155" s="8">
        <f>COUNTIFS('All Papers'!$D:$D,"*"&amp;$A155&amp;"*",'All Papers'!$G:$G,"*"&amp;Table1[[#Headers],[Discovery]]&amp;"*")</f>
        <v>0</v>
      </c>
      <c r="E155" s="8">
        <f>COUNTIFS('All Papers'!$D:$D,"*"&amp;$A155&amp;"*",'All Papers'!$G:$G,"*"&amp;Table1[[#Headers],[Selection]]&amp;"*")</f>
        <v>0</v>
      </c>
      <c r="F155" s="8">
        <f>COUNTIFS('All Papers'!$D:$D,"*"&amp;$A155&amp;"*",'All Papers'!$G:$G,"*"&amp;Table1[[#Headers],[Recommendation]]&amp;"*")</f>
        <v>0</v>
      </c>
      <c r="G155" s="8">
        <f>COUNTIFS('All Papers'!$D:$D,"*"&amp;$A155&amp;"*",'All Papers'!$G:$G,"*"&amp;Table1[[#Headers],[Resource Management-CS]]&amp;"*")</f>
        <v>0</v>
      </c>
      <c r="H155" s="8">
        <f>COUNTIFS('All Papers'!$D:$D,"*"&amp;$A155&amp;"*",'All Papers'!$G:$G,"*"&amp;Table1[[#Headers],[Resource Management-PS]]&amp;"*")</f>
        <v>2</v>
      </c>
      <c r="I155" s="8">
        <f>COUNTIFS('All Papers'!$D:$D,"*"&amp;$A155&amp;"*",'All Papers'!$G:$G,"*"&amp;Table1[[#Headers],[SLA Management]]&amp;"*")</f>
        <v>0</v>
      </c>
      <c r="J155" s="8">
        <f>COUNTIFS('All Papers'!$D:$D,"*"&amp;$A155&amp;"*",'All Papers'!$G:$G,"*"&amp;Table1[[#Headers],[Big Data]]&amp;"*")</f>
        <v>0</v>
      </c>
      <c r="K155" s="8">
        <f>COUNTIFS('All Papers'!$D:$D,"*"&amp;$A155&amp;"*",'All Papers'!$G:$G,"*"&amp;Table1[[#Headers],[Energy Management]]&amp;"*")</f>
        <v>0</v>
      </c>
      <c r="L155" s="8">
        <f>COUNTIFS('All Papers'!$D:$D,"*"&amp;$A155&amp;"*",'All Papers'!$G:$G,"*"&amp;Table1[[#Headers],[Monitoring]]&amp;"*")</f>
        <v>0</v>
      </c>
      <c r="M155" s="8">
        <f>COUNTIFS('All Papers'!$D:$D,"*"&amp;$A155&amp;"*",'All Papers'!$G:$G,"*"&amp;Table1[[#Headers],[Pricing]]&amp;"*")</f>
        <v>0</v>
      </c>
    </row>
    <row r="156" spans="1:13" x14ac:dyDescent="0.25">
      <c r="A156" s="8" t="s">
        <v>2589</v>
      </c>
      <c r="B156" s="8">
        <f>COUNTIF('All Papers'!D:D,"*"&amp;Table1[[#This Row],[Name]]&amp;"*")</f>
        <v>2</v>
      </c>
      <c r="C156" s="8">
        <f>COUNTIFS('All Papers'!$D:$D,"*"&amp;$A156&amp;"*",'All Papers'!$G:$G,"*"&amp;Table1[[#Headers],[Composition]]&amp;"*")</f>
        <v>0</v>
      </c>
      <c r="D156" s="8">
        <f>COUNTIFS('All Papers'!$D:$D,"*"&amp;$A156&amp;"*",'All Papers'!$G:$G,"*"&amp;Table1[[#Headers],[Discovery]]&amp;"*")</f>
        <v>0</v>
      </c>
      <c r="E156" s="8">
        <f>COUNTIFS('All Papers'!$D:$D,"*"&amp;$A156&amp;"*",'All Papers'!$G:$G,"*"&amp;Table1[[#Headers],[Selection]]&amp;"*")</f>
        <v>0</v>
      </c>
      <c r="F156" s="8">
        <f>COUNTIFS('All Papers'!$D:$D,"*"&amp;$A156&amp;"*",'All Papers'!$G:$G,"*"&amp;Table1[[#Headers],[Recommendation]]&amp;"*")</f>
        <v>0</v>
      </c>
      <c r="G156" s="8">
        <f>COUNTIFS('All Papers'!$D:$D,"*"&amp;$A156&amp;"*",'All Papers'!$G:$G,"*"&amp;Table1[[#Headers],[Resource Management-CS]]&amp;"*")</f>
        <v>0</v>
      </c>
      <c r="H156" s="8">
        <f>COUNTIFS('All Papers'!$D:$D,"*"&amp;$A156&amp;"*",'All Papers'!$G:$G,"*"&amp;Table1[[#Headers],[Resource Management-PS]]&amp;"*")</f>
        <v>2</v>
      </c>
      <c r="I156" s="8">
        <f>COUNTIFS('All Papers'!$D:$D,"*"&amp;$A156&amp;"*",'All Papers'!$G:$G,"*"&amp;Table1[[#Headers],[SLA Management]]&amp;"*")</f>
        <v>0</v>
      </c>
      <c r="J156" s="8">
        <f>COUNTIFS('All Papers'!$D:$D,"*"&amp;$A156&amp;"*",'All Papers'!$G:$G,"*"&amp;Table1[[#Headers],[Big Data]]&amp;"*")</f>
        <v>0</v>
      </c>
      <c r="K156" s="8">
        <f>COUNTIFS('All Papers'!$D:$D,"*"&amp;$A156&amp;"*",'All Papers'!$G:$G,"*"&amp;Table1[[#Headers],[Energy Management]]&amp;"*")</f>
        <v>0</v>
      </c>
      <c r="L156" s="8">
        <f>COUNTIFS('All Papers'!$D:$D,"*"&amp;$A156&amp;"*",'All Papers'!$G:$G,"*"&amp;Table1[[#Headers],[Monitoring]]&amp;"*")</f>
        <v>0</v>
      </c>
      <c r="M156" s="8">
        <f>COUNTIFS('All Papers'!$D:$D,"*"&amp;$A156&amp;"*",'All Papers'!$G:$G,"*"&amp;Table1[[#Headers],[Pricing]]&amp;"*")</f>
        <v>0</v>
      </c>
    </row>
    <row r="157" spans="1:13" x14ac:dyDescent="0.25">
      <c r="A157" s="8" t="s">
        <v>2590</v>
      </c>
      <c r="B157" s="8">
        <f>COUNTIF('All Papers'!D:D,"*"&amp;Table1[[#This Row],[Name]]&amp;"*")</f>
        <v>2</v>
      </c>
      <c r="C157" s="8">
        <f>COUNTIFS('All Papers'!$D:$D,"*"&amp;$A157&amp;"*",'All Papers'!$G:$G,"*"&amp;Table1[[#Headers],[Composition]]&amp;"*")</f>
        <v>0</v>
      </c>
      <c r="D157" s="8">
        <f>COUNTIFS('All Papers'!$D:$D,"*"&amp;$A157&amp;"*",'All Papers'!$G:$G,"*"&amp;Table1[[#Headers],[Discovery]]&amp;"*")</f>
        <v>0</v>
      </c>
      <c r="E157" s="8">
        <f>COUNTIFS('All Papers'!$D:$D,"*"&amp;$A157&amp;"*",'All Papers'!$G:$G,"*"&amp;Table1[[#Headers],[Selection]]&amp;"*")</f>
        <v>0</v>
      </c>
      <c r="F157" s="8">
        <f>COUNTIFS('All Papers'!$D:$D,"*"&amp;$A157&amp;"*",'All Papers'!$G:$G,"*"&amp;Table1[[#Headers],[Recommendation]]&amp;"*")</f>
        <v>0</v>
      </c>
      <c r="G157" s="8">
        <f>COUNTIFS('All Papers'!$D:$D,"*"&amp;$A157&amp;"*",'All Papers'!$G:$G,"*"&amp;Table1[[#Headers],[Resource Management-CS]]&amp;"*")</f>
        <v>0</v>
      </c>
      <c r="H157" s="8">
        <f>COUNTIFS('All Papers'!$D:$D,"*"&amp;$A157&amp;"*",'All Papers'!$G:$G,"*"&amp;Table1[[#Headers],[Resource Management-PS]]&amp;"*")</f>
        <v>2</v>
      </c>
      <c r="I157" s="8">
        <f>COUNTIFS('All Papers'!$D:$D,"*"&amp;$A157&amp;"*",'All Papers'!$G:$G,"*"&amp;Table1[[#Headers],[SLA Management]]&amp;"*")</f>
        <v>0</v>
      </c>
      <c r="J157" s="8">
        <f>COUNTIFS('All Papers'!$D:$D,"*"&amp;$A157&amp;"*",'All Papers'!$G:$G,"*"&amp;Table1[[#Headers],[Big Data]]&amp;"*")</f>
        <v>0</v>
      </c>
      <c r="K157" s="8">
        <f>COUNTIFS('All Papers'!$D:$D,"*"&amp;$A157&amp;"*",'All Papers'!$G:$G,"*"&amp;Table1[[#Headers],[Energy Management]]&amp;"*")</f>
        <v>0</v>
      </c>
      <c r="L157" s="8">
        <f>COUNTIFS('All Papers'!$D:$D,"*"&amp;$A157&amp;"*",'All Papers'!$G:$G,"*"&amp;Table1[[#Headers],[Monitoring]]&amp;"*")</f>
        <v>0</v>
      </c>
      <c r="M157" s="8">
        <f>COUNTIFS('All Papers'!$D:$D,"*"&amp;$A157&amp;"*",'All Papers'!$G:$G,"*"&amp;Table1[[#Headers],[Pricing]]&amp;"*")</f>
        <v>0</v>
      </c>
    </row>
    <row r="158" spans="1:13" x14ac:dyDescent="0.25">
      <c r="A158" s="8" t="s">
        <v>2591</v>
      </c>
      <c r="B158" s="8">
        <f>COUNTIF('All Papers'!D:D,"*"&amp;Table1[[#This Row],[Name]]&amp;"*")</f>
        <v>2</v>
      </c>
      <c r="C158" s="8">
        <f>COUNTIFS('All Papers'!$D:$D,"*"&amp;$A158&amp;"*",'All Papers'!$G:$G,"*"&amp;Table1[[#Headers],[Composition]]&amp;"*")</f>
        <v>0</v>
      </c>
      <c r="D158" s="8">
        <f>COUNTIFS('All Papers'!$D:$D,"*"&amp;$A158&amp;"*",'All Papers'!$G:$G,"*"&amp;Table1[[#Headers],[Discovery]]&amp;"*")</f>
        <v>0</v>
      </c>
      <c r="E158" s="8">
        <f>COUNTIFS('All Papers'!$D:$D,"*"&amp;$A158&amp;"*",'All Papers'!$G:$G,"*"&amp;Table1[[#Headers],[Selection]]&amp;"*")</f>
        <v>0</v>
      </c>
      <c r="F158" s="8">
        <f>COUNTIFS('All Papers'!$D:$D,"*"&amp;$A158&amp;"*",'All Papers'!$G:$G,"*"&amp;Table1[[#Headers],[Recommendation]]&amp;"*")</f>
        <v>0</v>
      </c>
      <c r="G158" s="8">
        <f>COUNTIFS('All Papers'!$D:$D,"*"&amp;$A158&amp;"*",'All Papers'!$G:$G,"*"&amp;Table1[[#Headers],[Resource Management-CS]]&amp;"*")</f>
        <v>0</v>
      </c>
      <c r="H158" s="8">
        <f>COUNTIFS('All Papers'!$D:$D,"*"&amp;$A158&amp;"*",'All Papers'!$G:$G,"*"&amp;Table1[[#Headers],[Resource Management-PS]]&amp;"*")</f>
        <v>1</v>
      </c>
      <c r="I158" s="8">
        <f>COUNTIFS('All Papers'!$D:$D,"*"&amp;$A158&amp;"*",'All Papers'!$G:$G,"*"&amp;Table1[[#Headers],[SLA Management]]&amp;"*")</f>
        <v>0</v>
      </c>
      <c r="J158" s="8">
        <f>COUNTIFS('All Papers'!$D:$D,"*"&amp;$A158&amp;"*",'All Papers'!$G:$G,"*"&amp;Table1[[#Headers],[Big Data]]&amp;"*")</f>
        <v>0</v>
      </c>
      <c r="K158" s="8">
        <f>COUNTIFS('All Papers'!$D:$D,"*"&amp;$A158&amp;"*",'All Papers'!$G:$G,"*"&amp;Table1[[#Headers],[Energy Management]]&amp;"*")</f>
        <v>0</v>
      </c>
      <c r="L158" s="8">
        <f>COUNTIFS('All Papers'!$D:$D,"*"&amp;$A158&amp;"*",'All Papers'!$G:$G,"*"&amp;Table1[[#Headers],[Monitoring]]&amp;"*")</f>
        <v>0</v>
      </c>
      <c r="M158" s="8">
        <f>COUNTIFS('All Papers'!$D:$D,"*"&amp;$A158&amp;"*",'All Papers'!$G:$G,"*"&amp;Table1[[#Headers],[Pricing]]&amp;"*")</f>
        <v>1</v>
      </c>
    </row>
    <row r="159" spans="1:13" x14ac:dyDescent="0.25">
      <c r="A159" s="8" t="s">
        <v>2592</v>
      </c>
      <c r="B159" s="8">
        <f>COUNTIF('All Papers'!D:D,"*"&amp;Table1[[#This Row],[Name]]&amp;"*")</f>
        <v>2</v>
      </c>
      <c r="C159" s="8">
        <f>COUNTIFS('All Papers'!$D:$D,"*"&amp;$A159&amp;"*",'All Papers'!$G:$G,"*"&amp;Table1[[#Headers],[Composition]]&amp;"*")</f>
        <v>0</v>
      </c>
      <c r="D159" s="8">
        <f>COUNTIFS('All Papers'!$D:$D,"*"&amp;$A159&amp;"*",'All Papers'!$G:$G,"*"&amp;Table1[[#Headers],[Discovery]]&amp;"*")</f>
        <v>0</v>
      </c>
      <c r="E159" s="8">
        <f>COUNTIFS('All Papers'!$D:$D,"*"&amp;$A159&amp;"*",'All Papers'!$G:$G,"*"&amp;Table1[[#Headers],[Selection]]&amp;"*")</f>
        <v>1</v>
      </c>
      <c r="F159" s="8">
        <f>COUNTIFS('All Papers'!$D:$D,"*"&amp;$A159&amp;"*",'All Papers'!$G:$G,"*"&amp;Table1[[#Headers],[Recommendation]]&amp;"*")</f>
        <v>0</v>
      </c>
      <c r="G159" s="8">
        <f>COUNTIFS('All Papers'!$D:$D,"*"&amp;$A159&amp;"*",'All Papers'!$G:$G,"*"&amp;Table1[[#Headers],[Resource Management-CS]]&amp;"*")</f>
        <v>1</v>
      </c>
      <c r="H159" s="8">
        <f>COUNTIFS('All Papers'!$D:$D,"*"&amp;$A159&amp;"*",'All Papers'!$G:$G,"*"&amp;Table1[[#Headers],[Resource Management-PS]]&amp;"*")</f>
        <v>0</v>
      </c>
      <c r="I159" s="8">
        <f>COUNTIFS('All Papers'!$D:$D,"*"&amp;$A159&amp;"*",'All Papers'!$G:$G,"*"&amp;Table1[[#Headers],[SLA Management]]&amp;"*")</f>
        <v>0</v>
      </c>
      <c r="J159" s="8">
        <f>COUNTIFS('All Papers'!$D:$D,"*"&amp;$A159&amp;"*",'All Papers'!$G:$G,"*"&amp;Table1[[#Headers],[Big Data]]&amp;"*")</f>
        <v>0</v>
      </c>
      <c r="K159" s="8">
        <f>COUNTIFS('All Papers'!$D:$D,"*"&amp;$A159&amp;"*",'All Papers'!$G:$G,"*"&amp;Table1[[#Headers],[Energy Management]]&amp;"*")</f>
        <v>0</v>
      </c>
      <c r="L159" s="8">
        <f>COUNTIFS('All Papers'!$D:$D,"*"&amp;$A159&amp;"*",'All Papers'!$G:$G,"*"&amp;Table1[[#Headers],[Monitoring]]&amp;"*")</f>
        <v>0</v>
      </c>
      <c r="M159" s="8">
        <f>COUNTIFS('All Papers'!$D:$D,"*"&amp;$A159&amp;"*",'All Papers'!$G:$G,"*"&amp;Table1[[#Headers],[Pricing]]&amp;"*")</f>
        <v>0</v>
      </c>
    </row>
    <row r="160" spans="1:13" x14ac:dyDescent="0.25">
      <c r="A160" s="8" t="s">
        <v>2593</v>
      </c>
      <c r="B160" s="8">
        <f>COUNTIF('All Papers'!D:D,"*"&amp;Table1[[#This Row],[Name]]&amp;"*")</f>
        <v>2</v>
      </c>
      <c r="C160" s="8">
        <f>COUNTIFS('All Papers'!$D:$D,"*"&amp;$A160&amp;"*",'All Papers'!$G:$G,"*"&amp;Table1[[#Headers],[Composition]]&amp;"*")</f>
        <v>2</v>
      </c>
      <c r="D160" s="8">
        <f>COUNTIFS('All Papers'!$D:$D,"*"&amp;$A160&amp;"*",'All Papers'!$G:$G,"*"&amp;Table1[[#Headers],[Discovery]]&amp;"*")</f>
        <v>0</v>
      </c>
      <c r="E160" s="8">
        <f>COUNTIFS('All Papers'!$D:$D,"*"&amp;$A160&amp;"*",'All Papers'!$G:$G,"*"&amp;Table1[[#Headers],[Selection]]&amp;"*")</f>
        <v>0</v>
      </c>
      <c r="F160" s="8">
        <f>COUNTIFS('All Papers'!$D:$D,"*"&amp;$A160&amp;"*",'All Papers'!$G:$G,"*"&amp;Table1[[#Headers],[Recommendation]]&amp;"*")</f>
        <v>0</v>
      </c>
      <c r="G160" s="8">
        <f>COUNTIFS('All Papers'!$D:$D,"*"&amp;$A160&amp;"*",'All Papers'!$G:$G,"*"&amp;Table1[[#Headers],[Resource Management-CS]]&amp;"*")</f>
        <v>0</v>
      </c>
      <c r="H160" s="8">
        <f>COUNTIFS('All Papers'!$D:$D,"*"&amp;$A160&amp;"*",'All Papers'!$G:$G,"*"&amp;Table1[[#Headers],[Resource Management-PS]]&amp;"*")</f>
        <v>0</v>
      </c>
      <c r="I160" s="8">
        <f>COUNTIFS('All Papers'!$D:$D,"*"&amp;$A160&amp;"*",'All Papers'!$G:$G,"*"&amp;Table1[[#Headers],[SLA Management]]&amp;"*")</f>
        <v>0</v>
      </c>
      <c r="J160" s="8">
        <f>COUNTIFS('All Papers'!$D:$D,"*"&amp;$A160&amp;"*",'All Papers'!$G:$G,"*"&amp;Table1[[#Headers],[Big Data]]&amp;"*")</f>
        <v>0</v>
      </c>
      <c r="K160" s="8">
        <f>COUNTIFS('All Papers'!$D:$D,"*"&amp;$A160&amp;"*",'All Papers'!$G:$G,"*"&amp;Table1[[#Headers],[Energy Management]]&amp;"*")</f>
        <v>0</v>
      </c>
      <c r="L160" s="8">
        <f>COUNTIFS('All Papers'!$D:$D,"*"&amp;$A160&amp;"*",'All Papers'!$G:$G,"*"&amp;Table1[[#Headers],[Monitoring]]&amp;"*")</f>
        <v>0</v>
      </c>
      <c r="M160" s="8">
        <f>COUNTIFS('All Papers'!$D:$D,"*"&amp;$A160&amp;"*",'All Papers'!$G:$G,"*"&amp;Table1[[#Headers],[Pricing]]&amp;"*")</f>
        <v>0</v>
      </c>
    </row>
    <row r="161" spans="1:13" x14ac:dyDescent="0.25">
      <c r="A161" s="8" t="s">
        <v>2594</v>
      </c>
      <c r="B161" s="8">
        <f>COUNTIF('All Papers'!D:D,"*"&amp;Table1[[#This Row],[Name]]&amp;"*")</f>
        <v>2</v>
      </c>
      <c r="C161" s="8">
        <f>COUNTIFS('All Papers'!$D:$D,"*"&amp;$A161&amp;"*",'All Papers'!$G:$G,"*"&amp;Table1[[#Headers],[Composition]]&amp;"*")</f>
        <v>0</v>
      </c>
      <c r="D161" s="8">
        <f>COUNTIFS('All Papers'!$D:$D,"*"&amp;$A161&amp;"*",'All Papers'!$G:$G,"*"&amp;Table1[[#Headers],[Discovery]]&amp;"*")</f>
        <v>1</v>
      </c>
      <c r="E161" s="8">
        <f>COUNTIFS('All Papers'!$D:$D,"*"&amp;$A161&amp;"*",'All Papers'!$G:$G,"*"&amp;Table1[[#Headers],[Selection]]&amp;"*")</f>
        <v>0</v>
      </c>
      <c r="F161" s="8">
        <f>COUNTIFS('All Papers'!$D:$D,"*"&amp;$A161&amp;"*",'All Papers'!$G:$G,"*"&amp;Table1[[#Headers],[Recommendation]]&amp;"*")</f>
        <v>0</v>
      </c>
      <c r="G161" s="8">
        <f>COUNTIFS('All Papers'!$D:$D,"*"&amp;$A161&amp;"*",'All Papers'!$G:$G,"*"&amp;Table1[[#Headers],[Resource Management-CS]]&amp;"*")</f>
        <v>0</v>
      </c>
      <c r="H161" s="8">
        <f>COUNTIFS('All Papers'!$D:$D,"*"&amp;$A161&amp;"*",'All Papers'!$G:$G,"*"&amp;Table1[[#Headers],[Resource Management-PS]]&amp;"*")</f>
        <v>2</v>
      </c>
      <c r="I161" s="8">
        <f>COUNTIFS('All Papers'!$D:$D,"*"&amp;$A161&amp;"*",'All Papers'!$G:$G,"*"&amp;Table1[[#Headers],[SLA Management]]&amp;"*")</f>
        <v>0</v>
      </c>
      <c r="J161" s="8">
        <f>COUNTIFS('All Papers'!$D:$D,"*"&amp;$A161&amp;"*",'All Papers'!$G:$G,"*"&amp;Table1[[#Headers],[Big Data]]&amp;"*")</f>
        <v>0</v>
      </c>
      <c r="K161" s="8">
        <f>COUNTIFS('All Papers'!$D:$D,"*"&amp;$A161&amp;"*",'All Papers'!$G:$G,"*"&amp;Table1[[#Headers],[Energy Management]]&amp;"*")</f>
        <v>0</v>
      </c>
      <c r="L161" s="8">
        <f>COUNTIFS('All Papers'!$D:$D,"*"&amp;$A161&amp;"*",'All Papers'!$G:$G,"*"&amp;Table1[[#Headers],[Monitoring]]&amp;"*")</f>
        <v>2</v>
      </c>
      <c r="M161" s="8">
        <f>COUNTIFS('All Papers'!$D:$D,"*"&amp;$A161&amp;"*",'All Papers'!$G:$G,"*"&amp;Table1[[#Headers],[Pricing]]&amp;"*")</f>
        <v>0</v>
      </c>
    </row>
    <row r="162" spans="1:13" x14ac:dyDescent="0.25">
      <c r="A162" s="8" t="s">
        <v>2595</v>
      </c>
      <c r="B162" s="8">
        <f>COUNTIF('All Papers'!D:D,"*"&amp;Table1[[#This Row],[Name]]&amp;"*")</f>
        <v>2</v>
      </c>
      <c r="C162" s="8">
        <f>COUNTIFS('All Papers'!$D:$D,"*"&amp;$A162&amp;"*",'All Papers'!$G:$G,"*"&amp;Table1[[#Headers],[Composition]]&amp;"*")</f>
        <v>0</v>
      </c>
      <c r="D162" s="8">
        <f>COUNTIFS('All Papers'!$D:$D,"*"&amp;$A162&amp;"*",'All Papers'!$G:$G,"*"&amp;Table1[[#Headers],[Discovery]]&amp;"*")</f>
        <v>0</v>
      </c>
      <c r="E162" s="8">
        <f>COUNTIFS('All Papers'!$D:$D,"*"&amp;$A162&amp;"*",'All Papers'!$G:$G,"*"&amp;Table1[[#Headers],[Selection]]&amp;"*")</f>
        <v>1</v>
      </c>
      <c r="F162" s="8">
        <f>COUNTIFS('All Papers'!$D:$D,"*"&amp;$A162&amp;"*",'All Papers'!$G:$G,"*"&amp;Table1[[#Headers],[Recommendation]]&amp;"*")</f>
        <v>0</v>
      </c>
      <c r="G162" s="8">
        <f>COUNTIFS('All Papers'!$D:$D,"*"&amp;$A162&amp;"*",'All Papers'!$G:$G,"*"&amp;Table1[[#Headers],[Resource Management-CS]]&amp;"*")</f>
        <v>0</v>
      </c>
      <c r="H162" s="8">
        <f>COUNTIFS('All Papers'!$D:$D,"*"&amp;$A162&amp;"*",'All Papers'!$G:$G,"*"&amp;Table1[[#Headers],[Resource Management-PS]]&amp;"*")</f>
        <v>0</v>
      </c>
      <c r="I162" s="8">
        <f>COUNTIFS('All Papers'!$D:$D,"*"&amp;$A162&amp;"*",'All Papers'!$G:$G,"*"&amp;Table1[[#Headers],[SLA Management]]&amp;"*")</f>
        <v>0</v>
      </c>
      <c r="J162" s="8">
        <f>COUNTIFS('All Papers'!$D:$D,"*"&amp;$A162&amp;"*",'All Papers'!$G:$G,"*"&amp;Table1[[#Headers],[Big Data]]&amp;"*")</f>
        <v>1</v>
      </c>
      <c r="K162" s="8">
        <f>COUNTIFS('All Papers'!$D:$D,"*"&amp;$A162&amp;"*",'All Papers'!$G:$G,"*"&amp;Table1[[#Headers],[Energy Management]]&amp;"*")</f>
        <v>0</v>
      </c>
      <c r="L162" s="8">
        <f>COUNTIFS('All Papers'!$D:$D,"*"&amp;$A162&amp;"*",'All Papers'!$G:$G,"*"&amp;Table1[[#Headers],[Monitoring]]&amp;"*")</f>
        <v>0</v>
      </c>
      <c r="M162" s="8">
        <f>COUNTIFS('All Papers'!$D:$D,"*"&amp;$A162&amp;"*",'All Papers'!$G:$G,"*"&amp;Table1[[#Headers],[Pricing]]&amp;"*")</f>
        <v>0</v>
      </c>
    </row>
    <row r="163" spans="1:13" x14ac:dyDescent="0.25">
      <c r="A163" s="8" t="s">
        <v>2596</v>
      </c>
      <c r="B163" s="8">
        <f>COUNTIF('All Papers'!D:D,"*"&amp;Table1[[#This Row],[Name]]&amp;"*")</f>
        <v>2</v>
      </c>
      <c r="C163" s="8">
        <f>COUNTIFS('All Papers'!$D:$D,"*"&amp;$A163&amp;"*",'All Papers'!$G:$G,"*"&amp;Table1[[#Headers],[Composition]]&amp;"*")</f>
        <v>0</v>
      </c>
      <c r="D163" s="8">
        <f>COUNTIFS('All Papers'!$D:$D,"*"&amp;$A163&amp;"*",'All Papers'!$G:$G,"*"&amp;Table1[[#Headers],[Discovery]]&amp;"*")</f>
        <v>0</v>
      </c>
      <c r="E163" s="8">
        <f>COUNTIFS('All Papers'!$D:$D,"*"&amp;$A163&amp;"*",'All Papers'!$G:$G,"*"&amp;Table1[[#Headers],[Selection]]&amp;"*")</f>
        <v>0</v>
      </c>
      <c r="F163" s="8">
        <f>COUNTIFS('All Papers'!$D:$D,"*"&amp;$A163&amp;"*",'All Papers'!$G:$G,"*"&amp;Table1[[#Headers],[Recommendation]]&amp;"*")</f>
        <v>0</v>
      </c>
      <c r="G163" s="8">
        <f>COUNTIFS('All Papers'!$D:$D,"*"&amp;$A163&amp;"*",'All Papers'!$G:$G,"*"&amp;Table1[[#Headers],[Resource Management-CS]]&amp;"*")</f>
        <v>2</v>
      </c>
      <c r="H163" s="8">
        <f>COUNTIFS('All Papers'!$D:$D,"*"&amp;$A163&amp;"*",'All Papers'!$G:$G,"*"&amp;Table1[[#Headers],[Resource Management-PS]]&amp;"*")</f>
        <v>0</v>
      </c>
      <c r="I163" s="8">
        <f>COUNTIFS('All Papers'!$D:$D,"*"&amp;$A163&amp;"*",'All Papers'!$G:$G,"*"&amp;Table1[[#Headers],[SLA Management]]&amp;"*")</f>
        <v>0</v>
      </c>
      <c r="J163" s="8">
        <f>COUNTIFS('All Papers'!$D:$D,"*"&amp;$A163&amp;"*",'All Papers'!$G:$G,"*"&amp;Table1[[#Headers],[Big Data]]&amp;"*")</f>
        <v>0</v>
      </c>
      <c r="K163" s="8">
        <f>COUNTIFS('All Papers'!$D:$D,"*"&amp;$A163&amp;"*",'All Papers'!$G:$G,"*"&amp;Table1[[#Headers],[Energy Management]]&amp;"*")</f>
        <v>0</v>
      </c>
      <c r="L163" s="8">
        <f>COUNTIFS('All Papers'!$D:$D,"*"&amp;$A163&amp;"*",'All Papers'!$G:$G,"*"&amp;Table1[[#Headers],[Monitoring]]&amp;"*")</f>
        <v>0</v>
      </c>
      <c r="M163" s="8">
        <f>COUNTIFS('All Papers'!$D:$D,"*"&amp;$A163&amp;"*",'All Papers'!$G:$G,"*"&amp;Table1[[#Headers],[Pricing]]&amp;"*")</f>
        <v>0</v>
      </c>
    </row>
    <row r="164" spans="1:13" x14ac:dyDescent="0.25">
      <c r="A164" s="8" t="s">
        <v>2597</v>
      </c>
      <c r="B164" s="8">
        <f>COUNTIF('All Papers'!D:D,"*"&amp;Table1[[#This Row],[Name]]&amp;"*")</f>
        <v>2</v>
      </c>
      <c r="C164" s="8">
        <f>COUNTIFS('All Papers'!$D:$D,"*"&amp;$A164&amp;"*",'All Papers'!$G:$G,"*"&amp;Table1[[#Headers],[Composition]]&amp;"*")</f>
        <v>0</v>
      </c>
      <c r="D164" s="8">
        <f>COUNTIFS('All Papers'!$D:$D,"*"&amp;$A164&amp;"*",'All Papers'!$G:$G,"*"&amp;Table1[[#Headers],[Discovery]]&amp;"*")</f>
        <v>0</v>
      </c>
      <c r="E164" s="8">
        <f>COUNTIFS('All Papers'!$D:$D,"*"&amp;$A164&amp;"*",'All Papers'!$G:$G,"*"&amp;Table1[[#Headers],[Selection]]&amp;"*")</f>
        <v>0</v>
      </c>
      <c r="F164" s="8">
        <f>COUNTIFS('All Papers'!$D:$D,"*"&amp;$A164&amp;"*",'All Papers'!$G:$G,"*"&amp;Table1[[#Headers],[Recommendation]]&amp;"*")</f>
        <v>0</v>
      </c>
      <c r="G164" s="8">
        <f>COUNTIFS('All Papers'!$D:$D,"*"&amp;$A164&amp;"*",'All Papers'!$G:$G,"*"&amp;Table1[[#Headers],[Resource Management-CS]]&amp;"*")</f>
        <v>2</v>
      </c>
      <c r="H164" s="8">
        <f>COUNTIFS('All Papers'!$D:$D,"*"&amp;$A164&amp;"*",'All Papers'!$G:$G,"*"&amp;Table1[[#Headers],[Resource Management-PS]]&amp;"*")</f>
        <v>0</v>
      </c>
      <c r="I164" s="8">
        <f>COUNTIFS('All Papers'!$D:$D,"*"&amp;$A164&amp;"*",'All Papers'!$G:$G,"*"&amp;Table1[[#Headers],[SLA Management]]&amp;"*")</f>
        <v>0</v>
      </c>
      <c r="J164" s="8">
        <f>COUNTIFS('All Papers'!$D:$D,"*"&amp;$A164&amp;"*",'All Papers'!$G:$G,"*"&amp;Table1[[#Headers],[Big Data]]&amp;"*")</f>
        <v>0</v>
      </c>
      <c r="K164" s="8">
        <f>COUNTIFS('All Papers'!$D:$D,"*"&amp;$A164&amp;"*",'All Papers'!$G:$G,"*"&amp;Table1[[#Headers],[Energy Management]]&amp;"*")</f>
        <v>0</v>
      </c>
      <c r="L164" s="8">
        <f>COUNTIFS('All Papers'!$D:$D,"*"&amp;$A164&amp;"*",'All Papers'!$G:$G,"*"&amp;Table1[[#Headers],[Monitoring]]&amp;"*")</f>
        <v>0</v>
      </c>
      <c r="M164" s="8">
        <f>COUNTIFS('All Papers'!$D:$D,"*"&amp;$A164&amp;"*",'All Papers'!$G:$G,"*"&amp;Table1[[#Headers],[Pricing]]&amp;"*")</f>
        <v>0</v>
      </c>
    </row>
    <row r="165" spans="1:13" x14ac:dyDescent="0.25">
      <c r="A165" s="8" t="s">
        <v>2598</v>
      </c>
      <c r="B165" s="8">
        <f>COUNTIF('All Papers'!D:D,"*"&amp;Table1[[#This Row],[Name]]&amp;"*")</f>
        <v>2</v>
      </c>
      <c r="C165" s="8">
        <f>COUNTIFS('All Papers'!$D:$D,"*"&amp;$A165&amp;"*",'All Papers'!$G:$G,"*"&amp;Table1[[#Headers],[Composition]]&amp;"*")</f>
        <v>0</v>
      </c>
      <c r="D165" s="8">
        <f>COUNTIFS('All Papers'!$D:$D,"*"&amp;$A165&amp;"*",'All Papers'!$G:$G,"*"&amp;Table1[[#Headers],[Discovery]]&amp;"*")</f>
        <v>0</v>
      </c>
      <c r="E165" s="8">
        <f>COUNTIFS('All Papers'!$D:$D,"*"&amp;$A165&amp;"*",'All Papers'!$G:$G,"*"&amp;Table1[[#Headers],[Selection]]&amp;"*")</f>
        <v>0</v>
      </c>
      <c r="F165" s="8">
        <f>COUNTIFS('All Papers'!$D:$D,"*"&amp;$A165&amp;"*",'All Papers'!$G:$G,"*"&amp;Table1[[#Headers],[Recommendation]]&amp;"*")</f>
        <v>0</v>
      </c>
      <c r="G165" s="8">
        <f>COUNTIFS('All Papers'!$D:$D,"*"&amp;$A165&amp;"*",'All Papers'!$G:$G,"*"&amp;Table1[[#Headers],[Resource Management-CS]]&amp;"*")</f>
        <v>2</v>
      </c>
      <c r="H165" s="8">
        <f>COUNTIFS('All Papers'!$D:$D,"*"&amp;$A165&amp;"*",'All Papers'!$G:$G,"*"&amp;Table1[[#Headers],[Resource Management-PS]]&amp;"*")</f>
        <v>0</v>
      </c>
      <c r="I165" s="8">
        <f>COUNTIFS('All Papers'!$D:$D,"*"&amp;$A165&amp;"*",'All Papers'!$G:$G,"*"&amp;Table1[[#Headers],[SLA Management]]&amp;"*")</f>
        <v>0</v>
      </c>
      <c r="J165" s="8">
        <f>COUNTIFS('All Papers'!$D:$D,"*"&amp;$A165&amp;"*",'All Papers'!$G:$G,"*"&amp;Table1[[#Headers],[Big Data]]&amp;"*")</f>
        <v>0</v>
      </c>
      <c r="K165" s="8">
        <f>COUNTIFS('All Papers'!$D:$D,"*"&amp;$A165&amp;"*",'All Papers'!$G:$G,"*"&amp;Table1[[#Headers],[Energy Management]]&amp;"*")</f>
        <v>0</v>
      </c>
      <c r="L165" s="8">
        <f>COUNTIFS('All Papers'!$D:$D,"*"&amp;$A165&amp;"*",'All Papers'!$G:$G,"*"&amp;Table1[[#Headers],[Monitoring]]&amp;"*")</f>
        <v>0</v>
      </c>
      <c r="M165" s="8">
        <f>COUNTIFS('All Papers'!$D:$D,"*"&amp;$A165&amp;"*",'All Papers'!$G:$G,"*"&amp;Table1[[#Headers],[Pricing]]&amp;"*")</f>
        <v>0</v>
      </c>
    </row>
    <row r="166" spans="1:13" x14ac:dyDescent="0.25">
      <c r="A166" s="8" t="s">
        <v>2599</v>
      </c>
      <c r="B166" s="8">
        <f>COUNTIF('All Papers'!D:D,"*"&amp;Table1[[#This Row],[Name]]&amp;"*")</f>
        <v>2</v>
      </c>
      <c r="C166" s="8">
        <f>COUNTIFS('All Papers'!$D:$D,"*"&amp;$A166&amp;"*",'All Papers'!$G:$G,"*"&amp;Table1[[#Headers],[Composition]]&amp;"*")</f>
        <v>0</v>
      </c>
      <c r="D166" s="8">
        <f>COUNTIFS('All Papers'!$D:$D,"*"&amp;$A166&amp;"*",'All Papers'!$G:$G,"*"&amp;Table1[[#Headers],[Discovery]]&amp;"*")</f>
        <v>0</v>
      </c>
      <c r="E166" s="8">
        <f>COUNTIFS('All Papers'!$D:$D,"*"&amp;$A166&amp;"*",'All Papers'!$G:$G,"*"&amp;Table1[[#Headers],[Selection]]&amp;"*")</f>
        <v>0</v>
      </c>
      <c r="F166" s="8">
        <f>COUNTIFS('All Papers'!$D:$D,"*"&amp;$A166&amp;"*",'All Papers'!$G:$G,"*"&amp;Table1[[#Headers],[Recommendation]]&amp;"*")</f>
        <v>0</v>
      </c>
      <c r="G166" s="8">
        <f>COUNTIFS('All Papers'!$D:$D,"*"&amp;$A166&amp;"*",'All Papers'!$G:$G,"*"&amp;Table1[[#Headers],[Resource Management-CS]]&amp;"*")</f>
        <v>2</v>
      </c>
      <c r="H166" s="8">
        <f>COUNTIFS('All Papers'!$D:$D,"*"&amp;$A166&amp;"*",'All Papers'!$G:$G,"*"&amp;Table1[[#Headers],[Resource Management-PS]]&amp;"*")</f>
        <v>0</v>
      </c>
      <c r="I166" s="8">
        <f>COUNTIFS('All Papers'!$D:$D,"*"&amp;$A166&amp;"*",'All Papers'!$G:$G,"*"&amp;Table1[[#Headers],[SLA Management]]&amp;"*")</f>
        <v>0</v>
      </c>
      <c r="J166" s="8">
        <f>COUNTIFS('All Papers'!$D:$D,"*"&amp;$A166&amp;"*",'All Papers'!$G:$G,"*"&amp;Table1[[#Headers],[Big Data]]&amp;"*")</f>
        <v>0</v>
      </c>
      <c r="K166" s="8">
        <f>COUNTIFS('All Papers'!$D:$D,"*"&amp;$A166&amp;"*",'All Papers'!$G:$G,"*"&amp;Table1[[#Headers],[Energy Management]]&amp;"*")</f>
        <v>0</v>
      </c>
      <c r="L166" s="8">
        <f>COUNTIFS('All Papers'!$D:$D,"*"&amp;$A166&amp;"*",'All Papers'!$G:$G,"*"&amp;Table1[[#Headers],[Monitoring]]&amp;"*")</f>
        <v>0</v>
      </c>
      <c r="M166" s="8">
        <f>COUNTIFS('All Papers'!$D:$D,"*"&amp;$A166&amp;"*",'All Papers'!$G:$G,"*"&amp;Table1[[#Headers],[Pricing]]&amp;"*")</f>
        <v>0</v>
      </c>
    </row>
    <row r="167" spans="1:13" x14ac:dyDescent="0.25">
      <c r="A167" s="8" t="s">
        <v>2600</v>
      </c>
      <c r="B167" s="8">
        <f>COUNTIF('All Papers'!D:D,"*"&amp;Table1[[#This Row],[Name]]&amp;"*")</f>
        <v>2</v>
      </c>
      <c r="C167" s="8">
        <f>COUNTIFS('All Papers'!$D:$D,"*"&amp;$A167&amp;"*",'All Papers'!$G:$G,"*"&amp;Table1[[#Headers],[Composition]]&amp;"*")</f>
        <v>0</v>
      </c>
      <c r="D167" s="8">
        <f>COUNTIFS('All Papers'!$D:$D,"*"&amp;$A167&amp;"*",'All Papers'!$G:$G,"*"&amp;Table1[[#Headers],[Discovery]]&amp;"*")</f>
        <v>0</v>
      </c>
      <c r="E167" s="8">
        <f>COUNTIFS('All Papers'!$D:$D,"*"&amp;$A167&amp;"*",'All Papers'!$G:$G,"*"&amp;Table1[[#Headers],[Selection]]&amp;"*")</f>
        <v>0</v>
      </c>
      <c r="F167" s="8">
        <f>COUNTIFS('All Papers'!$D:$D,"*"&amp;$A167&amp;"*",'All Papers'!$G:$G,"*"&amp;Table1[[#Headers],[Recommendation]]&amp;"*")</f>
        <v>0</v>
      </c>
      <c r="G167" s="8">
        <f>COUNTIFS('All Papers'!$D:$D,"*"&amp;$A167&amp;"*",'All Papers'!$G:$G,"*"&amp;Table1[[#Headers],[Resource Management-CS]]&amp;"*")</f>
        <v>2</v>
      </c>
      <c r="H167" s="8">
        <f>COUNTIFS('All Papers'!$D:$D,"*"&amp;$A167&amp;"*",'All Papers'!$G:$G,"*"&amp;Table1[[#Headers],[Resource Management-PS]]&amp;"*")</f>
        <v>0</v>
      </c>
      <c r="I167" s="8">
        <f>COUNTIFS('All Papers'!$D:$D,"*"&amp;$A167&amp;"*",'All Papers'!$G:$G,"*"&amp;Table1[[#Headers],[SLA Management]]&amp;"*")</f>
        <v>0</v>
      </c>
      <c r="J167" s="8">
        <f>COUNTIFS('All Papers'!$D:$D,"*"&amp;$A167&amp;"*",'All Papers'!$G:$G,"*"&amp;Table1[[#Headers],[Big Data]]&amp;"*")</f>
        <v>0</v>
      </c>
      <c r="K167" s="8">
        <f>COUNTIFS('All Papers'!$D:$D,"*"&amp;$A167&amp;"*",'All Papers'!$G:$G,"*"&amp;Table1[[#Headers],[Energy Management]]&amp;"*")</f>
        <v>0</v>
      </c>
      <c r="L167" s="8">
        <f>COUNTIFS('All Papers'!$D:$D,"*"&amp;$A167&amp;"*",'All Papers'!$G:$G,"*"&amp;Table1[[#Headers],[Monitoring]]&amp;"*")</f>
        <v>0</v>
      </c>
      <c r="M167" s="8">
        <f>COUNTIFS('All Papers'!$D:$D,"*"&amp;$A167&amp;"*",'All Papers'!$G:$G,"*"&amp;Table1[[#Headers],[Pricing]]&amp;"*")</f>
        <v>1</v>
      </c>
    </row>
    <row r="168" spans="1:13" x14ac:dyDescent="0.25">
      <c r="A168" s="8" t="s">
        <v>2601</v>
      </c>
      <c r="B168" s="8">
        <f>COUNTIF('All Papers'!D:D,"*"&amp;Table1[[#This Row],[Name]]&amp;"*")</f>
        <v>2</v>
      </c>
      <c r="C168" s="8">
        <f>COUNTIFS('All Papers'!$D:$D,"*"&amp;$A168&amp;"*",'All Papers'!$G:$G,"*"&amp;Table1[[#Headers],[Composition]]&amp;"*")</f>
        <v>1</v>
      </c>
      <c r="D168" s="8">
        <f>COUNTIFS('All Papers'!$D:$D,"*"&amp;$A168&amp;"*",'All Papers'!$G:$G,"*"&amp;Table1[[#Headers],[Discovery]]&amp;"*")</f>
        <v>1</v>
      </c>
      <c r="E168" s="8">
        <f>COUNTIFS('All Papers'!$D:$D,"*"&amp;$A168&amp;"*",'All Papers'!$G:$G,"*"&amp;Table1[[#Headers],[Selection]]&amp;"*")</f>
        <v>1</v>
      </c>
      <c r="F168" s="8">
        <f>COUNTIFS('All Papers'!$D:$D,"*"&amp;$A168&amp;"*",'All Papers'!$G:$G,"*"&amp;Table1[[#Headers],[Recommendation]]&amp;"*")</f>
        <v>0</v>
      </c>
      <c r="G168" s="8">
        <f>COUNTIFS('All Papers'!$D:$D,"*"&amp;$A168&amp;"*",'All Papers'!$G:$G,"*"&amp;Table1[[#Headers],[Resource Management-CS]]&amp;"*")</f>
        <v>0</v>
      </c>
      <c r="H168" s="8">
        <f>COUNTIFS('All Papers'!$D:$D,"*"&amp;$A168&amp;"*",'All Papers'!$G:$G,"*"&amp;Table1[[#Headers],[Resource Management-PS]]&amp;"*")</f>
        <v>0</v>
      </c>
      <c r="I168" s="8">
        <f>COUNTIFS('All Papers'!$D:$D,"*"&amp;$A168&amp;"*",'All Papers'!$G:$G,"*"&amp;Table1[[#Headers],[SLA Management]]&amp;"*")</f>
        <v>0</v>
      </c>
      <c r="J168" s="8">
        <f>COUNTIFS('All Papers'!$D:$D,"*"&amp;$A168&amp;"*",'All Papers'!$G:$G,"*"&amp;Table1[[#Headers],[Big Data]]&amp;"*")</f>
        <v>0</v>
      </c>
      <c r="K168" s="8">
        <f>COUNTIFS('All Papers'!$D:$D,"*"&amp;$A168&amp;"*",'All Papers'!$G:$G,"*"&amp;Table1[[#Headers],[Energy Management]]&amp;"*")</f>
        <v>0</v>
      </c>
      <c r="L168" s="8">
        <f>COUNTIFS('All Papers'!$D:$D,"*"&amp;$A168&amp;"*",'All Papers'!$G:$G,"*"&amp;Table1[[#Headers],[Monitoring]]&amp;"*")</f>
        <v>0</v>
      </c>
      <c r="M168" s="8">
        <f>COUNTIFS('All Papers'!$D:$D,"*"&amp;$A168&amp;"*",'All Papers'!$G:$G,"*"&amp;Table1[[#Headers],[Pricing]]&amp;"*")</f>
        <v>0</v>
      </c>
    </row>
    <row r="169" spans="1:13" x14ac:dyDescent="0.25">
      <c r="A169" s="8" t="s">
        <v>2602</v>
      </c>
      <c r="B169" s="8">
        <f>COUNTIF('All Papers'!D:D,"*"&amp;Table1[[#This Row],[Name]]&amp;"*")</f>
        <v>2</v>
      </c>
      <c r="C169" s="8">
        <f>COUNTIFS('All Papers'!$D:$D,"*"&amp;$A169&amp;"*",'All Papers'!$G:$G,"*"&amp;Table1[[#Headers],[Composition]]&amp;"*")</f>
        <v>1</v>
      </c>
      <c r="D169" s="8">
        <f>COUNTIFS('All Papers'!$D:$D,"*"&amp;$A169&amp;"*",'All Papers'!$G:$G,"*"&amp;Table1[[#Headers],[Discovery]]&amp;"*")</f>
        <v>1</v>
      </c>
      <c r="E169" s="8">
        <f>COUNTIFS('All Papers'!$D:$D,"*"&amp;$A169&amp;"*",'All Papers'!$G:$G,"*"&amp;Table1[[#Headers],[Selection]]&amp;"*")</f>
        <v>1</v>
      </c>
      <c r="F169" s="8">
        <f>COUNTIFS('All Papers'!$D:$D,"*"&amp;$A169&amp;"*",'All Papers'!$G:$G,"*"&amp;Table1[[#Headers],[Recommendation]]&amp;"*")</f>
        <v>0</v>
      </c>
      <c r="G169" s="8">
        <f>COUNTIFS('All Papers'!$D:$D,"*"&amp;$A169&amp;"*",'All Papers'!$G:$G,"*"&amp;Table1[[#Headers],[Resource Management-CS]]&amp;"*")</f>
        <v>0</v>
      </c>
      <c r="H169" s="8">
        <f>COUNTIFS('All Papers'!$D:$D,"*"&amp;$A169&amp;"*",'All Papers'!$G:$G,"*"&amp;Table1[[#Headers],[Resource Management-PS]]&amp;"*")</f>
        <v>0</v>
      </c>
      <c r="I169" s="8">
        <f>COUNTIFS('All Papers'!$D:$D,"*"&amp;$A169&amp;"*",'All Papers'!$G:$G,"*"&amp;Table1[[#Headers],[SLA Management]]&amp;"*")</f>
        <v>0</v>
      </c>
      <c r="J169" s="8">
        <f>COUNTIFS('All Papers'!$D:$D,"*"&amp;$A169&amp;"*",'All Papers'!$G:$G,"*"&amp;Table1[[#Headers],[Big Data]]&amp;"*")</f>
        <v>0</v>
      </c>
      <c r="K169" s="8">
        <f>COUNTIFS('All Papers'!$D:$D,"*"&amp;$A169&amp;"*",'All Papers'!$G:$G,"*"&amp;Table1[[#Headers],[Energy Management]]&amp;"*")</f>
        <v>0</v>
      </c>
      <c r="L169" s="8">
        <f>COUNTIFS('All Papers'!$D:$D,"*"&amp;$A169&amp;"*",'All Papers'!$G:$G,"*"&amp;Table1[[#Headers],[Monitoring]]&amp;"*")</f>
        <v>0</v>
      </c>
      <c r="M169" s="8">
        <f>COUNTIFS('All Papers'!$D:$D,"*"&amp;$A169&amp;"*",'All Papers'!$G:$G,"*"&amp;Table1[[#Headers],[Pricing]]&amp;"*")</f>
        <v>0</v>
      </c>
    </row>
    <row r="170" spans="1:13" x14ac:dyDescent="0.25">
      <c r="A170" s="8" t="s">
        <v>2603</v>
      </c>
      <c r="B170" s="8">
        <f>COUNTIF('All Papers'!D:D,"*"&amp;Table1[[#This Row],[Name]]&amp;"*")</f>
        <v>2</v>
      </c>
      <c r="C170" s="8">
        <f>COUNTIFS('All Papers'!$D:$D,"*"&amp;$A170&amp;"*",'All Papers'!$G:$G,"*"&amp;Table1[[#Headers],[Composition]]&amp;"*")</f>
        <v>1</v>
      </c>
      <c r="D170" s="8">
        <f>COUNTIFS('All Papers'!$D:$D,"*"&amp;$A170&amp;"*",'All Papers'!$G:$G,"*"&amp;Table1[[#Headers],[Discovery]]&amp;"*")</f>
        <v>1</v>
      </c>
      <c r="E170" s="8">
        <f>COUNTIFS('All Papers'!$D:$D,"*"&amp;$A170&amp;"*",'All Papers'!$G:$G,"*"&amp;Table1[[#Headers],[Selection]]&amp;"*")</f>
        <v>1</v>
      </c>
      <c r="F170" s="8">
        <f>COUNTIFS('All Papers'!$D:$D,"*"&amp;$A170&amp;"*",'All Papers'!$G:$G,"*"&amp;Table1[[#Headers],[Recommendation]]&amp;"*")</f>
        <v>0</v>
      </c>
      <c r="G170" s="8">
        <f>COUNTIFS('All Papers'!$D:$D,"*"&amp;$A170&amp;"*",'All Papers'!$G:$G,"*"&amp;Table1[[#Headers],[Resource Management-CS]]&amp;"*")</f>
        <v>0</v>
      </c>
      <c r="H170" s="8">
        <f>COUNTIFS('All Papers'!$D:$D,"*"&amp;$A170&amp;"*",'All Papers'!$G:$G,"*"&amp;Table1[[#Headers],[Resource Management-PS]]&amp;"*")</f>
        <v>0</v>
      </c>
      <c r="I170" s="8">
        <f>COUNTIFS('All Papers'!$D:$D,"*"&amp;$A170&amp;"*",'All Papers'!$G:$G,"*"&amp;Table1[[#Headers],[SLA Management]]&amp;"*")</f>
        <v>0</v>
      </c>
      <c r="J170" s="8">
        <f>COUNTIFS('All Papers'!$D:$D,"*"&amp;$A170&amp;"*",'All Papers'!$G:$G,"*"&amp;Table1[[#Headers],[Big Data]]&amp;"*")</f>
        <v>0</v>
      </c>
      <c r="K170" s="8">
        <f>COUNTIFS('All Papers'!$D:$D,"*"&amp;$A170&amp;"*",'All Papers'!$G:$G,"*"&amp;Table1[[#Headers],[Energy Management]]&amp;"*")</f>
        <v>0</v>
      </c>
      <c r="L170" s="8">
        <f>COUNTIFS('All Papers'!$D:$D,"*"&amp;$A170&amp;"*",'All Papers'!$G:$G,"*"&amp;Table1[[#Headers],[Monitoring]]&amp;"*")</f>
        <v>0</v>
      </c>
      <c r="M170" s="8">
        <f>COUNTIFS('All Papers'!$D:$D,"*"&amp;$A170&amp;"*",'All Papers'!$G:$G,"*"&amp;Table1[[#Headers],[Pricing]]&amp;"*")</f>
        <v>0</v>
      </c>
    </row>
    <row r="171" spans="1:13" x14ac:dyDescent="0.25">
      <c r="A171" s="8" t="s">
        <v>2604</v>
      </c>
      <c r="B171" s="8">
        <f>COUNTIF('All Papers'!D:D,"*"&amp;Table1[[#This Row],[Name]]&amp;"*")</f>
        <v>2</v>
      </c>
      <c r="C171" s="8">
        <f>COUNTIFS('All Papers'!$D:$D,"*"&amp;$A171&amp;"*",'All Papers'!$G:$G,"*"&amp;Table1[[#Headers],[Composition]]&amp;"*")</f>
        <v>1</v>
      </c>
      <c r="D171" s="8">
        <f>COUNTIFS('All Papers'!$D:$D,"*"&amp;$A171&amp;"*",'All Papers'!$G:$G,"*"&amp;Table1[[#Headers],[Discovery]]&amp;"*")</f>
        <v>1</v>
      </c>
      <c r="E171" s="8">
        <f>COUNTIFS('All Papers'!$D:$D,"*"&amp;$A171&amp;"*",'All Papers'!$G:$G,"*"&amp;Table1[[#Headers],[Selection]]&amp;"*")</f>
        <v>1</v>
      </c>
      <c r="F171" s="8">
        <f>COUNTIFS('All Papers'!$D:$D,"*"&amp;$A171&amp;"*",'All Papers'!$G:$G,"*"&amp;Table1[[#Headers],[Recommendation]]&amp;"*")</f>
        <v>0</v>
      </c>
      <c r="G171" s="8">
        <f>COUNTIFS('All Papers'!$D:$D,"*"&amp;$A171&amp;"*",'All Papers'!$G:$G,"*"&amp;Table1[[#Headers],[Resource Management-CS]]&amp;"*")</f>
        <v>0</v>
      </c>
      <c r="H171" s="8">
        <f>COUNTIFS('All Papers'!$D:$D,"*"&amp;$A171&amp;"*",'All Papers'!$G:$G,"*"&amp;Table1[[#Headers],[Resource Management-PS]]&amp;"*")</f>
        <v>0</v>
      </c>
      <c r="I171" s="8">
        <f>COUNTIFS('All Papers'!$D:$D,"*"&amp;$A171&amp;"*",'All Papers'!$G:$G,"*"&amp;Table1[[#Headers],[SLA Management]]&amp;"*")</f>
        <v>0</v>
      </c>
      <c r="J171" s="8">
        <f>COUNTIFS('All Papers'!$D:$D,"*"&amp;$A171&amp;"*",'All Papers'!$G:$G,"*"&amp;Table1[[#Headers],[Big Data]]&amp;"*")</f>
        <v>0</v>
      </c>
      <c r="K171" s="8">
        <f>COUNTIFS('All Papers'!$D:$D,"*"&amp;$A171&amp;"*",'All Papers'!$G:$G,"*"&amp;Table1[[#Headers],[Energy Management]]&amp;"*")</f>
        <v>0</v>
      </c>
      <c r="L171" s="8">
        <f>COUNTIFS('All Papers'!$D:$D,"*"&amp;$A171&amp;"*",'All Papers'!$G:$G,"*"&amp;Table1[[#Headers],[Monitoring]]&amp;"*")</f>
        <v>0</v>
      </c>
      <c r="M171" s="8">
        <f>COUNTIFS('All Papers'!$D:$D,"*"&amp;$A171&amp;"*",'All Papers'!$G:$G,"*"&amp;Table1[[#Headers],[Pricing]]&amp;"*")</f>
        <v>0</v>
      </c>
    </row>
    <row r="172" spans="1:13" x14ac:dyDescent="0.25">
      <c r="A172" s="8" t="s">
        <v>2605</v>
      </c>
      <c r="B172" s="8">
        <f>COUNTIF('All Papers'!D:D,"*"&amp;Table1[[#This Row],[Name]]&amp;"*")</f>
        <v>2</v>
      </c>
      <c r="C172" s="8">
        <f>COUNTIFS('All Papers'!$D:$D,"*"&amp;$A172&amp;"*",'All Papers'!$G:$G,"*"&amp;Table1[[#Headers],[Composition]]&amp;"*")</f>
        <v>0</v>
      </c>
      <c r="D172" s="8">
        <f>COUNTIFS('All Papers'!$D:$D,"*"&amp;$A172&amp;"*",'All Papers'!$G:$G,"*"&amp;Table1[[#Headers],[Discovery]]&amp;"*")</f>
        <v>0</v>
      </c>
      <c r="E172" s="8">
        <f>COUNTIFS('All Papers'!$D:$D,"*"&amp;$A172&amp;"*",'All Papers'!$G:$G,"*"&amp;Table1[[#Headers],[Selection]]&amp;"*")</f>
        <v>0</v>
      </c>
      <c r="F172" s="8">
        <f>COUNTIFS('All Papers'!$D:$D,"*"&amp;$A172&amp;"*",'All Papers'!$G:$G,"*"&amp;Table1[[#Headers],[Recommendation]]&amp;"*")</f>
        <v>0</v>
      </c>
      <c r="G172" s="8">
        <f>COUNTIFS('All Papers'!$D:$D,"*"&amp;$A172&amp;"*",'All Papers'!$G:$G,"*"&amp;Table1[[#Headers],[Resource Management-CS]]&amp;"*")</f>
        <v>1</v>
      </c>
      <c r="H172" s="8">
        <f>COUNTIFS('All Papers'!$D:$D,"*"&amp;$A172&amp;"*",'All Papers'!$G:$G,"*"&amp;Table1[[#Headers],[Resource Management-PS]]&amp;"*")</f>
        <v>1</v>
      </c>
      <c r="I172" s="8">
        <f>COUNTIFS('All Papers'!$D:$D,"*"&amp;$A172&amp;"*",'All Papers'!$G:$G,"*"&amp;Table1[[#Headers],[SLA Management]]&amp;"*")</f>
        <v>0</v>
      </c>
      <c r="J172" s="8">
        <f>COUNTIFS('All Papers'!$D:$D,"*"&amp;$A172&amp;"*",'All Papers'!$G:$G,"*"&amp;Table1[[#Headers],[Big Data]]&amp;"*")</f>
        <v>0</v>
      </c>
      <c r="K172" s="8">
        <f>COUNTIFS('All Papers'!$D:$D,"*"&amp;$A172&amp;"*",'All Papers'!$G:$G,"*"&amp;Table1[[#Headers],[Energy Management]]&amp;"*")</f>
        <v>0</v>
      </c>
      <c r="L172" s="8">
        <f>COUNTIFS('All Papers'!$D:$D,"*"&amp;$A172&amp;"*",'All Papers'!$G:$G,"*"&amp;Table1[[#Headers],[Monitoring]]&amp;"*")</f>
        <v>0</v>
      </c>
      <c r="M172" s="8">
        <f>COUNTIFS('All Papers'!$D:$D,"*"&amp;$A172&amp;"*",'All Papers'!$G:$G,"*"&amp;Table1[[#Headers],[Pricing]]&amp;"*")</f>
        <v>0</v>
      </c>
    </row>
    <row r="173" spans="1:13" x14ac:dyDescent="0.25">
      <c r="A173" s="8" t="s">
        <v>2606</v>
      </c>
      <c r="B173" s="8">
        <f>COUNTIF('All Papers'!D:D,"*"&amp;Table1[[#This Row],[Name]]&amp;"*")</f>
        <v>2</v>
      </c>
      <c r="C173" s="8">
        <f>COUNTIFS('All Papers'!$D:$D,"*"&amp;$A173&amp;"*",'All Papers'!$G:$G,"*"&amp;Table1[[#Headers],[Composition]]&amp;"*")</f>
        <v>0</v>
      </c>
      <c r="D173" s="8">
        <f>COUNTIFS('All Papers'!$D:$D,"*"&amp;$A173&amp;"*",'All Papers'!$G:$G,"*"&amp;Table1[[#Headers],[Discovery]]&amp;"*")</f>
        <v>0</v>
      </c>
      <c r="E173" s="8">
        <f>COUNTIFS('All Papers'!$D:$D,"*"&amp;$A173&amp;"*",'All Papers'!$G:$G,"*"&amp;Table1[[#Headers],[Selection]]&amp;"*")</f>
        <v>0</v>
      </c>
      <c r="F173" s="8">
        <f>COUNTIFS('All Papers'!$D:$D,"*"&amp;$A173&amp;"*",'All Papers'!$G:$G,"*"&amp;Table1[[#Headers],[Recommendation]]&amp;"*")</f>
        <v>0</v>
      </c>
      <c r="G173" s="8">
        <f>COUNTIFS('All Papers'!$D:$D,"*"&amp;$A173&amp;"*",'All Papers'!$G:$G,"*"&amp;Table1[[#Headers],[Resource Management-CS]]&amp;"*")</f>
        <v>2</v>
      </c>
      <c r="H173" s="8">
        <f>COUNTIFS('All Papers'!$D:$D,"*"&amp;$A173&amp;"*",'All Papers'!$G:$G,"*"&amp;Table1[[#Headers],[Resource Management-PS]]&amp;"*")</f>
        <v>0</v>
      </c>
      <c r="I173" s="8">
        <f>COUNTIFS('All Papers'!$D:$D,"*"&amp;$A173&amp;"*",'All Papers'!$G:$G,"*"&amp;Table1[[#Headers],[SLA Management]]&amp;"*")</f>
        <v>0</v>
      </c>
      <c r="J173" s="8">
        <f>COUNTIFS('All Papers'!$D:$D,"*"&amp;$A173&amp;"*",'All Papers'!$G:$G,"*"&amp;Table1[[#Headers],[Big Data]]&amp;"*")</f>
        <v>0</v>
      </c>
      <c r="K173" s="8">
        <f>COUNTIFS('All Papers'!$D:$D,"*"&amp;$A173&amp;"*",'All Papers'!$G:$G,"*"&amp;Table1[[#Headers],[Energy Management]]&amp;"*")</f>
        <v>0</v>
      </c>
      <c r="L173" s="8">
        <f>COUNTIFS('All Papers'!$D:$D,"*"&amp;$A173&amp;"*",'All Papers'!$G:$G,"*"&amp;Table1[[#Headers],[Monitoring]]&amp;"*")</f>
        <v>0</v>
      </c>
      <c r="M173" s="8">
        <f>COUNTIFS('All Papers'!$D:$D,"*"&amp;$A173&amp;"*",'All Papers'!$G:$G,"*"&amp;Table1[[#Headers],[Pricing]]&amp;"*")</f>
        <v>0</v>
      </c>
    </row>
    <row r="174" spans="1:13" x14ac:dyDescent="0.25">
      <c r="A174" s="8" t="s">
        <v>2607</v>
      </c>
      <c r="B174" s="8">
        <f>COUNTIF('All Papers'!D:D,"*"&amp;Table1[[#This Row],[Name]]&amp;"*")</f>
        <v>2</v>
      </c>
      <c r="C174" s="8">
        <f>COUNTIFS('All Papers'!$D:$D,"*"&amp;$A174&amp;"*",'All Papers'!$G:$G,"*"&amp;Table1[[#Headers],[Composition]]&amp;"*")</f>
        <v>0</v>
      </c>
      <c r="D174" s="8">
        <f>COUNTIFS('All Papers'!$D:$D,"*"&amp;$A174&amp;"*",'All Papers'!$G:$G,"*"&amp;Table1[[#Headers],[Discovery]]&amp;"*")</f>
        <v>0</v>
      </c>
      <c r="E174" s="8">
        <f>COUNTIFS('All Papers'!$D:$D,"*"&amp;$A174&amp;"*",'All Papers'!$G:$G,"*"&amp;Table1[[#Headers],[Selection]]&amp;"*")</f>
        <v>0</v>
      </c>
      <c r="F174" s="8">
        <f>COUNTIFS('All Papers'!$D:$D,"*"&amp;$A174&amp;"*",'All Papers'!$G:$G,"*"&amp;Table1[[#Headers],[Recommendation]]&amp;"*")</f>
        <v>0</v>
      </c>
      <c r="G174" s="8">
        <f>COUNTIFS('All Papers'!$D:$D,"*"&amp;$A174&amp;"*",'All Papers'!$G:$G,"*"&amp;Table1[[#Headers],[Resource Management-CS]]&amp;"*")</f>
        <v>2</v>
      </c>
      <c r="H174" s="8">
        <f>COUNTIFS('All Papers'!$D:$D,"*"&amp;$A174&amp;"*",'All Papers'!$G:$G,"*"&amp;Table1[[#Headers],[Resource Management-PS]]&amp;"*")</f>
        <v>0</v>
      </c>
      <c r="I174" s="8">
        <f>COUNTIFS('All Papers'!$D:$D,"*"&amp;$A174&amp;"*",'All Papers'!$G:$G,"*"&amp;Table1[[#Headers],[SLA Management]]&amp;"*")</f>
        <v>0</v>
      </c>
      <c r="J174" s="8">
        <f>COUNTIFS('All Papers'!$D:$D,"*"&amp;$A174&amp;"*",'All Papers'!$G:$G,"*"&amp;Table1[[#Headers],[Big Data]]&amp;"*")</f>
        <v>0</v>
      </c>
      <c r="K174" s="8">
        <f>COUNTIFS('All Papers'!$D:$D,"*"&amp;$A174&amp;"*",'All Papers'!$G:$G,"*"&amp;Table1[[#Headers],[Energy Management]]&amp;"*")</f>
        <v>0</v>
      </c>
      <c r="L174" s="8">
        <f>COUNTIFS('All Papers'!$D:$D,"*"&amp;$A174&amp;"*",'All Papers'!$G:$G,"*"&amp;Table1[[#Headers],[Monitoring]]&amp;"*")</f>
        <v>0</v>
      </c>
      <c r="M174" s="8">
        <f>COUNTIFS('All Papers'!$D:$D,"*"&amp;$A174&amp;"*",'All Papers'!$G:$G,"*"&amp;Table1[[#Headers],[Pricing]]&amp;"*")</f>
        <v>0</v>
      </c>
    </row>
    <row r="175" spans="1:13" x14ac:dyDescent="0.25">
      <c r="A175" s="8" t="s">
        <v>2608</v>
      </c>
      <c r="B175" s="8">
        <f>COUNTIF('All Papers'!D:D,"*"&amp;Table1[[#This Row],[Name]]&amp;"*")</f>
        <v>2</v>
      </c>
      <c r="C175" s="8">
        <f>COUNTIFS('All Papers'!$D:$D,"*"&amp;$A175&amp;"*",'All Papers'!$G:$G,"*"&amp;Table1[[#Headers],[Composition]]&amp;"*")</f>
        <v>0</v>
      </c>
      <c r="D175" s="8">
        <f>COUNTIFS('All Papers'!$D:$D,"*"&amp;$A175&amp;"*",'All Papers'!$G:$G,"*"&amp;Table1[[#Headers],[Discovery]]&amp;"*")</f>
        <v>0</v>
      </c>
      <c r="E175" s="8">
        <f>COUNTIFS('All Papers'!$D:$D,"*"&amp;$A175&amp;"*",'All Papers'!$G:$G,"*"&amp;Table1[[#Headers],[Selection]]&amp;"*")</f>
        <v>0</v>
      </c>
      <c r="F175" s="8">
        <f>COUNTIFS('All Papers'!$D:$D,"*"&amp;$A175&amp;"*",'All Papers'!$G:$G,"*"&amp;Table1[[#Headers],[Recommendation]]&amp;"*")</f>
        <v>0</v>
      </c>
      <c r="G175" s="8">
        <f>COUNTIFS('All Papers'!$D:$D,"*"&amp;$A175&amp;"*",'All Papers'!$G:$G,"*"&amp;Table1[[#Headers],[Resource Management-CS]]&amp;"*")</f>
        <v>1</v>
      </c>
      <c r="H175" s="8">
        <f>COUNTIFS('All Papers'!$D:$D,"*"&amp;$A175&amp;"*",'All Papers'!$G:$G,"*"&amp;Table1[[#Headers],[Resource Management-PS]]&amp;"*")</f>
        <v>1</v>
      </c>
      <c r="I175" s="8">
        <f>COUNTIFS('All Papers'!$D:$D,"*"&amp;$A175&amp;"*",'All Papers'!$G:$G,"*"&amp;Table1[[#Headers],[SLA Management]]&amp;"*")</f>
        <v>0</v>
      </c>
      <c r="J175" s="8">
        <f>COUNTIFS('All Papers'!$D:$D,"*"&amp;$A175&amp;"*",'All Papers'!$G:$G,"*"&amp;Table1[[#Headers],[Big Data]]&amp;"*")</f>
        <v>0</v>
      </c>
      <c r="K175" s="8">
        <f>COUNTIFS('All Papers'!$D:$D,"*"&amp;$A175&amp;"*",'All Papers'!$G:$G,"*"&amp;Table1[[#Headers],[Energy Management]]&amp;"*")</f>
        <v>0</v>
      </c>
      <c r="L175" s="8">
        <f>COUNTIFS('All Papers'!$D:$D,"*"&amp;$A175&amp;"*",'All Papers'!$G:$G,"*"&amp;Table1[[#Headers],[Monitoring]]&amp;"*")</f>
        <v>0</v>
      </c>
      <c r="M175" s="8">
        <f>COUNTIFS('All Papers'!$D:$D,"*"&amp;$A175&amp;"*",'All Papers'!$G:$G,"*"&amp;Table1[[#Headers],[Pricing]]&amp;"*")</f>
        <v>1</v>
      </c>
    </row>
    <row r="176" spans="1:13" x14ac:dyDescent="0.25">
      <c r="A176" s="8" t="s">
        <v>2609</v>
      </c>
      <c r="B176" s="8">
        <f>COUNTIF('All Papers'!D:D,"*"&amp;Table1[[#This Row],[Name]]&amp;"*")</f>
        <v>2</v>
      </c>
      <c r="C176" s="8">
        <f>COUNTIFS('All Papers'!$D:$D,"*"&amp;$A176&amp;"*",'All Papers'!$G:$G,"*"&amp;Table1[[#Headers],[Composition]]&amp;"*")</f>
        <v>0</v>
      </c>
      <c r="D176" s="8">
        <f>COUNTIFS('All Papers'!$D:$D,"*"&amp;$A176&amp;"*",'All Papers'!$G:$G,"*"&amp;Table1[[#Headers],[Discovery]]&amp;"*")</f>
        <v>0</v>
      </c>
      <c r="E176" s="8">
        <f>COUNTIFS('All Papers'!$D:$D,"*"&amp;$A176&amp;"*",'All Papers'!$G:$G,"*"&amp;Table1[[#Headers],[Selection]]&amp;"*")</f>
        <v>0</v>
      </c>
      <c r="F176" s="8">
        <f>COUNTIFS('All Papers'!$D:$D,"*"&amp;$A176&amp;"*",'All Papers'!$G:$G,"*"&amp;Table1[[#Headers],[Recommendation]]&amp;"*")</f>
        <v>0</v>
      </c>
      <c r="G176" s="8">
        <f>COUNTIFS('All Papers'!$D:$D,"*"&amp;$A176&amp;"*",'All Papers'!$G:$G,"*"&amp;Table1[[#Headers],[Resource Management-CS]]&amp;"*")</f>
        <v>2</v>
      </c>
      <c r="H176" s="8">
        <f>COUNTIFS('All Papers'!$D:$D,"*"&amp;$A176&amp;"*",'All Papers'!$G:$G,"*"&amp;Table1[[#Headers],[Resource Management-PS]]&amp;"*")</f>
        <v>0</v>
      </c>
      <c r="I176" s="8">
        <f>COUNTIFS('All Papers'!$D:$D,"*"&amp;$A176&amp;"*",'All Papers'!$G:$G,"*"&amp;Table1[[#Headers],[SLA Management]]&amp;"*")</f>
        <v>0</v>
      </c>
      <c r="J176" s="8">
        <f>COUNTIFS('All Papers'!$D:$D,"*"&amp;$A176&amp;"*",'All Papers'!$G:$G,"*"&amp;Table1[[#Headers],[Big Data]]&amp;"*")</f>
        <v>0</v>
      </c>
      <c r="K176" s="8">
        <f>COUNTIFS('All Papers'!$D:$D,"*"&amp;$A176&amp;"*",'All Papers'!$G:$G,"*"&amp;Table1[[#Headers],[Energy Management]]&amp;"*")</f>
        <v>0</v>
      </c>
      <c r="L176" s="8">
        <f>COUNTIFS('All Papers'!$D:$D,"*"&amp;$A176&amp;"*",'All Papers'!$G:$G,"*"&amp;Table1[[#Headers],[Monitoring]]&amp;"*")</f>
        <v>0</v>
      </c>
      <c r="M176" s="8">
        <f>COUNTIFS('All Papers'!$D:$D,"*"&amp;$A176&amp;"*",'All Papers'!$G:$G,"*"&amp;Table1[[#Headers],[Pricing]]&amp;"*")</f>
        <v>0</v>
      </c>
    </row>
    <row r="177" spans="1:13" x14ac:dyDescent="0.25">
      <c r="A177" s="8" t="s">
        <v>2610</v>
      </c>
      <c r="B177" s="8">
        <f>COUNTIF('All Papers'!D:D,"*"&amp;Table1[[#This Row],[Name]]&amp;"*")</f>
        <v>2</v>
      </c>
      <c r="C177" s="8">
        <f>COUNTIFS('All Papers'!$D:$D,"*"&amp;$A177&amp;"*",'All Papers'!$G:$G,"*"&amp;Table1[[#Headers],[Composition]]&amp;"*")</f>
        <v>0</v>
      </c>
      <c r="D177" s="8">
        <f>COUNTIFS('All Papers'!$D:$D,"*"&amp;$A177&amp;"*",'All Papers'!$G:$G,"*"&amp;Table1[[#Headers],[Discovery]]&amp;"*")</f>
        <v>0</v>
      </c>
      <c r="E177" s="8">
        <f>COUNTIFS('All Papers'!$D:$D,"*"&amp;$A177&amp;"*",'All Papers'!$G:$G,"*"&amp;Table1[[#Headers],[Selection]]&amp;"*")</f>
        <v>0</v>
      </c>
      <c r="F177" s="8">
        <f>COUNTIFS('All Papers'!$D:$D,"*"&amp;$A177&amp;"*",'All Papers'!$G:$G,"*"&amp;Table1[[#Headers],[Recommendation]]&amp;"*")</f>
        <v>0</v>
      </c>
      <c r="G177" s="8">
        <f>COUNTIFS('All Papers'!$D:$D,"*"&amp;$A177&amp;"*",'All Papers'!$G:$G,"*"&amp;Table1[[#Headers],[Resource Management-CS]]&amp;"*")</f>
        <v>2</v>
      </c>
      <c r="H177" s="8">
        <f>COUNTIFS('All Papers'!$D:$D,"*"&amp;$A177&amp;"*",'All Papers'!$G:$G,"*"&amp;Table1[[#Headers],[Resource Management-PS]]&amp;"*")</f>
        <v>0</v>
      </c>
      <c r="I177" s="8">
        <f>COUNTIFS('All Papers'!$D:$D,"*"&amp;$A177&amp;"*",'All Papers'!$G:$G,"*"&amp;Table1[[#Headers],[SLA Management]]&amp;"*")</f>
        <v>0</v>
      </c>
      <c r="J177" s="8">
        <f>COUNTIFS('All Papers'!$D:$D,"*"&amp;$A177&amp;"*",'All Papers'!$G:$G,"*"&amp;Table1[[#Headers],[Big Data]]&amp;"*")</f>
        <v>0</v>
      </c>
      <c r="K177" s="8">
        <f>COUNTIFS('All Papers'!$D:$D,"*"&amp;$A177&amp;"*",'All Papers'!$G:$G,"*"&amp;Table1[[#Headers],[Energy Management]]&amp;"*")</f>
        <v>0</v>
      </c>
      <c r="L177" s="8">
        <f>COUNTIFS('All Papers'!$D:$D,"*"&amp;$A177&amp;"*",'All Papers'!$G:$G,"*"&amp;Table1[[#Headers],[Monitoring]]&amp;"*")</f>
        <v>0</v>
      </c>
      <c r="M177" s="8">
        <f>COUNTIFS('All Papers'!$D:$D,"*"&amp;$A177&amp;"*",'All Papers'!$G:$G,"*"&amp;Table1[[#Headers],[Pricing]]&amp;"*")</f>
        <v>0</v>
      </c>
    </row>
    <row r="178" spans="1:13" x14ac:dyDescent="0.25">
      <c r="A178" s="8" t="s">
        <v>2611</v>
      </c>
      <c r="B178" s="8">
        <f>COUNTIF('All Papers'!D:D,"*"&amp;Table1[[#This Row],[Name]]&amp;"*")</f>
        <v>2</v>
      </c>
      <c r="C178" s="8">
        <f>COUNTIFS('All Papers'!$D:$D,"*"&amp;$A178&amp;"*",'All Papers'!$G:$G,"*"&amp;Table1[[#Headers],[Composition]]&amp;"*")</f>
        <v>0</v>
      </c>
      <c r="D178" s="8">
        <f>COUNTIFS('All Papers'!$D:$D,"*"&amp;$A178&amp;"*",'All Papers'!$G:$G,"*"&amp;Table1[[#Headers],[Discovery]]&amp;"*")</f>
        <v>0</v>
      </c>
      <c r="E178" s="8">
        <f>COUNTIFS('All Papers'!$D:$D,"*"&amp;$A178&amp;"*",'All Papers'!$G:$G,"*"&amp;Table1[[#Headers],[Selection]]&amp;"*")</f>
        <v>0</v>
      </c>
      <c r="F178" s="8">
        <f>COUNTIFS('All Papers'!$D:$D,"*"&amp;$A178&amp;"*",'All Papers'!$G:$G,"*"&amp;Table1[[#Headers],[Recommendation]]&amp;"*")</f>
        <v>0</v>
      </c>
      <c r="G178" s="8">
        <f>COUNTIFS('All Papers'!$D:$D,"*"&amp;$A178&amp;"*",'All Papers'!$G:$G,"*"&amp;Table1[[#Headers],[Resource Management-CS]]&amp;"*")</f>
        <v>2</v>
      </c>
      <c r="H178" s="8">
        <f>COUNTIFS('All Papers'!$D:$D,"*"&amp;$A178&amp;"*",'All Papers'!$G:$G,"*"&amp;Table1[[#Headers],[Resource Management-PS]]&amp;"*")</f>
        <v>0</v>
      </c>
      <c r="I178" s="8">
        <f>COUNTIFS('All Papers'!$D:$D,"*"&amp;$A178&amp;"*",'All Papers'!$G:$G,"*"&amp;Table1[[#Headers],[SLA Management]]&amp;"*")</f>
        <v>0</v>
      </c>
      <c r="J178" s="8">
        <f>COUNTIFS('All Papers'!$D:$D,"*"&amp;$A178&amp;"*",'All Papers'!$G:$G,"*"&amp;Table1[[#Headers],[Big Data]]&amp;"*")</f>
        <v>0</v>
      </c>
      <c r="K178" s="8">
        <f>COUNTIFS('All Papers'!$D:$D,"*"&amp;$A178&amp;"*",'All Papers'!$G:$G,"*"&amp;Table1[[#Headers],[Energy Management]]&amp;"*")</f>
        <v>0</v>
      </c>
      <c r="L178" s="8">
        <f>COUNTIFS('All Papers'!$D:$D,"*"&amp;$A178&amp;"*",'All Papers'!$G:$G,"*"&amp;Table1[[#Headers],[Monitoring]]&amp;"*")</f>
        <v>0</v>
      </c>
      <c r="M178" s="8">
        <f>COUNTIFS('All Papers'!$D:$D,"*"&amp;$A178&amp;"*",'All Papers'!$G:$G,"*"&amp;Table1[[#Headers],[Pricing]]&amp;"*")</f>
        <v>0</v>
      </c>
    </row>
    <row r="179" spans="1:13" x14ac:dyDescent="0.25">
      <c r="A179" s="8" t="s">
        <v>2612</v>
      </c>
      <c r="B179" s="8">
        <f>COUNTIF('All Papers'!D:D,"*"&amp;Table1[[#This Row],[Name]]&amp;"*")</f>
        <v>2</v>
      </c>
      <c r="C179" s="8">
        <f>COUNTIFS('All Papers'!$D:$D,"*"&amp;$A179&amp;"*",'All Papers'!$G:$G,"*"&amp;Table1[[#Headers],[Composition]]&amp;"*")</f>
        <v>0</v>
      </c>
      <c r="D179" s="8">
        <f>COUNTIFS('All Papers'!$D:$D,"*"&amp;$A179&amp;"*",'All Papers'!$G:$G,"*"&amp;Table1[[#Headers],[Discovery]]&amp;"*")</f>
        <v>0</v>
      </c>
      <c r="E179" s="8">
        <f>COUNTIFS('All Papers'!$D:$D,"*"&amp;$A179&amp;"*",'All Papers'!$G:$G,"*"&amp;Table1[[#Headers],[Selection]]&amp;"*")</f>
        <v>0</v>
      </c>
      <c r="F179" s="8">
        <f>COUNTIFS('All Papers'!$D:$D,"*"&amp;$A179&amp;"*",'All Papers'!$G:$G,"*"&amp;Table1[[#Headers],[Recommendation]]&amp;"*")</f>
        <v>0</v>
      </c>
      <c r="G179" s="8">
        <f>COUNTIFS('All Papers'!$D:$D,"*"&amp;$A179&amp;"*",'All Papers'!$G:$G,"*"&amp;Table1[[#Headers],[Resource Management-CS]]&amp;"*")</f>
        <v>2</v>
      </c>
      <c r="H179" s="8">
        <f>COUNTIFS('All Papers'!$D:$D,"*"&amp;$A179&amp;"*",'All Papers'!$G:$G,"*"&amp;Table1[[#Headers],[Resource Management-PS]]&amp;"*")</f>
        <v>0</v>
      </c>
      <c r="I179" s="8">
        <f>COUNTIFS('All Papers'!$D:$D,"*"&amp;$A179&amp;"*",'All Papers'!$G:$G,"*"&amp;Table1[[#Headers],[SLA Management]]&amp;"*")</f>
        <v>0</v>
      </c>
      <c r="J179" s="8">
        <f>COUNTIFS('All Papers'!$D:$D,"*"&amp;$A179&amp;"*",'All Papers'!$G:$G,"*"&amp;Table1[[#Headers],[Big Data]]&amp;"*")</f>
        <v>0</v>
      </c>
      <c r="K179" s="8">
        <f>COUNTIFS('All Papers'!$D:$D,"*"&amp;$A179&amp;"*",'All Papers'!$G:$G,"*"&amp;Table1[[#Headers],[Energy Management]]&amp;"*")</f>
        <v>0</v>
      </c>
      <c r="L179" s="8">
        <f>COUNTIFS('All Papers'!$D:$D,"*"&amp;$A179&amp;"*",'All Papers'!$G:$G,"*"&amp;Table1[[#Headers],[Monitoring]]&amp;"*")</f>
        <v>0</v>
      </c>
      <c r="M179" s="8">
        <f>COUNTIFS('All Papers'!$D:$D,"*"&amp;$A179&amp;"*",'All Papers'!$G:$G,"*"&amp;Table1[[#Headers],[Pricing]]&amp;"*")</f>
        <v>0</v>
      </c>
    </row>
    <row r="180" spans="1:13" x14ac:dyDescent="0.25">
      <c r="A180" s="8" t="s">
        <v>2613</v>
      </c>
      <c r="B180" s="8">
        <f>COUNTIF('All Papers'!D:D,"*"&amp;Table1[[#This Row],[Name]]&amp;"*")</f>
        <v>2</v>
      </c>
      <c r="C180" s="8">
        <f>COUNTIFS('All Papers'!$D:$D,"*"&amp;$A180&amp;"*",'All Papers'!$G:$G,"*"&amp;Table1[[#Headers],[Composition]]&amp;"*")</f>
        <v>1</v>
      </c>
      <c r="D180" s="8">
        <f>COUNTIFS('All Papers'!$D:$D,"*"&amp;$A180&amp;"*",'All Papers'!$G:$G,"*"&amp;Table1[[#Headers],[Discovery]]&amp;"*")</f>
        <v>0</v>
      </c>
      <c r="E180" s="8">
        <f>COUNTIFS('All Papers'!$D:$D,"*"&amp;$A180&amp;"*",'All Papers'!$G:$G,"*"&amp;Table1[[#Headers],[Selection]]&amp;"*")</f>
        <v>0</v>
      </c>
      <c r="F180" s="8">
        <f>COUNTIFS('All Papers'!$D:$D,"*"&amp;$A180&amp;"*",'All Papers'!$G:$G,"*"&amp;Table1[[#Headers],[Recommendation]]&amp;"*")</f>
        <v>0</v>
      </c>
      <c r="G180" s="8">
        <f>COUNTIFS('All Papers'!$D:$D,"*"&amp;$A180&amp;"*",'All Papers'!$G:$G,"*"&amp;Table1[[#Headers],[Resource Management-CS]]&amp;"*")</f>
        <v>1</v>
      </c>
      <c r="H180" s="8">
        <f>COUNTIFS('All Papers'!$D:$D,"*"&amp;$A180&amp;"*",'All Papers'!$G:$G,"*"&amp;Table1[[#Headers],[Resource Management-PS]]&amp;"*")</f>
        <v>0</v>
      </c>
      <c r="I180" s="8">
        <f>COUNTIFS('All Papers'!$D:$D,"*"&amp;$A180&amp;"*",'All Papers'!$G:$G,"*"&amp;Table1[[#Headers],[SLA Management]]&amp;"*")</f>
        <v>0</v>
      </c>
      <c r="J180" s="8">
        <f>COUNTIFS('All Papers'!$D:$D,"*"&amp;$A180&amp;"*",'All Papers'!$G:$G,"*"&amp;Table1[[#Headers],[Big Data]]&amp;"*")</f>
        <v>0</v>
      </c>
      <c r="K180" s="8">
        <f>COUNTIFS('All Papers'!$D:$D,"*"&amp;$A180&amp;"*",'All Papers'!$G:$G,"*"&amp;Table1[[#Headers],[Energy Management]]&amp;"*")</f>
        <v>0</v>
      </c>
      <c r="L180" s="8">
        <f>COUNTIFS('All Papers'!$D:$D,"*"&amp;$A180&amp;"*",'All Papers'!$G:$G,"*"&amp;Table1[[#Headers],[Monitoring]]&amp;"*")</f>
        <v>0</v>
      </c>
      <c r="M180" s="8">
        <f>COUNTIFS('All Papers'!$D:$D,"*"&amp;$A180&amp;"*",'All Papers'!$G:$G,"*"&amp;Table1[[#Headers],[Pricing]]&amp;"*")</f>
        <v>0</v>
      </c>
    </row>
    <row r="181" spans="1:13" x14ac:dyDescent="0.25">
      <c r="A181" s="8" t="s">
        <v>2614</v>
      </c>
      <c r="B181" s="8">
        <f>COUNTIF('All Papers'!D:D,"*"&amp;Table1[[#This Row],[Name]]&amp;"*")</f>
        <v>2</v>
      </c>
      <c r="C181" s="8">
        <f>COUNTIFS('All Papers'!$D:$D,"*"&amp;$A181&amp;"*",'All Papers'!$G:$G,"*"&amp;Table1[[#Headers],[Composition]]&amp;"*")</f>
        <v>1</v>
      </c>
      <c r="D181" s="8">
        <f>COUNTIFS('All Papers'!$D:$D,"*"&amp;$A181&amp;"*",'All Papers'!$G:$G,"*"&amp;Table1[[#Headers],[Discovery]]&amp;"*")</f>
        <v>0</v>
      </c>
      <c r="E181" s="8">
        <f>COUNTIFS('All Papers'!$D:$D,"*"&amp;$A181&amp;"*",'All Papers'!$G:$G,"*"&amp;Table1[[#Headers],[Selection]]&amp;"*")</f>
        <v>0</v>
      </c>
      <c r="F181" s="8">
        <f>COUNTIFS('All Papers'!$D:$D,"*"&amp;$A181&amp;"*",'All Papers'!$G:$G,"*"&amp;Table1[[#Headers],[Recommendation]]&amp;"*")</f>
        <v>0</v>
      </c>
      <c r="G181" s="8">
        <f>COUNTIFS('All Papers'!$D:$D,"*"&amp;$A181&amp;"*",'All Papers'!$G:$G,"*"&amp;Table1[[#Headers],[Resource Management-CS]]&amp;"*")</f>
        <v>1</v>
      </c>
      <c r="H181" s="8">
        <f>COUNTIFS('All Papers'!$D:$D,"*"&amp;$A181&amp;"*",'All Papers'!$G:$G,"*"&amp;Table1[[#Headers],[Resource Management-PS]]&amp;"*")</f>
        <v>0</v>
      </c>
      <c r="I181" s="8">
        <f>COUNTIFS('All Papers'!$D:$D,"*"&amp;$A181&amp;"*",'All Papers'!$G:$G,"*"&amp;Table1[[#Headers],[SLA Management]]&amp;"*")</f>
        <v>0</v>
      </c>
      <c r="J181" s="8">
        <f>COUNTIFS('All Papers'!$D:$D,"*"&amp;$A181&amp;"*",'All Papers'!$G:$G,"*"&amp;Table1[[#Headers],[Big Data]]&amp;"*")</f>
        <v>0</v>
      </c>
      <c r="K181" s="8">
        <f>COUNTIFS('All Papers'!$D:$D,"*"&amp;$A181&amp;"*",'All Papers'!$G:$G,"*"&amp;Table1[[#Headers],[Energy Management]]&amp;"*")</f>
        <v>0</v>
      </c>
      <c r="L181" s="8">
        <f>COUNTIFS('All Papers'!$D:$D,"*"&amp;$A181&amp;"*",'All Papers'!$G:$G,"*"&amp;Table1[[#Headers],[Monitoring]]&amp;"*")</f>
        <v>0</v>
      </c>
      <c r="M181" s="8">
        <f>COUNTIFS('All Papers'!$D:$D,"*"&amp;$A181&amp;"*",'All Papers'!$G:$G,"*"&amp;Table1[[#Headers],[Pricing]]&amp;"*")</f>
        <v>0</v>
      </c>
    </row>
    <row r="182" spans="1:13" x14ac:dyDescent="0.25">
      <c r="A182" s="8" t="s">
        <v>2615</v>
      </c>
      <c r="B182" s="8">
        <f>COUNTIF('All Papers'!D:D,"*"&amp;Table1[[#This Row],[Name]]&amp;"*")</f>
        <v>2</v>
      </c>
      <c r="C182" s="8">
        <f>COUNTIFS('All Papers'!$D:$D,"*"&amp;$A182&amp;"*",'All Papers'!$G:$G,"*"&amp;Table1[[#Headers],[Composition]]&amp;"*")</f>
        <v>0</v>
      </c>
      <c r="D182" s="8">
        <f>COUNTIFS('All Papers'!$D:$D,"*"&amp;$A182&amp;"*",'All Papers'!$G:$G,"*"&amp;Table1[[#Headers],[Discovery]]&amp;"*")</f>
        <v>0</v>
      </c>
      <c r="E182" s="8">
        <f>COUNTIFS('All Papers'!$D:$D,"*"&amp;$A182&amp;"*",'All Papers'!$G:$G,"*"&amp;Table1[[#Headers],[Selection]]&amp;"*")</f>
        <v>0</v>
      </c>
      <c r="F182" s="8">
        <f>COUNTIFS('All Papers'!$D:$D,"*"&amp;$A182&amp;"*",'All Papers'!$G:$G,"*"&amp;Table1[[#Headers],[Recommendation]]&amp;"*")</f>
        <v>0</v>
      </c>
      <c r="G182" s="8">
        <f>COUNTIFS('All Papers'!$D:$D,"*"&amp;$A182&amp;"*",'All Papers'!$G:$G,"*"&amp;Table1[[#Headers],[Resource Management-CS]]&amp;"*")</f>
        <v>1</v>
      </c>
      <c r="H182" s="8">
        <f>COUNTIFS('All Papers'!$D:$D,"*"&amp;$A182&amp;"*",'All Papers'!$G:$G,"*"&amp;Table1[[#Headers],[Resource Management-PS]]&amp;"*")</f>
        <v>1</v>
      </c>
      <c r="I182" s="8">
        <f>COUNTIFS('All Papers'!$D:$D,"*"&amp;$A182&amp;"*",'All Papers'!$G:$G,"*"&amp;Table1[[#Headers],[SLA Management]]&amp;"*")</f>
        <v>0</v>
      </c>
      <c r="J182" s="8">
        <f>COUNTIFS('All Papers'!$D:$D,"*"&amp;$A182&amp;"*",'All Papers'!$G:$G,"*"&amp;Table1[[#Headers],[Big Data]]&amp;"*")</f>
        <v>0</v>
      </c>
      <c r="K182" s="8">
        <f>COUNTIFS('All Papers'!$D:$D,"*"&amp;$A182&amp;"*",'All Papers'!$G:$G,"*"&amp;Table1[[#Headers],[Energy Management]]&amp;"*")</f>
        <v>0</v>
      </c>
      <c r="L182" s="8">
        <f>COUNTIFS('All Papers'!$D:$D,"*"&amp;$A182&amp;"*",'All Papers'!$G:$G,"*"&amp;Table1[[#Headers],[Monitoring]]&amp;"*")</f>
        <v>0</v>
      </c>
      <c r="M182" s="8">
        <f>COUNTIFS('All Papers'!$D:$D,"*"&amp;$A182&amp;"*",'All Papers'!$G:$G,"*"&amp;Table1[[#Headers],[Pricing]]&amp;"*")</f>
        <v>0</v>
      </c>
    </row>
    <row r="183" spans="1:13" x14ac:dyDescent="0.25">
      <c r="A183" s="8" t="s">
        <v>2616</v>
      </c>
      <c r="B183" s="8">
        <f>COUNTIF('All Papers'!D:D,"*"&amp;Table1[[#This Row],[Name]]&amp;"*")</f>
        <v>2</v>
      </c>
      <c r="C183" s="8">
        <f>COUNTIFS('All Papers'!$D:$D,"*"&amp;$A183&amp;"*",'All Papers'!$G:$G,"*"&amp;Table1[[#Headers],[Composition]]&amp;"*")</f>
        <v>0</v>
      </c>
      <c r="D183" s="8">
        <f>COUNTIFS('All Papers'!$D:$D,"*"&amp;$A183&amp;"*",'All Papers'!$G:$G,"*"&amp;Table1[[#Headers],[Discovery]]&amp;"*")</f>
        <v>0</v>
      </c>
      <c r="E183" s="8">
        <f>COUNTIFS('All Papers'!$D:$D,"*"&amp;$A183&amp;"*",'All Papers'!$G:$G,"*"&amp;Table1[[#Headers],[Selection]]&amp;"*")</f>
        <v>0</v>
      </c>
      <c r="F183" s="8">
        <f>COUNTIFS('All Papers'!$D:$D,"*"&amp;$A183&amp;"*",'All Papers'!$G:$G,"*"&amp;Table1[[#Headers],[Recommendation]]&amp;"*")</f>
        <v>0</v>
      </c>
      <c r="G183" s="8">
        <f>COUNTIFS('All Papers'!$D:$D,"*"&amp;$A183&amp;"*",'All Papers'!$G:$G,"*"&amp;Table1[[#Headers],[Resource Management-CS]]&amp;"*")</f>
        <v>2</v>
      </c>
      <c r="H183" s="8">
        <f>COUNTIFS('All Papers'!$D:$D,"*"&amp;$A183&amp;"*",'All Papers'!$G:$G,"*"&amp;Table1[[#Headers],[Resource Management-PS]]&amp;"*")</f>
        <v>0</v>
      </c>
      <c r="I183" s="8">
        <f>COUNTIFS('All Papers'!$D:$D,"*"&amp;$A183&amp;"*",'All Papers'!$G:$G,"*"&amp;Table1[[#Headers],[SLA Management]]&amp;"*")</f>
        <v>0</v>
      </c>
      <c r="J183" s="8">
        <f>COUNTIFS('All Papers'!$D:$D,"*"&amp;$A183&amp;"*",'All Papers'!$G:$G,"*"&amp;Table1[[#Headers],[Big Data]]&amp;"*")</f>
        <v>0</v>
      </c>
      <c r="K183" s="8">
        <f>COUNTIFS('All Papers'!$D:$D,"*"&amp;$A183&amp;"*",'All Papers'!$G:$G,"*"&amp;Table1[[#Headers],[Energy Management]]&amp;"*")</f>
        <v>0</v>
      </c>
      <c r="L183" s="8">
        <f>COUNTIFS('All Papers'!$D:$D,"*"&amp;$A183&amp;"*",'All Papers'!$G:$G,"*"&amp;Table1[[#Headers],[Monitoring]]&amp;"*")</f>
        <v>0</v>
      </c>
      <c r="M183" s="8">
        <f>COUNTIFS('All Papers'!$D:$D,"*"&amp;$A183&amp;"*",'All Papers'!$G:$G,"*"&amp;Table1[[#Headers],[Pricing]]&amp;"*")</f>
        <v>0</v>
      </c>
    </row>
    <row r="184" spans="1:13" x14ac:dyDescent="0.25">
      <c r="A184" s="8" t="s">
        <v>2617</v>
      </c>
      <c r="B184" s="8">
        <f>COUNTIF('All Papers'!D:D,"*"&amp;Table1[[#This Row],[Name]]&amp;"*")</f>
        <v>2</v>
      </c>
      <c r="C184" s="8">
        <f>COUNTIFS('All Papers'!$D:$D,"*"&amp;$A184&amp;"*",'All Papers'!$G:$G,"*"&amp;Table1[[#Headers],[Composition]]&amp;"*")</f>
        <v>0</v>
      </c>
      <c r="D184" s="8">
        <f>COUNTIFS('All Papers'!$D:$D,"*"&amp;$A184&amp;"*",'All Papers'!$G:$G,"*"&amp;Table1[[#Headers],[Discovery]]&amp;"*")</f>
        <v>0</v>
      </c>
      <c r="E184" s="8">
        <f>COUNTIFS('All Papers'!$D:$D,"*"&amp;$A184&amp;"*",'All Papers'!$G:$G,"*"&amp;Table1[[#Headers],[Selection]]&amp;"*")</f>
        <v>0</v>
      </c>
      <c r="F184" s="8">
        <f>COUNTIFS('All Papers'!$D:$D,"*"&amp;$A184&amp;"*",'All Papers'!$G:$G,"*"&amp;Table1[[#Headers],[Recommendation]]&amp;"*")</f>
        <v>0</v>
      </c>
      <c r="G184" s="8">
        <f>COUNTIFS('All Papers'!$D:$D,"*"&amp;$A184&amp;"*",'All Papers'!$G:$G,"*"&amp;Table1[[#Headers],[Resource Management-CS]]&amp;"*")</f>
        <v>0</v>
      </c>
      <c r="H184" s="8">
        <f>COUNTIFS('All Papers'!$D:$D,"*"&amp;$A184&amp;"*",'All Papers'!$G:$G,"*"&amp;Table1[[#Headers],[Resource Management-PS]]&amp;"*")</f>
        <v>2</v>
      </c>
      <c r="I184" s="8">
        <f>COUNTIFS('All Papers'!$D:$D,"*"&amp;$A184&amp;"*",'All Papers'!$G:$G,"*"&amp;Table1[[#Headers],[SLA Management]]&amp;"*")</f>
        <v>0</v>
      </c>
      <c r="J184" s="8">
        <f>COUNTIFS('All Papers'!$D:$D,"*"&amp;$A184&amp;"*",'All Papers'!$G:$G,"*"&amp;Table1[[#Headers],[Big Data]]&amp;"*")</f>
        <v>0</v>
      </c>
      <c r="K184" s="8">
        <f>COUNTIFS('All Papers'!$D:$D,"*"&amp;$A184&amp;"*",'All Papers'!$G:$G,"*"&amp;Table1[[#Headers],[Energy Management]]&amp;"*")</f>
        <v>0</v>
      </c>
      <c r="L184" s="8">
        <f>COUNTIFS('All Papers'!$D:$D,"*"&amp;$A184&amp;"*",'All Papers'!$G:$G,"*"&amp;Table1[[#Headers],[Monitoring]]&amp;"*")</f>
        <v>0</v>
      </c>
      <c r="M184" s="8">
        <f>COUNTIFS('All Papers'!$D:$D,"*"&amp;$A184&amp;"*",'All Papers'!$G:$G,"*"&amp;Table1[[#Headers],[Pricing]]&amp;"*")</f>
        <v>0</v>
      </c>
    </row>
    <row r="185" spans="1:13" x14ac:dyDescent="0.25">
      <c r="A185" s="8" t="s">
        <v>2618</v>
      </c>
      <c r="B185" s="8">
        <f>COUNTIF('All Papers'!D:D,"*"&amp;Table1[[#This Row],[Name]]&amp;"*")</f>
        <v>2</v>
      </c>
      <c r="C185" s="8">
        <f>COUNTIFS('All Papers'!$D:$D,"*"&amp;$A185&amp;"*",'All Papers'!$G:$G,"*"&amp;Table1[[#Headers],[Composition]]&amp;"*")</f>
        <v>0</v>
      </c>
      <c r="D185" s="8">
        <f>COUNTIFS('All Papers'!$D:$D,"*"&amp;$A185&amp;"*",'All Papers'!$G:$G,"*"&amp;Table1[[#Headers],[Discovery]]&amp;"*")</f>
        <v>0</v>
      </c>
      <c r="E185" s="8">
        <f>COUNTIFS('All Papers'!$D:$D,"*"&amp;$A185&amp;"*",'All Papers'!$G:$G,"*"&amp;Table1[[#Headers],[Selection]]&amp;"*")</f>
        <v>0</v>
      </c>
      <c r="F185" s="8">
        <f>COUNTIFS('All Papers'!$D:$D,"*"&amp;$A185&amp;"*",'All Papers'!$G:$G,"*"&amp;Table1[[#Headers],[Recommendation]]&amp;"*")</f>
        <v>0</v>
      </c>
      <c r="G185" s="8">
        <f>COUNTIFS('All Papers'!$D:$D,"*"&amp;$A185&amp;"*",'All Papers'!$G:$G,"*"&amp;Table1[[#Headers],[Resource Management-CS]]&amp;"*")</f>
        <v>1</v>
      </c>
      <c r="H185" s="8">
        <f>COUNTIFS('All Papers'!$D:$D,"*"&amp;$A185&amp;"*",'All Papers'!$G:$G,"*"&amp;Table1[[#Headers],[Resource Management-PS]]&amp;"*")</f>
        <v>1</v>
      </c>
      <c r="I185" s="8">
        <f>COUNTIFS('All Papers'!$D:$D,"*"&amp;$A185&amp;"*",'All Papers'!$G:$G,"*"&amp;Table1[[#Headers],[SLA Management]]&amp;"*")</f>
        <v>0</v>
      </c>
      <c r="J185" s="8">
        <f>COUNTIFS('All Papers'!$D:$D,"*"&amp;$A185&amp;"*",'All Papers'!$G:$G,"*"&amp;Table1[[#Headers],[Big Data]]&amp;"*")</f>
        <v>0</v>
      </c>
      <c r="K185" s="8">
        <f>COUNTIFS('All Papers'!$D:$D,"*"&amp;$A185&amp;"*",'All Papers'!$G:$G,"*"&amp;Table1[[#Headers],[Energy Management]]&amp;"*")</f>
        <v>0</v>
      </c>
      <c r="L185" s="8">
        <f>COUNTIFS('All Papers'!$D:$D,"*"&amp;$A185&amp;"*",'All Papers'!$G:$G,"*"&amp;Table1[[#Headers],[Monitoring]]&amp;"*")</f>
        <v>0</v>
      </c>
      <c r="M185" s="8">
        <f>COUNTIFS('All Papers'!$D:$D,"*"&amp;$A185&amp;"*",'All Papers'!$G:$G,"*"&amp;Table1[[#Headers],[Pricing]]&amp;"*")</f>
        <v>0</v>
      </c>
    </row>
    <row r="186" spans="1:13" x14ac:dyDescent="0.25">
      <c r="A186" s="8" t="s">
        <v>2619</v>
      </c>
      <c r="B186" s="8">
        <f>COUNTIF('All Papers'!D:D,"*"&amp;Table1[[#This Row],[Name]]&amp;"*")</f>
        <v>2</v>
      </c>
      <c r="C186" s="8">
        <f>COUNTIFS('All Papers'!$D:$D,"*"&amp;$A186&amp;"*",'All Papers'!$G:$G,"*"&amp;Table1[[#Headers],[Composition]]&amp;"*")</f>
        <v>0</v>
      </c>
      <c r="D186" s="8">
        <f>COUNTIFS('All Papers'!$D:$D,"*"&amp;$A186&amp;"*",'All Papers'!$G:$G,"*"&amp;Table1[[#Headers],[Discovery]]&amp;"*")</f>
        <v>0</v>
      </c>
      <c r="E186" s="8">
        <f>COUNTIFS('All Papers'!$D:$D,"*"&amp;$A186&amp;"*",'All Papers'!$G:$G,"*"&amp;Table1[[#Headers],[Selection]]&amp;"*")</f>
        <v>0</v>
      </c>
      <c r="F186" s="8">
        <f>COUNTIFS('All Papers'!$D:$D,"*"&amp;$A186&amp;"*",'All Papers'!$G:$G,"*"&amp;Table1[[#Headers],[Recommendation]]&amp;"*")</f>
        <v>0</v>
      </c>
      <c r="G186" s="8">
        <f>COUNTIFS('All Papers'!$D:$D,"*"&amp;$A186&amp;"*",'All Papers'!$G:$G,"*"&amp;Table1[[#Headers],[Resource Management-CS]]&amp;"*")</f>
        <v>1</v>
      </c>
      <c r="H186" s="8">
        <f>COUNTIFS('All Papers'!$D:$D,"*"&amp;$A186&amp;"*",'All Papers'!$G:$G,"*"&amp;Table1[[#Headers],[Resource Management-PS]]&amp;"*")</f>
        <v>0</v>
      </c>
      <c r="I186" s="8">
        <f>COUNTIFS('All Papers'!$D:$D,"*"&amp;$A186&amp;"*",'All Papers'!$G:$G,"*"&amp;Table1[[#Headers],[SLA Management]]&amp;"*")</f>
        <v>0</v>
      </c>
      <c r="J186" s="8">
        <f>COUNTIFS('All Papers'!$D:$D,"*"&amp;$A186&amp;"*",'All Papers'!$G:$G,"*"&amp;Table1[[#Headers],[Big Data]]&amp;"*")</f>
        <v>1</v>
      </c>
      <c r="K186" s="8">
        <f>COUNTIFS('All Papers'!$D:$D,"*"&amp;$A186&amp;"*",'All Papers'!$G:$G,"*"&amp;Table1[[#Headers],[Energy Management]]&amp;"*")</f>
        <v>0</v>
      </c>
      <c r="L186" s="8">
        <f>COUNTIFS('All Papers'!$D:$D,"*"&amp;$A186&amp;"*",'All Papers'!$G:$G,"*"&amp;Table1[[#Headers],[Monitoring]]&amp;"*")</f>
        <v>0</v>
      </c>
      <c r="M186" s="8">
        <f>COUNTIFS('All Papers'!$D:$D,"*"&amp;$A186&amp;"*",'All Papers'!$G:$G,"*"&amp;Table1[[#Headers],[Pricing]]&amp;"*")</f>
        <v>0</v>
      </c>
    </row>
    <row r="187" spans="1:13" x14ac:dyDescent="0.25">
      <c r="A187" s="8" t="s">
        <v>2620</v>
      </c>
      <c r="B187" s="8">
        <f>COUNTIF('All Papers'!D:D,"*"&amp;Table1[[#This Row],[Name]]&amp;"*")</f>
        <v>2</v>
      </c>
      <c r="C187" s="8">
        <f>COUNTIFS('All Papers'!$D:$D,"*"&amp;$A187&amp;"*",'All Papers'!$G:$G,"*"&amp;Table1[[#Headers],[Composition]]&amp;"*")</f>
        <v>0</v>
      </c>
      <c r="D187" s="8">
        <f>COUNTIFS('All Papers'!$D:$D,"*"&amp;$A187&amp;"*",'All Papers'!$G:$G,"*"&amp;Table1[[#Headers],[Discovery]]&amp;"*")</f>
        <v>0</v>
      </c>
      <c r="E187" s="8">
        <f>COUNTIFS('All Papers'!$D:$D,"*"&amp;$A187&amp;"*",'All Papers'!$G:$G,"*"&amp;Table1[[#Headers],[Selection]]&amp;"*")</f>
        <v>0</v>
      </c>
      <c r="F187" s="8">
        <f>COUNTIFS('All Papers'!$D:$D,"*"&amp;$A187&amp;"*",'All Papers'!$G:$G,"*"&amp;Table1[[#Headers],[Recommendation]]&amp;"*")</f>
        <v>0</v>
      </c>
      <c r="G187" s="8">
        <f>COUNTIFS('All Papers'!$D:$D,"*"&amp;$A187&amp;"*",'All Papers'!$G:$G,"*"&amp;Table1[[#Headers],[Resource Management-CS]]&amp;"*")</f>
        <v>1</v>
      </c>
      <c r="H187" s="8">
        <f>COUNTIFS('All Papers'!$D:$D,"*"&amp;$A187&amp;"*",'All Papers'!$G:$G,"*"&amp;Table1[[#Headers],[Resource Management-PS]]&amp;"*")</f>
        <v>0</v>
      </c>
      <c r="I187" s="8">
        <f>COUNTIFS('All Papers'!$D:$D,"*"&amp;$A187&amp;"*",'All Papers'!$G:$G,"*"&amp;Table1[[#Headers],[SLA Management]]&amp;"*")</f>
        <v>0</v>
      </c>
      <c r="J187" s="8">
        <f>COUNTIFS('All Papers'!$D:$D,"*"&amp;$A187&amp;"*",'All Papers'!$G:$G,"*"&amp;Table1[[#Headers],[Big Data]]&amp;"*")</f>
        <v>0</v>
      </c>
      <c r="K187" s="8">
        <f>COUNTIFS('All Papers'!$D:$D,"*"&amp;$A187&amp;"*",'All Papers'!$G:$G,"*"&amp;Table1[[#Headers],[Energy Management]]&amp;"*")</f>
        <v>2</v>
      </c>
      <c r="L187" s="8">
        <f>COUNTIFS('All Papers'!$D:$D,"*"&amp;$A187&amp;"*",'All Papers'!$G:$G,"*"&amp;Table1[[#Headers],[Monitoring]]&amp;"*")</f>
        <v>0</v>
      </c>
      <c r="M187" s="8">
        <f>COUNTIFS('All Papers'!$D:$D,"*"&amp;$A187&amp;"*",'All Papers'!$G:$G,"*"&amp;Table1[[#Headers],[Pricing]]&amp;"*")</f>
        <v>0</v>
      </c>
    </row>
    <row r="188" spans="1:13" x14ac:dyDescent="0.25">
      <c r="A188" s="8" t="s">
        <v>2621</v>
      </c>
      <c r="B188" s="8">
        <f>COUNTIF('All Papers'!D:D,"*"&amp;Table1[[#This Row],[Name]]&amp;"*")</f>
        <v>2</v>
      </c>
      <c r="C188" s="8">
        <f>COUNTIFS('All Papers'!$D:$D,"*"&amp;$A188&amp;"*",'All Papers'!$G:$G,"*"&amp;Table1[[#Headers],[Composition]]&amp;"*")</f>
        <v>0</v>
      </c>
      <c r="D188" s="8">
        <f>COUNTIFS('All Papers'!$D:$D,"*"&amp;$A188&amp;"*",'All Papers'!$G:$G,"*"&amp;Table1[[#Headers],[Discovery]]&amp;"*")</f>
        <v>0</v>
      </c>
      <c r="E188" s="8">
        <f>COUNTIFS('All Papers'!$D:$D,"*"&amp;$A188&amp;"*",'All Papers'!$G:$G,"*"&amp;Table1[[#Headers],[Selection]]&amp;"*")</f>
        <v>0</v>
      </c>
      <c r="F188" s="8">
        <f>COUNTIFS('All Papers'!$D:$D,"*"&amp;$A188&amp;"*",'All Papers'!$G:$G,"*"&amp;Table1[[#Headers],[Recommendation]]&amp;"*")</f>
        <v>0</v>
      </c>
      <c r="G188" s="8">
        <f>COUNTIFS('All Papers'!$D:$D,"*"&amp;$A188&amp;"*",'All Papers'!$G:$G,"*"&amp;Table1[[#Headers],[Resource Management-CS]]&amp;"*")</f>
        <v>1</v>
      </c>
      <c r="H188" s="8">
        <f>COUNTIFS('All Papers'!$D:$D,"*"&amp;$A188&amp;"*",'All Papers'!$G:$G,"*"&amp;Table1[[#Headers],[Resource Management-PS]]&amp;"*")</f>
        <v>0</v>
      </c>
      <c r="I188" s="8">
        <f>COUNTIFS('All Papers'!$D:$D,"*"&amp;$A188&amp;"*",'All Papers'!$G:$G,"*"&amp;Table1[[#Headers],[SLA Management]]&amp;"*")</f>
        <v>0</v>
      </c>
      <c r="J188" s="8">
        <f>COUNTIFS('All Papers'!$D:$D,"*"&amp;$A188&amp;"*",'All Papers'!$G:$G,"*"&amp;Table1[[#Headers],[Big Data]]&amp;"*")</f>
        <v>0</v>
      </c>
      <c r="K188" s="8">
        <f>COUNTIFS('All Papers'!$D:$D,"*"&amp;$A188&amp;"*",'All Papers'!$G:$G,"*"&amp;Table1[[#Headers],[Energy Management]]&amp;"*")</f>
        <v>2</v>
      </c>
      <c r="L188" s="8">
        <f>COUNTIFS('All Papers'!$D:$D,"*"&amp;$A188&amp;"*",'All Papers'!$G:$G,"*"&amp;Table1[[#Headers],[Monitoring]]&amp;"*")</f>
        <v>0</v>
      </c>
      <c r="M188" s="8">
        <f>COUNTIFS('All Papers'!$D:$D,"*"&amp;$A188&amp;"*",'All Papers'!$G:$G,"*"&amp;Table1[[#Headers],[Pricing]]&amp;"*")</f>
        <v>0</v>
      </c>
    </row>
    <row r="189" spans="1:13" x14ac:dyDescent="0.25">
      <c r="A189" s="8" t="s">
        <v>2622</v>
      </c>
      <c r="B189" s="8">
        <f>COUNTIF('All Papers'!D:D,"*"&amp;Table1[[#This Row],[Name]]&amp;"*")</f>
        <v>2</v>
      </c>
      <c r="C189" s="8">
        <f>COUNTIFS('All Papers'!$D:$D,"*"&amp;$A189&amp;"*",'All Papers'!$G:$G,"*"&amp;Table1[[#Headers],[Composition]]&amp;"*")</f>
        <v>0</v>
      </c>
      <c r="D189" s="8">
        <f>COUNTIFS('All Papers'!$D:$D,"*"&amp;$A189&amp;"*",'All Papers'!$G:$G,"*"&amp;Table1[[#Headers],[Discovery]]&amp;"*")</f>
        <v>0</v>
      </c>
      <c r="E189" s="8">
        <f>COUNTIFS('All Papers'!$D:$D,"*"&amp;$A189&amp;"*",'All Papers'!$G:$G,"*"&amp;Table1[[#Headers],[Selection]]&amp;"*")</f>
        <v>0</v>
      </c>
      <c r="F189" s="8">
        <f>COUNTIFS('All Papers'!$D:$D,"*"&amp;$A189&amp;"*",'All Papers'!$G:$G,"*"&amp;Table1[[#Headers],[Recommendation]]&amp;"*")</f>
        <v>0</v>
      </c>
      <c r="G189" s="8">
        <f>COUNTIFS('All Papers'!$D:$D,"*"&amp;$A189&amp;"*",'All Papers'!$G:$G,"*"&amp;Table1[[#Headers],[Resource Management-CS]]&amp;"*")</f>
        <v>1</v>
      </c>
      <c r="H189" s="8">
        <f>COUNTIFS('All Papers'!$D:$D,"*"&amp;$A189&amp;"*",'All Papers'!$G:$G,"*"&amp;Table1[[#Headers],[Resource Management-PS]]&amp;"*")</f>
        <v>0</v>
      </c>
      <c r="I189" s="8">
        <f>COUNTIFS('All Papers'!$D:$D,"*"&amp;$A189&amp;"*",'All Papers'!$G:$G,"*"&amp;Table1[[#Headers],[SLA Management]]&amp;"*")</f>
        <v>0</v>
      </c>
      <c r="J189" s="8">
        <f>COUNTIFS('All Papers'!$D:$D,"*"&amp;$A189&amp;"*",'All Papers'!$G:$G,"*"&amp;Table1[[#Headers],[Big Data]]&amp;"*")</f>
        <v>0</v>
      </c>
      <c r="K189" s="8">
        <f>COUNTIFS('All Papers'!$D:$D,"*"&amp;$A189&amp;"*",'All Papers'!$G:$G,"*"&amp;Table1[[#Headers],[Energy Management]]&amp;"*")</f>
        <v>2</v>
      </c>
      <c r="L189" s="8">
        <f>COUNTIFS('All Papers'!$D:$D,"*"&amp;$A189&amp;"*",'All Papers'!$G:$G,"*"&amp;Table1[[#Headers],[Monitoring]]&amp;"*")</f>
        <v>0</v>
      </c>
      <c r="M189" s="8">
        <f>COUNTIFS('All Papers'!$D:$D,"*"&amp;$A189&amp;"*",'All Papers'!$G:$G,"*"&amp;Table1[[#Headers],[Pricing]]&amp;"*")</f>
        <v>0</v>
      </c>
    </row>
    <row r="190" spans="1:13" x14ac:dyDescent="0.25">
      <c r="A190" s="8" t="s">
        <v>2623</v>
      </c>
      <c r="B190" s="8">
        <f>COUNTIF('All Papers'!D:D,"*"&amp;Table1[[#This Row],[Name]]&amp;"*")</f>
        <v>2</v>
      </c>
      <c r="C190" s="8">
        <f>COUNTIFS('All Papers'!$D:$D,"*"&amp;$A190&amp;"*",'All Papers'!$G:$G,"*"&amp;Table1[[#Headers],[Composition]]&amp;"*")</f>
        <v>0</v>
      </c>
      <c r="D190" s="8">
        <f>COUNTIFS('All Papers'!$D:$D,"*"&amp;$A190&amp;"*",'All Papers'!$G:$G,"*"&amp;Table1[[#Headers],[Discovery]]&amp;"*")</f>
        <v>1</v>
      </c>
      <c r="E190" s="8">
        <f>COUNTIFS('All Papers'!$D:$D,"*"&amp;$A190&amp;"*",'All Papers'!$G:$G,"*"&amp;Table1[[#Headers],[Selection]]&amp;"*")</f>
        <v>1</v>
      </c>
      <c r="F190" s="8">
        <f>COUNTIFS('All Papers'!$D:$D,"*"&amp;$A190&amp;"*",'All Papers'!$G:$G,"*"&amp;Table1[[#Headers],[Recommendation]]&amp;"*")</f>
        <v>0</v>
      </c>
      <c r="G190" s="8">
        <f>COUNTIFS('All Papers'!$D:$D,"*"&amp;$A190&amp;"*",'All Papers'!$G:$G,"*"&amp;Table1[[#Headers],[Resource Management-CS]]&amp;"*")</f>
        <v>2</v>
      </c>
      <c r="H190" s="8">
        <f>COUNTIFS('All Papers'!$D:$D,"*"&amp;$A190&amp;"*",'All Papers'!$G:$G,"*"&amp;Table1[[#Headers],[Resource Management-PS]]&amp;"*")</f>
        <v>0</v>
      </c>
      <c r="I190" s="8">
        <f>COUNTIFS('All Papers'!$D:$D,"*"&amp;$A190&amp;"*",'All Papers'!$G:$G,"*"&amp;Table1[[#Headers],[SLA Management]]&amp;"*")</f>
        <v>0</v>
      </c>
      <c r="J190" s="8">
        <f>COUNTIFS('All Papers'!$D:$D,"*"&amp;$A190&amp;"*",'All Papers'!$G:$G,"*"&amp;Table1[[#Headers],[Big Data]]&amp;"*")</f>
        <v>0</v>
      </c>
      <c r="K190" s="8">
        <f>COUNTIFS('All Papers'!$D:$D,"*"&amp;$A190&amp;"*",'All Papers'!$G:$G,"*"&amp;Table1[[#Headers],[Energy Management]]&amp;"*")</f>
        <v>0</v>
      </c>
      <c r="L190" s="8">
        <f>COUNTIFS('All Papers'!$D:$D,"*"&amp;$A190&amp;"*",'All Papers'!$G:$G,"*"&amp;Table1[[#Headers],[Monitoring]]&amp;"*")</f>
        <v>0</v>
      </c>
      <c r="M190" s="8">
        <f>COUNTIFS('All Papers'!$D:$D,"*"&amp;$A190&amp;"*",'All Papers'!$G:$G,"*"&amp;Table1[[#Headers],[Pricing]]&amp;"*")</f>
        <v>0</v>
      </c>
    </row>
    <row r="191" spans="1:13" x14ac:dyDescent="0.25">
      <c r="A191" s="8" t="s">
        <v>2624</v>
      </c>
      <c r="B191" s="8">
        <f>COUNTIF('All Papers'!D:D,"*"&amp;Table1[[#This Row],[Name]]&amp;"*")</f>
        <v>2</v>
      </c>
      <c r="C191" s="8">
        <f>COUNTIFS('All Papers'!$D:$D,"*"&amp;$A191&amp;"*",'All Papers'!$G:$G,"*"&amp;Table1[[#Headers],[Composition]]&amp;"*")</f>
        <v>0</v>
      </c>
      <c r="D191" s="8">
        <f>COUNTIFS('All Papers'!$D:$D,"*"&amp;$A191&amp;"*",'All Papers'!$G:$G,"*"&amp;Table1[[#Headers],[Discovery]]&amp;"*")</f>
        <v>1</v>
      </c>
      <c r="E191" s="8">
        <f>COUNTIFS('All Papers'!$D:$D,"*"&amp;$A191&amp;"*",'All Papers'!$G:$G,"*"&amp;Table1[[#Headers],[Selection]]&amp;"*")</f>
        <v>1</v>
      </c>
      <c r="F191" s="8">
        <f>COUNTIFS('All Papers'!$D:$D,"*"&amp;$A191&amp;"*",'All Papers'!$G:$G,"*"&amp;Table1[[#Headers],[Recommendation]]&amp;"*")</f>
        <v>0</v>
      </c>
      <c r="G191" s="8">
        <f>COUNTIFS('All Papers'!$D:$D,"*"&amp;$A191&amp;"*",'All Papers'!$G:$G,"*"&amp;Table1[[#Headers],[Resource Management-CS]]&amp;"*")</f>
        <v>2</v>
      </c>
      <c r="H191" s="8">
        <f>COUNTIFS('All Papers'!$D:$D,"*"&amp;$A191&amp;"*",'All Papers'!$G:$G,"*"&amp;Table1[[#Headers],[Resource Management-PS]]&amp;"*")</f>
        <v>0</v>
      </c>
      <c r="I191" s="8">
        <f>COUNTIFS('All Papers'!$D:$D,"*"&amp;$A191&amp;"*",'All Papers'!$G:$G,"*"&amp;Table1[[#Headers],[SLA Management]]&amp;"*")</f>
        <v>0</v>
      </c>
      <c r="J191" s="8">
        <f>COUNTIFS('All Papers'!$D:$D,"*"&amp;$A191&amp;"*",'All Papers'!$G:$G,"*"&amp;Table1[[#Headers],[Big Data]]&amp;"*")</f>
        <v>0</v>
      </c>
      <c r="K191" s="8">
        <f>COUNTIFS('All Papers'!$D:$D,"*"&amp;$A191&amp;"*",'All Papers'!$G:$G,"*"&amp;Table1[[#Headers],[Energy Management]]&amp;"*")</f>
        <v>0</v>
      </c>
      <c r="L191" s="8">
        <f>COUNTIFS('All Papers'!$D:$D,"*"&amp;$A191&amp;"*",'All Papers'!$G:$G,"*"&amp;Table1[[#Headers],[Monitoring]]&amp;"*")</f>
        <v>0</v>
      </c>
      <c r="M191" s="8">
        <f>COUNTIFS('All Papers'!$D:$D,"*"&amp;$A191&amp;"*",'All Papers'!$G:$G,"*"&amp;Table1[[#Headers],[Pricing]]&amp;"*")</f>
        <v>0</v>
      </c>
    </row>
    <row r="192" spans="1:13" x14ac:dyDescent="0.25">
      <c r="A192" s="8" t="s">
        <v>2625</v>
      </c>
      <c r="B192" s="8">
        <f>COUNTIF('All Papers'!D:D,"*"&amp;Table1[[#This Row],[Name]]&amp;"*")</f>
        <v>2</v>
      </c>
      <c r="C192" s="8">
        <f>COUNTIFS('All Papers'!$D:$D,"*"&amp;$A192&amp;"*",'All Papers'!$G:$G,"*"&amp;Table1[[#Headers],[Composition]]&amp;"*")</f>
        <v>1</v>
      </c>
      <c r="D192" s="8">
        <f>COUNTIFS('All Papers'!$D:$D,"*"&amp;$A192&amp;"*",'All Papers'!$G:$G,"*"&amp;Table1[[#Headers],[Discovery]]&amp;"*")</f>
        <v>0</v>
      </c>
      <c r="E192" s="8">
        <f>COUNTIFS('All Papers'!$D:$D,"*"&amp;$A192&amp;"*",'All Papers'!$G:$G,"*"&amp;Table1[[#Headers],[Selection]]&amp;"*")</f>
        <v>0</v>
      </c>
      <c r="F192" s="8">
        <f>COUNTIFS('All Papers'!$D:$D,"*"&amp;$A192&amp;"*",'All Papers'!$G:$G,"*"&amp;Table1[[#Headers],[Recommendation]]&amp;"*")</f>
        <v>0</v>
      </c>
      <c r="G192" s="8">
        <f>COUNTIFS('All Papers'!$D:$D,"*"&amp;$A192&amp;"*",'All Papers'!$G:$G,"*"&amp;Table1[[#Headers],[Resource Management-CS]]&amp;"*")</f>
        <v>1</v>
      </c>
      <c r="H192" s="8">
        <f>COUNTIFS('All Papers'!$D:$D,"*"&amp;$A192&amp;"*",'All Papers'!$G:$G,"*"&amp;Table1[[#Headers],[Resource Management-PS]]&amp;"*")</f>
        <v>0</v>
      </c>
      <c r="I192" s="8">
        <f>COUNTIFS('All Papers'!$D:$D,"*"&amp;$A192&amp;"*",'All Papers'!$G:$G,"*"&amp;Table1[[#Headers],[SLA Management]]&amp;"*")</f>
        <v>0</v>
      </c>
      <c r="J192" s="8">
        <f>COUNTIFS('All Papers'!$D:$D,"*"&amp;$A192&amp;"*",'All Papers'!$G:$G,"*"&amp;Table1[[#Headers],[Big Data]]&amp;"*")</f>
        <v>0</v>
      </c>
      <c r="K192" s="8">
        <f>COUNTIFS('All Papers'!$D:$D,"*"&amp;$A192&amp;"*",'All Papers'!$G:$G,"*"&amp;Table1[[#Headers],[Energy Management]]&amp;"*")</f>
        <v>0</v>
      </c>
      <c r="L192" s="8">
        <f>COUNTIFS('All Papers'!$D:$D,"*"&amp;$A192&amp;"*",'All Papers'!$G:$G,"*"&amp;Table1[[#Headers],[Monitoring]]&amp;"*")</f>
        <v>0</v>
      </c>
      <c r="M192" s="8">
        <f>COUNTIFS('All Papers'!$D:$D,"*"&amp;$A192&amp;"*",'All Papers'!$G:$G,"*"&amp;Table1[[#Headers],[Pricing]]&amp;"*")</f>
        <v>0</v>
      </c>
    </row>
    <row r="193" spans="1:13" x14ac:dyDescent="0.25">
      <c r="A193" s="8" t="s">
        <v>2626</v>
      </c>
      <c r="B193" s="8">
        <f>COUNTIF('All Papers'!D:D,"*"&amp;Table1[[#This Row],[Name]]&amp;"*")</f>
        <v>2</v>
      </c>
      <c r="C193" s="8">
        <f>COUNTIFS('All Papers'!$D:$D,"*"&amp;$A193&amp;"*",'All Papers'!$G:$G,"*"&amp;Table1[[#Headers],[Composition]]&amp;"*")</f>
        <v>0</v>
      </c>
      <c r="D193" s="8">
        <f>COUNTIFS('All Papers'!$D:$D,"*"&amp;$A193&amp;"*",'All Papers'!$G:$G,"*"&amp;Table1[[#Headers],[Discovery]]&amp;"*")</f>
        <v>0</v>
      </c>
      <c r="E193" s="8">
        <f>COUNTIFS('All Papers'!$D:$D,"*"&amp;$A193&amp;"*",'All Papers'!$G:$G,"*"&amp;Table1[[#Headers],[Selection]]&amp;"*")</f>
        <v>1</v>
      </c>
      <c r="F193" s="8">
        <f>COUNTIFS('All Papers'!$D:$D,"*"&amp;$A193&amp;"*",'All Papers'!$G:$G,"*"&amp;Table1[[#Headers],[Recommendation]]&amp;"*")</f>
        <v>0</v>
      </c>
      <c r="G193" s="8">
        <f>COUNTIFS('All Papers'!$D:$D,"*"&amp;$A193&amp;"*",'All Papers'!$G:$G,"*"&amp;Table1[[#Headers],[Resource Management-CS]]&amp;"*")</f>
        <v>2</v>
      </c>
      <c r="H193" s="8">
        <f>COUNTIFS('All Papers'!$D:$D,"*"&amp;$A193&amp;"*",'All Papers'!$G:$G,"*"&amp;Table1[[#Headers],[Resource Management-PS]]&amp;"*")</f>
        <v>0</v>
      </c>
      <c r="I193" s="8">
        <f>COUNTIFS('All Papers'!$D:$D,"*"&amp;$A193&amp;"*",'All Papers'!$G:$G,"*"&amp;Table1[[#Headers],[SLA Management]]&amp;"*")</f>
        <v>0</v>
      </c>
      <c r="J193" s="8">
        <f>COUNTIFS('All Papers'!$D:$D,"*"&amp;$A193&amp;"*",'All Papers'!$G:$G,"*"&amp;Table1[[#Headers],[Big Data]]&amp;"*")</f>
        <v>0</v>
      </c>
      <c r="K193" s="8">
        <f>COUNTIFS('All Papers'!$D:$D,"*"&amp;$A193&amp;"*",'All Papers'!$G:$G,"*"&amp;Table1[[#Headers],[Energy Management]]&amp;"*")</f>
        <v>0</v>
      </c>
      <c r="L193" s="8">
        <f>COUNTIFS('All Papers'!$D:$D,"*"&amp;$A193&amp;"*",'All Papers'!$G:$G,"*"&amp;Table1[[#Headers],[Monitoring]]&amp;"*")</f>
        <v>0</v>
      </c>
      <c r="M193" s="8">
        <f>COUNTIFS('All Papers'!$D:$D,"*"&amp;$A193&amp;"*",'All Papers'!$G:$G,"*"&amp;Table1[[#Headers],[Pricing]]&amp;"*")</f>
        <v>0</v>
      </c>
    </row>
    <row r="194" spans="1:13" x14ac:dyDescent="0.25">
      <c r="A194" s="8" t="s">
        <v>2627</v>
      </c>
      <c r="B194" s="8">
        <f>COUNTIF('All Papers'!D:D,"*"&amp;Table1[[#This Row],[Name]]&amp;"*")</f>
        <v>2</v>
      </c>
      <c r="C194" s="8">
        <f>COUNTIFS('All Papers'!$D:$D,"*"&amp;$A194&amp;"*",'All Papers'!$G:$G,"*"&amp;Table1[[#Headers],[Composition]]&amp;"*")</f>
        <v>0</v>
      </c>
      <c r="D194" s="8">
        <f>COUNTIFS('All Papers'!$D:$D,"*"&amp;$A194&amp;"*",'All Papers'!$G:$G,"*"&amp;Table1[[#Headers],[Discovery]]&amp;"*")</f>
        <v>0</v>
      </c>
      <c r="E194" s="8">
        <f>COUNTIFS('All Papers'!$D:$D,"*"&amp;$A194&amp;"*",'All Papers'!$G:$G,"*"&amp;Table1[[#Headers],[Selection]]&amp;"*")</f>
        <v>0</v>
      </c>
      <c r="F194" s="8">
        <f>COUNTIFS('All Papers'!$D:$D,"*"&amp;$A194&amp;"*",'All Papers'!$G:$G,"*"&amp;Table1[[#Headers],[Recommendation]]&amp;"*")</f>
        <v>0</v>
      </c>
      <c r="G194" s="8">
        <f>COUNTIFS('All Papers'!$D:$D,"*"&amp;$A194&amp;"*",'All Papers'!$G:$G,"*"&amp;Table1[[#Headers],[Resource Management-CS]]&amp;"*")</f>
        <v>1</v>
      </c>
      <c r="H194" s="8">
        <f>COUNTIFS('All Papers'!$D:$D,"*"&amp;$A194&amp;"*",'All Papers'!$G:$G,"*"&amp;Table1[[#Headers],[Resource Management-PS]]&amp;"*")</f>
        <v>1</v>
      </c>
      <c r="I194" s="8">
        <f>COUNTIFS('All Papers'!$D:$D,"*"&amp;$A194&amp;"*",'All Papers'!$G:$G,"*"&amp;Table1[[#Headers],[SLA Management]]&amp;"*")</f>
        <v>0</v>
      </c>
      <c r="J194" s="8">
        <f>COUNTIFS('All Papers'!$D:$D,"*"&amp;$A194&amp;"*",'All Papers'!$G:$G,"*"&amp;Table1[[#Headers],[Big Data]]&amp;"*")</f>
        <v>0</v>
      </c>
      <c r="K194" s="8">
        <f>COUNTIFS('All Papers'!$D:$D,"*"&amp;$A194&amp;"*",'All Papers'!$G:$G,"*"&amp;Table1[[#Headers],[Energy Management]]&amp;"*")</f>
        <v>0</v>
      </c>
      <c r="L194" s="8">
        <f>COUNTIFS('All Papers'!$D:$D,"*"&amp;$A194&amp;"*",'All Papers'!$G:$G,"*"&amp;Table1[[#Headers],[Monitoring]]&amp;"*")</f>
        <v>0</v>
      </c>
      <c r="M194" s="8">
        <f>COUNTIFS('All Papers'!$D:$D,"*"&amp;$A194&amp;"*",'All Papers'!$G:$G,"*"&amp;Table1[[#Headers],[Pricing]]&amp;"*")</f>
        <v>0</v>
      </c>
    </row>
    <row r="195" spans="1:13" x14ac:dyDescent="0.25">
      <c r="A195" s="8" t="s">
        <v>2628</v>
      </c>
      <c r="B195" s="8">
        <f>COUNTIF('All Papers'!D:D,"*"&amp;Table1[[#This Row],[Name]]&amp;"*")</f>
        <v>2</v>
      </c>
      <c r="C195" s="8">
        <f>COUNTIFS('All Papers'!$D:$D,"*"&amp;$A195&amp;"*",'All Papers'!$G:$G,"*"&amp;Table1[[#Headers],[Composition]]&amp;"*")</f>
        <v>0</v>
      </c>
      <c r="D195" s="8">
        <f>COUNTIFS('All Papers'!$D:$D,"*"&amp;$A195&amp;"*",'All Papers'!$G:$G,"*"&amp;Table1[[#Headers],[Discovery]]&amp;"*")</f>
        <v>0</v>
      </c>
      <c r="E195" s="8">
        <f>COUNTIFS('All Papers'!$D:$D,"*"&amp;$A195&amp;"*",'All Papers'!$G:$G,"*"&amp;Table1[[#Headers],[Selection]]&amp;"*")</f>
        <v>0</v>
      </c>
      <c r="F195" s="8">
        <f>COUNTIFS('All Papers'!$D:$D,"*"&amp;$A195&amp;"*",'All Papers'!$G:$G,"*"&amp;Table1[[#Headers],[Recommendation]]&amp;"*")</f>
        <v>0</v>
      </c>
      <c r="G195" s="8">
        <f>COUNTIFS('All Papers'!$D:$D,"*"&amp;$A195&amp;"*",'All Papers'!$G:$G,"*"&amp;Table1[[#Headers],[Resource Management-CS]]&amp;"*")</f>
        <v>1</v>
      </c>
      <c r="H195" s="8">
        <f>COUNTIFS('All Papers'!$D:$D,"*"&amp;$A195&amp;"*",'All Papers'!$G:$G,"*"&amp;Table1[[#Headers],[Resource Management-PS]]&amp;"*")</f>
        <v>1</v>
      </c>
      <c r="I195" s="8">
        <f>COUNTIFS('All Papers'!$D:$D,"*"&amp;$A195&amp;"*",'All Papers'!$G:$G,"*"&amp;Table1[[#Headers],[SLA Management]]&amp;"*")</f>
        <v>0</v>
      </c>
      <c r="J195" s="8">
        <f>COUNTIFS('All Papers'!$D:$D,"*"&amp;$A195&amp;"*",'All Papers'!$G:$G,"*"&amp;Table1[[#Headers],[Big Data]]&amp;"*")</f>
        <v>0</v>
      </c>
      <c r="K195" s="8">
        <f>COUNTIFS('All Papers'!$D:$D,"*"&amp;$A195&amp;"*",'All Papers'!$G:$G,"*"&amp;Table1[[#Headers],[Energy Management]]&amp;"*")</f>
        <v>0</v>
      </c>
      <c r="L195" s="8">
        <f>COUNTIFS('All Papers'!$D:$D,"*"&amp;$A195&amp;"*",'All Papers'!$G:$G,"*"&amp;Table1[[#Headers],[Monitoring]]&amp;"*")</f>
        <v>0</v>
      </c>
      <c r="M195" s="8">
        <f>COUNTIFS('All Papers'!$D:$D,"*"&amp;$A195&amp;"*",'All Papers'!$G:$G,"*"&amp;Table1[[#Headers],[Pricing]]&amp;"*")</f>
        <v>0</v>
      </c>
    </row>
    <row r="196" spans="1:13" x14ac:dyDescent="0.25">
      <c r="A196" s="8" t="s">
        <v>2629</v>
      </c>
      <c r="B196" s="8">
        <f>COUNTIF('All Papers'!D:D,"*"&amp;Table1[[#This Row],[Name]]&amp;"*")</f>
        <v>2</v>
      </c>
      <c r="C196" s="8">
        <f>COUNTIFS('All Papers'!$D:$D,"*"&amp;$A196&amp;"*",'All Papers'!$G:$G,"*"&amp;Table1[[#Headers],[Composition]]&amp;"*")</f>
        <v>0</v>
      </c>
      <c r="D196" s="8">
        <f>COUNTIFS('All Papers'!$D:$D,"*"&amp;$A196&amp;"*",'All Papers'!$G:$G,"*"&amp;Table1[[#Headers],[Discovery]]&amp;"*")</f>
        <v>0</v>
      </c>
      <c r="E196" s="8">
        <f>COUNTIFS('All Papers'!$D:$D,"*"&amp;$A196&amp;"*",'All Papers'!$G:$G,"*"&amp;Table1[[#Headers],[Selection]]&amp;"*")</f>
        <v>2</v>
      </c>
      <c r="F196" s="8">
        <f>COUNTIFS('All Papers'!$D:$D,"*"&amp;$A196&amp;"*",'All Papers'!$G:$G,"*"&amp;Table1[[#Headers],[Recommendation]]&amp;"*")</f>
        <v>0</v>
      </c>
      <c r="G196" s="8">
        <f>COUNTIFS('All Papers'!$D:$D,"*"&amp;$A196&amp;"*",'All Papers'!$G:$G,"*"&amp;Table1[[#Headers],[Resource Management-CS]]&amp;"*")</f>
        <v>0</v>
      </c>
      <c r="H196" s="8">
        <f>COUNTIFS('All Papers'!$D:$D,"*"&amp;$A196&amp;"*",'All Papers'!$G:$G,"*"&amp;Table1[[#Headers],[Resource Management-PS]]&amp;"*")</f>
        <v>0</v>
      </c>
      <c r="I196" s="8">
        <f>COUNTIFS('All Papers'!$D:$D,"*"&amp;$A196&amp;"*",'All Papers'!$G:$G,"*"&amp;Table1[[#Headers],[SLA Management]]&amp;"*")</f>
        <v>0</v>
      </c>
      <c r="J196" s="8">
        <f>COUNTIFS('All Papers'!$D:$D,"*"&amp;$A196&amp;"*",'All Papers'!$G:$G,"*"&amp;Table1[[#Headers],[Big Data]]&amp;"*")</f>
        <v>0</v>
      </c>
      <c r="K196" s="8">
        <f>COUNTIFS('All Papers'!$D:$D,"*"&amp;$A196&amp;"*",'All Papers'!$G:$G,"*"&amp;Table1[[#Headers],[Energy Management]]&amp;"*")</f>
        <v>0</v>
      </c>
      <c r="L196" s="8">
        <f>COUNTIFS('All Papers'!$D:$D,"*"&amp;$A196&amp;"*",'All Papers'!$G:$G,"*"&amp;Table1[[#Headers],[Monitoring]]&amp;"*")</f>
        <v>0</v>
      </c>
      <c r="M196" s="8">
        <f>COUNTIFS('All Papers'!$D:$D,"*"&amp;$A196&amp;"*",'All Papers'!$G:$G,"*"&amp;Table1[[#Headers],[Pricing]]&amp;"*")</f>
        <v>0</v>
      </c>
    </row>
    <row r="197" spans="1:13" x14ac:dyDescent="0.25">
      <c r="A197" s="8" t="s">
        <v>2630</v>
      </c>
      <c r="B197" s="8">
        <f>COUNTIF('All Papers'!D:D,"*"&amp;Table1[[#This Row],[Name]]&amp;"*")</f>
        <v>2</v>
      </c>
      <c r="C197" s="8">
        <f>COUNTIFS('All Papers'!$D:$D,"*"&amp;$A197&amp;"*",'All Papers'!$G:$G,"*"&amp;Table1[[#Headers],[Composition]]&amp;"*")</f>
        <v>1</v>
      </c>
      <c r="D197" s="8">
        <f>COUNTIFS('All Papers'!$D:$D,"*"&amp;$A197&amp;"*",'All Papers'!$G:$G,"*"&amp;Table1[[#Headers],[Discovery]]&amp;"*")</f>
        <v>0</v>
      </c>
      <c r="E197" s="8">
        <f>COUNTIFS('All Papers'!$D:$D,"*"&amp;$A197&amp;"*",'All Papers'!$G:$G,"*"&amp;Table1[[#Headers],[Selection]]&amp;"*")</f>
        <v>0</v>
      </c>
      <c r="F197" s="8">
        <f>COUNTIFS('All Papers'!$D:$D,"*"&amp;$A197&amp;"*",'All Papers'!$G:$G,"*"&amp;Table1[[#Headers],[Recommendation]]&amp;"*")</f>
        <v>1</v>
      </c>
      <c r="G197" s="8">
        <f>COUNTIFS('All Papers'!$D:$D,"*"&amp;$A197&amp;"*",'All Papers'!$G:$G,"*"&amp;Table1[[#Headers],[Resource Management-CS]]&amp;"*")</f>
        <v>0</v>
      </c>
      <c r="H197" s="8">
        <f>COUNTIFS('All Papers'!$D:$D,"*"&amp;$A197&amp;"*",'All Papers'!$G:$G,"*"&amp;Table1[[#Headers],[Resource Management-PS]]&amp;"*")</f>
        <v>0</v>
      </c>
      <c r="I197" s="8">
        <f>COUNTIFS('All Papers'!$D:$D,"*"&amp;$A197&amp;"*",'All Papers'!$G:$G,"*"&amp;Table1[[#Headers],[SLA Management]]&amp;"*")</f>
        <v>0</v>
      </c>
      <c r="J197" s="8">
        <f>COUNTIFS('All Papers'!$D:$D,"*"&amp;$A197&amp;"*",'All Papers'!$G:$G,"*"&amp;Table1[[#Headers],[Big Data]]&amp;"*")</f>
        <v>0</v>
      </c>
      <c r="K197" s="8">
        <f>COUNTIFS('All Papers'!$D:$D,"*"&amp;$A197&amp;"*",'All Papers'!$G:$G,"*"&amp;Table1[[#Headers],[Energy Management]]&amp;"*")</f>
        <v>0</v>
      </c>
      <c r="L197" s="8">
        <f>COUNTIFS('All Papers'!$D:$D,"*"&amp;$A197&amp;"*",'All Papers'!$G:$G,"*"&amp;Table1[[#Headers],[Monitoring]]&amp;"*")</f>
        <v>0</v>
      </c>
      <c r="M197" s="8">
        <f>COUNTIFS('All Papers'!$D:$D,"*"&amp;$A197&amp;"*",'All Papers'!$G:$G,"*"&amp;Table1[[#Headers],[Pricing]]&amp;"*")</f>
        <v>0</v>
      </c>
    </row>
    <row r="198" spans="1:13" x14ac:dyDescent="0.25">
      <c r="A198" s="8" t="s">
        <v>2631</v>
      </c>
      <c r="B198" s="8">
        <f>COUNTIF('All Papers'!D:D,"*"&amp;Table1[[#This Row],[Name]]&amp;"*")</f>
        <v>2</v>
      </c>
      <c r="C198" s="8">
        <f>COUNTIFS('All Papers'!$D:$D,"*"&amp;$A198&amp;"*",'All Papers'!$G:$G,"*"&amp;Table1[[#Headers],[Composition]]&amp;"*")</f>
        <v>0</v>
      </c>
      <c r="D198" s="8">
        <f>COUNTIFS('All Papers'!$D:$D,"*"&amp;$A198&amp;"*",'All Papers'!$G:$G,"*"&amp;Table1[[#Headers],[Discovery]]&amp;"*")</f>
        <v>0</v>
      </c>
      <c r="E198" s="8">
        <f>COUNTIFS('All Papers'!$D:$D,"*"&amp;$A198&amp;"*",'All Papers'!$G:$G,"*"&amp;Table1[[#Headers],[Selection]]&amp;"*")</f>
        <v>0</v>
      </c>
      <c r="F198" s="8">
        <f>COUNTIFS('All Papers'!$D:$D,"*"&amp;$A198&amp;"*",'All Papers'!$G:$G,"*"&amp;Table1[[#Headers],[Recommendation]]&amp;"*")</f>
        <v>0</v>
      </c>
      <c r="G198" s="8">
        <f>COUNTIFS('All Papers'!$D:$D,"*"&amp;$A198&amp;"*",'All Papers'!$G:$G,"*"&amp;Table1[[#Headers],[Resource Management-CS]]&amp;"*")</f>
        <v>2</v>
      </c>
      <c r="H198" s="8">
        <f>COUNTIFS('All Papers'!$D:$D,"*"&amp;$A198&amp;"*",'All Papers'!$G:$G,"*"&amp;Table1[[#Headers],[Resource Management-PS]]&amp;"*")</f>
        <v>0</v>
      </c>
      <c r="I198" s="8">
        <f>COUNTIFS('All Papers'!$D:$D,"*"&amp;$A198&amp;"*",'All Papers'!$G:$G,"*"&amp;Table1[[#Headers],[SLA Management]]&amp;"*")</f>
        <v>0</v>
      </c>
      <c r="J198" s="8">
        <f>COUNTIFS('All Papers'!$D:$D,"*"&amp;$A198&amp;"*",'All Papers'!$G:$G,"*"&amp;Table1[[#Headers],[Big Data]]&amp;"*")</f>
        <v>0</v>
      </c>
      <c r="K198" s="8">
        <f>COUNTIFS('All Papers'!$D:$D,"*"&amp;$A198&amp;"*",'All Papers'!$G:$G,"*"&amp;Table1[[#Headers],[Energy Management]]&amp;"*")</f>
        <v>0</v>
      </c>
      <c r="L198" s="8">
        <f>COUNTIFS('All Papers'!$D:$D,"*"&amp;$A198&amp;"*",'All Papers'!$G:$G,"*"&amp;Table1[[#Headers],[Monitoring]]&amp;"*")</f>
        <v>0</v>
      </c>
      <c r="M198" s="8">
        <f>COUNTIFS('All Papers'!$D:$D,"*"&amp;$A198&amp;"*",'All Papers'!$G:$G,"*"&amp;Table1[[#Headers],[Pricing]]&amp;"*")</f>
        <v>0</v>
      </c>
    </row>
    <row r="199" spans="1:13" x14ac:dyDescent="0.25">
      <c r="A199" s="8" t="s">
        <v>2632</v>
      </c>
      <c r="B199" s="8">
        <f>COUNTIF('All Papers'!D:D,"*"&amp;Table1[[#This Row],[Name]]&amp;"*")</f>
        <v>2</v>
      </c>
      <c r="C199" s="8">
        <f>COUNTIFS('All Papers'!$D:$D,"*"&amp;$A199&amp;"*",'All Papers'!$G:$G,"*"&amp;Table1[[#Headers],[Composition]]&amp;"*")</f>
        <v>1</v>
      </c>
      <c r="D199" s="8">
        <f>COUNTIFS('All Papers'!$D:$D,"*"&amp;$A199&amp;"*",'All Papers'!$G:$G,"*"&amp;Table1[[#Headers],[Discovery]]&amp;"*")</f>
        <v>1</v>
      </c>
      <c r="E199" s="8">
        <f>COUNTIFS('All Papers'!$D:$D,"*"&amp;$A199&amp;"*",'All Papers'!$G:$G,"*"&amp;Table1[[#Headers],[Selection]]&amp;"*")</f>
        <v>1</v>
      </c>
      <c r="F199" s="8">
        <f>COUNTIFS('All Papers'!$D:$D,"*"&amp;$A199&amp;"*",'All Papers'!$G:$G,"*"&amp;Table1[[#Headers],[Recommendation]]&amp;"*")</f>
        <v>0</v>
      </c>
      <c r="G199" s="8">
        <f>COUNTIFS('All Papers'!$D:$D,"*"&amp;$A199&amp;"*",'All Papers'!$G:$G,"*"&amp;Table1[[#Headers],[Resource Management-CS]]&amp;"*")</f>
        <v>1</v>
      </c>
      <c r="H199" s="8">
        <f>COUNTIFS('All Papers'!$D:$D,"*"&amp;$A199&amp;"*",'All Papers'!$G:$G,"*"&amp;Table1[[#Headers],[Resource Management-PS]]&amp;"*")</f>
        <v>0</v>
      </c>
      <c r="I199" s="8">
        <f>COUNTIFS('All Papers'!$D:$D,"*"&amp;$A199&amp;"*",'All Papers'!$G:$G,"*"&amp;Table1[[#Headers],[SLA Management]]&amp;"*")</f>
        <v>0</v>
      </c>
      <c r="J199" s="8">
        <f>COUNTIFS('All Papers'!$D:$D,"*"&amp;$A199&amp;"*",'All Papers'!$G:$G,"*"&amp;Table1[[#Headers],[Big Data]]&amp;"*")</f>
        <v>0</v>
      </c>
      <c r="K199" s="8">
        <f>COUNTIFS('All Papers'!$D:$D,"*"&amp;$A199&amp;"*",'All Papers'!$G:$G,"*"&amp;Table1[[#Headers],[Energy Management]]&amp;"*")</f>
        <v>0</v>
      </c>
      <c r="L199" s="8">
        <f>COUNTIFS('All Papers'!$D:$D,"*"&amp;$A199&amp;"*",'All Papers'!$G:$G,"*"&amp;Table1[[#Headers],[Monitoring]]&amp;"*")</f>
        <v>0</v>
      </c>
      <c r="M199" s="8">
        <f>COUNTIFS('All Papers'!$D:$D,"*"&amp;$A199&amp;"*",'All Papers'!$G:$G,"*"&amp;Table1[[#Headers],[Pricing]]&amp;"*")</f>
        <v>0</v>
      </c>
    </row>
    <row r="200" spans="1:13" x14ac:dyDescent="0.25">
      <c r="A200" s="8" t="s">
        <v>2633</v>
      </c>
      <c r="B200" s="8">
        <f>COUNTIF('All Papers'!D:D,"*"&amp;Table1[[#This Row],[Name]]&amp;"*")</f>
        <v>2</v>
      </c>
      <c r="C200" s="8">
        <f>COUNTIFS('All Papers'!$D:$D,"*"&amp;$A200&amp;"*",'All Papers'!$G:$G,"*"&amp;Table1[[#Headers],[Composition]]&amp;"*")</f>
        <v>1</v>
      </c>
      <c r="D200" s="8">
        <f>COUNTIFS('All Papers'!$D:$D,"*"&amp;$A200&amp;"*",'All Papers'!$G:$G,"*"&amp;Table1[[#Headers],[Discovery]]&amp;"*")</f>
        <v>0</v>
      </c>
      <c r="E200" s="8">
        <f>COUNTIFS('All Papers'!$D:$D,"*"&amp;$A200&amp;"*",'All Papers'!$G:$G,"*"&amp;Table1[[#Headers],[Selection]]&amp;"*")</f>
        <v>0</v>
      </c>
      <c r="F200" s="8">
        <f>COUNTIFS('All Papers'!$D:$D,"*"&amp;$A200&amp;"*",'All Papers'!$G:$G,"*"&amp;Table1[[#Headers],[Recommendation]]&amp;"*")</f>
        <v>0</v>
      </c>
      <c r="G200" s="8">
        <f>COUNTIFS('All Papers'!$D:$D,"*"&amp;$A200&amp;"*",'All Papers'!$G:$G,"*"&amp;Table1[[#Headers],[Resource Management-CS]]&amp;"*")</f>
        <v>1</v>
      </c>
      <c r="H200" s="8">
        <f>COUNTIFS('All Papers'!$D:$D,"*"&amp;$A200&amp;"*",'All Papers'!$G:$G,"*"&amp;Table1[[#Headers],[Resource Management-PS]]&amp;"*")</f>
        <v>0</v>
      </c>
      <c r="I200" s="8">
        <f>COUNTIFS('All Papers'!$D:$D,"*"&amp;$A200&amp;"*",'All Papers'!$G:$G,"*"&amp;Table1[[#Headers],[SLA Management]]&amp;"*")</f>
        <v>0</v>
      </c>
      <c r="J200" s="8">
        <f>COUNTIFS('All Papers'!$D:$D,"*"&amp;$A200&amp;"*",'All Papers'!$G:$G,"*"&amp;Table1[[#Headers],[Big Data]]&amp;"*")</f>
        <v>0</v>
      </c>
      <c r="K200" s="8">
        <f>COUNTIFS('All Papers'!$D:$D,"*"&amp;$A200&amp;"*",'All Papers'!$G:$G,"*"&amp;Table1[[#Headers],[Energy Management]]&amp;"*")</f>
        <v>0</v>
      </c>
      <c r="L200" s="8">
        <f>COUNTIFS('All Papers'!$D:$D,"*"&amp;$A200&amp;"*",'All Papers'!$G:$G,"*"&amp;Table1[[#Headers],[Monitoring]]&amp;"*")</f>
        <v>0</v>
      </c>
      <c r="M200" s="8">
        <f>COUNTIFS('All Papers'!$D:$D,"*"&amp;$A200&amp;"*",'All Papers'!$G:$G,"*"&amp;Table1[[#Headers],[Pricing]]&amp;"*")</f>
        <v>0</v>
      </c>
    </row>
    <row r="201" spans="1:13" x14ac:dyDescent="0.25">
      <c r="A201" s="8" t="s">
        <v>2634</v>
      </c>
      <c r="B201" s="8">
        <f>COUNTIF('All Papers'!D:D,"*"&amp;Table1[[#This Row],[Name]]&amp;"*")</f>
        <v>2</v>
      </c>
      <c r="C201" s="8">
        <f>COUNTIFS('All Papers'!$D:$D,"*"&amp;$A201&amp;"*",'All Papers'!$G:$G,"*"&amp;Table1[[#Headers],[Composition]]&amp;"*")</f>
        <v>0</v>
      </c>
      <c r="D201" s="8">
        <f>COUNTIFS('All Papers'!$D:$D,"*"&amp;$A201&amp;"*",'All Papers'!$G:$G,"*"&amp;Table1[[#Headers],[Discovery]]&amp;"*")</f>
        <v>0</v>
      </c>
      <c r="E201" s="8">
        <f>COUNTIFS('All Papers'!$D:$D,"*"&amp;$A201&amp;"*",'All Papers'!$G:$G,"*"&amp;Table1[[#Headers],[Selection]]&amp;"*")</f>
        <v>0</v>
      </c>
      <c r="F201" s="8">
        <f>COUNTIFS('All Papers'!$D:$D,"*"&amp;$A201&amp;"*",'All Papers'!$G:$G,"*"&amp;Table1[[#Headers],[Recommendation]]&amp;"*")</f>
        <v>0</v>
      </c>
      <c r="G201" s="8">
        <f>COUNTIFS('All Papers'!$D:$D,"*"&amp;$A201&amp;"*",'All Papers'!$G:$G,"*"&amp;Table1[[#Headers],[Resource Management-CS]]&amp;"*")</f>
        <v>0</v>
      </c>
      <c r="H201" s="8">
        <f>COUNTIFS('All Papers'!$D:$D,"*"&amp;$A201&amp;"*",'All Papers'!$G:$G,"*"&amp;Table1[[#Headers],[Resource Management-PS]]&amp;"*")</f>
        <v>2</v>
      </c>
      <c r="I201" s="8">
        <f>COUNTIFS('All Papers'!$D:$D,"*"&amp;$A201&amp;"*",'All Papers'!$G:$G,"*"&amp;Table1[[#Headers],[SLA Management]]&amp;"*")</f>
        <v>0</v>
      </c>
      <c r="J201" s="8">
        <f>COUNTIFS('All Papers'!$D:$D,"*"&amp;$A201&amp;"*",'All Papers'!$G:$G,"*"&amp;Table1[[#Headers],[Big Data]]&amp;"*")</f>
        <v>0</v>
      </c>
      <c r="K201" s="8">
        <f>COUNTIFS('All Papers'!$D:$D,"*"&amp;$A201&amp;"*",'All Papers'!$G:$G,"*"&amp;Table1[[#Headers],[Energy Management]]&amp;"*")</f>
        <v>0</v>
      </c>
      <c r="L201" s="8">
        <f>COUNTIFS('All Papers'!$D:$D,"*"&amp;$A201&amp;"*",'All Papers'!$G:$G,"*"&amp;Table1[[#Headers],[Monitoring]]&amp;"*")</f>
        <v>0</v>
      </c>
      <c r="M201" s="8">
        <f>COUNTIFS('All Papers'!$D:$D,"*"&amp;$A201&amp;"*",'All Papers'!$G:$G,"*"&amp;Table1[[#Headers],[Pricing]]&amp;"*")</f>
        <v>0</v>
      </c>
    </row>
    <row r="202" spans="1:13" x14ac:dyDescent="0.25">
      <c r="A202" s="8" t="s">
        <v>2635</v>
      </c>
      <c r="B202" s="8">
        <f>COUNTIF('All Papers'!D:D,"*"&amp;Table1[[#This Row],[Name]]&amp;"*")</f>
        <v>2</v>
      </c>
      <c r="C202" s="8">
        <f>COUNTIFS('All Papers'!$D:$D,"*"&amp;$A202&amp;"*",'All Papers'!$G:$G,"*"&amp;Table1[[#Headers],[Composition]]&amp;"*")</f>
        <v>0</v>
      </c>
      <c r="D202" s="8">
        <f>COUNTIFS('All Papers'!$D:$D,"*"&amp;$A202&amp;"*",'All Papers'!$G:$G,"*"&amp;Table1[[#Headers],[Discovery]]&amp;"*")</f>
        <v>0</v>
      </c>
      <c r="E202" s="8">
        <f>COUNTIFS('All Papers'!$D:$D,"*"&amp;$A202&amp;"*",'All Papers'!$G:$G,"*"&amp;Table1[[#Headers],[Selection]]&amp;"*")</f>
        <v>1</v>
      </c>
      <c r="F202" s="8">
        <f>COUNTIFS('All Papers'!$D:$D,"*"&amp;$A202&amp;"*",'All Papers'!$G:$G,"*"&amp;Table1[[#Headers],[Recommendation]]&amp;"*")</f>
        <v>0</v>
      </c>
      <c r="G202" s="8">
        <f>COUNTIFS('All Papers'!$D:$D,"*"&amp;$A202&amp;"*",'All Papers'!$G:$G,"*"&amp;Table1[[#Headers],[Resource Management-CS]]&amp;"*")</f>
        <v>0</v>
      </c>
      <c r="H202" s="8">
        <f>COUNTIFS('All Papers'!$D:$D,"*"&amp;$A202&amp;"*",'All Papers'!$G:$G,"*"&amp;Table1[[#Headers],[Resource Management-PS]]&amp;"*")</f>
        <v>1</v>
      </c>
      <c r="I202" s="8">
        <f>COUNTIFS('All Papers'!$D:$D,"*"&amp;$A202&amp;"*",'All Papers'!$G:$G,"*"&amp;Table1[[#Headers],[SLA Management]]&amp;"*")</f>
        <v>0</v>
      </c>
      <c r="J202" s="8">
        <f>COUNTIFS('All Papers'!$D:$D,"*"&amp;$A202&amp;"*",'All Papers'!$G:$G,"*"&amp;Table1[[#Headers],[Big Data]]&amp;"*")</f>
        <v>0</v>
      </c>
      <c r="K202" s="8">
        <f>COUNTIFS('All Papers'!$D:$D,"*"&amp;$A202&amp;"*",'All Papers'!$G:$G,"*"&amp;Table1[[#Headers],[Energy Management]]&amp;"*")</f>
        <v>0</v>
      </c>
      <c r="L202" s="8">
        <f>COUNTIFS('All Papers'!$D:$D,"*"&amp;$A202&amp;"*",'All Papers'!$G:$G,"*"&amp;Table1[[#Headers],[Monitoring]]&amp;"*")</f>
        <v>0</v>
      </c>
      <c r="M202" s="8">
        <f>COUNTIFS('All Papers'!$D:$D,"*"&amp;$A202&amp;"*",'All Papers'!$G:$G,"*"&amp;Table1[[#Headers],[Pricing]]&amp;"*")</f>
        <v>0</v>
      </c>
    </row>
    <row r="203" spans="1:13" x14ac:dyDescent="0.25">
      <c r="A203" s="8" t="s">
        <v>2636</v>
      </c>
      <c r="B203" s="8">
        <f>COUNTIF('All Papers'!D:D,"*"&amp;Table1[[#This Row],[Name]]&amp;"*")</f>
        <v>2</v>
      </c>
      <c r="C203" s="8">
        <f>COUNTIFS('All Papers'!$D:$D,"*"&amp;$A203&amp;"*",'All Papers'!$G:$G,"*"&amp;Table1[[#Headers],[Composition]]&amp;"*")</f>
        <v>0</v>
      </c>
      <c r="D203" s="8">
        <f>COUNTIFS('All Papers'!$D:$D,"*"&amp;$A203&amp;"*",'All Papers'!$G:$G,"*"&amp;Table1[[#Headers],[Discovery]]&amp;"*")</f>
        <v>0</v>
      </c>
      <c r="E203" s="8">
        <f>COUNTIFS('All Papers'!$D:$D,"*"&amp;$A203&amp;"*",'All Papers'!$G:$G,"*"&amp;Table1[[#Headers],[Selection]]&amp;"*")</f>
        <v>1</v>
      </c>
      <c r="F203" s="8">
        <f>COUNTIFS('All Papers'!$D:$D,"*"&amp;$A203&amp;"*",'All Papers'!$G:$G,"*"&amp;Table1[[#Headers],[Recommendation]]&amp;"*")</f>
        <v>0</v>
      </c>
      <c r="G203" s="8">
        <f>COUNTIFS('All Papers'!$D:$D,"*"&amp;$A203&amp;"*",'All Papers'!$G:$G,"*"&amp;Table1[[#Headers],[Resource Management-CS]]&amp;"*")</f>
        <v>0</v>
      </c>
      <c r="H203" s="8">
        <f>COUNTIFS('All Papers'!$D:$D,"*"&amp;$A203&amp;"*",'All Papers'!$G:$G,"*"&amp;Table1[[#Headers],[Resource Management-PS]]&amp;"*")</f>
        <v>1</v>
      </c>
      <c r="I203" s="8">
        <f>COUNTIFS('All Papers'!$D:$D,"*"&amp;$A203&amp;"*",'All Papers'!$G:$G,"*"&amp;Table1[[#Headers],[SLA Management]]&amp;"*")</f>
        <v>0</v>
      </c>
      <c r="J203" s="8">
        <f>COUNTIFS('All Papers'!$D:$D,"*"&amp;$A203&amp;"*",'All Papers'!$G:$G,"*"&amp;Table1[[#Headers],[Big Data]]&amp;"*")</f>
        <v>0</v>
      </c>
      <c r="K203" s="8">
        <f>COUNTIFS('All Papers'!$D:$D,"*"&amp;$A203&amp;"*",'All Papers'!$G:$G,"*"&amp;Table1[[#Headers],[Energy Management]]&amp;"*")</f>
        <v>0</v>
      </c>
      <c r="L203" s="8">
        <f>COUNTIFS('All Papers'!$D:$D,"*"&amp;$A203&amp;"*",'All Papers'!$G:$G,"*"&amp;Table1[[#Headers],[Monitoring]]&amp;"*")</f>
        <v>0</v>
      </c>
      <c r="M203" s="8">
        <f>COUNTIFS('All Papers'!$D:$D,"*"&amp;$A203&amp;"*",'All Papers'!$G:$G,"*"&amp;Table1[[#Headers],[Pricing]]&amp;"*")</f>
        <v>0</v>
      </c>
    </row>
    <row r="204" spans="1:13" x14ac:dyDescent="0.25">
      <c r="A204" s="8" t="s">
        <v>2637</v>
      </c>
      <c r="B204" s="8">
        <f>COUNTIF('All Papers'!D:D,"*"&amp;Table1[[#This Row],[Name]]&amp;"*")</f>
        <v>2</v>
      </c>
      <c r="C204" s="8">
        <f>COUNTIFS('All Papers'!$D:$D,"*"&amp;$A204&amp;"*",'All Papers'!$G:$G,"*"&amp;Table1[[#Headers],[Composition]]&amp;"*")</f>
        <v>0</v>
      </c>
      <c r="D204" s="8">
        <f>COUNTIFS('All Papers'!$D:$D,"*"&amp;$A204&amp;"*",'All Papers'!$G:$G,"*"&amp;Table1[[#Headers],[Discovery]]&amp;"*")</f>
        <v>0</v>
      </c>
      <c r="E204" s="8">
        <f>COUNTIFS('All Papers'!$D:$D,"*"&amp;$A204&amp;"*",'All Papers'!$G:$G,"*"&amp;Table1[[#Headers],[Selection]]&amp;"*")</f>
        <v>1</v>
      </c>
      <c r="F204" s="8">
        <f>COUNTIFS('All Papers'!$D:$D,"*"&amp;$A204&amp;"*",'All Papers'!$G:$G,"*"&amp;Table1[[#Headers],[Recommendation]]&amp;"*")</f>
        <v>0</v>
      </c>
      <c r="G204" s="8">
        <f>COUNTIFS('All Papers'!$D:$D,"*"&amp;$A204&amp;"*",'All Papers'!$G:$G,"*"&amp;Table1[[#Headers],[Resource Management-CS]]&amp;"*")</f>
        <v>0</v>
      </c>
      <c r="H204" s="8">
        <f>COUNTIFS('All Papers'!$D:$D,"*"&amp;$A204&amp;"*",'All Papers'!$G:$G,"*"&amp;Table1[[#Headers],[Resource Management-PS]]&amp;"*")</f>
        <v>1</v>
      </c>
      <c r="I204" s="8">
        <f>COUNTIFS('All Papers'!$D:$D,"*"&amp;$A204&amp;"*",'All Papers'!$G:$G,"*"&amp;Table1[[#Headers],[SLA Management]]&amp;"*")</f>
        <v>0</v>
      </c>
      <c r="J204" s="8">
        <f>COUNTIFS('All Papers'!$D:$D,"*"&amp;$A204&amp;"*",'All Papers'!$G:$G,"*"&amp;Table1[[#Headers],[Big Data]]&amp;"*")</f>
        <v>0</v>
      </c>
      <c r="K204" s="8">
        <f>COUNTIFS('All Papers'!$D:$D,"*"&amp;$A204&amp;"*",'All Papers'!$G:$G,"*"&amp;Table1[[#Headers],[Energy Management]]&amp;"*")</f>
        <v>0</v>
      </c>
      <c r="L204" s="8">
        <f>COUNTIFS('All Papers'!$D:$D,"*"&amp;$A204&amp;"*",'All Papers'!$G:$G,"*"&amp;Table1[[#Headers],[Monitoring]]&amp;"*")</f>
        <v>0</v>
      </c>
      <c r="M204" s="8">
        <f>COUNTIFS('All Papers'!$D:$D,"*"&amp;$A204&amp;"*",'All Papers'!$G:$G,"*"&amp;Table1[[#Headers],[Pricing]]&amp;"*")</f>
        <v>0</v>
      </c>
    </row>
    <row r="205" spans="1:13" x14ac:dyDescent="0.25">
      <c r="A205" s="8" t="s">
        <v>2638</v>
      </c>
      <c r="B205" s="8">
        <f>COUNTIF('All Papers'!D:D,"*"&amp;Table1[[#This Row],[Name]]&amp;"*")</f>
        <v>2</v>
      </c>
      <c r="C205" s="8">
        <f>COUNTIFS('All Papers'!$D:$D,"*"&amp;$A205&amp;"*",'All Papers'!$G:$G,"*"&amp;Table1[[#Headers],[Composition]]&amp;"*")</f>
        <v>0</v>
      </c>
      <c r="D205" s="8">
        <f>COUNTIFS('All Papers'!$D:$D,"*"&amp;$A205&amp;"*",'All Papers'!$G:$G,"*"&amp;Table1[[#Headers],[Discovery]]&amp;"*")</f>
        <v>0</v>
      </c>
      <c r="E205" s="8">
        <f>COUNTIFS('All Papers'!$D:$D,"*"&amp;$A205&amp;"*",'All Papers'!$G:$G,"*"&amp;Table1[[#Headers],[Selection]]&amp;"*")</f>
        <v>0</v>
      </c>
      <c r="F205" s="8">
        <f>COUNTIFS('All Papers'!$D:$D,"*"&amp;$A205&amp;"*",'All Papers'!$G:$G,"*"&amp;Table1[[#Headers],[Recommendation]]&amp;"*")</f>
        <v>0</v>
      </c>
      <c r="G205" s="8">
        <f>COUNTIFS('All Papers'!$D:$D,"*"&amp;$A205&amp;"*",'All Papers'!$G:$G,"*"&amp;Table1[[#Headers],[Resource Management-CS]]&amp;"*")</f>
        <v>2</v>
      </c>
      <c r="H205" s="8">
        <f>COUNTIFS('All Papers'!$D:$D,"*"&amp;$A205&amp;"*",'All Papers'!$G:$G,"*"&amp;Table1[[#Headers],[Resource Management-PS]]&amp;"*")</f>
        <v>0</v>
      </c>
      <c r="I205" s="8">
        <f>COUNTIFS('All Papers'!$D:$D,"*"&amp;$A205&amp;"*",'All Papers'!$G:$G,"*"&amp;Table1[[#Headers],[SLA Management]]&amp;"*")</f>
        <v>0</v>
      </c>
      <c r="J205" s="8">
        <f>COUNTIFS('All Papers'!$D:$D,"*"&amp;$A205&amp;"*",'All Papers'!$G:$G,"*"&amp;Table1[[#Headers],[Big Data]]&amp;"*")</f>
        <v>0</v>
      </c>
      <c r="K205" s="8">
        <f>COUNTIFS('All Papers'!$D:$D,"*"&amp;$A205&amp;"*",'All Papers'!$G:$G,"*"&amp;Table1[[#Headers],[Energy Management]]&amp;"*")</f>
        <v>0</v>
      </c>
      <c r="L205" s="8">
        <f>COUNTIFS('All Papers'!$D:$D,"*"&amp;$A205&amp;"*",'All Papers'!$G:$G,"*"&amp;Table1[[#Headers],[Monitoring]]&amp;"*")</f>
        <v>0</v>
      </c>
      <c r="M205" s="8">
        <f>COUNTIFS('All Papers'!$D:$D,"*"&amp;$A205&amp;"*",'All Papers'!$G:$G,"*"&amp;Table1[[#Headers],[Pricing]]&amp;"*")</f>
        <v>0</v>
      </c>
    </row>
    <row r="206" spans="1:13" x14ac:dyDescent="0.25">
      <c r="A206" s="8" t="s">
        <v>2639</v>
      </c>
      <c r="B206" s="8">
        <f>COUNTIF('All Papers'!D:D,"*"&amp;Table1[[#This Row],[Name]]&amp;"*")</f>
        <v>2</v>
      </c>
      <c r="C206" s="8">
        <f>COUNTIFS('All Papers'!$D:$D,"*"&amp;$A206&amp;"*",'All Papers'!$G:$G,"*"&amp;Table1[[#Headers],[Composition]]&amp;"*")</f>
        <v>0</v>
      </c>
      <c r="D206" s="8">
        <f>COUNTIFS('All Papers'!$D:$D,"*"&amp;$A206&amp;"*",'All Papers'!$G:$G,"*"&amp;Table1[[#Headers],[Discovery]]&amp;"*")</f>
        <v>0</v>
      </c>
      <c r="E206" s="8">
        <f>COUNTIFS('All Papers'!$D:$D,"*"&amp;$A206&amp;"*",'All Papers'!$G:$G,"*"&amp;Table1[[#Headers],[Selection]]&amp;"*")</f>
        <v>0</v>
      </c>
      <c r="F206" s="8">
        <f>COUNTIFS('All Papers'!$D:$D,"*"&amp;$A206&amp;"*",'All Papers'!$G:$G,"*"&amp;Table1[[#Headers],[Recommendation]]&amp;"*")</f>
        <v>0</v>
      </c>
      <c r="G206" s="8">
        <f>COUNTIFS('All Papers'!$D:$D,"*"&amp;$A206&amp;"*",'All Papers'!$G:$G,"*"&amp;Table1[[#Headers],[Resource Management-CS]]&amp;"*")</f>
        <v>2</v>
      </c>
      <c r="H206" s="8">
        <f>COUNTIFS('All Papers'!$D:$D,"*"&amp;$A206&amp;"*",'All Papers'!$G:$G,"*"&amp;Table1[[#Headers],[Resource Management-PS]]&amp;"*")</f>
        <v>0</v>
      </c>
      <c r="I206" s="8">
        <f>COUNTIFS('All Papers'!$D:$D,"*"&amp;$A206&amp;"*",'All Papers'!$G:$G,"*"&amp;Table1[[#Headers],[SLA Management]]&amp;"*")</f>
        <v>0</v>
      </c>
      <c r="J206" s="8">
        <f>COUNTIFS('All Papers'!$D:$D,"*"&amp;$A206&amp;"*",'All Papers'!$G:$G,"*"&amp;Table1[[#Headers],[Big Data]]&amp;"*")</f>
        <v>0</v>
      </c>
      <c r="K206" s="8">
        <f>COUNTIFS('All Papers'!$D:$D,"*"&amp;$A206&amp;"*",'All Papers'!$G:$G,"*"&amp;Table1[[#Headers],[Energy Management]]&amp;"*")</f>
        <v>0</v>
      </c>
      <c r="L206" s="8">
        <f>COUNTIFS('All Papers'!$D:$D,"*"&amp;$A206&amp;"*",'All Papers'!$G:$G,"*"&amp;Table1[[#Headers],[Monitoring]]&amp;"*")</f>
        <v>0</v>
      </c>
      <c r="M206" s="8">
        <f>COUNTIFS('All Papers'!$D:$D,"*"&amp;$A206&amp;"*",'All Papers'!$G:$G,"*"&amp;Table1[[#Headers],[Pricing]]&amp;"*")</f>
        <v>0</v>
      </c>
    </row>
    <row r="207" spans="1:13" x14ac:dyDescent="0.25">
      <c r="A207" s="8" t="s">
        <v>2640</v>
      </c>
      <c r="B207" s="8">
        <f>COUNTIF('All Papers'!D:D,"*"&amp;Table1[[#This Row],[Name]]&amp;"*")</f>
        <v>2</v>
      </c>
      <c r="C207" s="8">
        <f>COUNTIFS('All Papers'!$D:$D,"*"&amp;$A207&amp;"*",'All Papers'!$G:$G,"*"&amp;Table1[[#Headers],[Composition]]&amp;"*")</f>
        <v>0</v>
      </c>
      <c r="D207" s="8">
        <f>COUNTIFS('All Papers'!$D:$D,"*"&amp;$A207&amp;"*",'All Papers'!$G:$G,"*"&amp;Table1[[#Headers],[Discovery]]&amp;"*")</f>
        <v>0</v>
      </c>
      <c r="E207" s="8">
        <f>COUNTIFS('All Papers'!$D:$D,"*"&amp;$A207&amp;"*",'All Papers'!$G:$G,"*"&amp;Table1[[#Headers],[Selection]]&amp;"*")</f>
        <v>0</v>
      </c>
      <c r="F207" s="8">
        <f>COUNTIFS('All Papers'!$D:$D,"*"&amp;$A207&amp;"*",'All Papers'!$G:$G,"*"&amp;Table1[[#Headers],[Recommendation]]&amp;"*")</f>
        <v>0</v>
      </c>
      <c r="G207" s="8">
        <f>COUNTIFS('All Papers'!$D:$D,"*"&amp;$A207&amp;"*",'All Papers'!$G:$G,"*"&amp;Table1[[#Headers],[Resource Management-CS]]&amp;"*")</f>
        <v>2</v>
      </c>
      <c r="H207" s="8">
        <f>COUNTIFS('All Papers'!$D:$D,"*"&amp;$A207&amp;"*",'All Papers'!$G:$G,"*"&amp;Table1[[#Headers],[Resource Management-PS]]&amp;"*")</f>
        <v>0</v>
      </c>
      <c r="I207" s="8">
        <f>COUNTIFS('All Papers'!$D:$D,"*"&amp;$A207&amp;"*",'All Papers'!$G:$G,"*"&amp;Table1[[#Headers],[SLA Management]]&amp;"*")</f>
        <v>0</v>
      </c>
      <c r="J207" s="8">
        <f>COUNTIFS('All Papers'!$D:$D,"*"&amp;$A207&amp;"*",'All Papers'!$G:$G,"*"&amp;Table1[[#Headers],[Big Data]]&amp;"*")</f>
        <v>0</v>
      </c>
      <c r="K207" s="8">
        <f>COUNTIFS('All Papers'!$D:$D,"*"&amp;$A207&amp;"*",'All Papers'!$G:$G,"*"&amp;Table1[[#Headers],[Energy Management]]&amp;"*")</f>
        <v>0</v>
      </c>
      <c r="L207" s="8">
        <f>COUNTIFS('All Papers'!$D:$D,"*"&amp;$A207&amp;"*",'All Papers'!$G:$G,"*"&amp;Table1[[#Headers],[Monitoring]]&amp;"*")</f>
        <v>0</v>
      </c>
      <c r="M207" s="8">
        <f>COUNTIFS('All Papers'!$D:$D,"*"&amp;$A207&amp;"*",'All Papers'!$G:$G,"*"&amp;Table1[[#Headers],[Pricing]]&amp;"*")</f>
        <v>0</v>
      </c>
    </row>
    <row r="208" spans="1:13" x14ac:dyDescent="0.25">
      <c r="A208" s="8" t="s">
        <v>2641</v>
      </c>
      <c r="B208" s="8">
        <f>COUNTIF('All Papers'!D:D,"*"&amp;Table1[[#This Row],[Name]]&amp;"*")</f>
        <v>2</v>
      </c>
      <c r="C208" s="8">
        <f>COUNTIFS('All Papers'!$D:$D,"*"&amp;$A208&amp;"*",'All Papers'!$G:$G,"*"&amp;Table1[[#Headers],[Composition]]&amp;"*")</f>
        <v>0</v>
      </c>
      <c r="D208" s="8">
        <f>COUNTIFS('All Papers'!$D:$D,"*"&amp;$A208&amp;"*",'All Papers'!$G:$G,"*"&amp;Table1[[#Headers],[Discovery]]&amp;"*")</f>
        <v>0</v>
      </c>
      <c r="E208" s="8">
        <f>COUNTIFS('All Papers'!$D:$D,"*"&amp;$A208&amp;"*",'All Papers'!$G:$G,"*"&amp;Table1[[#Headers],[Selection]]&amp;"*")</f>
        <v>0</v>
      </c>
      <c r="F208" s="8">
        <f>COUNTIFS('All Papers'!$D:$D,"*"&amp;$A208&amp;"*",'All Papers'!$G:$G,"*"&amp;Table1[[#Headers],[Recommendation]]&amp;"*")</f>
        <v>0</v>
      </c>
      <c r="G208" s="8">
        <f>COUNTIFS('All Papers'!$D:$D,"*"&amp;$A208&amp;"*",'All Papers'!$G:$G,"*"&amp;Table1[[#Headers],[Resource Management-CS]]&amp;"*")</f>
        <v>2</v>
      </c>
      <c r="H208" s="8">
        <f>COUNTIFS('All Papers'!$D:$D,"*"&amp;$A208&amp;"*",'All Papers'!$G:$G,"*"&amp;Table1[[#Headers],[Resource Management-PS]]&amp;"*")</f>
        <v>0</v>
      </c>
      <c r="I208" s="8">
        <f>COUNTIFS('All Papers'!$D:$D,"*"&amp;$A208&amp;"*",'All Papers'!$G:$G,"*"&amp;Table1[[#Headers],[SLA Management]]&amp;"*")</f>
        <v>0</v>
      </c>
      <c r="J208" s="8">
        <f>COUNTIFS('All Papers'!$D:$D,"*"&amp;$A208&amp;"*",'All Papers'!$G:$G,"*"&amp;Table1[[#Headers],[Big Data]]&amp;"*")</f>
        <v>0</v>
      </c>
      <c r="K208" s="8">
        <f>COUNTIFS('All Papers'!$D:$D,"*"&amp;$A208&amp;"*",'All Papers'!$G:$G,"*"&amp;Table1[[#Headers],[Energy Management]]&amp;"*")</f>
        <v>0</v>
      </c>
      <c r="L208" s="8">
        <f>COUNTIFS('All Papers'!$D:$D,"*"&amp;$A208&amp;"*",'All Papers'!$G:$G,"*"&amp;Table1[[#Headers],[Monitoring]]&amp;"*")</f>
        <v>0</v>
      </c>
      <c r="M208" s="8">
        <f>COUNTIFS('All Papers'!$D:$D,"*"&amp;$A208&amp;"*",'All Papers'!$G:$G,"*"&amp;Table1[[#Headers],[Pricing]]&amp;"*")</f>
        <v>0</v>
      </c>
    </row>
    <row r="209" spans="1:13" x14ac:dyDescent="0.25">
      <c r="A209" s="8" t="s">
        <v>2642</v>
      </c>
      <c r="B209" s="8">
        <f>COUNTIF('All Papers'!D:D,"*"&amp;Table1[[#This Row],[Name]]&amp;"*")</f>
        <v>2</v>
      </c>
      <c r="C209" s="8">
        <f>COUNTIFS('All Papers'!$D:$D,"*"&amp;$A209&amp;"*",'All Papers'!$G:$G,"*"&amp;Table1[[#Headers],[Composition]]&amp;"*")</f>
        <v>0</v>
      </c>
      <c r="D209" s="8">
        <f>COUNTIFS('All Papers'!$D:$D,"*"&amp;$A209&amp;"*",'All Papers'!$G:$G,"*"&amp;Table1[[#Headers],[Discovery]]&amp;"*")</f>
        <v>0</v>
      </c>
      <c r="E209" s="8">
        <f>COUNTIFS('All Papers'!$D:$D,"*"&amp;$A209&amp;"*",'All Papers'!$G:$G,"*"&amp;Table1[[#Headers],[Selection]]&amp;"*")</f>
        <v>0</v>
      </c>
      <c r="F209" s="8">
        <f>COUNTIFS('All Papers'!$D:$D,"*"&amp;$A209&amp;"*",'All Papers'!$G:$G,"*"&amp;Table1[[#Headers],[Recommendation]]&amp;"*")</f>
        <v>0</v>
      </c>
      <c r="G209" s="8">
        <f>COUNTIFS('All Papers'!$D:$D,"*"&amp;$A209&amp;"*",'All Papers'!$G:$G,"*"&amp;Table1[[#Headers],[Resource Management-CS]]&amp;"*")</f>
        <v>2</v>
      </c>
      <c r="H209" s="8">
        <f>COUNTIFS('All Papers'!$D:$D,"*"&amp;$A209&amp;"*",'All Papers'!$G:$G,"*"&amp;Table1[[#Headers],[Resource Management-PS]]&amp;"*")</f>
        <v>0</v>
      </c>
      <c r="I209" s="8">
        <f>COUNTIFS('All Papers'!$D:$D,"*"&amp;$A209&amp;"*",'All Papers'!$G:$G,"*"&amp;Table1[[#Headers],[SLA Management]]&amp;"*")</f>
        <v>0</v>
      </c>
      <c r="J209" s="8">
        <f>COUNTIFS('All Papers'!$D:$D,"*"&amp;$A209&amp;"*",'All Papers'!$G:$G,"*"&amp;Table1[[#Headers],[Big Data]]&amp;"*")</f>
        <v>0</v>
      </c>
      <c r="K209" s="8">
        <f>COUNTIFS('All Papers'!$D:$D,"*"&amp;$A209&amp;"*",'All Papers'!$G:$G,"*"&amp;Table1[[#Headers],[Energy Management]]&amp;"*")</f>
        <v>0</v>
      </c>
      <c r="L209" s="8">
        <f>COUNTIFS('All Papers'!$D:$D,"*"&amp;$A209&amp;"*",'All Papers'!$G:$G,"*"&amp;Table1[[#Headers],[Monitoring]]&amp;"*")</f>
        <v>0</v>
      </c>
      <c r="M209" s="8">
        <f>COUNTIFS('All Papers'!$D:$D,"*"&amp;$A209&amp;"*",'All Papers'!$G:$G,"*"&amp;Table1[[#Headers],[Pricing]]&amp;"*")</f>
        <v>0</v>
      </c>
    </row>
    <row r="210" spans="1:13" x14ac:dyDescent="0.25">
      <c r="A210" s="8" t="s">
        <v>2643</v>
      </c>
      <c r="B210" s="8">
        <f>COUNTIF('All Papers'!D:D,"*"&amp;Table1[[#This Row],[Name]]&amp;"*")</f>
        <v>2</v>
      </c>
      <c r="C210" s="8">
        <f>COUNTIFS('All Papers'!$D:$D,"*"&amp;$A210&amp;"*",'All Papers'!$G:$G,"*"&amp;Table1[[#Headers],[Composition]]&amp;"*")</f>
        <v>0</v>
      </c>
      <c r="D210" s="8">
        <f>COUNTIFS('All Papers'!$D:$D,"*"&amp;$A210&amp;"*",'All Papers'!$G:$G,"*"&amp;Table1[[#Headers],[Discovery]]&amp;"*")</f>
        <v>0</v>
      </c>
      <c r="E210" s="8">
        <f>COUNTIFS('All Papers'!$D:$D,"*"&amp;$A210&amp;"*",'All Papers'!$G:$G,"*"&amp;Table1[[#Headers],[Selection]]&amp;"*")</f>
        <v>0</v>
      </c>
      <c r="F210" s="8">
        <f>COUNTIFS('All Papers'!$D:$D,"*"&amp;$A210&amp;"*",'All Papers'!$G:$G,"*"&amp;Table1[[#Headers],[Recommendation]]&amp;"*")</f>
        <v>0</v>
      </c>
      <c r="G210" s="8">
        <f>COUNTIFS('All Papers'!$D:$D,"*"&amp;$A210&amp;"*",'All Papers'!$G:$G,"*"&amp;Table1[[#Headers],[Resource Management-CS]]&amp;"*")</f>
        <v>1</v>
      </c>
      <c r="H210" s="8">
        <f>COUNTIFS('All Papers'!$D:$D,"*"&amp;$A210&amp;"*",'All Papers'!$G:$G,"*"&amp;Table1[[#Headers],[Resource Management-PS]]&amp;"*")</f>
        <v>0</v>
      </c>
      <c r="I210" s="8">
        <f>COUNTIFS('All Papers'!$D:$D,"*"&amp;$A210&amp;"*",'All Papers'!$G:$G,"*"&amp;Table1[[#Headers],[SLA Management]]&amp;"*")</f>
        <v>0</v>
      </c>
      <c r="J210" s="8">
        <f>COUNTIFS('All Papers'!$D:$D,"*"&amp;$A210&amp;"*",'All Papers'!$G:$G,"*"&amp;Table1[[#Headers],[Big Data]]&amp;"*")</f>
        <v>0</v>
      </c>
      <c r="K210" s="8">
        <f>COUNTIFS('All Papers'!$D:$D,"*"&amp;$A210&amp;"*",'All Papers'!$G:$G,"*"&amp;Table1[[#Headers],[Energy Management]]&amp;"*")</f>
        <v>0</v>
      </c>
      <c r="L210" s="8">
        <f>COUNTIFS('All Papers'!$D:$D,"*"&amp;$A210&amp;"*",'All Papers'!$G:$G,"*"&amp;Table1[[#Headers],[Monitoring]]&amp;"*")</f>
        <v>0</v>
      </c>
      <c r="M210" s="8">
        <f>COUNTIFS('All Papers'!$D:$D,"*"&amp;$A210&amp;"*",'All Papers'!$G:$G,"*"&amp;Table1[[#Headers],[Pricing]]&amp;"*")</f>
        <v>1</v>
      </c>
    </row>
    <row r="211" spans="1:13" x14ac:dyDescent="0.25">
      <c r="A211" s="8" t="s">
        <v>2644</v>
      </c>
      <c r="B211" s="8">
        <f>COUNTIF('All Papers'!D:D,"*"&amp;Table1[[#This Row],[Name]]&amp;"*")</f>
        <v>2</v>
      </c>
      <c r="C211" s="8">
        <f>COUNTIFS('All Papers'!$D:$D,"*"&amp;$A211&amp;"*",'All Papers'!$G:$G,"*"&amp;Table1[[#Headers],[Composition]]&amp;"*")</f>
        <v>0</v>
      </c>
      <c r="D211" s="8">
        <f>COUNTIFS('All Papers'!$D:$D,"*"&amp;$A211&amp;"*",'All Papers'!$G:$G,"*"&amp;Table1[[#Headers],[Discovery]]&amp;"*")</f>
        <v>0</v>
      </c>
      <c r="E211" s="8">
        <f>COUNTIFS('All Papers'!$D:$D,"*"&amp;$A211&amp;"*",'All Papers'!$G:$G,"*"&amp;Table1[[#Headers],[Selection]]&amp;"*")</f>
        <v>2</v>
      </c>
      <c r="F211" s="8">
        <f>COUNTIFS('All Papers'!$D:$D,"*"&amp;$A211&amp;"*",'All Papers'!$G:$G,"*"&amp;Table1[[#Headers],[Recommendation]]&amp;"*")</f>
        <v>0</v>
      </c>
      <c r="G211" s="8">
        <f>COUNTIFS('All Papers'!$D:$D,"*"&amp;$A211&amp;"*",'All Papers'!$G:$G,"*"&amp;Table1[[#Headers],[Resource Management-CS]]&amp;"*")</f>
        <v>0</v>
      </c>
      <c r="H211" s="8">
        <f>COUNTIFS('All Papers'!$D:$D,"*"&amp;$A211&amp;"*",'All Papers'!$G:$G,"*"&amp;Table1[[#Headers],[Resource Management-PS]]&amp;"*")</f>
        <v>0</v>
      </c>
      <c r="I211" s="8">
        <f>COUNTIFS('All Papers'!$D:$D,"*"&amp;$A211&amp;"*",'All Papers'!$G:$G,"*"&amp;Table1[[#Headers],[SLA Management]]&amp;"*")</f>
        <v>0</v>
      </c>
      <c r="J211" s="8">
        <f>COUNTIFS('All Papers'!$D:$D,"*"&amp;$A211&amp;"*",'All Papers'!$G:$G,"*"&amp;Table1[[#Headers],[Big Data]]&amp;"*")</f>
        <v>0</v>
      </c>
      <c r="K211" s="8">
        <f>COUNTIFS('All Papers'!$D:$D,"*"&amp;$A211&amp;"*",'All Papers'!$G:$G,"*"&amp;Table1[[#Headers],[Energy Management]]&amp;"*")</f>
        <v>0</v>
      </c>
      <c r="L211" s="8">
        <f>COUNTIFS('All Papers'!$D:$D,"*"&amp;$A211&amp;"*",'All Papers'!$G:$G,"*"&amp;Table1[[#Headers],[Monitoring]]&amp;"*")</f>
        <v>0</v>
      </c>
      <c r="M211" s="8">
        <f>COUNTIFS('All Papers'!$D:$D,"*"&amp;$A211&amp;"*",'All Papers'!$G:$G,"*"&amp;Table1[[#Headers],[Pricing]]&amp;"*")</f>
        <v>0</v>
      </c>
    </row>
    <row r="212" spans="1:13" x14ac:dyDescent="0.25">
      <c r="A212" s="8" t="s">
        <v>2645</v>
      </c>
      <c r="B212" s="8">
        <f>COUNTIF('All Papers'!D:D,"*"&amp;Table1[[#This Row],[Name]]&amp;"*")</f>
        <v>2</v>
      </c>
      <c r="C212" s="8">
        <f>COUNTIFS('All Papers'!$D:$D,"*"&amp;$A212&amp;"*",'All Papers'!$G:$G,"*"&amp;Table1[[#Headers],[Composition]]&amp;"*")</f>
        <v>0</v>
      </c>
      <c r="D212" s="8">
        <f>COUNTIFS('All Papers'!$D:$D,"*"&amp;$A212&amp;"*",'All Papers'!$G:$G,"*"&amp;Table1[[#Headers],[Discovery]]&amp;"*")</f>
        <v>0</v>
      </c>
      <c r="E212" s="8">
        <f>COUNTIFS('All Papers'!$D:$D,"*"&amp;$A212&amp;"*",'All Papers'!$G:$G,"*"&amp;Table1[[#Headers],[Selection]]&amp;"*")</f>
        <v>2</v>
      </c>
      <c r="F212" s="8">
        <f>COUNTIFS('All Papers'!$D:$D,"*"&amp;$A212&amp;"*",'All Papers'!$G:$G,"*"&amp;Table1[[#Headers],[Recommendation]]&amp;"*")</f>
        <v>1</v>
      </c>
      <c r="G212" s="8">
        <f>COUNTIFS('All Papers'!$D:$D,"*"&amp;$A212&amp;"*",'All Papers'!$G:$G,"*"&amp;Table1[[#Headers],[Resource Management-CS]]&amp;"*")</f>
        <v>0</v>
      </c>
      <c r="H212" s="8">
        <f>COUNTIFS('All Papers'!$D:$D,"*"&amp;$A212&amp;"*",'All Papers'!$G:$G,"*"&amp;Table1[[#Headers],[Resource Management-PS]]&amp;"*")</f>
        <v>0</v>
      </c>
      <c r="I212" s="8">
        <f>COUNTIFS('All Papers'!$D:$D,"*"&amp;$A212&amp;"*",'All Papers'!$G:$G,"*"&amp;Table1[[#Headers],[SLA Management]]&amp;"*")</f>
        <v>0</v>
      </c>
      <c r="J212" s="8">
        <f>COUNTIFS('All Papers'!$D:$D,"*"&amp;$A212&amp;"*",'All Papers'!$G:$G,"*"&amp;Table1[[#Headers],[Big Data]]&amp;"*")</f>
        <v>0</v>
      </c>
      <c r="K212" s="8">
        <f>COUNTIFS('All Papers'!$D:$D,"*"&amp;$A212&amp;"*",'All Papers'!$G:$G,"*"&amp;Table1[[#Headers],[Energy Management]]&amp;"*")</f>
        <v>0</v>
      </c>
      <c r="L212" s="8">
        <f>COUNTIFS('All Papers'!$D:$D,"*"&amp;$A212&amp;"*",'All Papers'!$G:$G,"*"&amp;Table1[[#Headers],[Monitoring]]&amp;"*")</f>
        <v>0</v>
      </c>
      <c r="M212" s="8">
        <f>COUNTIFS('All Papers'!$D:$D,"*"&amp;$A212&amp;"*",'All Papers'!$G:$G,"*"&amp;Table1[[#Headers],[Pricing]]&amp;"*")</f>
        <v>0</v>
      </c>
    </row>
    <row r="213" spans="1:13" x14ac:dyDescent="0.25">
      <c r="A213" s="8" t="s">
        <v>2646</v>
      </c>
      <c r="B213" s="8">
        <f>COUNTIF('All Papers'!D:D,"*"&amp;Table1[[#This Row],[Name]]&amp;"*")</f>
        <v>2</v>
      </c>
      <c r="C213" s="8">
        <f>COUNTIFS('All Papers'!$D:$D,"*"&amp;$A213&amp;"*",'All Papers'!$G:$G,"*"&amp;Table1[[#Headers],[Composition]]&amp;"*")</f>
        <v>0</v>
      </c>
      <c r="D213" s="8">
        <f>COUNTIFS('All Papers'!$D:$D,"*"&amp;$A213&amp;"*",'All Papers'!$G:$G,"*"&amp;Table1[[#Headers],[Discovery]]&amp;"*")</f>
        <v>0</v>
      </c>
      <c r="E213" s="8">
        <f>COUNTIFS('All Papers'!$D:$D,"*"&amp;$A213&amp;"*",'All Papers'!$G:$G,"*"&amp;Table1[[#Headers],[Selection]]&amp;"*")</f>
        <v>2</v>
      </c>
      <c r="F213" s="8">
        <f>COUNTIFS('All Papers'!$D:$D,"*"&amp;$A213&amp;"*",'All Papers'!$G:$G,"*"&amp;Table1[[#Headers],[Recommendation]]&amp;"*")</f>
        <v>1</v>
      </c>
      <c r="G213" s="8">
        <f>COUNTIFS('All Papers'!$D:$D,"*"&amp;$A213&amp;"*",'All Papers'!$G:$G,"*"&amp;Table1[[#Headers],[Resource Management-CS]]&amp;"*")</f>
        <v>0</v>
      </c>
      <c r="H213" s="8">
        <f>COUNTIFS('All Papers'!$D:$D,"*"&amp;$A213&amp;"*",'All Papers'!$G:$G,"*"&amp;Table1[[#Headers],[Resource Management-PS]]&amp;"*")</f>
        <v>0</v>
      </c>
      <c r="I213" s="8">
        <f>COUNTIFS('All Papers'!$D:$D,"*"&amp;$A213&amp;"*",'All Papers'!$G:$G,"*"&amp;Table1[[#Headers],[SLA Management]]&amp;"*")</f>
        <v>0</v>
      </c>
      <c r="J213" s="8">
        <f>COUNTIFS('All Papers'!$D:$D,"*"&amp;$A213&amp;"*",'All Papers'!$G:$G,"*"&amp;Table1[[#Headers],[Big Data]]&amp;"*")</f>
        <v>0</v>
      </c>
      <c r="K213" s="8">
        <f>COUNTIFS('All Papers'!$D:$D,"*"&amp;$A213&amp;"*",'All Papers'!$G:$G,"*"&amp;Table1[[#Headers],[Energy Management]]&amp;"*")</f>
        <v>0</v>
      </c>
      <c r="L213" s="8">
        <f>COUNTIFS('All Papers'!$D:$D,"*"&amp;$A213&amp;"*",'All Papers'!$G:$G,"*"&amp;Table1[[#Headers],[Monitoring]]&amp;"*")</f>
        <v>0</v>
      </c>
      <c r="M213" s="8">
        <f>COUNTIFS('All Papers'!$D:$D,"*"&amp;$A213&amp;"*",'All Papers'!$G:$G,"*"&amp;Table1[[#Headers],[Pricing]]&amp;"*")</f>
        <v>0</v>
      </c>
    </row>
    <row r="214" spans="1:13" x14ac:dyDescent="0.25">
      <c r="A214" s="8" t="s">
        <v>2647</v>
      </c>
      <c r="B214" s="8">
        <f>COUNTIF('All Papers'!D:D,"*"&amp;Table1[[#This Row],[Name]]&amp;"*")</f>
        <v>2</v>
      </c>
      <c r="C214" s="8">
        <f>COUNTIFS('All Papers'!$D:$D,"*"&amp;$A214&amp;"*",'All Papers'!$G:$G,"*"&amp;Table1[[#Headers],[Composition]]&amp;"*")</f>
        <v>0</v>
      </c>
      <c r="D214" s="8">
        <f>COUNTIFS('All Papers'!$D:$D,"*"&amp;$A214&amp;"*",'All Papers'!$G:$G,"*"&amp;Table1[[#Headers],[Discovery]]&amp;"*")</f>
        <v>0</v>
      </c>
      <c r="E214" s="8">
        <f>COUNTIFS('All Papers'!$D:$D,"*"&amp;$A214&amp;"*",'All Papers'!$G:$G,"*"&amp;Table1[[#Headers],[Selection]]&amp;"*")</f>
        <v>2</v>
      </c>
      <c r="F214" s="8">
        <f>COUNTIFS('All Papers'!$D:$D,"*"&amp;$A214&amp;"*",'All Papers'!$G:$G,"*"&amp;Table1[[#Headers],[Recommendation]]&amp;"*")</f>
        <v>1</v>
      </c>
      <c r="G214" s="8">
        <f>COUNTIFS('All Papers'!$D:$D,"*"&amp;$A214&amp;"*",'All Papers'!$G:$G,"*"&amp;Table1[[#Headers],[Resource Management-CS]]&amp;"*")</f>
        <v>0</v>
      </c>
      <c r="H214" s="8">
        <f>COUNTIFS('All Papers'!$D:$D,"*"&amp;$A214&amp;"*",'All Papers'!$G:$G,"*"&amp;Table1[[#Headers],[Resource Management-PS]]&amp;"*")</f>
        <v>0</v>
      </c>
      <c r="I214" s="8">
        <f>COUNTIFS('All Papers'!$D:$D,"*"&amp;$A214&amp;"*",'All Papers'!$G:$G,"*"&amp;Table1[[#Headers],[SLA Management]]&amp;"*")</f>
        <v>0</v>
      </c>
      <c r="J214" s="8">
        <f>COUNTIFS('All Papers'!$D:$D,"*"&amp;$A214&amp;"*",'All Papers'!$G:$G,"*"&amp;Table1[[#Headers],[Big Data]]&amp;"*")</f>
        <v>0</v>
      </c>
      <c r="K214" s="8">
        <f>COUNTIFS('All Papers'!$D:$D,"*"&amp;$A214&amp;"*",'All Papers'!$G:$G,"*"&amp;Table1[[#Headers],[Energy Management]]&amp;"*")</f>
        <v>0</v>
      </c>
      <c r="L214" s="8">
        <f>COUNTIFS('All Papers'!$D:$D,"*"&amp;$A214&amp;"*",'All Papers'!$G:$G,"*"&amp;Table1[[#Headers],[Monitoring]]&amp;"*")</f>
        <v>0</v>
      </c>
      <c r="M214" s="8">
        <f>COUNTIFS('All Papers'!$D:$D,"*"&amp;$A214&amp;"*",'All Papers'!$G:$G,"*"&amp;Table1[[#Headers],[Pricing]]&amp;"*")</f>
        <v>0</v>
      </c>
    </row>
    <row r="215" spans="1:13" x14ac:dyDescent="0.25">
      <c r="A215" s="8" t="s">
        <v>2648</v>
      </c>
      <c r="B215" s="8">
        <f>COUNTIF('All Papers'!D:D,"*"&amp;Table1[[#This Row],[Name]]&amp;"*")</f>
        <v>2</v>
      </c>
      <c r="C215" s="8">
        <f>COUNTIFS('All Papers'!$D:$D,"*"&amp;$A215&amp;"*",'All Papers'!$G:$G,"*"&amp;Table1[[#Headers],[Composition]]&amp;"*")</f>
        <v>1</v>
      </c>
      <c r="D215" s="8">
        <f>COUNTIFS('All Papers'!$D:$D,"*"&amp;$A215&amp;"*",'All Papers'!$G:$G,"*"&amp;Table1[[#Headers],[Discovery]]&amp;"*")</f>
        <v>0</v>
      </c>
      <c r="E215" s="8">
        <f>COUNTIFS('All Papers'!$D:$D,"*"&amp;$A215&amp;"*",'All Papers'!$G:$G,"*"&amp;Table1[[#Headers],[Selection]]&amp;"*")</f>
        <v>0</v>
      </c>
      <c r="F215" s="8">
        <f>COUNTIFS('All Papers'!$D:$D,"*"&amp;$A215&amp;"*",'All Papers'!$G:$G,"*"&amp;Table1[[#Headers],[Recommendation]]&amp;"*")</f>
        <v>1</v>
      </c>
      <c r="G215" s="8">
        <f>COUNTIFS('All Papers'!$D:$D,"*"&amp;$A215&amp;"*",'All Papers'!$G:$G,"*"&amp;Table1[[#Headers],[Resource Management-CS]]&amp;"*")</f>
        <v>1</v>
      </c>
      <c r="H215" s="8">
        <f>COUNTIFS('All Papers'!$D:$D,"*"&amp;$A215&amp;"*",'All Papers'!$G:$G,"*"&amp;Table1[[#Headers],[Resource Management-PS]]&amp;"*")</f>
        <v>0</v>
      </c>
      <c r="I215" s="8">
        <f>COUNTIFS('All Papers'!$D:$D,"*"&amp;$A215&amp;"*",'All Papers'!$G:$G,"*"&amp;Table1[[#Headers],[SLA Management]]&amp;"*")</f>
        <v>0</v>
      </c>
      <c r="J215" s="8">
        <f>COUNTIFS('All Papers'!$D:$D,"*"&amp;$A215&amp;"*",'All Papers'!$G:$G,"*"&amp;Table1[[#Headers],[Big Data]]&amp;"*")</f>
        <v>0</v>
      </c>
      <c r="K215" s="8">
        <f>COUNTIFS('All Papers'!$D:$D,"*"&amp;$A215&amp;"*",'All Papers'!$G:$G,"*"&amp;Table1[[#Headers],[Energy Management]]&amp;"*")</f>
        <v>0</v>
      </c>
      <c r="L215" s="8">
        <f>COUNTIFS('All Papers'!$D:$D,"*"&amp;$A215&amp;"*",'All Papers'!$G:$G,"*"&amp;Table1[[#Headers],[Monitoring]]&amp;"*")</f>
        <v>0</v>
      </c>
      <c r="M215" s="8">
        <f>COUNTIFS('All Papers'!$D:$D,"*"&amp;$A215&amp;"*",'All Papers'!$G:$G,"*"&amp;Table1[[#Headers],[Pricing]]&amp;"*")</f>
        <v>0</v>
      </c>
    </row>
    <row r="216" spans="1:13" x14ac:dyDescent="0.25">
      <c r="A216" s="8" t="s">
        <v>2649</v>
      </c>
      <c r="B216" s="8">
        <f>COUNTIF('All Papers'!D:D,"*"&amp;Table1[[#This Row],[Name]]&amp;"*")</f>
        <v>2</v>
      </c>
      <c r="C216" s="8">
        <f>COUNTIFS('All Papers'!$D:$D,"*"&amp;$A216&amp;"*",'All Papers'!$G:$G,"*"&amp;Table1[[#Headers],[Composition]]&amp;"*")</f>
        <v>0</v>
      </c>
      <c r="D216" s="8">
        <f>COUNTIFS('All Papers'!$D:$D,"*"&amp;$A216&amp;"*",'All Papers'!$G:$G,"*"&amp;Table1[[#Headers],[Discovery]]&amp;"*")</f>
        <v>0</v>
      </c>
      <c r="E216" s="8">
        <f>COUNTIFS('All Papers'!$D:$D,"*"&amp;$A216&amp;"*",'All Papers'!$G:$G,"*"&amp;Table1[[#Headers],[Selection]]&amp;"*")</f>
        <v>0</v>
      </c>
      <c r="F216" s="8">
        <f>COUNTIFS('All Papers'!$D:$D,"*"&amp;$A216&amp;"*",'All Papers'!$G:$G,"*"&amp;Table1[[#Headers],[Recommendation]]&amp;"*")</f>
        <v>0</v>
      </c>
      <c r="G216" s="8">
        <f>COUNTIFS('All Papers'!$D:$D,"*"&amp;$A216&amp;"*",'All Papers'!$G:$G,"*"&amp;Table1[[#Headers],[Resource Management-CS]]&amp;"*")</f>
        <v>1</v>
      </c>
      <c r="H216" s="8">
        <f>COUNTIFS('All Papers'!$D:$D,"*"&amp;$A216&amp;"*",'All Papers'!$G:$G,"*"&amp;Table1[[#Headers],[Resource Management-PS]]&amp;"*")</f>
        <v>1</v>
      </c>
      <c r="I216" s="8">
        <f>COUNTIFS('All Papers'!$D:$D,"*"&amp;$A216&amp;"*",'All Papers'!$G:$G,"*"&amp;Table1[[#Headers],[SLA Management]]&amp;"*")</f>
        <v>0</v>
      </c>
      <c r="J216" s="8">
        <f>COUNTIFS('All Papers'!$D:$D,"*"&amp;$A216&amp;"*",'All Papers'!$G:$G,"*"&amp;Table1[[#Headers],[Big Data]]&amp;"*")</f>
        <v>0</v>
      </c>
      <c r="K216" s="8">
        <f>COUNTIFS('All Papers'!$D:$D,"*"&amp;$A216&amp;"*",'All Papers'!$G:$G,"*"&amp;Table1[[#Headers],[Energy Management]]&amp;"*")</f>
        <v>0</v>
      </c>
      <c r="L216" s="8">
        <f>COUNTIFS('All Papers'!$D:$D,"*"&amp;$A216&amp;"*",'All Papers'!$G:$G,"*"&amp;Table1[[#Headers],[Monitoring]]&amp;"*")</f>
        <v>0</v>
      </c>
      <c r="M216" s="8">
        <f>COUNTIFS('All Papers'!$D:$D,"*"&amp;$A216&amp;"*",'All Papers'!$G:$G,"*"&amp;Table1[[#Headers],[Pricing]]&amp;"*")</f>
        <v>0</v>
      </c>
    </row>
    <row r="217" spans="1:13" x14ac:dyDescent="0.25">
      <c r="A217" s="8" t="s">
        <v>2650</v>
      </c>
      <c r="B217" s="8">
        <f>COUNTIF('All Papers'!D:D,"*"&amp;Table1[[#This Row],[Name]]&amp;"*")</f>
        <v>2</v>
      </c>
      <c r="C217" s="8">
        <f>COUNTIFS('All Papers'!$D:$D,"*"&amp;$A217&amp;"*",'All Papers'!$G:$G,"*"&amp;Table1[[#Headers],[Composition]]&amp;"*")</f>
        <v>0</v>
      </c>
      <c r="D217" s="8">
        <f>COUNTIFS('All Papers'!$D:$D,"*"&amp;$A217&amp;"*",'All Papers'!$G:$G,"*"&amp;Table1[[#Headers],[Discovery]]&amp;"*")</f>
        <v>0</v>
      </c>
      <c r="E217" s="8">
        <f>COUNTIFS('All Papers'!$D:$D,"*"&amp;$A217&amp;"*",'All Papers'!$G:$G,"*"&amp;Table1[[#Headers],[Selection]]&amp;"*")</f>
        <v>0</v>
      </c>
      <c r="F217" s="8">
        <f>COUNTIFS('All Papers'!$D:$D,"*"&amp;$A217&amp;"*",'All Papers'!$G:$G,"*"&amp;Table1[[#Headers],[Recommendation]]&amp;"*")</f>
        <v>0</v>
      </c>
      <c r="G217" s="8">
        <f>COUNTIFS('All Papers'!$D:$D,"*"&amp;$A217&amp;"*",'All Papers'!$G:$G,"*"&amp;Table1[[#Headers],[Resource Management-CS]]&amp;"*")</f>
        <v>0</v>
      </c>
      <c r="H217" s="8">
        <f>COUNTIFS('All Papers'!$D:$D,"*"&amp;$A217&amp;"*",'All Papers'!$G:$G,"*"&amp;Table1[[#Headers],[Resource Management-PS]]&amp;"*")</f>
        <v>0</v>
      </c>
      <c r="I217" s="8">
        <f>COUNTIFS('All Papers'!$D:$D,"*"&amp;$A217&amp;"*",'All Papers'!$G:$G,"*"&amp;Table1[[#Headers],[SLA Management]]&amp;"*")</f>
        <v>1</v>
      </c>
      <c r="J217" s="8">
        <f>COUNTIFS('All Papers'!$D:$D,"*"&amp;$A217&amp;"*",'All Papers'!$G:$G,"*"&amp;Table1[[#Headers],[Big Data]]&amp;"*")</f>
        <v>0</v>
      </c>
      <c r="K217" s="8">
        <f>COUNTIFS('All Papers'!$D:$D,"*"&amp;$A217&amp;"*",'All Papers'!$G:$G,"*"&amp;Table1[[#Headers],[Energy Management]]&amp;"*")</f>
        <v>0</v>
      </c>
      <c r="L217" s="8">
        <f>COUNTIFS('All Papers'!$D:$D,"*"&amp;$A217&amp;"*",'All Papers'!$G:$G,"*"&amp;Table1[[#Headers],[Monitoring]]&amp;"*")</f>
        <v>1</v>
      </c>
      <c r="M217" s="8">
        <f>COUNTIFS('All Papers'!$D:$D,"*"&amp;$A217&amp;"*",'All Papers'!$G:$G,"*"&amp;Table1[[#Headers],[Pricing]]&amp;"*")</f>
        <v>0</v>
      </c>
    </row>
    <row r="218" spans="1:13" x14ac:dyDescent="0.25">
      <c r="A218" s="8" t="s">
        <v>2651</v>
      </c>
      <c r="B218" s="8">
        <f>COUNTIF('All Papers'!D:D,"*"&amp;Table1[[#This Row],[Name]]&amp;"*")</f>
        <v>2</v>
      </c>
      <c r="C218" s="8">
        <f>COUNTIFS('All Papers'!$D:$D,"*"&amp;$A218&amp;"*",'All Papers'!$G:$G,"*"&amp;Table1[[#Headers],[Composition]]&amp;"*")</f>
        <v>0</v>
      </c>
      <c r="D218" s="8">
        <f>COUNTIFS('All Papers'!$D:$D,"*"&amp;$A218&amp;"*",'All Papers'!$G:$G,"*"&amp;Table1[[#Headers],[Discovery]]&amp;"*")</f>
        <v>0</v>
      </c>
      <c r="E218" s="8">
        <f>COUNTIFS('All Papers'!$D:$D,"*"&amp;$A218&amp;"*",'All Papers'!$G:$G,"*"&amp;Table1[[#Headers],[Selection]]&amp;"*")</f>
        <v>0</v>
      </c>
      <c r="F218" s="8">
        <f>COUNTIFS('All Papers'!$D:$D,"*"&amp;$A218&amp;"*",'All Papers'!$G:$G,"*"&amp;Table1[[#Headers],[Recommendation]]&amp;"*")</f>
        <v>0</v>
      </c>
      <c r="G218" s="8">
        <f>COUNTIFS('All Papers'!$D:$D,"*"&amp;$A218&amp;"*",'All Papers'!$G:$G,"*"&amp;Table1[[#Headers],[Resource Management-CS]]&amp;"*")</f>
        <v>0</v>
      </c>
      <c r="H218" s="8">
        <f>COUNTIFS('All Papers'!$D:$D,"*"&amp;$A218&amp;"*",'All Papers'!$G:$G,"*"&amp;Table1[[#Headers],[Resource Management-PS]]&amp;"*")</f>
        <v>0</v>
      </c>
      <c r="I218" s="8">
        <f>COUNTIFS('All Papers'!$D:$D,"*"&amp;$A218&amp;"*",'All Papers'!$G:$G,"*"&amp;Table1[[#Headers],[SLA Management]]&amp;"*")</f>
        <v>1</v>
      </c>
      <c r="J218" s="8">
        <f>COUNTIFS('All Papers'!$D:$D,"*"&amp;$A218&amp;"*",'All Papers'!$G:$G,"*"&amp;Table1[[#Headers],[Big Data]]&amp;"*")</f>
        <v>0</v>
      </c>
      <c r="K218" s="8">
        <f>COUNTIFS('All Papers'!$D:$D,"*"&amp;$A218&amp;"*",'All Papers'!$G:$G,"*"&amp;Table1[[#Headers],[Energy Management]]&amp;"*")</f>
        <v>0</v>
      </c>
      <c r="L218" s="8">
        <f>COUNTIFS('All Papers'!$D:$D,"*"&amp;$A218&amp;"*",'All Papers'!$G:$G,"*"&amp;Table1[[#Headers],[Monitoring]]&amp;"*")</f>
        <v>1</v>
      </c>
      <c r="M218" s="8">
        <f>COUNTIFS('All Papers'!$D:$D,"*"&amp;$A218&amp;"*",'All Papers'!$G:$G,"*"&amp;Table1[[#Headers],[Pricing]]&amp;"*")</f>
        <v>0</v>
      </c>
    </row>
    <row r="219" spans="1:13" x14ac:dyDescent="0.25">
      <c r="A219" s="8" t="s">
        <v>2652</v>
      </c>
      <c r="B219" s="8">
        <f>COUNTIF('All Papers'!D:D,"*"&amp;Table1[[#This Row],[Name]]&amp;"*")</f>
        <v>2</v>
      </c>
      <c r="C219" s="8">
        <f>COUNTIFS('All Papers'!$D:$D,"*"&amp;$A219&amp;"*",'All Papers'!$G:$G,"*"&amp;Table1[[#Headers],[Composition]]&amp;"*")</f>
        <v>0</v>
      </c>
      <c r="D219" s="8">
        <f>COUNTIFS('All Papers'!$D:$D,"*"&amp;$A219&amp;"*",'All Papers'!$G:$G,"*"&amp;Table1[[#Headers],[Discovery]]&amp;"*")</f>
        <v>0</v>
      </c>
      <c r="E219" s="8">
        <f>COUNTIFS('All Papers'!$D:$D,"*"&amp;$A219&amp;"*",'All Papers'!$G:$G,"*"&amp;Table1[[#Headers],[Selection]]&amp;"*")</f>
        <v>0</v>
      </c>
      <c r="F219" s="8">
        <f>COUNTIFS('All Papers'!$D:$D,"*"&amp;$A219&amp;"*",'All Papers'!$G:$G,"*"&amp;Table1[[#Headers],[Recommendation]]&amp;"*")</f>
        <v>0</v>
      </c>
      <c r="G219" s="8">
        <f>COUNTIFS('All Papers'!$D:$D,"*"&amp;$A219&amp;"*",'All Papers'!$G:$G,"*"&amp;Table1[[#Headers],[Resource Management-CS]]&amp;"*")</f>
        <v>0</v>
      </c>
      <c r="H219" s="8">
        <f>COUNTIFS('All Papers'!$D:$D,"*"&amp;$A219&amp;"*",'All Papers'!$G:$G,"*"&amp;Table1[[#Headers],[Resource Management-PS]]&amp;"*")</f>
        <v>1</v>
      </c>
      <c r="I219" s="8">
        <f>COUNTIFS('All Papers'!$D:$D,"*"&amp;$A219&amp;"*",'All Papers'!$G:$G,"*"&amp;Table1[[#Headers],[SLA Management]]&amp;"*")</f>
        <v>0</v>
      </c>
      <c r="J219" s="8">
        <f>COUNTIFS('All Papers'!$D:$D,"*"&amp;$A219&amp;"*",'All Papers'!$G:$G,"*"&amp;Table1[[#Headers],[Big Data]]&amp;"*")</f>
        <v>0</v>
      </c>
      <c r="K219" s="8">
        <f>COUNTIFS('All Papers'!$D:$D,"*"&amp;$A219&amp;"*",'All Papers'!$G:$G,"*"&amp;Table1[[#Headers],[Energy Management]]&amp;"*")</f>
        <v>0</v>
      </c>
      <c r="L219" s="8">
        <f>COUNTIFS('All Papers'!$D:$D,"*"&amp;$A219&amp;"*",'All Papers'!$G:$G,"*"&amp;Table1[[#Headers],[Monitoring]]&amp;"*")</f>
        <v>1</v>
      </c>
      <c r="M219" s="8">
        <f>COUNTIFS('All Papers'!$D:$D,"*"&amp;$A219&amp;"*",'All Papers'!$G:$G,"*"&amp;Table1[[#Headers],[Pricing]]&amp;"*")</f>
        <v>0</v>
      </c>
    </row>
    <row r="220" spans="1:13" x14ac:dyDescent="0.25">
      <c r="A220" s="8" t="s">
        <v>2653</v>
      </c>
      <c r="B220" s="8">
        <f>COUNTIF('All Papers'!D:D,"*"&amp;Table1[[#This Row],[Name]]&amp;"*")</f>
        <v>2</v>
      </c>
      <c r="C220" s="8">
        <f>COUNTIFS('All Papers'!$D:$D,"*"&amp;$A220&amp;"*",'All Papers'!$G:$G,"*"&amp;Table1[[#Headers],[Composition]]&amp;"*")</f>
        <v>0</v>
      </c>
      <c r="D220" s="8">
        <f>COUNTIFS('All Papers'!$D:$D,"*"&amp;$A220&amp;"*",'All Papers'!$G:$G,"*"&amp;Table1[[#Headers],[Discovery]]&amp;"*")</f>
        <v>0</v>
      </c>
      <c r="E220" s="8">
        <f>COUNTIFS('All Papers'!$D:$D,"*"&amp;$A220&amp;"*",'All Papers'!$G:$G,"*"&amp;Table1[[#Headers],[Selection]]&amp;"*")</f>
        <v>0</v>
      </c>
      <c r="F220" s="8">
        <f>COUNTIFS('All Papers'!$D:$D,"*"&amp;$A220&amp;"*",'All Papers'!$G:$G,"*"&amp;Table1[[#Headers],[Recommendation]]&amp;"*")</f>
        <v>0</v>
      </c>
      <c r="G220" s="8">
        <f>COUNTIFS('All Papers'!$D:$D,"*"&amp;$A220&amp;"*",'All Papers'!$G:$G,"*"&amp;Table1[[#Headers],[Resource Management-CS]]&amp;"*")</f>
        <v>2</v>
      </c>
      <c r="H220" s="8">
        <f>COUNTIFS('All Papers'!$D:$D,"*"&amp;$A220&amp;"*",'All Papers'!$G:$G,"*"&amp;Table1[[#Headers],[Resource Management-PS]]&amp;"*")</f>
        <v>0</v>
      </c>
      <c r="I220" s="8">
        <f>COUNTIFS('All Papers'!$D:$D,"*"&amp;$A220&amp;"*",'All Papers'!$G:$G,"*"&amp;Table1[[#Headers],[SLA Management]]&amp;"*")</f>
        <v>1</v>
      </c>
      <c r="J220" s="8">
        <f>COUNTIFS('All Papers'!$D:$D,"*"&amp;$A220&amp;"*",'All Papers'!$G:$G,"*"&amp;Table1[[#Headers],[Big Data]]&amp;"*")</f>
        <v>0</v>
      </c>
      <c r="K220" s="8">
        <f>COUNTIFS('All Papers'!$D:$D,"*"&amp;$A220&amp;"*",'All Papers'!$G:$G,"*"&amp;Table1[[#Headers],[Energy Management]]&amp;"*")</f>
        <v>0</v>
      </c>
      <c r="L220" s="8">
        <f>COUNTIFS('All Papers'!$D:$D,"*"&amp;$A220&amp;"*",'All Papers'!$G:$G,"*"&amp;Table1[[#Headers],[Monitoring]]&amp;"*")</f>
        <v>0</v>
      </c>
      <c r="M220" s="8">
        <f>COUNTIFS('All Papers'!$D:$D,"*"&amp;$A220&amp;"*",'All Papers'!$G:$G,"*"&amp;Table1[[#Headers],[Pricing]]&amp;"*")</f>
        <v>0</v>
      </c>
    </row>
    <row r="221" spans="1:13" x14ac:dyDescent="0.25">
      <c r="A221" s="8" t="s">
        <v>2654</v>
      </c>
      <c r="B221" s="8">
        <f>COUNTIF('All Papers'!D:D,"*"&amp;Table1[[#This Row],[Name]]&amp;"*")</f>
        <v>2</v>
      </c>
      <c r="C221" s="8">
        <f>COUNTIFS('All Papers'!$D:$D,"*"&amp;$A221&amp;"*",'All Papers'!$G:$G,"*"&amp;Table1[[#Headers],[Composition]]&amp;"*")</f>
        <v>0</v>
      </c>
      <c r="D221" s="8">
        <f>COUNTIFS('All Papers'!$D:$D,"*"&amp;$A221&amp;"*",'All Papers'!$G:$G,"*"&amp;Table1[[#Headers],[Discovery]]&amp;"*")</f>
        <v>0</v>
      </c>
      <c r="E221" s="8">
        <f>COUNTIFS('All Papers'!$D:$D,"*"&amp;$A221&amp;"*",'All Papers'!$G:$G,"*"&amp;Table1[[#Headers],[Selection]]&amp;"*")</f>
        <v>0</v>
      </c>
      <c r="F221" s="8">
        <f>COUNTIFS('All Papers'!$D:$D,"*"&amp;$A221&amp;"*",'All Papers'!$G:$G,"*"&amp;Table1[[#Headers],[Recommendation]]&amp;"*")</f>
        <v>0</v>
      </c>
      <c r="G221" s="8">
        <f>COUNTIFS('All Papers'!$D:$D,"*"&amp;$A221&amp;"*",'All Papers'!$G:$G,"*"&amp;Table1[[#Headers],[Resource Management-CS]]&amp;"*")</f>
        <v>2</v>
      </c>
      <c r="H221" s="8">
        <f>COUNTIFS('All Papers'!$D:$D,"*"&amp;$A221&amp;"*",'All Papers'!$G:$G,"*"&amp;Table1[[#Headers],[Resource Management-PS]]&amp;"*")</f>
        <v>0</v>
      </c>
      <c r="I221" s="8">
        <f>COUNTIFS('All Papers'!$D:$D,"*"&amp;$A221&amp;"*",'All Papers'!$G:$G,"*"&amp;Table1[[#Headers],[SLA Management]]&amp;"*")</f>
        <v>1</v>
      </c>
      <c r="J221" s="8">
        <f>COUNTIFS('All Papers'!$D:$D,"*"&amp;$A221&amp;"*",'All Papers'!$G:$G,"*"&amp;Table1[[#Headers],[Big Data]]&amp;"*")</f>
        <v>0</v>
      </c>
      <c r="K221" s="8">
        <f>COUNTIFS('All Papers'!$D:$D,"*"&amp;$A221&amp;"*",'All Papers'!$G:$G,"*"&amp;Table1[[#Headers],[Energy Management]]&amp;"*")</f>
        <v>0</v>
      </c>
      <c r="L221" s="8">
        <f>COUNTIFS('All Papers'!$D:$D,"*"&amp;$A221&amp;"*",'All Papers'!$G:$G,"*"&amp;Table1[[#Headers],[Monitoring]]&amp;"*")</f>
        <v>0</v>
      </c>
      <c r="M221" s="8">
        <f>COUNTIFS('All Papers'!$D:$D,"*"&amp;$A221&amp;"*",'All Papers'!$G:$G,"*"&amp;Table1[[#Headers],[Pricing]]&amp;"*")</f>
        <v>0</v>
      </c>
    </row>
    <row r="222" spans="1:13" x14ac:dyDescent="0.25">
      <c r="A222" s="8" t="s">
        <v>2655</v>
      </c>
      <c r="B222" s="8">
        <f>COUNTIF('All Papers'!D:D,"*"&amp;Table1[[#This Row],[Name]]&amp;"*")</f>
        <v>2</v>
      </c>
      <c r="C222" s="8">
        <f>COUNTIFS('All Papers'!$D:$D,"*"&amp;$A222&amp;"*",'All Papers'!$G:$G,"*"&amp;Table1[[#Headers],[Composition]]&amp;"*")</f>
        <v>1</v>
      </c>
      <c r="D222" s="8">
        <f>COUNTIFS('All Papers'!$D:$D,"*"&amp;$A222&amp;"*",'All Papers'!$G:$G,"*"&amp;Table1[[#Headers],[Discovery]]&amp;"*")</f>
        <v>0</v>
      </c>
      <c r="E222" s="8">
        <f>COUNTIFS('All Papers'!$D:$D,"*"&amp;$A222&amp;"*",'All Papers'!$G:$G,"*"&amp;Table1[[#Headers],[Selection]]&amp;"*")</f>
        <v>0</v>
      </c>
      <c r="F222" s="8">
        <f>COUNTIFS('All Papers'!$D:$D,"*"&amp;$A222&amp;"*",'All Papers'!$G:$G,"*"&amp;Table1[[#Headers],[Recommendation]]&amp;"*")</f>
        <v>0</v>
      </c>
      <c r="G222" s="8">
        <f>COUNTIFS('All Papers'!$D:$D,"*"&amp;$A222&amp;"*",'All Papers'!$G:$G,"*"&amp;Table1[[#Headers],[Resource Management-CS]]&amp;"*")</f>
        <v>1</v>
      </c>
      <c r="H222" s="8">
        <f>COUNTIFS('All Papers'!$D:$D,"*"&amp;$A222&amp;"*",'All Papers'!$G:$G,"*"&amp;Table1[[#Headers],[Resource Management-PS]]&amp;"*")</f>
        <v>0</v>
      </c>
      <c r="I222" s="8">
        <f>COUNTIFS('All Papers'!$D:$D,"*"&amp;$A222&amp;"*",'All Papers'!$G:$G,"*"&amp;Table1[[#Headers],[SLA Management]]&amp;"*")</f>
        <v>0</v>
      </c>
      <c r="J222" s="8">
        <f>COUNTIFS('All Papers'!$D:$D,"*"&amp;$A222&amp;"*",'All Papers'!$G:$G,"*"&amp;Table1[[#Headers],[Big Data]]&amp;"*")</f>
        <v>0</v>
      </c>
      <c r="K222" s="8">
        <f>COUNTIFS('All Papers'!$D:$D,"*"&amp;$A222&amp;"*",'All Papers'!$G:$G,"*"&amp;Table1[[#Headers],[Energy Management]]&amp;"*")</f>
        <v>0</v>
      </c>
      <c r="L222" s="8">
        <f>COUNTIFS('All Papers'!$D:$D,"*"&amp;$A222&amp;"*",'All Papers'!$G:$G,"*"&amp;Table1[[#Headers],[Monitoring]]&amp;"*")</f>
        <v>0</v>
      </c>
      <c r="M222" s="8">
        <f>COUNTIFS('All Papers'!$D:$D,"*"&amp;$A222&amp;"*",'All Papers'!$G:$G,"*"&amp;Table1[[#Headers],[Pricing]]&amp;"*")</f>
        <v>0</v>
      </c>
    </row>
    <row r="223" spans="1:13" x14ac:dyDescent="0.25">
      <c r="A223" s="8" t="s">
        <v>2656</v>
      </c>
      <c r="B223" s="8">
        <f>COUNTIF('All Papers'!D:D,"*"&amp;Table1[[#This Row],[Name]]&amp;"*")</f>
        <v>2</v>
      </c>
      <c r="C223" s="8">
        <f>COUNTIFS('All Papers'!$D:$D,"*"&amp;$A223&amp;"*",'All Papers'!$G:$G,"*"&amp;Table1[[#Headers],[Composition]]&amp;"*")</f>
        <v>2</v>
      </c>
      <c r="D223" s="8">
        <f>COUNTIFS('All Papers'!$D:$D,"*"&amp;$A223&amp;"*",'All Papers'!$G:$G,"*"&amp;Table1[[#Headers],[Discovery]]&amp;"*")</f>
        <v>0</v>
      </c>
      <c r="E223" s="8">
        <f>COUNTIFS('All Papers'!$D:$D,"*"&amp;$A223&amp;"*",'All Papers'!$G:$G,"*"&amp;Table1[[#Headers],[Selection]]&amp;"*")</f>
        <v>1</v>
      </c>
      <c r="F223" s="8">
        <f>COUNTIFS('All Papers'!$D:$D,"*"&amp;$A223&amp;"*",'All Papers'!$G:$G,"*"&amp;Table1[[#Headers],[Recommendation]]&amp;"*")</f>
        <v>0</v>
      </c>
      <c r="G223" s="8">
        <f>COUNTIFS('All Papers'!$D:$D,"*"&amp;$A223&amp;"*",'All Papers'!$G:$G,"*"&amp;Table1[[#Headers],[Resource Management-CS]]&amp;"*")</f>
        <v>0</v>
      </c>
      <c r="H223" s="8">
        <f>COUNTIFS('All Papers'!$D:$D,"*"&amp;$A223&amp;"*",'All Papers'!$G:$G,"*"&amp;Table1[[#Headers],[Resource Management-PS]]&amp;"*")</f>
        <v>0</v>
      </c>
      <c r="I223" s="8">
        <f>COUNTIFS('All Papers'!$D:$D,"*"&amp;$A223&amp;"*",'All Papers'!$G:$G,"*"&amp;Table1[[#Headers],[SLA Management]]&amp;"*")</f>
        <v>0</v>
      </c>
      <c r="J223" s="8">
        <f>COUNTIFS('All Papers'!$D:$D,"*"&amp;$A223&amp;"*",'All Papers'!$G:$G,"*"&amp;Table1[[#Headers],[Big Data]]&amp;"*")</f>
        <v>0</v>
      </c>
      <c r="K223" s="8">
        <f>COUNTIFS('All Papers'!$D:$D,"*"&amp;$A223&amp;"*",'All Papers'!$G:$G,"*"&amp;Table1[[#Headers],[Energy Management]]&amp;"*")</f>
        <v>0</v>
      </c>
      <c r="L223" s="8">
        <f>COUNTIFS('All Papers'!$D:$D,"*"&amp;$A223&amp;"*",'All Papers'!$G:$G,"*"&amp;Table1[[#Headers],[Monitoring]]&amp;"*")</f>
        <v>0</v>
      </c>
      <c r="M223" s="8">
        <f>COUNTIFS('All Papers'!$D:$D,"*"&amp;$A223&amp;"*",'All Papers'!$G:$G,"*"&amp;Table1[[#Headers],[Pricing]]&amp;"*")</f>
        <v>0</v>
      </c>
    </row>
    <row r="224" spans="1:13" x14ac:dyDescent="0.25">
      <c r="A224" s="8" t="s">
        <v>2657</v>
      </c>
      <c r="B224" s="8">
        <f>COUNTIF('All Papers'!D:D,"*"&amp;Table1[[#This Row],[Name]]&amp;"*")</f>
        <v>2</v>
      </c>
      <c r="C224" s="8">
        <f>COUNTIFS('All Papers'!$D:$D,"*"&amp;$A224&amp;"*",'All Papers'!$G:$G,"*"&amp;Table1[[#Headers],[Composition]]&amp;"*")</f>
        <v>1</v>
      </c>
      <c r="D224" s="8">
        <f>COUNTIFS('All Papers'!$D:$D,"*"&amp;$A224&amp;"*",'All Papers'!$G:$G,"*"&amp;Table1[[#Headers],[Discovery]]&amp;"*")</f>
        <v>0</v>
      </c>
      <c r="E224" s="8">
        <f>COUNTIFS('All Papers'!$D:$D,"*"&amp;$A224&amp;"*",'All Papers'!$G:$G,"*"&amp;Table1[[#Headers],[Selection]]&amp;"*")</f>
        <v>2</v>
      </c>
      <c r="F224" s="8">
        <f>COUNTIFS('All Papers'!$D:$D,"*"&amp;$A224&amp;"*",'All Papers'!$G:$G,"*"&amp;Table1[[#Headers],[Recommendation]]&amp;"*")</f>
        <v>1</v>
      </c>
      <c r="G224" s="8">
        <f>COUNTIFS('All Papers'!$D:$D,"*"&amp;$A224&amp;"*",'All Papers'!$G:$G,"*"&amp;Table1[[#Headers],[Resource Management-CS]]&amp;"*")</f>
        <v>0</v>
      </c>
      <c r="H224" s="8">
        <f>COUNTIFS('All Papers'!$D:$D,"*"&amp;$A224&amp;"*",'All Papers'!$G:$G,"*"&amp;Table1[[#Headers],[Resource Management-PS]]&amp;"*")</f>
        <v>0</v>
      </c>
      <c r="I224" s="8">
        <f>COUNTIFS('All Papers'!$D:$D,"*"&amp;$A224&amp;"*",'All Papers'!$G:$G,"*"&amp;Table1[[#Headers],[SLA Management]]&amp;"*")</f>
        <v>0</v>
      </c>
      <c r="J224" s="8">
        <f>COUNTIFS('All Papers'!$D:$D,"*"&amp;$A224&amp;"*",'All Papers'!$G:$G,"*"&amp;Table1[[#Headers],[Big Data]]&amp;"*")</f>
        <v>0</v>
      </c>
      <c r="K224" s="8">
        <f>COUNTIFS('All Papers'!$D:$D,"*"&amp;$A224&amp;"*",'All Papers'!$G:$G,"*"&amp;Table1[[#Headers],[Energy Management]]&amp;"*")</f>
        <v>0</v>
      </c>
      <c r="L224" s="8">
        <f>COUNTIFS('All Papers'!$D:$D,"*"&amp;$A224&amp;"*",'All Papers'!$G:$G,"*"&amp;Table1[[#Headers],[Monitoring]]&amp;"*")</f>
        <v>0</v>
      </c>
      <c r="M224" s="8">
        <f>COUNTIFS('All Papers'!$D:$D,"*"&amp;$A224&amp;"*",'All Papers'!$G:$G,"*"&amp;Table1[[#Headers],[Pricing]]&amp;"*")</f>
        <v>0</v>
      </c>
    </row>
    <row r="225" spans="1:13" x14ac:dyDescent="0.25">
      <c r="A225" s="8" t="s">
        <v>2658</v>
      </c>
      <c r="B225" s="8">
        <f>COUNTIF('All Papers'!D:D,"*"&amp;Table1[[#This Row],[Name]]&amp;"*")</f>
        <v>2</v>
      </c>
      <c r="C225" s="8">
        <f>COUNTIFS('All Papers'!$D:$D,"*"&amp;$A225&amp;"*",'All Papers'!$G:$G,"*"&amp;Table1[[#Headers],[Composition]]&amp;"*")</f>
        <v>1</v>
      </c>
      <c r="D225" s="8">
        <f>COUNTIFS('All Papers'!$D:$D,"*"&amp;$A225&amp;"*",'All Papers'!$G:$G,"*"&amp;Table1[[#Headers],[Discovery]]&amp;"*")</f>
        <v>0</v>
      </c>
      <c r="E225" s="8">
        <f>COUNTIFS('All Papers'!$D:$D,"*"&amp;$A225&amp;"*",'All Papers'!$G:$G,"*"&amp;Table1[[#Headers],[Selection]]&amp;"*")</f>
        <v>2</v>
      </c>
      <c r="F225" s="8">
        <f>COUNTIFS('All Papers'!$D:$D,"*"&amp;$A225&amp;"*",'All Papers'!$G:$G,"*"&amp;Table1[[#Headers],[Recommendation]]&amp;"*")</f>
        <v>1</v>
      </c>
      <c r="G225" s="8">
        <f>COUNTIFS('All Papers'!$D:$D,"*"&amp;$A225&amp;"*",'All Papers'!$G:$G,"*"&amp;Table1[[#Headers],[Resource Management-CS]]&amp;"*")</f>
        <v>0</v>
      </c>
      <c r="H225" s="8">
        <f>COUNTIFS('All Papers'!$D:$D,"*"&amp;$A225&amp;"*",'All Papers'!$G:$G,"*"&amp;Table1[[#Headers],[Resource Management-PS]]&amp;"*")</f>
        <v>0</v>
      </c>
      <c r="I225" s="8">
        <f>COUNTIFS('All Papers'!$D:$D,"*"&amp;$A225&amp;"*",'All Papers'!$G:$G,"*"&amp;Table1[[#Headers],[SLA Management]]&amp;"*")</f>
        <v>0</v>
      </c>
      <c r="J225" s="8">
        <f>COUNTIFS('All Papers'!$D:$D,"*"&amp;$A225&amp;"*",'All Papers'!$G:$G,"*"&amp;Table1[[#Headers],[Big Data]]&amp;"*")</f>
        <v>0</v>
      </c>
      <c r="K225" s="8">
        <f>COUNTIFS('All Papers'!$D:$D,"*"&amp;$A225&amp;"*",'All Papers'!$G:$G,"*"&amp;Table1[[#Headers],[Energy Management]]&amp;"*")</f>
        <v>0</v>
      </c>
      <c r="L225" s="8">
        <f>COUNTIFS('All Papers'!$D:$D,"*"&amp;$A225&amp;"*",'All Papers'!$G:$G,"*"&amp;Table1[[#Headers],[Monitoring]]&amp;"*")</f>
        <v>0</v>
      </c>
      <c r="M225" s="8">
        <f>COUNTIFS('All Papers'!$D:$D,"*"&amp;$A225&amp;"*",'All Papers'!$G:$G,"*"&amp;Table1[[#Headers],[Pricing]]&amp;"*")</f>
        <v>0</v>
      </c>
    </row>
    <row r="226" spans="1:13" x14ac:dyDescent="0.25">
      <c r="A226" s="8" t="s">
        <v>2659</v>
      </c>
      <c r="B226" s="8">
        <f>COUNTIF('All Papers'!D:D,"*"&amp;Table1[[#This Row],[Name]]&amp;"*")</f>
        <v>2</v>
      </c>
      <c r="C226" s="8">
        <f>COUNTIFS('All Papers'!$D:$D,"*"&amp;$A226&amp;"*",'All Papers'!$G:$G,"*"&amp;Table1[[#Headers],[Composition]]&amp;"*")</f>
        <v>1</v>
      </c>
      <c r="D226" s="8">
        <f>COUNTIFS('All Papers'!$D:$D,"*"&amp;$A226&amp;"*",'All Papers'!$G:$G,"*"&amp;Table1[[#Headers],[Discovery]]&amp;"*")</f>
        <v>0</v>
      </c>
      <c r="E226" s="8">
        <f>COUNTIFS('All Papers'!$D:$D,"*"&amp;$A226&amp;"*",'All Papers'!$G:$G,"*"&amp;Table1[[#Headers],[Selection]]&amp;"*")</f>
        <v>2</v>
      </c>
      <c r="F226" s="8">
        <f>COUNTIFS('All Papers'!$D:$D,"*"&amp;$A226&amp;"*",'All Papers'!$G:$G,"*"&amp;Table1[[#Headers],[Recommendation]]&amp;"*")</f>
        <v>1</v>
      </c>
      <c r="G226" s="8">
        <f>COUNTIFS('All Papers'!$D:$D,"*"&amp;$A226&amp;"*",'All Papers'!$G:$G,"*"&amp;Table1[[#Headers],[Resource Management-CS]]&amp;"*")</f>
        <v>0</v>
      </c>
      <c r="H226" s="8">
        <f>COUNTIFS('All Papers'!$D:$D,"*"&amp;$A226&amp;"*",'All Papers'!$G:$G,"*"&amp;Table1[[#Headers],[Resource Management-PS]]&amp;"*")</f>
        <v>0</v>
      </c>
      <c r="I226" s="8">
        <f>COUNTIFS('All Papers'!$D:$D,"*"&amp;$A226&amp;"*",'All Papers'!$G:$G,"*"&amp;Table1[[#Headers],[SLA Management]]&amp;"*")</f>
        <v>0</v>
      </c>
      <c r="J226" s="8">
        <f>COUNTIFS('All Papers'!$D:$D,"*"&amp;$A226&amp;"*",'All Papers'!$G:$G,"*"&amp;Table1[[#Headers],[Big Data]]&amp;"*")</f>
        <v>0</v>
      </c>
      <c r="K226" s="8">
        <f>COUNTIFS('All Papers'!$D:$D,"*"&amp;$A226&amp;"*",'All Papers'!$G:$G,"*"&amp;Table1[[#Headers],[Energy Management]]&amp;"*")</f>
        <v>0</v>
      </c>
      <c r="L226" s="8">
        <f>COUNTIFS('All Papers'!$D:$D,"*"&amp;$A226&amp;"*",'All Papers'!$G:$G,"*"&amp;Table1[[#Headers],[Monitoring]]&amp;"*")</f>
        <v>0</v>
      </c>
      <c r="M226" s="8">
        <f>COUNTIFS('All Papers'!$D:$D,"*"&amp;$A226&amp;"*",'All Papers'!$G:$G,"*"&amp;Table1[[#Headers],[Pricing]]&amp;"*")</f>
        <v>0</v>
      </c>
    </row>
    <row r="227" spans="1:13" x14ac:dyDescent="0.25">
      <c r="A227" s="8" t="s">
        <v>2660</v>
      </c>
      <c r="B227" s="8">
        <f>COUNTIF('All Papers'!D:D,"*"&amp;Table1[[#This Row],[Name]]&amp;"*")</f>
        <v>2</v>
      </c>
      <c r="C227" s="8">
        <f>COUNTIFS('All Papers'!$D:$D,"*"&amp;$A227&amp;"*",'All Papers'!$G:$G,"*"&amp;Table1[[#Headers],[Composition]]&amp;"*")</f>
        <v>2</v>
      </c>
      <c r="D227" s="8">
        <f>COUNTIFS('All Papers'!$D:$D,"*"&amp;$A227&amp;"*",'All Papers'!$G:$G,"*"&amp;Table1[[#Headers],[Discovery]]&amp;"*")</f>
        <v>0</v>
      </c>
      <c r="E227" s="8">
        <f>COUNTIFS('All Papers'!$D:$D,"*"&amp;$A227&amp;"*",'All Papers'!$G:$G,"*"&amp;Table1[[#Headers],[Selection]]&amp;"*")</f>
        <v>1</v>
      </c>
      <c r="F227" s="8">
        <f>COUNTIFS('All Papers'!$D:$D,"*"&amp;$A227&amp;"*",'All Papers'!$G:$G,"*"&amp;Table1[[#Headers],[Recommendation]]&amp;"*")</f>
        <v>0</v>
      </c>
      <c r="G227" s="8">
        <f>COUNTIFS('All Papers'!$D:$D,"*"&amp;$A227&amp;"*",'All Papers'!$G:$G,"*"&amp;Table1[[#Headers],[Resource Management-CS]]&amp;"*")</f>
        <v>0</v>
      </c>
      <c r="H227" s="8">
        <f>COUNTIFS('All Papers'!$D:$D,"*"&amp;$A227&amp;"*",'All Papers'!$G:$G,"*"&amp;Table1[[#Headers],[Resource Management-PS]]&amp;"*")</f>
        <v>0</v>
      </c>
      <c r="I227" s="8">
        <f>COUNTIFS('All Papers'!$D:$D,"*"&amp;$A227&amp;"*",'All Papers'!$G:$G,"*"&amp;Table1[[#Headers],[SLA Management]]&amp;"*")</f>
        <v>0</v>
      </c>
      <c r="J227" s="8">
        <f>COUNTIFS('All Papers'!$D:$D,"*"&amp;$A227&amp;"*",'All Papers'!$G:$G,"*"&amp;Table1[[#Headers],[Big Data]]&amp;"*")</f>
        <v>0</v>
      </c>
      <c r="K227" s="8">
        <f>COUNTIFS('All Papers'!$D:$D,"*"&amp;$A227&amp;"*",'All Papers'!$G:$G,"*"&amp;Table1[[#Headers],[Energy Management]]&amp;"*")</f>
        <v>0</v>
      </c>
      <c r="L227" s="8">
        <f>COUNTIFS('All Papers'!$D:$D,"*"&amp;$A227&amp;"*",'All Papers'!$G:$G,"*"&amp;Table1[[#Headers],[Monitoring]]&amp;"*")</f>
        <v>0</v>
      </c>
      <c r="M227" s="8">
        <f>COUNTIFS('All Papers'!$D:$D,"*"&amp;$A227&amp;"*",'All Papers'!$G:$G,"*"&amp;Table1[[#Headers],[Pricing]]&amp;"*")</f>
        <v>0</v>
      </c>
    </row>
    <row r="228" spans="1:13" x14ac:dyDescent="0.25">
      <c r="A228" s="8" t="s">
        <v>2661</v>
      </c>
      <c r="B228" s="8">
        <f>COUNTIF('All Papers'!D:D,"*"&amp;Table1[[#This Row],[Name]]&amp;"*")</f>
        <v>2</v>
      </c>
      <c r="C228" s="8">
        <f>COUNTIFS('All Papers'!$D:$D,"*"&amp;$A228&amp;"*",'All Papers'!$G:$G,"*"&amp;Table1[[#Headers],[Composition]]&amp;"*")</f>
        <v>0</v>
      </c>
      <c r="D228" s="8">
        <f>COUNTIFS('All Papers'!$D:$D,"*"&amp;$A228&amp;"*",'All Papers'!$G:$G,"*"&amp;Table1[[#Headers],[Discovery]]&amp;"*")</f>
        <v>0</v>
      </c>
      <c r="E228" s="8">
        <f>COUNTIFS('All Papers'!$D:$D,"*"&amp;$A228&amp;"*",'All Papers'!$G:$G,"*"&amp;Table1[[#Headers],[Selection]]&amp;"*")</f>
        <v>0</v>
      </c>
      <c r="F228" s="8">
        <f>COUNTIFS('All Papers'!$D:$D,"*"&amp;$A228&amp;"*",'All Papers'!$G:$G,"*"&amp;Table1[[#Headers],[Recommendation]]&amp;"*")</f>
        <v>0</v>
      </c>
      <c r="G228" s="8">
        <f>COUNTIFS('All Papers'!$D:$D,"*"&amp;$A228&amp;"*",'All Papers'!$G:$G,"*"&amp;Table1[[#Headers],[Resource Management-CS]]&amp;"*")</f>
        <v>2</v>
      </c>
      <c r="H228" s="8">
        <f>COUNTIFS('All Papers'!$D:$D,"*"&amp;$A228&amp;"*",'All Papers'!$G:$G,"*"&amp;Table1[[#Headers],[Resource Management-PS]]&amp;"*")</f>
        <v>0</v>
      </c>
      <c r="I228" s="8">
        <f>COUNTIFS('All Papers'!$D:$D,"*"&amp;$A228&amp;"*",'All Papers'!$G:$G,"*"&amp;Table1[[#Headers],[SLA Management]]&amp;"*")</f>
        <v>0</v>
      </c>
      <c r="J228" s="8">
        <f>COUNTIFS('All Papers'!$D:$D,"*"&amp;$A228&amp;"*",'All Papers'!$G:$G,"*"&amp;Table1[[#Headers],[Big Data]]&amp;"*")</f>
        <v>0</v>
      </c>
      <c r="K228" s="8">
        <f>COUNTIFS('All Papers'!$D:$D,"*"&amp;$A228&amp;"*",'All Papers'!$G:$G,"*"&amp;Table1[[#Headers],[Energy Management]]&amp;"*")</f>
        <v>0</v>
      </c>
      <c r="L228" s="8">
        <f>COUNTIFS('All Papers'!$D:$D,"*"&amp;$A228&amp;"*",'All Papers'!$G:$G,"*"&amp;Table1[[#Headers],[Monitoring]]&amp;"*")</f>
        <v>0</v>
      </c>
      <c r="M228" s="8">
        <f>COUNTIFS('All Papers'!$D:$D,"*"&amp;$A228&amp;"*",'All Papers'!$G:$G,"*"&amp;Table1[[#Headers],[Pricing]]&amp;"*")</f>
        <v>0</v>
      </c>
    </row>
    <row r="229" spans="1:13" x14ac:dyDescent="0.25">
      <c r="A229" s="8" t="s">
        <v>2662</v>
      </c>
      <c r="B229" s="8">
        <f>COUNTIF('All Papers'!D:D,"*"&amp;Table1[[#This Row],[Name]]&amp;"*")</f>
        <v>2</v>
      </c>
      <c r="C229" s="8">
        <f>COUNTIFS('All Papers'!$D:$D,"*"&amp;$A229&amp;"*",'All Papers'!$G:$G,"*"&amp;Table1[[#Headers],[Composition]]&amp;"*")</f>
        <v>0</v>
      </c>
      <c r="D229" s="8">
        <f>COUNTIFS('All Papers'!$D:$D,"*"&amp;$A229&amp;"*",'All Papers'!$G:$G,"*"&amp;Table1[[#Headers],[Discovery]]&amp;"*")</f>
        <v>0</v>
      </c>
      <c r="E229" s="8">
        <f>COUNTIFS('All Papers'!$D:$D,"*"&amp;$A229&amp;"*",'All Papers'!$G:$G,"*"&amp;Table1[[#Headers],[Selection]]&amp;"*")</f>
        <v>0</v>
      </c>
      <c r="F229" s="8">
        <f>COUNTIFS('All Papers'!$D:$D,"*"&amp;$A229&amp;"*",'All Papers'!$G:$G,"*"&amp;Table1[[#Headers],[Recommendation]]&amp;"*")</f>
        <v>0</v>
      </c>
      <c r="G229" s="8">
        <f>COUNTIFS('All Papers'!$D:$D,"*"&amp;$A229&amp;"*",'All Papers'!$G:$G,"*"&amp;Table1[[#Headers],[Resource Management-CS]]&amp;"*")</f>
        <v>2</v>
      </c>
      <c r="H229" s="8">
        <f>COUNTIFS('All Papers'!$D:$D,"*"&amp;$A229&amp;"*",'All Papers'!$G:$G,"*"&amp;Table1[[#Headers],[Resource Management-PS]]&amp;"*")</f>
        <v>0</v>
      </c>
      <c r="I229" s="8">
        <f>COUNTIFS('All Papers'!$D:$D,"*"&amp;$A229&amp;"*",'All Papers'!$G:$G,"*"&amp;Table1[[#Headers],[SLA Management]]&amp;"*")</f>
        <v>0</v>
      </c>
      <c r="J229" s="8">
        <f>COUNTIFS('All Papers'!$D:$D,"*"&amp;$A229&amp;"*",'All Papers'!$G:$G,"*"&amp;Table1[[#Headers],[Big Data]]&amp;"*")</f>
        <v>0</v>
      </c>
      <c r="K229" s="8">
        <f>COUNTIFS('All Papers'!$D:$D,"*"&amp;$A229&amp;"*",'All Papers'!$G:$G,"*"&amp;Table1[[#Headers],[Energy Management]]&amp;"*")</f>
        <v>0</v>
      </c>
      <c r="L229" s="8">
        <f>COUNTIFS('All Papers'!$D:$D,"*"&amp;$A229&amp;"*",'All Papers'!$G:$G,"*"&amp;Table1[[#Headers],[Monitoring]]&amp;"*")</f>
        <v>0</v>
      </c>
      <c r="M229" s="8">
        <f>COUNTIFS('All Papers'!$D:$D,"*"&amp;$A229&amp;"*",'All Papers'!$G:$G,"*"&amp;Table1[[#Headers],[Pricing]]&amp;"*")</f>
        <v>0</v>
      </c>
    </row>
    <row r="230" spans="1:13" x14ac:dyDescent="0.25">
      <c r="A230" s="8" t="s">
        <v>2663</v>
      </c>
      <c r="B230" s="8">
        <f>COUNTIF('All Papers'!D:D,"*"&amp;Table1[[#This Row],[Name]]&amp;"*")</f>
        <v>2</v>
      </c>
      <c r="C230" s="8">
        <f>COUNTIFS('All Papers'!$D:$D,"*"&amp;$A230&amp;"*",'All Papers'!$G:$G,"*"&amp;Table1[[#Headers],[Composition]]&amp;"*")</f>
        <v>0</v>
      </c>
      <c r="D230" s="8">
        <f>COUNTIFS('All Papers'!$D:$D,"*"&amp;$A230&amp;"*",'All Papers'!$G:$G,"*"&amp;Table1[[#Headers],[Discovery]]&amp;"*")</f>
        <v>1</v>
      </c>
      <c r="E230" s="8">
        <f>COUNTIFS('All Papers'!$D:$D,"*"&amp;$A230&amp;"*",'All Papers'!$G:$G,"*"&amp;Table1[[#Headers],[Selection]]&amp;"*")</f>
        <v>0</v>
      </c>
      <c r="F230" s="8">
        <f>COUNTIFS('All Papers'!$D:$D,"*"&amp;$A230&amp;"*",'All Papers'!$G:$G,"*"&amp;Table1[[#Headers],[Recommendation]]&amp;"*")</f>
        <v>0</v>
      </c>
      <c r="G230" s="8">
        <f>COUNTIFS('All Papers'!$D:$D,"*"&amp;$A230&amp;"*",'All Papers'!$G:$G,"*"&amp;Table1[[#Headers],[Resource Management-CS]]&amp;"*")</f>
        <v>1</v>
      </c>
      <c r="H230" s="8">
        <f>COUNTIFS('All Papers'!$D:$D,"*"&amp;$A230&amp;"*",'All Papers'!$G:$G,"*"&amp;Table1[[#Headers],[Resource Management-PS]]&amp;"*")</f>
        <v>0</v>
      </c>
      <c r="I230" s="8">
        <f>COUNTIFS('All Papers'!$D:$D,"*"&amp;$A230&amp;"*",'All Papers'!$G:$G,"*"&amp;Table1[[#Headers],[SLA Management]]&amp;"*")</f>
        <v>0</v>
      </c>
      <c r="J230" s="8">
        <f>COUNTIFS('All Papers'!$D:$D,"*"&amp;$A230&amp;"*",'All Papers'!$G:$G,"*"&amp;Table1[[#Headers],[Big Data]]&amp;"*")</f>
        <v>0</v>
      </c>
      <c r="K230" s="8">
        <f>COUNTIFS('All Papers'!$D:$D,"*"&amp;$A230&amp;"*",'All Papers'!$G:$G,"*"&amp;Table1[[#Headers],[Energy Management]]&amp;"*")</f>
        <v>0</v>
      </c>
      <c r="L230" s="8">
        <f>COUNTIFS('All Papers'!$D:$D,"*"&amp;$A230&amp;"*",'All Papers'!$G:$G,"*"&amp;Table1[[#Headers],[Monitoring]]&amp;"*")</f>
        <v>0</v>
      </c>
      <c r="M230" s="8">
        <f>COUNTIFS('All Papers'!$D:$D,"*"&amp;$A230&amp;"*",'All Papers'!$G:$G,"*"&amp;Table1[[#Headers],[Pricing]]&amp;"*")</f>
        <v>0</v>
      </c>
    </row>
    <row r="231" spans="1:13" x14ac:dyDescent="0.25">
      <c r="A231" s="8" t="s">
        <v>2664</v>
      </c>
      <c r="B231" s="8">
        <f>COUNTIF('All Papers'!D:D,"*"&amp;Table1[[#This Row],[Name]]&amp;"*")</f>
        <v>2</v>
      </c>
      <c r="C231" s="8">
        <f>COUNTIFS('All Papers'!$D:$D,"*"&amp;$A231&amp;"*",'All Papers'!$G:$G,"*"&amp;Table1[[#Headers],[Composition]]&amp;"*")</f>
        <v>0</v>
      </c>
      <c r="D231" s="8">
        <f>COUNTIFS('All Papers'!$D:$D,"*"&amp;$A231&amp;"*",'All Papers'!$G:$G,"*"&amp;Table1[[#Headers],[Discovery]]&amp;"*")</f>
        <v>0</v>
      </c>
      <c r="E231" s="8">
        <f>COUNTIFS('All Papers'!$D:$D,"*"&amp;$A231&amp;"*",'All Papers'!$G:$G,"*"&amp;Table1[[#Headers],[Selection]]&amp;"*")</f>
        <v>0</v>
      </c>
      <c r="F231" s="8">
        <f>COUNTIFS('All Papers'!$D:$D,"*"&amp;$A231&amp;"*",'All Papers'!$G:$G,"*"&amp;Table1[[#Headers],[Recommendation]]&amp;"*")</f>
        <v>0</v>
      </c>
      <c r="G231" s="8">
        <f>COUNTIFS('All Papers'!$D:$D,"*"&amp;$A231&amp;"*",'All Papers'!$G:$G,"*"&amp;Table1[[#Headers],[Resource Management-CS]]&amp;"*")</f>
        <v>2</v>
      </c>
      <c r="H231" s="8">
        <f>COUNTIFS('All Papers'!$D:$D,"*"&amp;$A231&amp;"*",'All Papers'!$G:$G,"*"&amp;Table1[[#Headers],[Resource Management-PS]]&amp;"*")</f>
        <v>0</v>
      </c>
      <c r="I231" s="8">
        <f>COUNTIFS('All Papers'!$D:$D,"*"&amp;$A231&amp;"*",'All Papers'!$G:$G,"*"&amp;Table1[[#Headers],[SLA Management]]&amp;"*")</f>
        <v>0</v>
      </c>
      <c r="J231" s="8">
        <f>COUNTIFS('All Papers'!$D:$D,"*"&amp;$A231&amp;"*",'All Papers'!$G:$G,"*"&amp;Table1[[#Headers],[Big Data]]&amp;"*")</f>
        <v>0</v>
      </c>
      <c r="K231" s="8">
        <f>COUNTIFS('All Papers'!$D:$D,"*"&amp;$A231&amp;"*",'All Papers'!$G:$G,"*"&amp;Table1[[#Headers],[Energy Management]]&amp;"*")</f>
        <v>0</v>
      </c>
      <c r="L231" s="8">
        <f>COUNTIFS('All Papers'!$D:$D,"*"&amp;$A231&amp;"*",'All Papers'!$G:$G,"*"&amp;Table1[[#Headers],[Monitoring]]&amp;"*")</f>
        <v>0</v>
      </c>
      <c r="M231" s="8">
        <f>COUNTIFS('All Papers'!$D:$D,"*"&amp;$A231&amp;"*",'All Papers'!$G:$G,"*"&amp;Table1[[#Headers],[Pricing]]&amp;"*")</f>
        <v>0</v>
      </c>
    </row>
    <row r="232" spans="1:13" x14ac:dyDescent="0.25">
      <c r="A232" s="8" t="s">
        <v>2665</v>
      </c>
      <c r="B232" s="8">
        <f>COUNTIF('All Papers'!D:D,"*"&amp;Table1[[#This Row],[Name]]&amp;"*")</f>
        <v>2</v>
      </c>
      <c r="C232" s="8">
        <f>COUNTIFS('All Papers'!$D:$D,"*"&amp;$A232&amp;"*",'All Papers'!$G:$G,"*"&amp;Table1[[#Headers],[Composition]]&amp;"*")</f>
        <v>0</v>
      </c>
      <c r="D232" s="8">
        <f>COUNTIFS('All Papers'!$D:$D,"*"&amp;$A232&amp;"*",'All Papers'!$G:$G,"*"&amp;Table1[[#Headers],[Discovery]]&amp;"*")</f>
        <v>0</v>
      </c>
      <c r="E232" s="8">
        <f>COUNTIFS('All Papers'!$D:$D,"*"&amp;$A232&amp;"*",'All Papers'!$G:$G,"*"&amp;Table1[[#Headers],[Selection]]&amp;"*")</f>
        <v>1</v>
      </c>
      <c r="F232" s="8">
        <f>COUNTIFS('All Papers'!$D:$D,"*"&amp;$A232&amp;"*",'All Papers'!$G:$G,"*"&amp;Table1[[#Headers],[Recommendation]]&amp;"*")</f>
        <v>0</v>
      </c>
      <c r="G232" s="8">
        <f>COUNTIFS('All Papers'!$D:$D,"*"&amp;$A232&amp;"*",'All Papers'!$G:$G,"*"&amp;Table1[[#Headers],[Resource Management-CS]]&amp;"*")</f>
        <v>1</v>
      </c>
      <c r="H232" s="8">
        <f>COUNTIFS('All Papers'!$D:$D,"*"&amp;$A232&amp;"*",'All Papers'!$G:$G,"*"&amp;Table1[[#Headers],[Resource Management-PS]]&amp;"*")</f>
        <v>0</v>
      </c>
      <c r="I232" s="8">
        <f>COUNTIFS('All Papers'!$D:$D,"*"&amp;$A232&amp;"*",'All Papers'!$G:$G,"*"&amp;Table1[[#Headers],[SLA Management]]&amp;"*")</f>
        <v>1</v>
      </c>
      <c r="J232" s="8">
        <f>COUNTIFS('All Papers'!$D:$D,"*"&amp;$A232&amp;"*",'All Papers'!$G:$G,"*"&amp;Table1[[#Headers],[Big Data]]&amp;"*")</f>
        <v>0</v>
      </c>
      <c r="K232" s="8">
        <f>COUNTIFS('All Papers'!$D:$D,"*"&amp;$A232&amp;"*",'All Papers'!$G:$G,"*"&amp;Table1[[#Headers],[Energy Management]]&amp;"*")</f>
        <v>0</v>
      </c>
      <c r="L232" s="8">
        <f>COUNTIFS('All Papers'!$D:$D,"*"&amp;$A232&amp;"*",'All Papers'!$G:$G,"*"&amp;Table1[[#Headers],[Monitoring]]&amp;"*")</f>
        <v>0</v>
      </c>
      <c r="M232" s="8">
        <f>COUNTIFS('All Papers'!$D:$D,"*"&amp;$A232&amp;"*",'All Papers'!$G:$G,"*"&amp;Table1[[#Headers],[Pricing]]&amp;"*")</f>
        <v>0</v>
      </c>
    </row>
    <row r="233" spans="1:13" x14ac:dyDescent="0.25">
      <c r="A233" s="8" t="s">
        <v>2666</v>
      </c>
      <c r="B233" s="8">
        <f>COUNTIF('All Papers'!D:D,"*"&amp;Table1[[#This Row],[Name]]&amp;"*")</f>
        <v>2</v>
      </c>
      <c r="C233" s="8">
        <f>COUNTIFS('All Papers'!$D:$D,"*"&amp;$A233&amp;"*",'All Papers'!$G:$G,"*"&amp;Table1[[#Headers],[Composition]]&amp;"*")</f>
        <v>0</v>
      </c>
      <c r="D233" s="8">
        <f>COUNTIFS('All Papers'!$D:$D,"*"&amp;$A233&amp;"*",'All Papers'!$G:$G,"*"&amp;Table1[[#Headers],[Discovery]]&amp;"*")</f>
        <v>0</v>
      </c>
      <c r="E233" s="8">
        <f>COUNTIFS('All Papers'!$D:$D,"*"&amp;$A233&amp;"*",'All Papers'!$G:$G,"*"&amp;Table1[[#Headers],[Selection]]&amp;"*")</f>
        <v>0</v>
      </c>
      <c r="F233" s="8">
        <f>COUNTIFS('All Papers'!$D:$D,"*"&amp;$A233&amp;"*",'All Papers'!$G:$G,"*"&amp;Table1[[#Headers],[Recommendation]]&amp;"*")</f>
        <v>0</v>
      </c>
      <c r="G233" s="8">
        <f>COUNTIFS('All Papers'!$D:$D,"*"&amp;$A233&amp;"*",'All Papers'!$G:$G,"*"&amp;Table1[[#Headers],[Resource Management-CS]]&amp;"*")</f>
        <v>2</v>
      </c>
      <c r="H233" s="8">
        <f>COUNTIFS('All Papers'!$D:$D,"*"&amp;$A233&amp;"*",'All Papers'!$G:$G,"*"&amp;Table1[[#Headers],[Resource Management-PS]]&amp;"*")</f>
        <v>0</v>
      </c>
      <c r="I233" s="8">
        <f>COUNTIFS('All Papers'!$D:$D,"*"&amp;$A233&amp;"*",'All Papers'!$G:$G,"*"&amp;Table1[[#Headers],[SLA Management]]&amp;"*")</f>
        <v>1</v>
      </c>
      <c r="J233" s="8">
        <f>COUNTIFS('All Papers'!$D:$D,"*"&amp;$A233&amp;"*",'All Papers'!$G:$G,"*"&amp;Table1[[#Headers],[Big Data]]&amp;"*")</f>
        <v>0</v>
      </c>
      <c r="K233" s="8">
        <f>COUNTIFS('All Papers'!$D:$D,"*"&amp;$A233&amp;"*",'All Papers'!$G:$G,"*"&amp;Table1[[#Headers],[Energy Management]]&amp;"*")</f>
        <v>0</v>
      </c>
      <c r="L233" s="8">
        <f>COUNTIFS('All Papers'!$D:$D,"*"&amp;$A233&amp;"*",'All Papers'!$G:$G,"*"&amp;Table1[[#Headers],[Monitoring]]&amp;"*")</f>
        <v>0</v>
      </c>
      <c r="M233" s="8">
        <f>COUNTIFS('All Papers'!$D:$D,"*"&amp;$A233&amp;"*",'All Papers'!$G:$G,"*"&amp;Table1[[#Headers],[Pricing]]&amp;"*")</f>
        <v>0</v>
      </c>
    </row>
    <row r="234" spans="1:13" x14ac:dyDescent="0.25">
      <c r="A234" s="8" t="s">
        <v>2667</v>
      </c>
      <c r="B234" s="8">
        <f>COUNTIF('All Papers'!D:D,"*"&amp;Table1[[#This Row],[Name]]&amp;"*")</f>
        <v>2</v>
      </c>
      <c r="C234" s="8">
        <f>COUNTIFS('All Papers'!$D:$D,"*"&amp;$A234&amp;"*",'All Papers'!$G:$G,"*"&amp;Table1[[#Headers],[Composition]]&amp;"*")</f>
        <v>2</v>
      </c>
      <c r="D234" s="8">
        <f>COUNTIFS('All Papers'!$D:$D,"*"&amp;$A234&amp;"*",'All Papers'!$G:$G,"*"&amp;Table1[[#Headers],[Discovery]]&amp;"*")</f>
        <v>0</v>
      </c>
      <c r="E234" s="8">
        <f>COUNTIFS('All Papers'!$D:$D,"*"&amp;$A234&amp;"*",'All Papers'!$G:$G,"*"&amp;Table1[[#Headers],[Selection]]&amp;"*")</f>
        <v>0</v>
      </c>
      <c r="F234" s="8">
        <f>COUNTIFS('All Papers'!$D:$D,"*"&amp;$A234&amp;"*",'All Papers'!$G:$G,"*"&amp;Table1[[#Headers],[Recommendation]]&amp;"*")</f>
        <v>0</v>
      </c>
      <c r="G234" s="8">
        <f>COUNTIFS('All Papers'!$D:$D,"*"&amp;$A234&amp;"*",'All Papers'!$G:$G,"*"&amp;Table1[[#Headers],[Resource Management-CS]]&amp;"*")</f>
        <v>1</v>
      </c>
      <c r="H234" s="8">
        <f>COUNTIFS('All Papers'!$D:$D,"*"&amp;$A234&amp;"*",'All Papers'!$G:$G,"*"&amp;Table1[[#Headers],[Resource Management-PS]]&amp;"*")</f>
        <v>0</v>
      </c>
      <c r="I234" s="8">
        <f>COUNTIFS('All Papers'!$D:$D,"*"&amp;$A234&amp;"*",'All Papers'!$G:$G,"*"&amp;Table1[[#Headers],[SLA Management]]&amp;"*")</f>
        <v>0</v>
      </c>
      <c r="J234" s="8">
        <f>COUNTIFS('All Papers'!$D:$D,"*"&amp;$A234&amp;"*",'All Papers'!$G:$G,"*"&amp;Table1[[#Headers],[Big Data]]&amp;"*")</f>
        <v>0</v>
      </c>
      <c r="K234" s="8">
        <f>COUNTIFS('All Papers'!$D:$D,"*"&amp;$A234&amp;"*",'All Papers'!$G:$G,"*"&amp;Table1[[#Headers],[Energy Management]]&amp;"*")</f>
        <v>0</v>
      </c>
      <c r="L234" s="8">
        <f>COUNTIFS('All Papers'!$D:$D,"*"&amp;$A234&amp;"*",'All Papers'!$G:$G,"*"&amp;Table1[[#Headers],[Monitoring]]&amp;"*")</f>
        <v>1</v>
      </c>
      <c r="M234" s="8">
        <f>COUNTIFS('All Papers'!$D:$D,"*"&amp;$A234&amp;"*",'All Papers'!$G:$G,"*"&amp;Table1[[#Headers],[Pricing]]&amp;"*")</f>
        <v>0</v>
      </c>
    </row>
    <row r="235" spans="1:13" x14ac:dyDescent="0.25">
      <c r="A235" s="8" t="s">
        <v>2668</v>
      </c>
      <c r="B235" s="8">
        <f>COUNTIF('All Papers'!D:D,"*"&amp;Table1[[#This Row],[Name]]&amp;"*")</f>
        <v>2</v>
      </c>
      <c r="C235" s="8">
        <f>COUNTIFS('All Papers'!$D:$D,"*"&amp;$A235&amp;"*",'All Papers'!$G:$G,"*"&amp;Table1[[#Headers],[Composition]]&amp;"*")</f>
        <v>1</v>
      </c>
      <c r="D235" s="8">
        <f>COUNTIFS('All Papers'!$D:$D,"*"&amp;$A235&amp;"*",'All Papers'!$G:$G,"*"&amp;Table1[[#Headers],[Discovery]]&amp;"*")</f>
        <v>0</v>
      </c>
      <c r="E235" s="8">
        <f>COUNTIFS('All Papers'!$D:$D,"*"&amp;$A235&amp;"*",'All Papers'!$G:$G,"*"&amp;Table1[[#Headers],[Selection]]&amp;"*")</f>
        <v>0</v>
      </c>
      <c r="F235" s="8">
        <f>COUNTIFS('All Papers'!$D:$D,"*"&amp;$A235&amp;"*",'All Papers'!$G:$G,"*"&amp;Table1[[#Headers],[Recommendation]]&amp;"*")</f>
        <v>0</v>
      </c>
      <c r="G235" s="8">
        <f>COUNTIFS('All Papers'!$D:$D,"*"&amp;$A235&amp;"*",'All Papers'!$G:$G,"*"&amp;Table1[[#Headers],[Resource Management-CS]]&amp;"*")</f>
        <v>1</v>
      </c>
      <c r="H235" s="8">
        <f>COUNTIFS('All Papers'!$D:$D,"*"&amp;$A235&amp;"*",'All Papers'!$G:$G,"*"&amp;Table1[[#Headers],[Resource Management-PS]]&amp;"*")</f>
        <v>0</v>
      </c>
      <c r="I235" s="8">
        <f>COUNTIFS('All Papers'!$D:$D,"*"&amp;$A235&amp;"*",'All Papers'!$G:$G,"*"&amp;Table1[[#Headers],[SLA Management]]&amp;"*")</f>
        <v>0</v>
      </c>
      <c r="J235" s="8">
        <f>COUNTIFS('All Papers'!$D:$D,"*"&amp;$A235&amp;"*",'All Papers'!$G:$G,"*"&amp;Table1[[#Headers],[Big Data]]&amp;"*")</f>
        <v>0</v>
      </c>
      <c r="K235" s="8">
        <f>COUNTIFS('All Papers'!$D:$D,"*"&amp;$A235&amp;"*",'All Papers'!$G:$G,"*"&amp;Table1[[#Headers],[Energy Management]]&amp;"*")</f>
        <v>0</v>
      </c>
      <c r="L235" s="8">
        <f>COUNTIFS('All Papers'!$D:$D,"*"&amp;$A235&amp;"*",'All Papers'!$G:$G,"*"&amp;Table1[[#Headers],[Monitoring]]&amp;"*")</f>
        <v>0</v>
      </c>
      <c r="M235" s="8">
        <f>COUNTIFS('All Papers'!$D:$D,"*"&amp;$A235&amp;"*",'All Papers'!$G:$G,"*"&amp;Table1[[#Headers],[Pricing]]&amp;"*")</f>
        <v>0</v>
      </c>
    </row>
    <row r="236" spans="1:13" x14ac:dyDescent="0.25">
      <c r="A236" s="8" t="s">
        <v>2669</v>
      </c>
      <c r="B236" s="8">
        <f>COUNTIF('All Papers'!D:D,"*"&amp;Table1[[#This Row],[Name]]&amp;"*")</f>
        <v>2</v>
      </c>
      <c r="C236" s="8">
        <f>COUNTIFS('All Papers'!$D:$D,"*"&amp;$A236&amp;"*",'All Papers'!$G:$G,"*"&amp;Table1[[#Headers],[Composition]]&amp;"*")</f>
        <v>1</v>
      </c>
      <c r="D236" s="8">
        <f>COUNTIFS('All Papers'!$D:$D,"*"&amp;$A236&amp;"*",'All Papers'!$G:$G,"*"&amp;Table1[[#Headers],[Discovery]]&amp;"*")</f>
        <v>0</v>
      </c>
      <c r="E236" s="8">
        <f>COUNTIFS('All Papers'!$D:$D,"*"&amp;$A236&amp;"*",'All Papers'!$G:$G,"*"&amp;Table1[[#Headers],[Selection]]&amp;"*")</f>
        <v>0</v>
      </c>
      <c r="F236" s="8">
        <f>COUNTIFS('All Papers'!$D:$D,"*"&amp;$A236&amp;"*",'All Papers'!$G:$G,"*"&amp;Table1[[#Headers],[Recommendation]]&amp;"*")</f>
        <v>0</v>
      </c>
      <c r="G236" s="8">
        <f>COUNTIFS('All Papers'!$D:$D,"*"&amp;$A236&amp;"*",'All Papers'!$G:$G,"*"&amp;Table1[[#Headers],[Resource Management-CS]]&amp;"*")</f>
        <v>1</v>
      </c>
      <c r="H236" s="8">
        <f>COUNTIFS('All Papers'!$D:$D,"*"&amp;$A236&amp;"*",'All Papers'!$G:$G,"*"&amp;Table1[[#Headers],[Resource Management-PS]]&amp;"*")</f>
        <v>0</v>
      </c>
      <c r="I236" s="8">
        <f>COUNTIFS('All Papers'!$D:$D,"*"&amp;$A236&amp;"*",'All Papers'!$G:$G,"*"&amp;Table1[[#Headers],[SLA Management]]&amp;"*")</f>
        <v>0</v>
      </c>
      <c r="J236" s="8">
        <f>COUNTIFS('All Papers'!$D:$D,"*"&amp;$A236&amp;"*",'All Papers'!$G:$G,"*"&amp;Table1[[#Headers],[Big Data]]&amp;"*")</f>
        <v>0</v>
      </c>
      <c r="K236" s="8">
        <f>COUNTIFS('All Papers'!$D:$D,"*"&amp;$A236&amp;"*",'All Papers'!$G:$G,"*"&amp;Table1[[#Headers],[Energy Management]]&amp;"*")</f>
        <v>0</v>
      </c>
      <c r="L236" s="8">
        <f>COUNTIFS('All Papers'!$D:$D,"*"&amp;$A236&amp;"*",'All Papers'!$G:$G,"*"&amp;Table1[[#Headers],[Monitoring]]&amp;"*")</f>
        <v>0</v>
      </c>
      <c r="M236" s="8">
        <f>COUNTIFS('All Papers'!$D:$D,"*"&amp;$A236&amp;"*",'All Papers'!$G:$G,"*"&amp;Table1[[#Headers],[Pricing]]&amp;"*")</f>
        <v>0</v>
      </c>
    </row>
    <row r="237" spans="1:13" x14ac:dyDescent="0.25">
      <c r="A237" s="8" t="s">
        <v>2670</v>
      </c>
      <c r="B237" s="8">
        <f>COUNTIF('All Papers'!D:D,"*"&amp;Table1[[#This Row],[Name]]&amp;"*")</f>
        <v>2</v>
      </c>
      <c r="C237" s="8">
        <f>COUNTIFS('All Papers'!$D:$D,"*"&amp;$A237&amp;"*",'All Papers'!$G:$G,"*"&amp;Table1[[#Headers],[Composition]]&amp;"*")</f>
        <v>0</v>
      </c>
      <c r="D237" s="8">
        <f>COUNTIFS('All Papers'!$D:$D,"*"&amp;$A237&amp;"*",'All Papers'!$G:$G,"*"&amp;Table1[[#Headers],[Discovery]]&amp;"*")</f>
        <v>0</v>
      </c>
      <c r="E237" s="8">
        <f>COUNTIFS('All Papers'!$D:$D,"*"&amp;$A237&amp;"*",'All Papers'!$G:$G,"*"&amp;Table1[[#Headers],[Selection]]&amp;"*")</f>
        <v>0</v>
      </c>
      <c r="F237" s="8">
        <f>COUNTIFS('All Papers'!$D:$D,"*"&amp;$A237&amp;"*",'All Papers'!$G:$G,"*"&amp;Table1[[#Headers],[Recommendation]]&amp;"*")</f>
        <v>0</v>
      </c>
      <c r="G237" s="8">
        <f>COUNTIFS('All Papers'!$D:$D,"*"&amp;$A237&amp;"*",'All Papers'!$G:$G,"*"&amp;Table1[[#Headers],[Resource Management-CS]]&amp;"*")</f>
        <v>2</v>
      </c>
      <c r="H237" s="8">
        <f>COUNTIFS('All Papers'!$D:$D,"*"&amp;$A237&amp;"*",'All Papers'!$G:$G,"*"&amp;Table1[[#Headers],[Resource Management-PS]]&amp;"*")</f>
        <v>0</v>
      </c>
      <c r="I237" s="8">
        <f>COUNTIFS('All Papers'!$D:$D,"*"&amp;$A237&amp;"*",'All Papers'!$G:$G,"*"&amp;Table1[[#Headers],[SLA Management]]&amp;"*")</f>
        <v>0</v>
      </c>
      <c r="J237" s="8">
        <f>COUNTIFS('All Papers'!$D:$D,"*"&amp;$A237&amp;"*",'All Papers'!$G:$G,"*"&amp;Table1[[#Headers],[Big Data]]&amp;"*")</f>
        <v>0</v>
      </c>
      <c r="K237" s="8">
        <f>COUNTIFS('All Papers'!$D:$D,"*"&amp;$A237&amp;"*",'All Papers'!$G:$G,"*"&amp;Table1[[#Headers],[Energy Management]]&amp;"*")</f>
        <v>0</v>
      </c>
      <c r="L237" s="8">
        <f>COUNTIFS('All Papers'!$D:$D,"*"&amp;$A237&amp;"*",'All Papers'!$G:$G,"*"&amp;Table1[[#Headers],[Monitoring]]&amp;"*")</f>
        <v>0</v>
      </c>
      <c r="M237" s="8">
        <f>COUNTIFS('All Papers'!$D:$D,"*"&amp;$A237&amp;"*",'All Papers'!$G:$G,"*"&amp;Table1[[#Headers],[Pricing]]&amp;"*")</f>
        <v>0</v>
      </c>
    </row>
    <row r="238" spans="1:13" x14ac:dyDescent="0.25">
      <c r="A238" s="8" t="s">
        <v>2671</v>
      </c>
      <c r="B238" s="8">
        <f>COUNTIF('All Papers'!D:D,"*"&amp;Table1[[#This Row],[Name]]&amp;"*")</f>
        <v>2</v>
      </c>
      <c r="C238" s="8">
        <f>COUNTIFS('All Papers'!$D:$D,"*"&amp;$A238&amp;"*",'All Papers'!$G:$G,"*"&amp;Table1[[#Headers],[Composition]]&amp;"*")</f>
        <v>0</v>
      </c>
      <c r="D238" s="8">
        <f>COUNTIFS('All Papers'!$D:$D,"*"&amp;$A238&amp;"*",'All Papers'!$G:$G,"*"&amp;Table1[[#Headers],[Discovery]]&amp;"*")</f>
        <v>0</v>
      </c>
      <c r="E238" s="8">
        <f>COUNTIFS('All Papers'!$D:$D,"*"&amp;$A238&amp;"*",'All Papers'!$G:$G,"*"&amp;Table1[[#Headers],[Selection]]&amp;"*")</f>
        <v>0</v>
      </c>
      <c r="F238" s="8">
        <f>COUNTIFS('All Papers'!$D:$D,"*"&amp;$A238&amp;"*",'All Papers'!$G:$G,"*"&amp;Table1[[#Headers],[Recommendation]]&amp;"*")</f>
        <v>0</v>
      </c>
      <c r="G238" s="8">
        <f>COUNTIFS('All Papers'!$D:$D,"*"&amp;$A238&amp;"*",'All Papers'!$G:$G,"*"&amp;Table1[[#Headers],[Resource Management-CS]]&amp;"*")</f>
        <v>1</v>
      </c>
      <c r="H238" s="8">
        <f>COUNTIFS('All Papers'!$D:$D,"*"&amp;$A238&amp;"*",'All Papers'!$G:$G,"*"&amp;Table1[[#Headers],[Resource Management-PS]]&amp;"*")</f>
        <v>1</v>
      </c>
      <c r="I238" s="8">
        <f>COUNTIFS('All Papers'!$D:$D,"*"&amp;$A238&amp;"*",'All Papers'!$G:$G,"*"&amp;Table1[[#Headers],[SLA Management]]&amp;"*")</f>
        <v>0</v>
      </c>
      <c r="J238" s="8">
        <f>COUNTIFS('All Papers'!$D:$D,"*"&amp;$A238&amp;"*",'All Papers'!$G:$G,"*"&amp;Table1[[#Headers],[Big Data]]&amp;"*")</f>
        <v>0</v>
      </c>
      <c r="K238" s="8">
        <f>COUNTIFS('All Papers'!$D:$D,"*"&amp;$A238&amp;"*",'All Papers'!$G:$G,"*"&amp;Table1[[#Headers],[Energy Management]]&amp;"*")</f>
        <v>0</v>
      </c>
      <c r="L238" s="8">
        <f>COUNTIFS('All Papers'!$D:$D,"*"&amp;$A238&amp;"*",'All Papers'!$G:$G,"*"&amp;Table1[[#Headers],[Monitoring]]&amp;"*")</f>
        <v>0</v>
      </c>
      <c r="M238" s="8">
        <f>COUNTIFS('All Papers'!$D:$D,"*"&amp;$A238&amp;"*",'All Papers'!$G:$G,"*"&amp;Table1[[#Headers],[Pricing]]&amp;"*")</f>
        <v>0</v>
      </c>
    </row>
    <row r="239" spans="1:13" x14ac:dyDescent="0.25">
      <c r="A239" s="8" t="s">
        <v>2672</v>
      </c>
      <c r="B239" s="8">
        <f>COUNTIF('All Papers'!D:D,"*"&amp;Table1[[#This Row],[Name]]&amp;"*")</f>
        <v>2</v>
      </c>
      <c r="C239" s="8">
        <f>COUNTIFS('All Papers'!$D:$D,"*"&amp;$A239&amp;"*",'All Papers'!$G:$G,"*"&amp;Table1[[#Headers],[Composition]]&amp;"*")</f>
        <v>2</v>
      </c>
      <c r="D239" s="8">
        <f>COUNTIFS('All Papers'!$D:$D,"*"&amp;$A239&amp;"*",'All Papers'!$G:$G,"*"&amp;Table1[[#Headers],[Discovery]]&amp;"*")</f>
        <v>0</v>
      </c>
      <c r="E239" s="8">
        <f>COUNTIFS('All Papers'!$D:$D,"*"&amp;$A239&amp;"*",'All Papers'!$G:$G,"*"&amp;Table1[[#Headers],[Selection]]&amp;"*")</f>
        <v>0</v>
      </c>
      <c r="F239" s="8">
        <f>COUNTIFS('All Papers'!$D:$D,"*"&amp;$A239&amp;"*",'All Papers'!$G:$G,"*"&amp;Table1[[#Headers],[Recommendation]]&amp;"*")</f>
        <v>0</v>
      </c>
      <c r="G239" s="8">
        <f>COUNTIFS('All Papers'!$D:$D,"*"&amp;$A239&amp;"*",'All Papers'!$G:$G,"*"&amp;Table1[[#Headers],[Resource Management-CS]]&amp;"*")</f>
        <v>0</v>
      </c>
      <c r="H239" s="8">
        <f>COUNTIFS('All Papers'!$D:$D,"*"&amp;$A239&amp;"*",'All Papers'!$G:$G,"*"&amp;Table1[[#Headers],[Resource Management-PS]]&amp;"*")</f>
        <v>0</v>
      </c>
      <c r="I239" s="8">
        <f>COUNTIFS('All Papers'!$D:$D,"*"&amp;$A239&amp;"*",'All Papers'!$G:$G,"*"&amp;Table1[[#Headers],[SLA Management]]&amp;"*")</f>
        <v>0</v>
      </c>
      <c r="J239" s="8">
        <f>COUNTIFS('All Papers'!$D:$D,"*"&amp;$A239&amp;"*",'All Papers'!$G:$G,"*"&amp;Table1[[#Headers],[Big Data]]&amp;"*")</f>
        <v>0</v>
      </c>
      <c r="K239" s="8">
        <f>COUNTIFS('All Papers'!$D:$D,"*"&amp;$A239&amp;"*",'All Papers'!$G:$G,"*"&amp;Table1[[#Headers],[Energy Management]]&amp;"*")</f>
        <v>0</v>
      </c>
      <c r="L239" s="8">
        <f>COUNTIFS('All Papers'!$D:$D,"*"&amp;$A239&amp;"*",'All Papers'!$G:$G,"*"&amp;Table1[[#Headers],[Monitoring]]&amp;"*")</f>
        <v>0</v>
      </c>
      <c r="M239" s="8">
        <f>COUNTIFS('All Papers'!$D:$D,"*"&amp;$A239&amp;"*",'All Papers'!$G:$G,"*"&amp;Table1[[#Headers],[Pricing]]&amp;"*")</f>
        <v>0</v>
      </c>
    </row>
    <row r="240" spans="1:13" x14ac:dyDescent="0.25">
      <c r="A240" s="8" t="s">
        <v>2673</v>
      </c>
      <c r="B240" s="8">
        <f>COUNTIF('All Papers'!D:D,"*"&amp;Table1[[#This Row],[Name]]&amp;"*")</f>
        <v>2</v>
      </c>
      <c r="C240" s="8">
        <f>COUNTIFS('All Papers'!$D:$D,"*"&amp;$A240&amp;"*",'All Papers'!$G:$G,"*"&amp;Table1[[#Headers],[Composition]]&amp;"*")</f>
        <v>2</v>
      </c>
      <c r="D240" s="8">
        <f>COUNTIFS('All Papers'!$D:$D,"*"&amp;$A240&amp;"*",'All Papers'!$G:$G,"*"&amp;Table1[[#Headers],[Discovery]]&amp;"*")</f>
        <v>0</v>
      </c>
      <c r="E240" s="8">
        <f>COUNTIFS('All Papers'!$D:$D,"*"&amp;$A240&amp;"*",'All Papers'!$G:$G,"*"&amp;Table1[[#Headers],[Selection]]&amp;"*")</f>
        <v>0</v>
      </c>
      <c r="F240" s="8">
        <f>COUNTIFS('All Papers'!$D:$D,"*"&amp;$A240&amp;"*",'All Papers'!$G:$G,"*"&amp;Table1[[#Headers],[Recommendation]]&amp;"*")</f>
        <v>0</v>
      </c>
      <c r="G240" s="8">
        <f>COUNTIFS('All Papers'!$D:$D,"*"&amp;$A240&amp;"*",'All Papers'!$G:$G,"*"&amp;Table1[[#Headers],[Resource Management-CS]]&amp;"*")</f>
        <v>0</v>
      </c>
      <c r="H240" s="8">
        <f>COUNTIFS('All Papers'!$D:$D,"*"&amp;$A240&amp;"*",'All Papers'!$G:$G,"*"&amp;Table1[[#Headers],[Resource Management-PS]]&amp;"*")</f>
        <v>0</v>
      </c>
      <c r="I240" s="8">
        <f>COUNTIFS('All Papers'!$D:$D,"*"&amp;$A240&amp;"*",'All Papers'!$G:$G,"*"&amp;Table1[[#Headers],[SLA Management]]&amp;"*")</f>
        <v>0</v>
      </c>
      <c r="J240" s="8">
        <f>COUNTIFS('All Papers'!$D:$D,"*"&amp;$A240&amp;"*",'All Papers'!$G:$G,"*"&amp;Table1[[#Headers],[Big Data]]&amp;"*")</f>
        <v>0</v>
      </c>
      <c r="K240" s="8">
        <f>COUNTIFS('All Papers'!$D:$D,"*"&amp;$A240&amp;"*",'All Papers'!$G:$G,"*"&amp;Table1[[#Headers],[Energy Management]]&amp;"*")</f>
        <v>0</v>
      </c>
      <c r="L240" s="8">
        <f>COUNTIFS('All Papers'!$D:$D,"*"&amp;$A240&amp;"*",'All Papers'!$G:$G,"*"&amp;Table1[[#Headers],[Monitoring]]&amp;"*")</f>
        <v>0</v>
      </c>
      <c r="M240" s="8">
        <f>COUNTIFS('All Papers'!$D:$D,"*"&amp;$A240&amp;"*",'All Papers'!$G:$G,"*"&amp;Table1[[#Headers],[Pricing]]&amp;"*")</f>
        <v>0</v>
      </c>
    </row>
    <row r="241" spans="1:13" x14ac:dyDescent="0.25">
      <c r="A241" s="8" t="s">
        <v>2674</v>
      </c>
      <c r="B241" s="8">
        <f>COUNTIF('All Papers'!D:D,"*"&amp;Table1[[#This Row],[Name]]&amp;"*")</f>
        <v>2</v>
      </c>
      <c r="C241" s="8">
        <f>COUNTIFS('All Papers'!$D:$D,"*"&amp;$A241&amp;"*",'All Papers'!$G:$G,"*"&amp;Table1[[#Headers],[Composition]]&amp;"*")</f>
        <v>2</v>
      </c>
      <c r="D241" s="8">
        <f>COUNTIFS('All Papers'!$D:$D,"*"&amp;$A241&amp;"*",'All Papers'!$G:$G,"*"&amp;Table1[[#Headers],[Discovery]]&amp;"*")</f>
        <v>0</v>
      </c>
      <c r="E241" s="8">
        <f>COUNTIFS('All Papers'!$D:$D,"*"&amp;$A241&amp;"*",'All Papers'!$G:$G,"*"&amp;Table1[[#Headers],[Selection]]&amp;"*")</f>
        <v>0</v>
      </c>
      <c r="F241" s="8">
        <f>COUNTIFS('All Papers'!$D:$D,"*"&amp;$A241&amp;"*",'All Papers'!$G:$G,"*"&amp;Table1[[#Headers],[Recommendation]]&amp;"*")</f>
        <v>0</v>
      </c>
      <c r="G241" s="8">
        <f>COUNTIFS('All Papers'!$D:$D,"*"&amp;$A241&amp;"*",'All Papers'!$G:$G,"*"&amp;Table1[[#Headers],[Resource Management-CS]]&amp;"*")</f>
        <v>0</v>
      </c>
      <c r="H241" s="8">
        <f>COUNTIFS('All Papers'!$D:$D,"*"&amp;$A241&amp;"*",'All Papers'!$G:$G,"*"&amp;Table1[[#Headers],[Resource Management-PS]]&amp;"*")</f>
        <v>0</v>
      </c>
      <c r="I241" s="8">
        <f>COUNTIFS('All Papers'!$D:$D,"*"&amp;$A241&amp;"*",'All Papers'!$G:$G,"*"&amp;Table1[[#Headers],[SLA Management]]&amp;"*")</f>
        <v>0</v>
      </c>
      <c r="J241" s="8">
        <f>COUNTIFS('All Papers'!$D:$D,"*"&amp;$A241&amp;"*",'All Papers'!$G:$G,"*"&amp;Table1[[#Headers],[Big Data]]&amp;"*")</f>
        <v>0</v>
      </c>
      <c r="K241" s="8">
        <f>COUNTIFS('All Papers'!$D:$D,"*"&amp;$A241&amp;"*",'All Papers'!$G:$G,"*"&amp;Table1[[#Headers],[Energy Management]]&amp;"*")</f>
        <v>0</v>
      </c>
      <c r="L241" s="8">
        <f>COUNTIFS('All Papers'!$D:$D,"*"&amp;$A241&amp;"*",'All Papers'!$G:$G,"*"&amp;Table1[[#Headers],[Monitoring]]&amp;"*")</f>
        <v>0</v>
      </c>
      <c r="M241" s="8">
        <f>COUNTIFS('All Papers'!$D:$D,"*"&amp;$A241&amp;"*",'All Papers'!$G:$G,"*"&amp;Table1[[#Headers],[Pricing]]&amp;"*")</f>
        <v>0</v>
      </c>
    </row>
    <row r="242" spans="1:13" x14ac:dyDescent="0.25">
      <c r="A242" s="8" t="s">
        <v>2675</v>
      </c>
      <c r="B242" s="8">
        <f>COUNTIF('All Papers'!D:D,"*"&amp;Table1[[#This Row],[Name]]&amp;"*")</f>
        <v>2</v>
      </c>
      <c r="C242" s="8">
        <f>COUNTIFS('All Papers'!$D:$D,"*"&amp;$A242&amp;"*",'All Papers'!$G:$G,"*"&amp;Table1[[#Headers],[Composition]]&amp;"*")</f>
        <v>0</v>
      </c>
      <c r="D242" s="8">
        <f>COUNTIFS('All Papers'!$D:$D,"*"&amp;$A242&amp;"*",'All Papers'!$G:$G,"*"&amp;Table1[[#Headers],[Discovery]]&amp;"*")</f>
        <v>0</v>
      </c>
      <c r="E242" s="8">
        <f>COUNTIFS('All Papers'!$D:$D,"*"&amp;$A242&amp;"*",'All Papers'!$G:$G,"*"&amp;Table1[[#Headers],[Selection]]&amp;"*")</f>
        <v>1</v>
      </c>
      <c r="F242" s="8">
        <f>COUNTIFS('All Papers'!$D:$D,"*"&amp;$A242&amp;"*",'All Papers'!$G:$G,"*"&amp;Table1[[#Headers],[Recommendation]]&amp;"*")</f>
        <v>0</v>
      </c>
      <c r="G242" s="8">
        <f>COUNTIFS('All Papers'!$D:$D,"*"&amp;$A242&amp;"*",'All Papers'!$G:$G,"*"&amp;Table1[[#Headers],[Resource Management-CS]]&amp;"*")</f>
        <v>1</v>
      </c>
      <c r="H242" s="8">
        <f>COUNTIFS('All Papers'!$D:$D,"*"&amp;$A242&amp;"*",'All Papers'!$G:$G,"*"&amp;Table1[[#Headers],[Resource Management-PS]]&amp;"*")</f>
        <v>0</v>
      </c>
      <c r="I242" s="8">
        <f>COUNTIFS('All Papers'!$D:$D,"*"&amp;$A242&amp;"*",'All Papers'!$G:$G,"*"&amp;Table1[[#Headers],[SLA Management]]&amp;"*")</f>
        <v>0</v>
      </c>
      <c r="J242" s="8">
        <f>COUNTIFS('All Papers'!$D:$D,"*"&amp;$A242&amp;"*",'All Papers'!$G:$G,"*"&amp;Table1[[#Headers],[Big Data]]&amp;"*")</f>
        <v>0</v>
      </c>
      <c r="K242" s="8">
        <f>COUNTIFS('All Papers'!$D:$D,"*"&amp;$A242&amp;"*",'All Papers'!$G:$G,"*"&amp;Table1[[#Headers],[Energy Management]]&amp;"*")</f>
        <v>0</v>
      </c>
      <c r="L242" s="8">
        <f>COUNTIFS('All Papers'!$D:$D,"*"&amp;$A242&amp;"*",'All Papers'!$G:$G,"*"&amp;Table1[[#Headers],[Monitoring]]&amp;"*")</f>
        <v>0</v>
      </c>
      <c r="M242" s="8">
        <f>COUNTIFS('All Papers'!$D:$D,"*"&amp;$A242&amp;"*",'All Papers'!$G:$G,"*"&amp;Table1[[#Headers],[Pricing]]&amp;"*")</f>
        <v>1</v>
      </c>
    </row>
    <row r="243" spans="1:13" x14ac:dyDescent="0.25">
      <c r="A243" s="8" t="s">
        <v>2676</v>
      </c>
      <c r="B243" s="8">
        <f>COUNTIF('All Papers'!D:D,"*"&amp;Table1[[#This Row],[Name]]&amp;"*")</f>
        <v>2</v>
      </c>
      <c r="C243" s="8">
        <f>COUNTIFS('All Papers'!$D:$D,"*"&amp;$A243&amp;"*",'All Papers'!$G:$G,"*"&amp;Table1[[#Headers],[Composition]]&amp;"*")</f>
        <v>0</v>
      </c>
      <c r="D243" s="8">
        <f>COUNTIFS('All Papers'!$D:$D,"*"&amp;$A243&amp;"*",'All Papers'!$G:$G,"*"&amp;Table1[[#Headers],[Discovery]]&amp;"*")</f>
        <v>0</v>
      </c>
      <c r="E243" s="8">
        <f>COUNTIFS('All Papers'!$D:$D,"*"&amp;$A243&amp;"*",'All Papers'!$G:$G,"*"&amp;Table1[[#Headers],[Selection]]&amp;"*")</f>
        <v>1</v>
      </c>
      <c r="F243" s="8">
        <f>COUNTIFS('All Papers'!$D:$D,"*"&amp;$A243&amp;"*",'All Papers'!$G:$G,"*"&amp;Table1[[#Headers],[Recommendation]]&amp;"*")</f>
        <v>0</v>
      </c>
      <c r="G243" s="8">
        <f>COUNTIFS('All Papers'!$D:$D,"*"&amp;$A243&amp;"*",'All Papers'!$G:$G,"*"&amp;Table1[[#Headers],[Resource Management-CS]]&amp;"*")</f>
        <v>1</v>
      </c>
      <c r="H243" s="8">
        <f>COUNTIFS('All Papers'!$D:$D,"*"&amp;$A243&amp;"*",'All Papers'!$G:$G,"*"&amp;Table1[[#Headers],[Resource Management-PS]]&amp;"*")</f>
        <v>0</v>
      </c>
      <c r="I243" s="8">
        <f>COUNTIFS('All Papers'!$D:$D,"*"&amp;$A243&amp;"*",'All Papers'!$G:$G,"*"&amp;Table1[[#Headers],[SLA Management]]&amp;"*")</f>
        <v>0</v>
      </c>
      <c r="J243" s="8">
        <f>COUNTIFS('All Papers'!$D:$D,"*"&amp;$A243&amp;"*",'All Papers'!$G:$G,"*"&amp;Table1[[#Headers],[Big Data]]&amp;"*")</f>
        <v>0</v>
      </c>
      <c r="K243" s="8">
        <f>COUNTIFS('All Papers'!$D:$D,"*"&amp;$A243&amp;"*",'All Papers'!$G:$G,"*"&amp;Table1[[#Headers],[Energy Management]]&amp;"*")</f>
        <v>0</v>
      </c>
      <c r="L243" s="8">
        <f>COUNTIFS('All Papers'!$D:$D,"*"&amp;$A243&amp;"*",'All Papers'!$G:$G,"*"&amp;Table1[[#Headers],[Monitoring]]&amp;"*")</f>
        <v>0</v>
      </c>
      <c r="M243" s="8">
        <f>COUNTIFS('All Papers'!$D:$D,"*"&amp;$A243&amp;"*",'All Papers'!$G:$G,"*"&amp;Table1[[#Headers],[Pricing]]&amp;"*")</f>
        <v>1</v>
      </c>
    </row>
    <row r="244" spans="1:13" x14ac:dyDescent="0.25">
      <c r="A244" s="8" t="s">
        <v>2677</v>
      </c>
      <c r="B244" s="8">
        <f>COUNTIF('All Papers'!D:D,"*"&amp;Table1[[#This Row],[Name]]&amp;"*")</f>
        <v>2</v>
      </c>
      <c r="C244" s="8">
        <f>COUNTIFS('All Papers'!$D:$D,"*"&amp;$A244&amp;"*",'All Papers'!$G:$G,"*"&amp;Table1[[#Headers],[Composition]]&amp;"*")</f>
        <v>2</v>
      </c>
      <c r="D244" s="8">
        <f>COUNTIFS('All Papers'!$D:$D,"*"&amp;$A244&amp;"*",'All Papers'!$G:$G,"*"&amp;Table1[[#Headers],[Discovery]]&amp;"*")</f>
        <v>0</v>
      </c>
      <c r="E244" s="8">
        <f>COUNTIFS('All Papers'!$D:$D,"*"&amp;$A244&amp;"*",'All Papers'!$G:$G,"*"&amp;Table1[[#Headers],[Selection]]&amp;"*")</f>
        <v>0</v>
      </c>
      <c r="F244" s="8">
        <f>COUNTIFS('All Papers'!$D:$D,"*"&amp;$A244&amp;"*",'All Papers'!$G:$G,"*"&amp;Table1[[#Headers],[Recommendation]]&amp;"*")</f>
        <v>0</v>
      </c>
      <c r="G244" s="8">
        <f>COUNTIFS('All Papers'!$D:$D,"*"&amp;$A244&amp;"*",'All Papers'!$G:$G,"*"&amp;Table1[[#Headers],[Resource Management-CS]]&amp;"*")</f>
        <v>0</v>
      </c>
      <c r="H244" s="8">
        <f>COUNTIFS('All Papers'!$D:$D,"*"&amp;$A244&amp;"*",'All Papers'!$G:$G,"*"&amp;Table1[[#Headers],[Resource Management-PS]]&amp;"*")</f>
        <v>0</v>
      </c>
      <c r="I244" s="8">
        <f>COUNTIFS('All Papers'!$D:$D,"*"&amp;$A244&amp;"*",'All Papers'!$G:$G,"*"&amp;Table1[[#Headers],[SLA Management]]&amp;"*")</f>
        <v>0</v>
      </c>
      <c r="J244" s="8">
        <f>COUNTIFS('All Papers'!$D:$D,"*"&amp;$A244&amp;"*",'All Papers'!$G:$G,"*"&amp;Table1[[#Headers],[Big Data]]&amp;"*")</f>
        <v>0</v>
      </c>
      <c r="K244" s="8">
        <f>COUNTIFS('All Papers'!$D:$D,"*"&amp;$A244&amp;"*",'All Papers'!$G:$G,"*"&amp;Table1[[#Headers],[Energy Management]]&amp;"*")</f>
        <v>0</v>
      </c>
      <c r="L244" s="8">
        <f>COUNTIFS('All Papers'!$D:$D,"*"&amp;$A244&amp;"*",'All Papers'!$G:$G,"*"&amp;Table1[[#Headers],[Monitoring]]&amp;"*")</f>
        <v>0</v>
      </c>
      <c r="M244" s="8">
        <f>COUNTIFS('All Papers'!$D:$D,"*"&amp;$A244&amp;"*",'All Papers'!$G:$G,"*"&amp;Table1[[#Headers],[Pricing]]&amp;"*")</f>
        <v>0</v>
      </c>
    </row>
    <row r="245" spans="1:13" x14ac:dyDescent="0.25">
      <c r="A245" s="8" t="s">
        <v>2678</v>
      </c>
      <c r="B245" s="8">
        <f>COUNTIF('All Papers'!D:D,"*"&amp;Table1[[#This Row],[Name]]&amp;"*")</f>
        <v>2</v>
      </c>
      <c r="C245" s="8">
        <f>COUNTIFS('All Papers'!$D:$D,"*"&amp;$A245&amp;"*",'All Papers'!$G:$G,"*"&amp;Table1[[#Headers],[Composition]]&amp;"*")</f>
        <v>2</v>
      </c>
      <c r="D245" s="8">
        <f>COUNTIFS('All Papers'!$D:$D,"*"&amp;$A245&amp;"*",'All Papers'!$G:$G,"*"&amp;Table1[[#Headers],[Discovery]]&amp;"*")</f>
        <v>0</v>
      </c>
      <c r="E245" s="8">
        <f>COUNTIFS('All Papers'!$D:$D,"*"&amp;$A245&amp;"*",'All Papers'!$G:$G,"*"&amp;Table1[[#Headers],[Selection]]&amp;"*")</f>
        <v>0</v>
      </c>
      <c r="F245" s="8">
        <f>COUNTIFS('All Papers'!$D:$D,"*"&amp;$A245&amp;"*",'All Papers'!$G:$G,"*"&amp;Table1[[#Headers],[Recommendation]]&amp;"*")</f>
        <v>0</v>
      </c>
      <c r="G245" s="8">
        <f>COUNTIFS('All Papers'!$D:$D,"*"&amp;$A245&amp;"*",'All Papers'!$G:$G,"*"&amp;Table1[[#Headers],[Resource Management-CS]]&amp;"*")</f>
        <v>0</v>
      </c>
      <c r="H245" s="8">
        <f>COUNTIFS('All Papers'!$D:$D,"*"&amp;$A245&amp;"*",'All Papers'!$G:$G,"*"&amp;Table1[[#Headers],[Resource Management-PS]]&amp;"*")</f>
        <v>0</v>
      </c>
      <c r="I245" s="8">
        <f>COUNTIFS('All Papers'!$D:$D,"*"&amp;$A245&amp;"*",'All Papers'!$G:$G,"*"&amp;Table1[[#Headers],[SLA Management]]&amp;"*")</f>
        <v>0</v>
      </c>
      <c r="J245" s="8">
        <f>COUNTIFS('All Papers'!$D:$D,"*"&amp;$A245&amp;"*",'All Papers'!$G:$G,"*"&amp;Table1[[#Headers],[Big Data]]&amp;"*")</f>
        <v>0</v>
      </c>
      <c r="K245" s="8">
        <f>COUNTIFS('All Papers'!$D:$D,"*"&amp;$A245&amp;"*",'All Papers'!$G:$G,"*"&amp;Table1[[#Headers],[Energy Management]]&amp;"*")</f>
        <v>0</v>
      </c>
      <c r="L245" s="8">
        <f>COUNTIFS('All Papers'!$D:$D,"*"&amp;$A245&amp;"*",'All Papers'!$G:$G,"*"&amp;Table1[[#Headers],[Monitoring]]&amp;"*")</f>
        <v>0</v>
      </c>
      <c r="M245" s="8">
        <f>COUNTIFS('All Papers'!$D:$D,"*"&amp;$A245&amp;"*",'All Papers'!$G:$G,"*"&amp;Table1[[#Headers],[Pricing]]&amp;"*")</f>
        <v>0</v>
      </c>
    </row>
    <row r="246" spans="1:13" x14ac:dyDescent="0.25">
      <c r="A246" s="8" t="s">
        <v>2679</v>
      </c>
      <c r="B246" s="8">
        <f>COUNTIF('All Papers'!D:D,"*"&amp;Table1[[#This Row],[Name]]&amp;"*")</f>
        <v>2</v>
      </c>
      <c r="C246" s="8">
        <f>COUNTIFS('All Papers'!$D:$D,"*"&amp;$A246&amp;"*",'All Papers'!$G:$G,"*"&amp;Table1[[#Headers],[Composition]]&amp;"*")</f>
        <v>0</v>
      </c>
      <c r="D246" s="8">
        <f>COUNTIFS('All Papers'!$D:$D,"*"&amp;$A246&amp;"*",'All Papers'!$G:$G,"*"&amp;Table1[[#Headers],[Discovery]]&amp;"*")</f>
        <v>0</v>
      </c>
      <c r="E246" s="8">
        <f>COUNTIFS('All Papers'!$D:$D,"*"&amp;$A246&amp;"*",'All Papers'!$G:$G,"*"&amp;Table1[[#Headers],[Selection]]&amp;"*")</f>
        <v>2</v>
      </c>
      <c r="F246" s="8">
        <f>COUNTIFS('All Papers'!$D:$D,"*"&amp;$A246&amp;"*",'All Papers'!$G:$G,"*"&amp;Table1[[#Headers],[Recommendation]]&amp;"*")</f>
        <v>0</v>
      </c>
      <c r="G246" s="8">
        <f>COUNTIFS('All Papers'!$D:$D,"*"&amp;$A246&amp;"*",'All Papers'!$G:$G,"*"&amp;Table1[[#Headers],[Resource Management-CS]]&amp;"*")</f>
        <v>0</v>
      </c>
      <c r="H246" s="8">
        <f>COUNTIFS('All Papers'!$D:$D,"*"&amp;$A246&amp;"*",'All Papers'!$G:$G,"*"&amp;Table1[[#Headers],[Resource Management-PS]]&amp;"*")</f>
        <v>0</v>
      </c>
      <c r="I246" s="8">
        <f>COUNTIFS('All Papers'!$D:$D,"*"&amp;$A246&amp;"*",'All Papers'!$G:$G,"*"&amp;Table1[[#Headers],[SLA Management]]&amp;"*")</f>
        <v>0</v>
      </c>
      <c r="J246" s="8">
        <f>COUNTIFS('All Papers'!$D:$D,"*"&amp;$A246&amp;"*",'All Papers'!$G:$G,"*"&amp;Table1[[#Headers],[Big Data]]&amp;"*")</f>
        <v>0</v>
      </c>
      <c r="K246" s="8">
        <f>COUNTIFS('All Papers'!$D:$D,"*"&amp;$A246&amp;"*",'All Papers'!$G:$G,"*"&amp;Table1[[#Headers],[Energy Management]]&amp;"*")</f>
        <v>0</v>
      </c>
      <c r="L246" s="8">
        <f>COUNTIFS('All Papers'!$D:$D,"*"&amp;$A246&amp;"*",'All Papers'!$G:$G,"*"&amp;Table1[[#Headers],[Monitoring]]&amp;"*")</f>
        <v>0</v>
      </c>
      <c r="M246" s="8">
        <f>COUNTIFS('All Papers'!$D:$D,"*"&amp;$A246&amp;"*",'All Papers'!$G:$G,"*"&amp;Table1[[#Headers],[Pricing]]&amp;"*")</f>
        <v>0</v>
      </c>
    </row>
    <row r="247" spans="1:13" x14ac:dyDescent="0.25">
      <c r="A247" s="8" t="s">
        <v>2680</v>
      </c>
      <c r="B247" s="8">
        <f>COUNTIF('All Papers'!D:D,"*"&amp;Table1[[#This Row],[Name]]&amp;"*")</f>
        <v>2</v>
      </c>
      <c r="C247" s="8">
        <f>COUNTIFS('All Papers'!$D:$D,"*"&amp;$A247&amp;"*",'All Papers'!$G:$G,"*"&amp;Table1[[#Headers],[Composition]]&amp;"*")</f>
        <v>0</v>
      </c>
      <c r="D247" s="8">
        <f>COUNTIFS('All Papers'!$D:$D,"*"&amp;$A247&amp;"*",'All Papers'!$G:$G,"*"&amp;Table1[[#Headers],[Discovery]]&amp;"*")</f>
        <v>0</v>
      </c>
      <c r="E247" s="8">
        <f>COUNTIFS('All Papers'!$D:$D,"*"&amp;$A247&amp;"*",'All Papers'!$G:$G,"*"&amp;Table1[[#Headers],[Selection]]&amp;"*")</f>
        <v>2</v>
      </c>
      <c r="F247" s="8">
        <f>COUNTIFS('All Papers'!$D:$D,"*"&amp;$A247&amp;"*",'All Papers'!$G:$G,"*"&amp;Table1[[#Headers],[Recommendation]]&amp;"*")</f>
        <v>0</v>
      </c>
      <c r="G247" s="8">
        <f>COUNTIFS('All Papers'!$D:$D,"*"&amp;$A247&amp;"*",'All Papers'!$G:$G,"*"&amp;Table1[[#Headers],[Resource Management-CS]]&amp;"*")</f>
        <v>0</v>
      </c>
      <c r="H247" s="8">
        <f>COUNTIFS('All Papers'!$D:$D,"*"&amp;$A247&amp;"*",'All Papers'!$G:$G,"*"&amp;Table1[[#Headers],[Resource Management-PS]]&amp;"*")</f>
        <v>0</v>
      </c>
      <c r="I247" s="8">
        <f>COUNTIFS('All Papers'!$D:$D,"*"&amp;$A247&amp;"*",'All Papers'!$G:$G,"*"&amp;Table1[[#Headers],[SLA Management]]&amp;"*")</f>
        <v>0</v>
      </c>
      <c r="J247" s="8">
        <f>COUNTIFS('All Papers'!$D:$D,"*"&amp;$A247&amp;"*",'All Papers'!$G:$G,"*"&amp;Table1[[#Headers],[Big Data]]&amp;"*")</f>
        <v>0</v>
      </c>
      <c r="K247" s="8">
        <f>COUNTIFS('All Papers'!$D:$D,"*"&amp;$A247&amp;"*",'All Papers'!$G:$G,"*"&amp;Table1[[#Headers],[Energy Management]]&amp;"*")</f>
        <v>0</v>
      </c>
      <c r="L247" s="8">
        <f>COUNTIFS('All Papers'!$D:$D,"*"&amp;$A247&amp;"*",'All Papers'!$G:$G,"*"&amp;Table1[[#Headers],[Monitoring]]&amp;"*")</f>
        <v>0</v>
      </c>
      <c r="M247" s="8">
        <f>COUNTIFS('All Papers'!$D:$D,"*"&amp;$A247&amp;"*",'All Papers'!$G:$G,"*"&amp;Table1[[#Headers],[Pricing]]&amp;"*")</f>
        <v>0</v>
      </c>
    </row>
    <row r="248" spans="1:13" x14ac:dyDescent="0.25">
      <c r="A248" s="8" t="s">
        <v>2681</v>
      </c>
      <c r="B248" s="8">
        <f>COUNTIF('All Papers'!D:D,"*"&amp;Table1[[#This Row],[Name]]&amp;"*")</f>
        <v>2</v>
      </c>
      <c r="C248" s="8">
        <f>COUNTIFS('All Papers'!$D:$D,"*"&amp;$A248&amp;"*",'All Papers'!$G:$G,"*"&amp;Table1[[#Headers],[Composition]]&amp;"*")</f>
        <v>1</v>
      </c>
      <c r="D248" s="8">
        <f>COUNTIFS('All Papers'!$D:$D,"*"&amp;$A248&amp;"*",'All Papers'!$G:$G,"*"&amp;Table1[[#Headers],[Discovery]]&amp;"*")</f>
        <v>1</v>
      </c>
      <c r="E248" s="8">
        <f>COUNTIFS('All Papers'!$D:$D,"*"&amp;$A248&amp;"*",'All Papers'!$G:$G,"*"&amp;Table1[[#Headers],[Selection]]&amp;"*")</f>
        <v>0</v>
      </c>
      <c r="F248" s="8">
        <f>COUNTIFS('All Papers'!$D:$D,"*"&amp;$A248&amp;"*",'All Papers'!$G:$G,"*"&amp;Table1[[#Headers],[Recommendation]]&amp;"*")</f>
        <v>1</v>
      </c>
      <c r="G248" s="8">
        <f>COUNTIFS('All Papers'!$D:$D,"*"&amp;$A248&amp;"*",'All Papers'!$G:$G,"*"&amp;Table1[[#Headers],[Resource Management-CS]]&amp;"*")</f>
        <v>0</v>
      </c>
      <c r="H248" s="8">
        <f>COUNTIFS('All Papers'!$D:$D,"*"&amp;$A248&amp;"*",'All Papers'!$G:$G,"*"&amp;Table1[[#Headers],[Resource Management-PS]]&amp;"*")</f>
        <v>0</v>
      </c>
      <c r="I248" s="8">
        <f>COUNTIFS('All Papers'!$D:$D,"*"&amp;$A248&amp;"*",'All Papers'!$G:$G,"*"&amp;Table1[[#Headers],[SLA Management]]&amp;"*")</f>
        <v>0</v>
      </c>
      <c r="J248" s="8">
        <f>COUNTIFS('All Papers'!$D:$D,"*"&amp;$A248&amp;"*",'All Papers'!$G:$G,"*"&amp;Table1[[#Headers],[Big Data]]&amp;"*")</f>
        <v>0</v>
      </c>
      <c r="K248" s="8">
        <f>COUNTIFS('All Papers'!$D:$D,"*"&amp;$A248&amp;"*",'All Papers'!$G:$G,"*"&amp;Table1[[#Headers],[Energy Management]]&amp;"*")</f>
        <v>0</v>
      </c>
      <c r="L248" s="8">
        <f>COUNTIFS('All Papers'!$D:$D,"*"&amp;$A248&amp;"*",'All Papers'!$G:$G,"*"&amp;Table1[[#Headers],[Monitoring]]&amp;"*")</f>
        <v>0</v>
      </c>
      <c r="M248" s="8">
        <f>COUNTIFS('All Papers'!$D:$D,"*"&amp;$A248&amp;"*",'All Papers'!$G:$G,"*"&amp;Table1[[#Headers],[Pricing]]&amp;"*")</f>
        <v>0</v>
      </c>
    </row>
    <row r="249" spans="1:13" x14ac:dyDescent="0.25">
      <c r="A249" s="8" t="s">
        <v>2682</v>
      </c>
      <c r="B249" s="8">
        <f>COUNTIF('All Papers'!D:D,"*"&amp;Table1[[#This Row],[Name]]&amp;"*")</f>
        <v>2</v>
      </c>
      <c r="C249" s="8">
        <f>COUNTIFS('All Papers'!$D:$D,"*"&amp;$A249&amp;"*",'All Papers'!$G:$G,"*"&amp;Table1[[#Headers],[Composition]]&amp;"*")</f>
        <v>1</v>
      </c>
      <c r="D249" s="8">
        <f>COUNTIFS('All Papers'!$D:$D,"*"&amp;$A249&amp;"*",'All Papers'!$G:$G,"*"&amp;Table1[[#Headers],[Discovery]]&amp;"*")</f>
        <v>0</v>
      </c>
      <c r="E249" s="8">
        <f>COUNTIFS('All Papers'!$D:$D,"*"&amp;$A249&amp;"*",'All Papers'!$G:$G,"*"&amp;Table1[[#Headers],[Selection]]&amp;"*")</f>
        <v>2</v>
      </c>
      <c r="F249" s="8">
        <f>COUNTIFS('All Papers'!$D:$D,"*"&amp;$A249&amp;"*",'All Papers'!$G:$G,"*"&amp;Table1[[#Headers],[Recommendation]]&amp;"*")</f>
        <v>0</v>
      </c>
      <c r="G249" s="8">
        <f>COUNTIFS('All Papers'!$D:$D,"*"&amp;$A249&amp;"*",'All Papers'!$G:$G,"*"&amp;Table1[[#Headers],[Resource Management-CS]]&amp;"*")</f>
        <v>0</v>
      </c>
      <c r="H249" s="8">
        <f>COUNTIFS('All Papers'!$D:$D,"*"&amp;$A249&amp;"*",'All Papers'!$G:$G,"*"&amp;Table1[[#Headers],[Resource Management-PS]]&amp;"*")</f>
        <v>0</v>
      </c>
      <c r="I249" s="8">
        <f>COUNTIFS('All Papers'!$D:$D,"*"&amp;$A249&amp;"*",'All Papers'!$G:$G,"*"&amp;Table1[[#Headers],[SLA Management]]&amp;"*")</f>
        <v>0</v>
      </c>
      <c r="J249" s="8">
        <f>COUNTIFS('All Papers'!$D:$D,"*"&amp;$A249&amp;"*",'All Papers'!$G:$G,"*"&amp;Table1[[#Headers],[Big Data]]&amp;"*")</f>
        <v>0</v>
      </c>
      <c r="K249" s="8">
        <f>COUNTIFS('All Papers'!$D:$D,"*"&amp;$A249&amp;"*",'All Papers'!$G:$G,"*"&amp;Table1[[#Headers],[Energy Management]]&amp;"*")</f>
        <v>0</v>
      </c>
      <c r="L249" s="8">
        <f>COUNTIFS('All Papers'!$D:$D,"*"&amp;$A249&amp;"*",'All Papers'!$G:$G,"*"&amp;Table1[[#Headers],[Monitoring]]&amp;"*")</f>
        <v>0</v>
      </c>
      <c r="M249" s="8">
        <f>COUNTIFS('All Papers'!$D:$D,"*"&amp;$A249&amp;"*",'All Papers'!$G:$G,"*"&amp;Table1[[#Headers],[Pricing]]&amp;"*")</f>
        <v>0</v>
      </c>
    </row>
    <row r="250" spans="1:13" x14ac:dyDescent="0.25">
      <c r="A250" s="8" t="s">
        <v>2683</v>
      </c>
      <c r="B250" s="8">
        <f>COUNTIF('All Papers'!D:D,"*"&amp;Table1[[#This Row],[Name]]&amp;"*")</f>
        <v>2</v>
      </c>
      <c r="C250" s="8">
        <f>COUNTIFS('All Papers'!$D:$D,"*"&amp;$A250&amp;"*",'All Papers'!$G:$G,"*"&amp;Table1[[#Headers],[Composition]]&amp;"*")</f>
        <v>1</v>
      </c>
      <c r="D250" s="8">
        <f>COUNTIFS('All Papers'!$D:$D,"*"&amp;$A250&amp;"*",'All Papers'!$G:$G,"*"&amp;Table1[[#Headers],[Discovery]]&amp;"*")</f>
        <v>0</v>
      </c>
      <c r="E250" s="8">
        <f>COUNTIFS('All Papers'!$D:$D,"*"&amp;$A250&amp;"*",'All Papers'!$G:$G,"*"&amp;Table1[[#Headers],[Selection]]&amp;"*")</f>
        <v>2</v>
      </c>
      <c r="F250" s="8">
        <f>COUNTIFS('All Papers'!$D:$D,"*"&amp;$A250&amp;"*",'All Papers'!$G:$G,"*"&amp;Table1[[#Headers],[Recommendation]]&amp;"*")</f>
        <v>0</v>
      </c>
      <c r="G250" s="8">
        <f>COUNTIFS('All Papers'!$D:$D,"*"&amp;$A250&amp;"*",'All Papers'!$G:$G,"*"&amp;Table1[[#Headers],[Resource Management-CS]]&amp;"*")</f>
        <v>0</v>
      </c>
      <c r="H250" s="8">
        <f>COUNTIFS('All Papers'!$D:$D,"*"&amp;$A250&amp;"*",'All Papers'!$G:$G,"*"&amp;Table1[[#Headers],[Resource Management-PS]]&amp;"*")</f>
        <v>0</v>
      </c>
      <c r="I250" s="8">
        <f>COUNTIFS('All Papers'!$D:$D,"*"&amp;$A250&amp;"*",'All Papers'!$G:$G,"*"&amp;Table1[[#Headers],[SLA Management]]&amp;"*")</f>
        <v>0</v>
      </c>
      <c r="J250" s="8">
        <f>COUNTIFS('All Papers'!$D:$D,"*"&amp;$A250&amp;"*",'All Papers'!$G:$G,"*"&amp;Table1[[#Headers],[Big Data]]&amp;"*")</f>
        <v>0</v>
      </c>
      <c r="K250" s="8">
        <f>COUNTIFS('All Papers'!$D:$D,"*"&amp;$A250&amp;"*",'All Papers'!$G:$G,"*"&amp;Table1[[#Headers],[Energy Management]]&amp;"*")</f>
        <v>0</v>
      </c>
      <c r="L250" s="8">
        <f>COUNTIFS('All Papers'!$D:$D,"*"&amp;$A250&amp;"*",'All Papers'!$G:$G,"*"&amp;Table1[[#Headers],[Monitoring]]&amp;"*")</f>
        <v>0</v>
      </c>
      <c r="M250" s="8">
        <f>COUNTIFS('All Papers'!$D:$D,"*"&amp;$A250&amp;"*",'All Papers'!$G:$G,"*"&amp;Table1[[#Headers],[Pricing]]&amp;"*")</f>
        <v>0</v>
      </c>
    </row>
    <row r="251" spans="1:13" x14ac:dyDescent="0.25">
      <c r="A251" s="8" t="s">
        <v>2684</v>
      </c>
      <c r="B251" s="8">
        <f>COUNTIF('All Papers'!D:D,"*"&amp;Table1[[#This Row],[Name]]&amp;"*")</f>
        <v>2</v>
      </c>
      <c r="C251" s="8">
        <f>COUNTIFS('All Papers'!$D:$D,"*"&amp;$A251&amp;"*",'All Papers'!$G:$G,"*"&amp;Table1[[#Headers],[Composition]]&amp;"*")</f>
        <v>1</v>
      </c>
      <c r="D251" s="8">
        <f>COUNTIFS('All Papers'!$D:$D,"*"&amp;$A251&amp;"*",'All Papers'!$G:$G,"*"&amp;Table1[[#Headers],[Discovery]]&amp;"*")</f>
        <v>0</v>
      </c>
      <c r="E251" s="8">
        <f>COUNTIFS('All Papers'!$D:$D,"*"&amp;$A251&amp;"*",'All Papers'!$G:$G,"*"&amp;Table1[[#Headers],[Selection]]&amp;"*")</f>
        <v>0</v>
      </c>
      <c r="F251" s="8">
        <f>COUNTIFS('All Papers'!$D:$D,"*"&amp;$A251&amp;"*",'All Papers'!$G:$G,"*"&amp;Table1[[#Headers],[Recommendation]]&amp;"*")</f>
        <v>0</v>
      </c>
      <c r="G251" s="8">
        <f>COUNTIFS('All Papers'!$D:$D,"*"&amp;$A251&amp;"*",'All Papers'!$G:$G,"*"&amp;Table1[[#Headers],[Resource Management-CS]]&amp;"*")</f>
        <v>1</v>
      </c>
      <c r="H251" s="8">
        <f>COUNTIFS('All Papers'!$D:$D,"*"&amp;$A251&amp;"*",'All Papers'!$G:$G,"*"&amp;Table1[[#Headers],[Resource Management-PS]]&amp;"*")</f>
        <v>0</v>
      </c>
      <c r="I251" s="8">
        <f>COUNTIFS('All Papers'!$D:$D,"*"&amp;$A251&amp;"*",'All Papers'!$G:$G,"*"&amp;Table1[[#Headers],[SLA Management]]&amp;"*")</f>
        <v>0</v>
      </c>
      <c r="J251" s="8">
        <f>COUNTIFS('All Papers'!$D:$D,"*"&amp;$A251&amp;"*",'All Papers'!$G:$G,"*"&amp;Table1[[#Headers],[Big Data]]&amp;"*")</f>
        <v>0</v>
      </c>
      <c r="K251" s="8">
        <f>COUNTIFS('All Papers'!$D:$D,"*"&amp;$A251&amp;"*",'All Papers'!$G:$G,"*"&amp;Table1[[#Headers],[Energy Management]]&amp;"*")</f>
        <v>0</v>
      </c>
      <c r="L251" s="8">
        <f>COUNTIFS('All Papers'!$D:$D,"*"&amp;$A251&amp;"*",'All Papers'!$G:$G,"*"&amp;Table1[[#Headers],[Monitoring]]&amp;"*")</f>
        <v>1</v>
      </c>
      <c r="M251" s="8">
        <f>COUNTIFS('All Papers'!$D:$D,"*"&amp;$A251&amp;"*",'All Papers'!$G:$G,"*"&amp;Table1[[#Headers],[Pricing]]&amp;"*")</f>
        <v>0</v>
      </c>
    </row>
    <row r="252" spans="1:13" x14ac:dyDescent="0.25">
      <c r="A252" s="8" t="s">
        <v>2685</v>
      </c>
      <c r="B252" s="8">
        <f>COUNTIF('All Papers'!D:D,"*"&amp;Table1[[#This Row],[Name]]&amp;"*")</f>
        <v>2</v>
      </c>
      <c r="C252" s="8">
        <f>COUNTIFS('All Papers'!$D:$D,"*"&amp;$A252&amp;"*",'All Papers'!$G:$G,"*"&amp;Table1[[#Headers],[Composition]]&amp;"*")</f>
        <v>0</v>
      </c>
      <c r="D252" s="8">
        <f>COUNTIFS('All Papers'!$D:$D,"*"&amp;$A252&amp;"*",'All Papers'!$G:$G,"*"&amp;Table1[[#Headers],[Discovery]]&amp;"*")</f>
        <v>0</v>
      </c>
      <c r="E252" s="8">
        <f>COUNTIFS('All Papers'!$D:$D,"*"&amp;$A252&amp;"*",'All Papers'!$G:$G,"*"&amp;Table1[[#Headers],[Selection]]&amp;"*")</f>
        <v>2</v>
      </c>
      <c r="F252" s="8">
        <f>COUNTIFS('All Papers'!$D:$D,"*"&amp;$A252&amp;"*",'All Papers'!$G:$G,"*"&amp;Table1[[#Headers],[Recommendation]]&amp;"*")</f>
        <v>0</v>
      </c>
      <c r="G252" s="8">
        <f>COUNTIFS('All Papers'!$D:$D,"*"&amp;$A252&amp;"*",'All Papers'!$G:$G,"*"&amp;Table1[[#Headers],[Resource Management-CS]]&amp;"*")</f>
        <v>0</v>
      </c>
      <c r="H252" s="8">
        <f>COUNTIFS('All Papers'!$D:$D,"*"&amp;$A252&amp;"*",'All Papers'!$G:$G,"*"&amp;Table1[[#Headers],[Resource Management-PS]]&amp;"*")</f>
        <v>0</v>
      </c>
      <c r="I252" s="8">
        <f>COUNTIFS('All Papers'!$D:$D,"*"&amp;$A252&amp;"*",'All Papers'!$G:$G,"*"&amp;Table1[[#Headers],[SLA Management]]&amp;"*")</f>
        <v>0</v>
      </c>
      <c r="J252" s="8">
        <f>COUNTIFS('All Papers'!$D:$D,"*"&amp;$A252&amp;"*",'All Papers'!$G:$G,"*"&amp;Table1[[#Headers],[Big Data]]&amp;"*")</f>
        <v>0</v>
      </c>
      <c r="K252" s="8">
        <f>COUNTIFS('All Papers'!$D:$D,"*"&amp;$A252&amp;"*",'All Papers'!$G:$G,"*"&amp;Table1[[#Headers],[Energy Management]]&amp;"*")</f>
        <v>0</v>
      </c>
      <c r="L252" s="8">
        <f>COUNTIFS('All Papers'!$D:$D,"*"&amp;$A252&amp;"*",'All Papers'!$G:$G,"*"&amp;Table1[[#Headers],[Monitoring]]&amp;"*")</f>
        <v>0</v>
      </c>
      <c r="M252" s="8">
        <f>COUNTIFS('All Papers'!$D:$D,"*"&amp;$A252&amp;"*",'All Papers'!$G:$G,"*"&amp;Table1[[#Headers],[Pricing]]&amp;"*")</f>
        <v>0</v>
      </c>
    </row>
    <row r="253" spans="1:13" x14ac:dyDescent="0.25">
      <c r="A253" s="8" t="s">
        <v>2686</v>
      </c>
      <c r="B253" s="8">
        <f>COUNTIF('All Papers'!D:D,"*"&amp;Table1[[#This Row],[Name]]&amp;"*")</f>
        <v>2</v>
      </c>
      <c r="C253" s="8">
        <f>COUNTIFS('All Papers'!$D:$D,"*"&amp;$A253&amp;"*",'All Papers'!$G:$G,"*"&amp;Table1[[#Headers],[Composition]]&amp;"*")</f>
        <v>1</v>
      </c>
      <c r="D253" s="8">
        <f>COUNTIFS('All Papers'!$D:$D,"*"&amp;$A253&amp;"*",'All Papers'!$G:$G,"*"&amp;Table1[[#Headers],[Discovery]]&amp;"*")</f>
        <v>0</v>
      </c>
      <c r="E253" s="8">
        <f>COUNTIFS('All Papers'!$D:$D,"*"&amp;$A253&amp;"*",'All Papers'!$G:$G,"*"&amp;Table1[[#Headers],[Selection]]&amp;"*")</f>
        <v>0</v>
      </c>
      <c r="F253" s="8">
        <f>COUNTIFS('All Papers'!$D:$D,"*"&amp;$A253&amp;"*",'All Papers'!$G:$G,"*"&amp;Table1[[#Headers],[Recommendation]]&amp;"*")</f>
        <v>0</v>
      </c>
      <c r="G253" s="8">
        <f>COUNTIFS('All Papers'!$D:$D,"*"&amp;$A253&amp;"*",'All Papers'!$G:$G,"*"&amp;Table1[[#Headers],[Resource Management-CS]]&amp;"*")</f>
        <v>1</v>
      </c>
      <c r="H253" s="8">
        <f>COUNTIFS('All Papers'!$D:$D,"*"&amp;$A253&amp;"*",'All Papers'!$G:$G,"*"&amp;Table1[[#Headers],[Resource Management-PS]]&amp;"*")</f>
        <v>0</v>
      </c>
      <c r="I253" s="8">
        <f>COUNTIFS('All Papers'!$D:$D,"*"&amp;$A253&amp;"*",'All Papers'!$G:$G,"*"&amp;Table1[[#Headers],[SLA Management]]&amp;"*")</f>
        <v>0</v>
      </c>
      <c r="J253" s="8">
        <f>COUNTIFS('All Papers'!$D:$D,"*"&amp;$A253&amp;"*",'All Papers'!$G:$G,"*"&amp;Table1[[#Headers],[Big Data]]&amp;"*")</f>
        <v>0</v>
      </c>
      <c r="K253" s="8">
        <f>COUNTIFS('All Papers'!$D:$D,"*"&amp;$A253&amp;"*",'All Papers'!$G:$G,"*"&amp;Table1[[#Headers],[Energy Management]]&amp;"*")</f>
        <v>0</v>
      </c>
      <c r="L253" s="8">
        <f>COUNTIFS('All Papers'!$D:$D,"*"&amp;$A253&amp;"*",'All Papers'!$G:$G,"*"&amp;Table1[[#Headers],[Monitoring]]&amp;"*")</f>
        <v>0</v>
      </c>
      <c r="M253" s="8">
        <f>COUNTIFS('All Papers'!$D:$D,"*"&amp;$A253&amp;"*",'All Papers'!$G:$G,"*"&amp;Table1[[#Headers],[Pricing]]&amp;"*")</f>
        <v>0</v>
      </c>
    </row>
    <row r="254" spans="1:13" x14ac:dyDescent="0.25">
      <c r="A254" s="8" t="s">
        <v>2687</v>
      </c>
      <c r="B254" s="8">
        <f>COUNTIF('All Papers'!D:D,"*"&amp;Table1[[#This Row],[Name]]&amp;"*")</f>
        <v>2</v>
      </c>
      <c r="C254" s="8">
        <f>COUNTIFS('All Papers'!$D:$D,"*"&amp;$A254&amp;"*",'All Papers'!$G:$G,"*"&amp;Table1[[#Headers],[Composition]]&amp;"*")</f>
        <v>1</v>
      </c>
      <c r="D254" s="8">
        <f>COUNTIFS('All Papers'!$D:$D,"*"&amp;$A254&amp;"*",'All Papers'!$G:$G,"*"&amp;Table1[[#Headers],[Discovery]]&amp;"*")</f>
        <v>0</v>
      </c>
      <c r="E254" s="8">
        <f>COUNTIFS('All Papers'!$D:$D,"*"&amp;$A254&amp;"*",'All Papers'!$G:$G,"*"&amp;Table1[[#Headers],[Selection]]&amp;"*")</f>
        <v>1</v>
      </c>
      <c r="F254" s="8">
        <f>COUNTIFS('All Papers'!$D:$D,"*"&amp;$A254&amp;"*",'All Papers'!$G:$G,"*"&amp;Table1[[#Headers],[Recommendation]]&amp;"*")</f>
        <v>1</v>
      </c>
      <c r="G254" s="8">
        <f>COUNTIFS('All Papers'!$D:$D,"*"&amp;$A254&amp;"*",'All Papers'!$G:$G,"*"&amp;Table1[[#Headers],[Resource Management-CS]]&amp;"*")</f>
        <v>0</v>
      </c>
      <c r="H254" s="8">
        <f>COUNTIFS('All Papers'!$D:$D,"*"&amp;$A254&amp;"*",'All Papers'!$G:$G,"*"&amp;Table1[[#Headers],[Resource Management-PS]]&amp;"*")</f>
        <v>0</v>
      </c>
      <c r="I254" s="8">
        <f>COUNTIFS('All Papers'!$D:$D,"*"&amp;$A254&amp;"*",'All Papers'!$G:$G,"*"&amp;Table1[[#Headers],[SLA Management]]&amp;"*")</f>
        <v>0</v>
      </c>
      <c r="J254" s="8">
        <f>COUNTIFS('All Papers'!$D:$D,"*"&amp;$A254&amp;"*",'All Papers'!$G:$G,"*"&amp;Table1[[#Headers],[Big Data]]&amp;"*")</f>
        <v>0</v>
      </c>
      <c r="K254" s="8">
        <f>COUNTIFS('All Papers'!$D:$D,"*"&amp;$A254&amp;"*",'All Papers'!$G:$G,"*"&amp;Table1[[#Headers],[Energy Management]]&amp;"*")</f>
        <v>0</v>
      </c>
      <c r="L254" s="8">
        <f>COUNTIFS('All Papers'!$D:$D,"*"&amp;$A254&amp;"*",'All Papers'!$G:$G,"*"&amp;Table1[[#Headers],[Monitoring]]&amp;"*")</f>
        <v>0</v>
      </c>
      <c r="M254" s="8">
        <f>COUNTIFS('All Papers'!$D:$D,"*"&amp;$A254&amp;"*",'All Papers'!$G:$G,"*"&amp;Table1[[#Headers],[Pricing]]&amp;"*")</f>
        <v>0</v>
      </c>
    </row>
    <row r="255" spans="1:13" x14ac:dyDescent="0.25">
      <c r="A255" s="8" t="s">
        <v>2688</v>
      </c>
      <c r="B255" s="8">
        <f>COUNTIF('All Papers'!D:D,"*"&amp;Table1[[#This Row],[Name]]&amp;"*")</f>
        <v>2</v>
      </c>
      <c r="C255" s="8">
        <f>COUNTIFS('All Papers'!$D:$D,"*"&amp;$A255&amp;"*",'All Papers'!$G:$G,"*"&amp;Table1[[#Headers],[Composition]]&amp;"*")</f>
        <v>1</v>
      </c>
      <c r="D255" s="8">
        <f>COUNTIFS('All Papers'!$D:$D,"*"&amp;$A255&amp;"*",'All Papers'!$G:$G,"*"&amp;Table1[[#Headers],[Discovery]]&amp;"*")</f>
        <v>0</v>
      </c>
      <c r="E255" s="8">
        <f>COUNTIFS('All Papers'!$D:$D,"*"&amp;$A255&amp;"*",'All Papers'!$G:$G,"*"&amp;Table1[[#Headers],[Selection]]&amp;"*")</f>
        <v>2</v>
      </c>
      <c r="F255" s="8">
        <f>COUNTIFS('All Papers'!$D:$D,"*"&amp;$A255&amp;"*",'All Papers'!$G:$G,"*"&amp;Table1[[#Headers],[Recommendation]]&amp;"*")</f>
        <v>0</v>
      </c>
      <c r="G255" s="8">
        <f>COUNTIFS('All Papers'!$D:$D,"*"&amp;$A255&amp;"*",'All Papers'!$G:$G,"*"&amp;Table1[[#Headers],[Resource Management-CS]]&amp;"*")</f>
        <v>0</v>
      </c>
      <c r="H255" s="8">
        <f>COUNTIFS('All Papers'!$D:$D,"*"&amp;$A255&amp;"*",'All Papers'!$G:$G,"*"&amp;Table1[[#Headers],[Resource Management-PS]]&amp;"*")</f>
        <v>0</v>
      </c>
      <c r="I255" s="8">
        <f>COUNTIFS('All Papers'!$D:$D,"*"&amp;$A255&amp;"*",'All Papers'!$G:$G,"*"&amp;Table1[[#Headers],[SLA Management]]&amp;"*")</f>
        <v>0</v>
      </c>
      <c r="J255" s="8">
        <f>COUNTIFS('All Papers'!$D:$D,"*"&amp;$A255&amp;"*",'All Papers'!$G:$G,"*"&amp;Table1[[#Headers],[Big Data]]&amp;"*")</f>
        <v>1</v>
      </c>
      <c r="K255" s="8">
        <f>COUNTIFS('All Papers'!$D:$D,"*"&amp;$A255&amp;"*",'All Papers'!$G:$G,"*"&amp;Table1[[#Headers],[Energy Management]]&amp;"*")</f>
        <v>0</v>
      </c>
      <c r="L255" s="8">
        <f>COUNTIFS('All Papers'!$D:$D,"*"&amp;$A255&amp;"*",'All Papers'!$G:$G,"*"&amp;Table1[[#Headers],[Monitoring]]&amp;"*")</f>
        <v>0</v>
      </c>
      <c r="M255" s="8">
        <f>COUNTIFS('All Papers'!$D:$D,"*"&amp;$A255&amp;"*",'All Papers'!$G:$G,"*"&amp;Table1[[#Headers],[Pricing]]&amp;"*")</f>
        <v>0</v>
      </c>
    </row>
    <row r="256" spans="1:13" x14ac:dyDescent="0.25">
      <c r="A256" s="8" t="s">
        <v>2689</v>
      </c>
      <c r="B256" s="8">
        <f>COUNTIF('All Papers'!D:D,"*"&amp;Table1[[#This Row],[Name]]&amp;"*")</f>
        <v>2</v>
      </c>
      <c r="C256" s="8">
        <f>COUNTIFS('All Papers'!$D:$D,"*"&amp;$A256&amp;"*",'All Papers'!$G:$G,"*"&amp;Table1[[#Headers],[Composition]]&amp;"*")</f>
        <v>1</v>
      </c>
      <c r="D256" s="8">
        <f>COUNTIFS('All Papers'!$D:$D,"*"&amp;$A256&amp;"*",'All Papers'!$G:$G,"*"&amp;Table1[[#Headers],[Discovery]]&amp;"*")</f>
        <v>1</v>
      </c>
      <c r="E256" s="8">
        <f>COUNTIFS('All Papers'!$D:$D,"*"&amp;$A256&amp;"*",'All Papers'!$G:$G,"*"&amp;Table1[[#Headers],[Selection]]&amp;"*")</f>
        <v>0</v>
      </c>
      <c r="F256" s="8">
        <f>COUNTIFS('All Papers'!$D:$D,"*"&amp;$A256&amp;"*",'All Papers'!$G:$G,"*"&amp;Table1[[#Headers],[Recommendation]]&amp;"*")</f>
        <v>0</v>
      </c>
      <c r="G256" s="8">
        <f>COUNTIFS('All Papers'!$D:$D,"*"&amp;$A256&amp;"*",'All Papers'!$G:$G,"*"&amp;Table1[[#Headers],[Resource Management-CS]]&amp;"*")</f>
        <v>1</v>
      </c>
      <c r="H256" s="8">
        <f>COUNTIFS('All Papers'!$D:$D,"*"&amp;$A256&amp;"*",'All Papers'!$G:$G,"*"&amp;Table1[[#Headers],[Resource Management-PS]]&amp;"*")</f>
        <v>0</v>
      </c>
      <c r="I256" s="8">
        <f>COUNTIFS('All Papers'!$D:$D,"*"&amp;$A256&amp;"*",'All Papers'!$G:$G,"*"&amp;Table1[[#Headers],[SLA Management]]&amp;"*")</f>
        <v>0</v>
      </c>
      <c r="J256" s="8">
        <f>COUNTIFS('All Papers'!$D:$D,"*"&amp;$A256&amp;"*",'All Papers'!$G:$G,"*"&amp;Table1[[#Headers],[Big Data]]&amp;"*")</f>
        <v>0</v>
      </c>
      <c r="K256" s="8">
        <f>COUNTIFS('All Papers'!$D:$D,"*"&amp;$A256&amp;"*",'All Papers'!$G:$G,"*"&amp;Table1[[#Headers],[Energy Management]]&amp;"*")</f>
        <v>0</v>
      </c>
      <c r="L256" s="8">
        <f>COUNTIFS('All Papers'!$D:$D,"*"&amp;$A256&amp;"*",'All Papers'!$G:$G,"*"&amp;Table1[[#Headers],[Monitoring]]&amp;"*")</f>
        <v>0</v>
      </c>
      <c r="M256" s="8">
        <f>COUNTIFS('All Papers'!$D:$D,"*"&amp;$A256&amp;"*",'All Papers'!$G:$G,"*"&amp;Table1[[#Headers],[Pricing]]&amp;"*")</f>
        <v>0</v>
      </c>
    </row>
    <row r="257" spans="1:13" x14ac:dyDescent="0.25">
      <c r="A257" s="8" t="s">
        <v>2690</v>
      </c>
      <c r="B257" s="8">
        <f>COUNTIF('All Papers'!D:D,"*"&amp;Table1[[#This Row],[Name]]&amp;"*")</f>
        <v>2</v>
      </c>
      <c r="C257" s="8">
        <f>COUNTIFS('All Papers'!$D:$D,"*"&amp;$A257&amp;"*",'All Papers'!$G:$G,"*"&amp;Table1[[#Headers],[Composition]]&amp;"*")</f>
        <v>2</v>
      </c>
      <c r="D257" s="8">
        <f>COUNTIFS('All Papers'!$D:$D,"*"&amp;$A257&amp;"*",'All Papers'!$G:$G,"*"&amp;Table1[[#Headers],[Discovery]]&amp;"*")</f>
        <v>0</v>
      </c>
      <c r="E257" s="8">
        <f>COUNTIFS('All Papers'!$D:$D,"*"&amp;$A257&amp;"*",'All Papers'!$G:$G,"*"&amp;Table1[[#Headers],[Selection]]&amp;"*")</f>
        <v>0</v>
      </c>
      <c r="F257" s="8">
        <f>COUNTIFS('All Papers'!$D:$D,"*"&amp;$A257&amp;"*",'All Papers'!$G:$G,"*"&amp;Table1[[#Headers],[Recommendation]]&amp;"*")</f>
        <v>0</v>
      </c>
      <c r="G257" s="8">
        <f>COUNTIFS('All Papers'!$D:$D,"*"&amp;$A257&amp;"*",'All Papers'!$G:$G,"*"&amp;Table1[[#Headers],[Resource Management-CS]]&amp;"*")</f>
        <v>0</v>
      </c>
      <c r="H257" s="8">
        <f>COUNTIFS('All Papers'!$D:$D,"*"&amp;$A257&amp;"*",'All Papers'!$G:$G,"*"&amp;Table1[[#Headers],[Resource Management-PS]]&amp;"*")</f>
        <v>0</v>
      </c>
      <c r="I257" s="8">
        <f>COUNTIFS('All Papers'!$D:$D,"*"&amp;$A257&amp;"*",'All Papers'!$G:$G,"*"&amp;Table1[[#Headers],[SLA Management]]&amp;"*")</f>
        <v>1</v>
      </c>
      <c r="J257" s="8">
        <f>COUNTIFS('All Papers'!$D:$D,"*"&amp;$A257&amp;"*",'All Papers'!$G:$G,"*"&amp;Table1[[#Headers],[Big Data]]&amp;"*")</f>
        <v>0</v>
      </c>
      <c r="K257" s="8">
        <f>COUNTIFS('All Papers'!$D:$D,"*"&amp;$A257&amp;"*",'All Papers'!$G:$G,"*"&amp;Table1[[#Headers],[Energy Management]]&amp;"*")</f>
        <v>0</v>
      </c>
      <c r="L257" s="8">
        <f>COUNTIFS('All Papers'!$D:$D,"*"&amp;$A257&amp;"*",'All Papers'!$G:$G,"*"&amp;Table1[[#Headers],[Monitoring]]&amp;"*")</f>
        <v>0</v>
      </c>
      <c r="M257" s="8">
        <f>COUNTIFS('All Papers'!$D:$D,"*"&amp;$A257&amp;"*",'All Papers'!$G:$G,"*"&amp;Table1[[#Headers],[Pricing]]&amp;"*")</f>
        <v>0</v>
      </c>
    </row>
    <row r="258" spans="1:13" x14ac:dyDescent="0.25">
      <c r="A258" s="8" t="s">
        <v>2691</v>
      </c>
      <c r="B258" s="8">
        <f>COUNTIF('All Papers'!D:D,"*"&amp;Table1[[#This Row],[Name]]&amp;"*")</f>
        <v>2</v>
      </c>
      <c r="C258" s="8">
        <f>COUNTIFS('All Papers'!$D:$D,"*"&amp;$A258&amp;"*",'All Papers'!$G:$G,"*"&amp;Table1[[#Headers],[Composition]]&amp;"*")</f>
        <v>2</v>
      </c>
      <c r="D258" s="8">
        <f>COUNTIFS('All Papers'!$D:$D,"*"&amp;$A258&amp;"*",'All Papers'!$G:$G,"*"&amp;Table1[[#Headers],[Discovery]]&amp;"*")</f>
        <v>0</v>
      </c>
      <c r="E258" s="8">
        <f>COUNTIFS('All Papers'!$D:$D,"*"&amp;$A258&amp;"*",'All Papers'!$G:$G,"*"&amp;Table1[[#Headers],[Selection]]&amp;"*")</f>
        <v>1</v>
      </c>
      <c r="F258" s="8">
        <f>COUNTIFS('All Papers'!$D:$D,"*"&amp;$A258&amp;"*",'All Papers'!$G:$G,"*"&amp;Table1[[#Headers],[Recommendation]]&amp;"*")</f>
        <v>0</v>
      </c>
      <c r="G258" s="8">
        <f>COUNTIFS('All Papers'!$D:$D,"*"&amp;$A258&amp;"*",'All Papers'!$G:$G,"*"&amp;Table1[[#Headers],[Resource Management-CS]]&amp;"*")</f>
        <v>0</v>
      </c>
      <c r="H258" s="8">
        <f>COUNTIFS('All Papers'!$D:$D,"*"&amp;$A258&amp;"*",'All Papers'!$G:$G,"*"&amp;Table1[[#Headers],[Resource Management-PS]]&amp;"*")</f>
        <v>0</v>
      </c>
      <c r="I258" s="8">
        <f>COUNTIFS('All Papers'!$D:$D,"*"&amp;$A258&amp;"*",'All Papers'!$G:$G,"*"&amp;Table1[[#Headers],[SLA Management]]&amp;"*")</f>
        <v>0</v>
      </c>
      <c r="J258" s="8">
        <f>COUNTIFS('All Papers'!$D:$D,"*"&amp;$A258&amp;"*",'All Papers'!$G:$G,"*"&amp;Table1[[#Headers],[Big Data]]&amp;"*")</f>
        <v>0</v>
      </c>
      <c r="K258" s="8">
        <f>COUNTIFS('All Papers'!$D:$D,"*"&amp;$A258&amp;"*",'All Papers'!$G:$G,"*"&amp;Table1[[#Headers],[Energy Management]]&amp;"*")</f>
        <v>0</v>
      </c>
      <c r="L258" s="8">
        <f>COUNTIFS('All Papers'!$D:$D,"*"&amp;$A258&amp;"*",'All Papers'!$G:$G,"*"&amp;Table1[[#Headers],[Monitoring]]&amp;"*")</f>
        <v>0</v>
      </c>
      <c r="M258" s="8">
        <f>COUNTIFS('All Papers'!$D:$D,"*"&amp;$A258&amp;"*",'All Papers'!$G:$G,"*"&amp;Table1[[#Headers],[Pricing]]&amp;"*")</f>
        <v>0</v>
      </c>
    </row>
    <row r="259" spans="1:13" x14ac:dyDescent="0.25">
      <c r="A259" s="8" t="s">
        <v>2692</v>
      </c>
      <c r="B259" s="8">
        <f>COUNTIF('All Papers'!D:D,"*"&amp;Table1[[#This Row],[Name]]&amp;"*")</f>
        <v>2</v>
      </c>
      <c r="C259" s="8">
        <f>COUNTIFS('All Papers'!$D:$D,"*"&amp;$A259&amp;"*",'All Papers'!$G:$G,"*"&amp;Table1[[#Headers],[Composition]]&amp;"*")</f>
        <v>1</v>
      </c>
      <c r="D259" s="8">
        <f>COUNTIFS('All Papers'!$D:$D,"*"&amp;$A259&amp;"*",'All Papers'!$G:$G,"*"&amp;Table1[[#Headers],[Discovery]]&amp;"*")</f>
        <v>0</v>
      </c>
      <c r="E259" s="8">
        <f>COUNTIFS('All Papers'!$D:$D,"*"&amp;$A259&amp;"*",'All Papers'!$G:$G,"*"&amp;Table1[[#Headers],[Selection]]&amp;"*")</f>
        <v>0</v>
      </c>
      <c r="F259" s="8">
        <f>COUNTIFS('All Papers'!$D:$D,"*"&amp;$A259&amp;"*",'All Papers'!$G:$G,"*"&amp;Table1[[#Headers],[Recommendation]]&amp;"*")</f>
        <v>0</v>
      </c>
      <c r="G259" s="8">
        <f>COUNTIFS('All Papers'!$D:$D,"*"&amp;$A259&amp;"*",'All Papers'!$G:$G,"*"&amp;Table1[[#Headers],[Resource Management-CS]]&amp;"*")</f>
        <v>0</v>
      </c>
      <c r="H259" s="8">
        <f>COUNTIFS('All Papers'!$D:$D,"*"&amp;$A259&amp;"*",'All Papers'!$G:$G,"*"&amp;Table1[[#Headers],[Resource Management-PS]]&amp;"*")</f>
        <v>0</v>
      </c>
      <c r="I259" s="8">
        <f>COUNTIFS('All Papers'!$D:$D,"*"&amp;$A259&amp;"*",'All Papers'!$G:$G,"*"&amp;Table1[[#Headers],[SLA Management]]&amp;"*")</f>
        <v>0</v>
      </c>
      <c r="J259" s="8">
        <f>COUNTIFS('All Papers'!$D:$D,"*"&amp;$A259&amp;"*",'All Papers'!$G:$G,"*"&amp;Table1[[#Headers],[Big Data]]&amp;"*")</f>
        <v>0</v>
      </c>
      <c r="K259" s="8">
        <f>COUNTIFS('All Papers'!$D:$D,"*"&amp;$A259&amp;"*",'All Papers'!$G:$G,"*"&amp;Table1[[#Headers],[Energy Management]]&amp;"*")</f>
        <v>0</v>
      </c>
      <c r="L259" s="8">
        <f>COUNTIFS('All Papers'!$D:$D,"*"&amp;$A259&amp;"*",'All Papers'!$G:$G,"*"&amp;Table1[[#Headers],[Monitoring]]&amp;"*")</f>
        <v>1</v>
      </c>
      <c r="M259" s="8">
        <f>COUNTIFS('All Papers'!$D:$D,"*"&amp;$A259&amp;"*",'All Papers'!$G:$G,"*"&amp;Table1[[#Headers],[Pricing]]&amp;"*")</f>
        <v>0</v>
      </c>
    </row>
    <row r="260" spans="1:13" x14ac:dyDescent="0.25">
      <c r="A260" s="8" t="s">
        <v>2693</v>
      </c>
      <c r="B260" s="8">
        <f>COUNTIF('All Papers'!D:D,"*"&amp;Table1[[#This Row],[Name]]&amp;"*")</f>
        <v>2</v>
      </c>
      <c r="C260" s="8">
        <f>COUNTIFS('All Papers'!$D:$D,"*"&amp;$A260&amp;"*",'All Papers'!$G:$G,"*"&amp;Table1[[#Headers],[Composition]]&amp;"*")</f>
        <v>0</v>
      </c>
      <c r="D260" s="8">
        <f>COUNTIFS('All Papers'!$D:$D,"*"&amp;$A260&amp;"*",'All Papers'!$G:$G,"*"&amp;Table1[[#Headers],[Discovery]]&amp;"*")</f>
        <v>0</v>
      </c>
      <c r="E260" s="8">
        <f>COUNTIFS('All Papers'!$D:$D,"*"&amp;$A260&amp;"*",'All Papers'!$G:$G,"*"&amp;Table1[[#Headers],[Selection]]&amp;"*")</f>
        <v>0</v>
      </c>
      <c r="F260" s="8">
        <f>COUNTIFS('All Papers'!$D:$D,"*"&amp;$A260&amp;"*",'All Papers'!$G:$G,"*"&amp;Table1[[#Headers],[Recommendation]]&amp;"*")</f>
        <v>0</v>
      </c>
      <c r="G260" s="8">
        <f>COUNTIFS('All Papers'!$D:$D,"*"&amp;$A260&amp;"*",'All Papers'!$G:$G,"*"&amp;Table1[[#Headers],[Resource Management-CS]]&amp;"*")</f>
        <v>2</v>
      </c>
      <c r="H260" s="8">
        <f>COUNTIFS('All Papers'!$D:$D,"*"&amp;$A260&amp;"*",'All Papers'!$G:$G,"*"&amp;Table1[[#Headers],[Resource Management-PS]]&amp;"*")</f>
        <v>0</v>
      </c>
      <c r="I260" s="8">
        <f>COUNTIFS('All Papers'!$D:$D,"*"&amp;$A260&amp;"*",'All Papers'!$G:$G,"*"&amp;Table1[[#Headers],[SLA Management]]&amp;"*")</f>
        <v>0</v>
      </c>
      <c r="J260" s="8">
        <f>COUNTIFS('All Papers'!$D:$D,"*"&amp;$A260&amp;"*",'All Papers'!$G:$G,"*"&amp;Table1[[#Headers],[Big Data]]&amp;"*")</f>
        <v>0</v>
      </c>
      <c r="K260" s="8">
        <f>COUNTIFS('All Papers'!$D:$D,"*"&amp;$A260&amp;"*",'All Papers'!$G:$G,"*"&amp;Table1[[#Headers],[Energy Management]]&amp;"*")</f>
        <v>0</v>
      </c>
      <c r="L260" s="8">
        <f>COUNTIFS('All Papers'!$D:$D,"*"&amp;$A260&amp;"*",'All Papers'!$G:$G,"*"&amp;Table1[[#Headers],[Monitoring]]&amp;"*")</f>
        <v>0</v>
      </c>
      <c r="M260" s="8">
        <f>COUNTIFS('All Papers'!$D:$D,"*"&amp;$A260&amp;"*",'All Papers'!$G:$G,"*"&amp;Table1[[#Headers],[Pricing]]&amp;"*")</f>
        <v>0</v>
      </c>
    </row>
    <row r="261" spans="1:13" x14ac:dyDescent="0.25">
      <c r="A261" s="8" t="s">
        <v>2694</v>
      </c>
      <c r="B261" s="8">
        <f>COUNTIF('All Papers'!D:D,"*"&amp;Table1[[#This Row],[Name]]&amp;"*")</f>
        <v>2</v>
      </c>
      <c r="C261" s="8">
        <f>COUNTIFS('All Papers'!$D:$D,"*"&amp;$A261&amp;"*",'All Papers'!$G:$G,"*"&amp;Table1[[#Headers],[Composition]]&amp;"*")</f>
        <v>0</v>
      </c>
      <c r="D261" s="8">
        <f>COUNTIFS('All Papers'!$D:$D,"*"&amp;$A261&amp;"*",'All Papers'!$G:$G,"*"&amp;Table1[[#Headers],[Discovery]]&amp;"*")</f>
        <v>0</v>
      </c>
      <c r="E261" s="8">
        <f>COUNTIFS('All Papers'!$D:$D,"*"&amp;$A261&amp;"*",'All Papers'!$G:$G,"*"&amp;Table1[[#Headers],[Selection]]&amp;"*")</f>
        <v>2</v>
      </c>
      <c r="F261" s="8">
        <f>COUNTIFS('All Papers'!$D:$D,"*"&amp;$A261&amp;"*",'All Papers'!$G:$G,"*"&amp;Table1[[#Headers],[Recommendation]]&amp;"*")</f>
        <v>0</v>
      </c>
      <c r="G261" s="8">
        <f>COUNTIFS('All Papers'!$D:$D,"*"&amp;$A261&amp;"*",'All Papers'!$G:$G,"*"&amp;Table1[[#Headers],[Resource Management-CS]]&amp;"*")</f>
        <v>0</v>
      </c>
      <c r="H261" s="8">
        <f>COUNTIFS('All Papers'!$D:$D,"*"&amp;$A261&amp;"*",'All Papers'!$G:$G,"*"&amp;Table1[[#Headers],[Resource Management-PS]]&amp;"*")</f>
        <v>0</v>
      </c>
      <c r="I261" s="8">
        <f>COUNTIFS('All Papers'!$D:$D,"*"&amp;$A261&amp;"*",'All Papers'!$G:$G,"*"&amp;Table1[[#Headers],[SLA Management]]&amp;"*")</f>
        <v>0</v>
      </c>
      <c r="J261" s="8">
        <f>COUNTIFS('All Papers'!$D:$D,"*"&amp;$A261&amp;"*",'All Papers'!$G:$G,"*"&amp;Table1[[#Headers],[Big Data]]&amp;"*")</f>
        <v>0</v>
      </c>
      <c r="K261" s="8">
        <f>COUNTIFS('All Papers'!$D:$D,"*"&amp;$A261&amp;"*",'All Papers'!$G:$G,"*"&amp;Table1[[#Headers],[Energy Management]]&amp;"*")</f>
        <v>0</v>
      </c>
      <c r="L261" s="8">
        <f>COUNTIFS('All Papers'!$D:$D,"*"&amp;$A261&amp;"*",'All Papers'!$G:$G,"*"&amp;Table1[[#Headers],[Monitoring]]&amp;"*")</f>
        <v>0</v>
      </c>
      <c r="M261" s="8">
        <f>COUNTIFS('All Papers'!$D:$D,"*"&amp;$A261&amp;"*",'All Papers'!$G:$G,"*"&amp;Table1[[#Headers],[Pricing]]&amp;"*")</f>
        <v>0</v>
      </c>
    </row>
    <row r="262" spans="1:13" x14ac:dyDescent="0.25">
      <c r="A262" s="8" t="s">
        <v>2695</v>
      </c>
      <c r="B262" s="8">
        <f>COUNTIF('All Papers'!D:D,"*"&amp;Table1[[#This Row],[Name]]&amp;"*")</f>
        <v>2</v>
      </c>
      <c r="C262" s="8">
        <f>COUNTIFS('All Papers'!$D:$D,"*"&amp;$A262&amp;"*",'All Papers'!$G:$G,"*"&amp;Table1[[#Headers],[Composition]]&amp;"*")</f>
        <v>0</v>
      </c>
      <c r="D262" s="8">
        <f>COUNTIFS('All Papers'!$D:$D,"*"&amp;$A262&amp;"*",'All Papers'!$G:$G,"*"&amp;Table1[[#Headers],[Discovery]]&amp;"*")</f>
        <v>0</v>
      </c>
      <c r="E262" s="8">
        <f>COUNTIFS('All Papers'!$D:$D,"*"&amp;$A262&amp;"*",'All Papers'!$G:$G,"*"&amp;Table1[[#Headers],[Selection]]&amp;"*")</f>
        <v>2</v>
      </c>
      <c r="F262" s="8">
        <f>COUNTIFS('All Papers'!$D:$D,"*"&amp;$A262&amp;"*",'All Papers'!$G:$G,"*"&amp;Table1[[#Headers],[Recommendation]]&amp;"*")</f>
        <v>0</v>
      </c>
      <c r="G262" s="8">
        <f>COUNTIFS('All Papers'!$D:$D,"*"&amp;$A262&amp;"*",'All Papers'!$G:$G,"*"&amp;Table1[[#Headers],[Resource Management-CS]]&amp;"*")</f>
        <v>0</v>
      </c>
      <c r="H262" s="8">
        <f>COUNTIFS('All Papers'!$D:$D,"*"&amp;$A262&amp;"*",'All Papers'!$G:$G,"*"&amp;Table1[[#Headers],[Resource Management-PS]]&amp;"*")</f>
        <v>0</v>
      </c>
      <c r="I262" s="8">
        <f>COUNTIFS('All Papers'!$D:$D,"*"&amp;$A262&amp;"*",'All Papers'!$G:$G,"*"&amp;Table1[[#Headers],[SLA Management]]&amp;"*")</f>
        <v>0</v>
      </c>
      <c r="J262" s="8">
        <f>COUNTIFS('All Papers'!$D:$D,"*"&amp;$A262&amp;"*",'All Papers'!$G:$G,"*"&amp;Table1[[#Headers],[Big Data]]&amp;"*")</f>
        <v>0</v>
      </c>
      <c r="K262" s="8">
        <f>COUNTIFS('All Papers'!$D:$D,"*"&amp;$A262&amp;"*",'All Papers'!$G:$G,"*"&amp;Table1[[#Headers],[Energy Management]]&amp;"*")</f>
        <v>0</v>
      </c>
      <c r="L262" s="8">
        <f>COUNTIFS('All Papers'!$D:$D,"*"&amp;$A262&amp;"*",'All Papers'!$G:$G,"*"&amp;Table1[[#Headers],[Monitoring]]&amp;"*")</f>
        <v>0</v>
      </c>
      <c r="M262" s="8">
        <f>COUNTIFS('All Papers'!$D:$D,"*"&amp;$A262&amp;"*",'All Papers'!$G:$G,"*"&amp;Table1[[#Headers],[Pricing]]&amp;"*")</f>
        <v>0</v>
      </c>
    </row>
    <row r="263" spans="1:13" x14ac:dyDescent="0.25">
      <c r="A263" s="8" t="s">
        <v>2696</v>
      </c>
      <c r="B263" s="8">
        <f>COUNTIF('All Papers'!D:D,"*"&amp;Table1[[#This Row],[Name]]&amp;"*")</f>
        <v>2</v>
      </c>
      <c r="C263" s="8">
        <f>COUNTIFS('All Papers'!$D:$D,"*"&amp;$A263&amp;"*",'All Papers'!$G:$G,"*"&amp;Table1[[#Headers],[Composition]]&amp;"*")</f>
        <v>0</v>
      </c>
      <c r="D263" s="8">
        <f>COUNTIFS('All Papers'!$D:$D,"*"&amp;$A263&amp;"*",'All Papers'!$G:$G,"*"&amp;Table1[[#Headers],[Discovery]]&amp;"*")</f>
        <v>0</v>
      </c>
      <c r="E263" s="8">
        <f>COUNTIFS('All Papers'!$D:$D,"*"&amp;$A263&amp;"*",'All Papers'!$G:$G,"*"&amp;Table1[[#Headers],[Selection]]&amp;"*")</f>
        <v>2</v>
      </c>
      <c r="F263" s="8">
        <f>COUNTIFS('All Papers'!$D:$D,"*"&amp;$A263&amp;"*",'All Papers'!$G:$G,"*"&amp;Table1[[#Headers],[Recommendation]]&amp;"*")</f>
        <v>0</v>
      </c>
      <c r="G263" s="8">
        <f>COUNTIFS('All Papers'!$D:$D,"*"&amp;$A263&amp;"*",'All Papers'!$G:$G,"*"&amp;Table1[[#Headers],[Resource Management-CS]]&amp;"*")</f>
        <v>0</v>
      </c>
      <c r="H263" s="8">
        <f>COUNTIFS('All Papers'!$D:$D,"*"&amp;$A263&amp;"*",'All Papers'!$G:$G,"*"&amp;Table1[[#Headers],[Resource Management-PS]]&amp;"*")</f>
        <v>0</v>
      </c>
      <c r="I263" s="8">
        <f>COUNTIFS('All Papers'!$D:$D,"*"&amp;$A263&amp;"*",'All Papers'!$G:$G,"*"&amp;Table1[[#Headers],[SLA Management]]&amp;"*")</f>
        <v>0</v>
      </c>
      <c r="J263" s="8">
        <f>COUNTIFS('All Papers'!$D:$D,"*"&amp;$A263&amp;"*",'All Papers'!$G:$G,"*"&amp;Table1[[#Headers],[Big Data]]&amp;"*")</f>
        <v>0</v>
      </c>
      <c r="K263" s="8">
        <f>COUNTIFS('All Papers'!$D:$D,"*"&amp;$A263&amp;"*",'All Papers'!$G:$G,"*"&amp;Table1[[#Headers],[Energy Management]]&amp;"*")</f>
        <v>0</v>
      </c>
      <c r="L263" s="8">
        <f>COUNTIFS('All Papers'!$D:$D,"*"&amp;$A263&amp;"*",'All Papers'!$G:$G,"*"&amp;Table1[[#Headers],[Monitoring]]&amp;"*")</f>
        <v>0</v>
      </c>
      <c r="M263" s="8">
        <f>COUNTIFS('All Papers'!$D:$D,"*"&amp;$A263&amp;"*",'All Papers'!$G:$G,"*"&amp;Table1[[#Headers],[Pricing]]&amp;"*")</f>
        <v>0</v>
      </c>
    </row>
    <row r="264" spans="1:13" x14ac:dyDescent="0.25">
      <c r="A264" s="8" t="s">
        <v>2697</v>
      </c>
      <c r="B264" s="8">
        <f>COUNTIF('All Papers'!D:D,"*"&amp;Table1[[#This Row],[Name]]&amp;"*")</f>
        <v>2</v>
      </c>
      <c r="C264" s="8">
        <f>COUNTIFS('All Papers'!$D:$D,"*"&amp;$A264&amp;"*",'All Papers'!$G:$G,"*"&amp;Table1[[#Headers],[Composition]]&amp;"*")</f>
        <v>2</v>
      </c>
      <c r="D264" s="8">
        <f>COUNTIFS('All Papers'!$D:$D,"*"&amp;$A264&amp;"*",'All Papers'!$G:$G,"*"&amp;Table1[[#Headers],[Discovery]]&amp;"*")</f>
        <v>0</v>
      </c>
      <c r="E264" s="8">
        <f>COUNTIFS('All Papers'!$D:$D,"*"&amp;$A264&amp;"*",'All Papers'!$G:$G,"*"&amp;Table1[[#Headers],[Selection]]&amp;"*")</f>
        <v>0</v>
      </c>
      <c r="F264" s="8">
        <f>COUNTIFS('All Papers'!$D:$D,"*"&amp;$A264&amp;"*",'All Papers'!$G:$G,"*"&amp;Table1[[#Headers],[Recommendation]]&amp;"*")</f>
        <v>0</v>
      </c>
      <c r="G264" s="8">
        <f>COUNTIFS('All Papers'!$D:$D,"*"&amp;$A264&amp;"*",'All Papers'!$G:$G,"*"&amp;Table1[[#Headers],[Resource Management-CS]]&amp;"*")</f>
        <v>0</v>
      </c>
      <c r="H264" s="8">
        <f>COUNTIFS('All Papers'!$D:$D,"*"&amp;$A264&amp;"*",'All Papers'!$G:$G,"*"&amp;Table1[[#Headers],[Resource Management-PS]]&amp;"*")</f>
        <v>0</v>
      </c>
      <c r="I264" s="8">
        <f>COUNTIFS('All Papers'!$D:$D,"*"&amp;$A264&amp;"*",'All Papers'!$G:$G,"*"&amp;Table1[[#Headers],[SLA Management]]&amp;"*")</f>
        <v>0</v>
      </c>
      <c r="J264" s="8">
        <f>COUNTIFS('All Papers'!$D:$D,"*"&amp;$A264&amp;"*",'All Papers'!$G:$G,"*"&amp;Table1[[#Headers],[Big Data]]&amp;"*")</f>
        <v>0</v>
      </c>
      <c r="K264" s="8">
        <f>COUNTIFS('All Papers'!$D:$D,"*"&amp;$A264&amp;"*",'All Papers'!$G:$G,"*"&amp;Table1[[#Headers],[Energy Management]]&amp;"*")</f>
        <v>0</v>
      </c>
      <c r="L264" s="8">
        <f>COUNTIFS('All Papers'!$D:$D,"*"&amp;$A264&amp;"*",'All Papers'!$G:$G,"*"&amp;Table1[[#Headers],[Monitoring]]&amp;"*")</f>
        <v>0</v>
      </c>
      <c r="M264" s="8">
        <f>COUNTIFS('All Papers'!$D:$D,"*"&amp;$A264&amp;"*",'All Papers'!$G:$G,"*"&amp;Table1[[#Headers],[Pricing]]&amp;"*")</f>
        <v>0</v>
      </c>
    </row>
    <row r="265" spans="1:13" x14ac:dyDescent="0.25">
      <c r="A265" s="8" t="s">
        <v>2698</v>
      </c>
      <c r="B265" s="8">
        <f>COUNTIF('All Papers'!D:D,"*"&amp;Table1[[#This Row],[Name]]&amp;"*")</f>
        <v>2</v>
      </c>
      <c r="C265" s="8">
        <f>COUNTIFS('All Papers'!$D:$D,"*"&amp;$A265&amp;"*",'All Papers'!$G:$G,"*"&amp;Table1[[#Headers],[Composition]]&amp;"*")</f>
        <v>0</v>
      </c>
      <c r="D265" s="8">
        <f>COUNTIFS('All Papers'!$D:$D,"*"&amp;$A265&amp;"*",'All Papers'!$G:$G,"*"&amp;Table1[[#Headers],[Discovery]]&amp;"*")</f>
        <v>0</v>
      </c>
      <c r="E265" s="8">
        <f>COUNTIFS('All Papers'!$D:$D,"*"&amp;$A265&amp;"*",'All Papers'!$G:$G,"*"&amp;Table1[[#Headers],[Selection]]&amp;"*")</f>
        <v>0</v>
      </c>
      <c r="F265" s="8">
        <f>COUNTIFS('All Papers'!$D:$D,"*"&amp;$A265&amp;"*",'All Papers'!$G:$G,"*"&amp;Table1[[#Headers],[Recommendation]]&amp;"*")</f>
        <v>0</v>
      </c>
      <c r="G265" s="8">
        <f>COUNTIFS('All Papers'!$D:$D,"*"&amp;$A265&amp;"*",'All Papers'!$G:$G,"*"&amp;Table1[[#Headers],[Resource Management-CS]]&amp;"*")</f>
        <v>1</v>
      </c>
      <c r="H265" s="8">
        <f>COUNTIFS('All Papers'!$D:$D,"*"&amp;$A265&amp;"*",'All Papers'!$G:$G,"*"&amp;Table1[[#Headers],[Resource Management-PS]]&amp;"*")</f>
        <v>1</v>
      </c>
      <c r="I265" s="8">
        <f>COUNTIFS('All Papers'!$D:$D,"*"&amp;$A265&amp;"*",'All Papers'!$G:$G,"*"&amp;Table1[[#Headers],[SLA Management]]&amp;"*")</f>
        <v>0</v>
      </c>
      <c r="J265" s="8">
        <f>COUNTIFS('All Papers'!$D:$D,"*"&amp;$A265&amp;"*",'All Papers'!$G:$G,"*"&amp;Table1[[#Headers],[Big Data]]&amp;"*")</f>
        <v>0</v>
      </c>
      <c r="K265" s="8">
        <f>COUNTIFS('All Papers'!$D:$D,"*"&amp;$A265&amp;"*",'All Papers'!$G:$G,"*"&amp;Table1[[#Headers],[Energy Management]]&amp;"*")</f>
        <v>0</v>
      </c>
      <c r="L265" s="8">
        <f>COUNTIFS('All Papers'!$D:$D,"*"&amp;$A265&amp;"*",'All Papers'!$G:$G,"*"&amp;Table1[[#Headers],[Monitoring]]&amp;"*")</f>
        <v>0</v>
      </c>
      <c r="M265" s="8">
        <f>COUNTIFS('All Papers'!$D:$D,"*"&amp;$A265&amp;"*",'All Papers'!$G:$G,"*"&amp;Table1[[#Headers],[Pricing]]&amp;"*")</f>
        <v>0</v>
      </c>
    </row>
    <row r="266" spans="1:13" x14ac:dyDescent="0.25">
      <c r="A266" s="8" t="s">
        <v>2699</v>
      </c>
      <c r="B266" s="8">
        <f>COUNTIF('All Papers'!D:D,"*"&amp;Table1[[#This Row],[Name]]&amp;"*")</f>
        <v>2</v>
      </c>
      <c r="C266" s="8">
        <f>COUNTIFS('All Papers'!$D:$D,"*"&amp;$A266&amp;"*",'All Papers'!$G:$G,"*"&amp;Table1[[#Headers],[Composition]]&amp;"*")</f>
        <v>0</v>
      </c>
      <c r="D266" s="8">
        <f>COUNTIFS('All Papers'!$D:$D,"*"&amp;$A266&amp;"*",'All Papers'!$G:$G,"*"&amp;Table1[[#Headers],[Discovery]]&amp;"*")</f>
        <v>0</v>
      </c>
      <c r="E266" s="8">
        <f>COUNTIFS('All Papers'!$D:$D,"*"&amp;$A266&amp;"*",'All Papers'!$G:$G,"*"&amp;Table1[[#Headers],[Selection]]&amp;"*")</f>
        <v>0</v>
      </c>
      <c r="F266" s="8">
        <f>COUNTIFS('All Papers'!$D:$D,"*"&amp;$A266&amp;"*",'All Papers'!$G:$G,"*"&amp;Table1[[#Headers],[Recommendation]]&amp;"*")</f>
        <v>0</v>
      </c>
      <c r="G266" s="8">
        <f>COUNTIFS('All Papers'!$D:$D,"*"&amp;$A266&amp;"*",'All Papers'!$G:$G,"*"&amp;Table1[[#Headers],[Resource Management-CS]]&amp;"*")</f>
        <v>1</v>
      </c>
      <c r="H266" s="8">
        <f>COUNTIFS('All Papers'!$D:$D,"*"&amp;$A266&amp;"*",'All Papers'!$G:$G,"*"&amp;Table1[[#Headers],[Resource Management-PS]]&amp;"*")</f>
        <v>0</v>
      </c>
      <c r="I266" s="8">
        <f>COUNTIFS('All Papers'!$D:$D,"*"&amp;$A266&amp;"*",'All Papers'!$G:$G,"*"&amp;Table1[[#Headers],[SLA Management]]&amp;"*")</f>
        <v>2</v>
      </c>
      <c r="J266" s="8">
        <f>COUNTIFS('All Papers'!$D:$D,"*"&amp;$A266&amp;"*",'All Papers'!$G:$G,"*"&amp;Table1[[#Headers],[Big Data]]&amp;"*")</f>
        <v>0</v>
      </c>
      <c r="K266" s="8">
        <f>COUNTIFS('All Papers'!$D:$D,"*"&amp;$A266&amp;"*",'All Papers'!$G:$G,"*"&amp;Table1[[#Headers],[Energy Management]]&amp;"*")</f>
        <v>0</v>
      </c>
      <c r="L266" s="8">
        <f>COUNTIFS('All Papers'!$D:$D,"*"&amp;$A266&amp;"*",'All Papers'!$G:$G,"*"&amp;Table1[[#Headers],[Monitoring]]&amp;"*")</f>
        <v>0</v>
      </c>
      <c r="M266" s="8">
        <f>COUNTIFS('All Papers'!$D:$D,"*"&amp;$A266&amp;"*",'All Papers'!$G:$G,"*"&amp;Table1[[#Headers],[Pricing]]&amp;"*")</f>
        <v>1</v>
      </c>
    </row>
    <row r="267" spans="1:13" x14ac:dyDescent="0.25">
      <c r="A267" s="8" t="s">
        <v>2700</v>
      </c>
      <c r="B267" s="8">
        <f>COUNTIF('All Papers'!D:D,"*"&amp;Table1[[#This Row],[Name]]&amp;"*")</f>
        <v>2</v>
      </c>
      <c r="C267" s="8">
        <f>COUNTIFS('All Papers'!$D:$D,"*"&amp;$A267&amp;"*",'All Papers'!$G:$G,"*"&amp;Table1[[#Headers],[Composition]]&amp;"*")</f>
        <v>2</v>
      </c>
      <c r="D267" s="8">
        <f>COUNTIFS('All Papers'!$D:$D,"*"&amp;$A267&amp;"*",'All Papers'!$G:$G,"*"&amp;Table1[[#Headers],[Discovery]]&amp;"*")</f>
        <v>0</v>
      </c>
      <c r="E267" s="8">
        <f>COUNTIFS('All Papers'!$D:$D,"*"&amp;$A267&amp;"*",'All Papers'!$G:$G,"*"&amp;Table1[[#Headers],[Selection]]&amp;"*")</f>
        <v>0</v>
      </c>
      <c r="F267" s="8">
        <f>COUNTIFS('All Papers'!$D:$D,"*"&amp;$A267&amp;"*",'All Papers'!$G:$G,"*"&amp;Table1[[#Headers],[Recommendation]]&amp;"*")</f>
        <v>0</v>
      </c>
      <c r="G267" s="8">
        <f>COUNTIFS('All Papers'!$D:$D,"*"&amp;$A267&amp;"*",'All Papers'!$G:$G,"*"&amp;Table1[[#Headers],[Resource Management-CS]]&amp;"*")</f>
        <v>0</v>
      </c>
      <c r="H267" s="8">
        <f>COUNTIFS('All Papers'!$D:$D,"*"&amp;$A267&amp;"*",'All Papers'!$G:$G,"*"&amp;Table1[[#Headers],[Resource Management-PS]]&amp;"*")</f>
        <v>0</v>
      </c>
      <c r="I267" s="8">
        <f>COUNTIFS('All Papers'!$D:$D,"*"&amp;$A267&amp;"*",'All Papers'!$G:$G,"*"&amp;Table1[[#Headers],[SLA Management]]&amp;"*")</f>
        <v>0</v>
      </c>
      <c r="J267" s="8">
        <f>COUNTIFS('All Papers'!$D:$D,"*"&amp;$A267&amp;"*",'All Papers'!$G:$G,"*"&amp;Table1[[#Headers],[Big Data]]&amp;"*")</f>
        <v>0</v>
      </c>
      <c r="K267" s="8">
        <f>COUNTIFS('All Papers'!$D:$D,"*"&amp;$A267&amp;"*",'All Papers'!$G:$G,"*"&amp;Table1[[#Headers],[Energy Management]]&amp;"*")</f>
        <v>0</v>
      </c>
      <c r="L267" s="8">
        <f>COUNTIFS('All Papers'!$D:$D,"*"&amp;$A267&amp;"*",'All Papers'!$G:$G,"*"&amp;Table1[[#Headers],[Monitoring]]&amp;"*")</f>
        <v>0</v>
      </c>
      <c r="M267" s="8">
        <f>COUNTIFS('All Papers'!$D:$D,"*"&amp;$A267&amp;"*",'All Papers'!$G:$G,"*"&amp;Table1[[#Headers],[Pricing]]&amp;"*")</f>
        <v>0</v>
      </c>
    </row>
    <row r="268" spans="1:13" x14ac:dyDescent="0.25">
      <c r="A268" s="8" t="s">
        <v>2701</v>
      </c>
      <c r="B268" s="8">
        <f>COUNTIF('All Papers'!D:D,"*"&amp;Table1[[#This Row],[Name]]&amp;"*")</f>
        <v>2</v>
      </c>
      <c r="C268" s="8">
        <f>COUNTIFS('All Papers'!$D:$D,"*"&amp;$A268&amp;"*",'All Papers'!$G:$G,"*"&amp;Table1[[#Headers],[Composition]]&amp;"*")</f>
        <v>1</v>
      </c>
      <c r="D268" s="8">
        <f>COUNTIFS('All Papers'!$D:$D,"*"&amp;$A268&amp;"*",'All Papers'!$G:$G,"*"&amp;Table1[[#Headers],[Discovery]]&amp;"*")</f>
        <v>0</v>
      </c>
      <c r="E268" s="8">
        <f>COUNTIFS('All Papers'!$D:$D,"*"&amp;$A268&amp;"*",'All Papers'!$G:$G,"*"&amp;Table1[[#Headers],[Selection]]&amp;"*")</f>
        <v>1</v>
      </c>
      <c r="F268" s="8">
        <f>COUNTIFS('All Papers'!$D:$D,"*"&amp;$A268&amp;"*",'All Papers'!$G:$G,"*"&amp;Table1[[#Headers],[Recommendation]]&amp;"*")</f>
        <v>0</v>
      </c>
      <c r="G268" s="8">
        <f>COUNTIFS('All Papers'!$D:$D,"*"&amp;$A268&amp;"*",'All Papers'!$G:$G,"*"&amp;Table1[[#Headers],[Resource Management-CS]]&amp;"*")</f>
        <v>0</v>
      </c>
      <c r="H268" s="8">
        <f>COUNTIFS('All Papers'!$D:$D,"*"&amp;$A268&amp;"*",'All Papers'!$G:$G,"*"&amp;Table1[[#Headers],[Resource Management-PS]]&amp;"*")</f>
        <v>0</v>
      </c>
      <c r="I268" s="8">
        <f>COUNTIFS('All Papers'!$D:$D,"*"&amp;$A268&amp;"*",'All Papers'!$G:$G,"*"&amp;Table1[[#Headers],[SLA Management]]&amp;"*")</f>
        <v>0</v>
      </c>
      <c r="J268" s="8">
        <f>COUNTIFS('All Papers'!$D:$D,"*"&amp;$A268&amp;"*",'All Papers'!$G:$G,"*"&amp;Table1[[#Headers],[Big Data]]&amp;"*")</f>
        <v>0</v>
      </c>
      <c r="K268" s="8">
        <f>COUNTIFS('All Papers'!$D:$D,"*"&amp;$A268&amp;"*",'All Papers'!$G:$G,"*"&amp;Table1[[#Headers],[Energy Management]]&amp;"*")</f>
        <v>0</v>
      </c>
      <c r="L268" s="8">
        <f>COUNTIFS('All Papers'!$D:$D,"*"&amp;$A268&amp;"*",'All Papers'!$G:$G,"*"&amp;Table1[[#Headers],[Monitoring]]&amp;"*")</f>
        <v>0</v>
      </c>
      <c r="M268" s="8">
        <f>COUNTIFS('All Papers'!$D:$D,"*"&amp;$A268&amp;"*",'All Papers'!$G:$G,"*"&amp;Table1[[#Headers],[Pricing]]&amp;"*")</f>
        <v>0</v>
      </c>
    </row>
    <row r="269" spans="1:13" x14ac:dyDescent="0.25">
      <c r="A269" s="8" t="s">
        <v>2702</v>
      </c>
      <c r="B269" s="8">
        <f>COUNTIF('All Papers'!D:D,"*"&amp;Table1[[#This Row],[Name]]&amp;"*")</f>
        <v>2</v>
      </c>
      <c r="C269" s="8">
        <f>COUNTIFS('All Papers'!$D:$D,"*"&amp;$A269&amp;"*",'All Papers'!$G:$G,"*"&amp;Table1[[#Headers],[Composition]]&amp;"*")</f>
        <v>1</v>
      </c>
      <c r="D269" s="8">
        <f>COUNTIFS('All Papers'!$D:$D,"*"&amp;$A269&amp;"*",'All Papers'!$G:$G,"*"&amp;Table1[[#Headers],[Discovery]]&amp;"*")</f>
        <v>0</v>
      </c>
      <c r="E269" s="8">
        <f>COUNTIFS('All Papers'!$D:$D,"*"&amp;$A269&amp;"*",'All Papers'!$G:$G,"*"&amp;Table1[[#Headers],[Selection]]&amp;"*")</f>
        <v>1</v>
      </c>
      <c r="F269" s="8">
        <f>COUNTIFS('All Papers'!$D:$D,"*"&amp;$A269&amp;"*",'All Papers'!$G:$G,"*"&amp;Table1[[#Headers],[Recommendation]]&amp;"*")</f>
        <v>0</v>
      </c>
      <c r="G269" s="8">
        <f>COUNTIFS('All Papers'!$D:$D,"*"&amp;$A269&amp;"*",'All Papers'!$G:$G,"*"&amp;Table1[[#Headers],[Resource Management-CS]]&amp;"*")</f>
        <v>0</v>
      </c>
      <c r="H269" s="8">
        <f>COUNTIFS('All Papers'!$D:$D,"*"&amp;$A269&amp;"*",'All Papers'!$G:$G,"*"&amp;Table1[[#Headers],[Resource Management-PS]]&amp;"*")</f>
        <v>0</v>
      </c>
      <c r="I269" s="8">
        <f>COUNTIFS('All Papers'!$D:$D,"*"&amp;$A269&amp;"*",'All Papers'!$G:$G,"*"&amp;Table1[[#Headers],[SLA Management]]&amp;"*")</f>
        <v>0</v>
      </c>
      <c r="J269" s="8">
        <f>COUNTIFS('All Papers'!$D:$D,"*"&amp;$A269&amp;"*",'All Papers'!$G:$G,"*"&amp;Table1[[#Headers],[Big Data]]&amp;"*")</f>
        <v>0</v>
      </c>
      <c r="K269" s="8">
        <f>COUNTIFS('All Papers'!$D:$D,"*"&amp;$A269&amp;"*",'All Papers'!$G:$G,"*"&amp;Table1[[#Headers],[Energy Management]]&amp;"*")</f>
        <v>0</v>
      </c>
      <c r="L269" s="8">
        <f>COUNTIFS('All Papers'!$D:$D,"*"&amp;$A269&amp;"*",'All Papers'!$G:$G,"*"&amp;Table1[[#Headers],[Monitoring]]&amp;"*")</f>
        <v>0</v>
      </c>
      <c r="M269" s="8">
        <f>COUNTIFS('All Papers'!$D:$D,"*"&amp;$A269&amp;"*",'All Papers'!$G:$G,"*"&amp;Table1[[#Headers],[Pricing]]&amp;"*")</f>
        <v>0</v>
      </c>
    </row>
    <row r="270" spans="1:13" x14ac:dyDescent="0.25">
      <c r="A270" s="8" t="s">
        <v>2703</v>
      </c>
      <c r="B270" s="8">
        <f>COUNTIF('All Papers'!D:D,"*"&amp;Table1[[#This Row],[Name]]&amp;"*")</f>
        <v>2</v>
      </c>
      <c r="C270" s="8">
        <f>COUNTIFS('All Papers'!$D:$D,"*"&amp;$A270&amp;"*",'All Papers'!$G:$G,"*"&amp;Table1[[#Headers],[Composition]]&amp;"*")</f>
        <v>1</v>
      </c>
      <c r="D270" s="8">
        <f>COUNTIFS('All Papers'!$D:$D,"*"&amp;$A270&amp;"*",'All Papers'!$G:$G,"*"&amp;Table1[[#Headers],[Discovery]]&amp;"*")</f>
        <v>0</v>
      </c>
      <c r="E270" s="8">
        <f>COUNTIFS('All Papers'!$D:$D,"*"&amp;$A270&amp;"*",'All Papers'!$G:$G,"*"&amp;Table1[[#Headers],[Selection]]&amp;"*")</f>
        <v>1</v>
      </c>
      <c r="F270" s="8">
        <f>COUNTIFS('All Papers'!$D:$D,"*"&amp;$A270&amp;"*",'All Papers'!$G:$G,"*"&amp;Table1[[#Headers],[Recommendation]]&amp;"*")</f>
        <v>0</v>
      </c>
      <c r="G270" s="8">
        <f>COUNTIFS('All Papers'!$D:$D,"*"&amp;$A270&amp;"*",'All Papers'!$G:$G,"*"&amp;Table1[[#Headers],[Resource Management-CS]]&amp;"*")</f>
        <v>0</v>
      </c>
      <c r="H270" s="8">
        <f>COUNTIFS('All Papers'!$D:$D,"*"&amp;$A270&amp;"*",'All Papers'!$G:$G,"*"&amp;Table1[[#Headers],[Resource Management-PS]]&amp;"*")</f>
        <v>0</v>
      </c>
      <c r="I270" s="8">
        <f>COUNTIFS('All Papers'!$D:$D,"*"&amp;$A270&amp;"*",'All Papers'!$G:$G,"*"&amp;Table1[[#Headers],[SLA Management]]&amp;"*")</f>
        <v>0</v>
      </c>
      <c r="J270" s="8">
        <f>COUNTIFS('All Papers'!$D:$D,"*"&amp;$A270&amp;"*",'All Papers'!$G:$G,"*"&amp;Table1[[#Headers],[Big Data]]&amp;"*")</f>
        <v>0</v>
      </c>
      <c r="K270" s="8">
        <f>COUNTIFS('All Papers'!$D:$D,"*"&amp;$A270&amp;"*",'All Papers'!$G:$G,"*"&amp;Table1[[#Headers],[Energy Management]]&amp;"*")</f>
        <v>0</v>
      </c>
      <c r="L270" s="8">
        <f>COUNTIFS('All Papers'!$D:$D,"*"&amp;$A270&amp;"*",'All Papers'!$G:$G,"*"&amp;Table1[[#Headers],[Monitoring]]&amp;"*")</f>
        <v>0</v>
      </c>
      <c r="M270" s="8">
        <f>COUNTIFS('All Papers'!$D:$D,"*"&amp;$A270&amp;"*",'All Papers'!$G:$G,"*"&amp;Table1[[#Headers],[Pricing]]&amp;"*")</f>
        <v>0</v>
      </c>
    </row>
    <row r="271" spans="1:13" x14ac:dyDescent="0.25">
      <c r="A271" s="8" t="s">
        <v>2704</v>
      </c>
      <c r="B271" s="8">
        <f>COUNTIF('All Papers'!D:D,"*"&amp;Table1[[#This Row],[Name]]&amp;"*")</f>
        <v>2</v>
      </c>
      <c r="C271" s="8">
        <f>COUNTIFS('All Papers'!$D:$D,"*"&amp;$A271&amp;"*",'All Papers'!$G:$G,"*"&amp;Table1[[#Headers],[Composition]]&amp;"*")</f>
        <v>0</v>
      </c>
      <c r="D271" s="8">
        <f>COUNTIFS('All Papers'!$D:$D,"*"&amp;$A271&amp;"*",'All Papers'!$G:$G,"*"&amp;Table1[[#Headers],[Discovery]]&amp;"*")</f>
        <v>1</v>
      </c>
      <c r="E271" s="8">
        <f>COUNTIFS('All Papers'!$D:$D,"*"&amp;$A271&amp;"*",'All Papers'!$G:$G,"*"&amp;Table1[[#Headers],[Selection]]&amp;"*")</f>
        <v>1</v>
      </c>
      <c r="F271" s="8">
        <f>COUNTIFS('All Papers'!$D:$D,"*"&amp;$A271&amp;"*",'All Papers'!$G:$G,"*"&amp;Table1[[#Headers],[Recommendation]]&amp;"*")</f>
        <v>0</v>
      </c>
      <c r="G271" s="8">
        <f>COUNTIFS('All Papers'!$D:$D,"*"&amp;$A271&amp;"*",'All Papers'!$G:$G,"*"&amp;Table1[[#Headers],[Resource Management-CS]]&amp;"*")</f>
        <v>1</v>
      </c>
      <c r="H271" s="8">
        <f>COUNTIFS('All Papers'!$D:$D,"*"&amp;$A271&amp;"*",'All Papers'!$G:$G,"*"&amp;Table1[[#Headers],[Resource Management-PS]]&amp;"*")</f>
        <v>1</v>
      </c>
      <c r="I271" s="8">
        <f>COUNTIFS('All Papers'!$D:$D,"*"&amp;$A271&amp;"*",'All Papers'!$G:$G,"*"&amp;Table1[[#Headers],[SLA Management]]&amp;"*")</f>
        <v>0</v>
      </c>
      <c r="J271" s="8">
        <f>COUNTIFS('All Papers'!$D:$D,"*"&amp;$A271&amp;"*",'All Papers'!$G:$G,"*"&amp;Table1[[#Headers],[Big Data]]&amp;"*")</f>
        <v>0</v>
      </c>
      <c r="K271" s="8">
        <f>COUNTIFS('All Papers'!$D:$D,"*"&amp;$A271&amp;"*",'All Papers'!$G:$G,"*"&amp;Table1[[#Headers],[Energy Management]]&amp;"*")</f>
        <v>0</v>
      </c>
      <c r="L271" s="8">
        <f>COUNTIFS('All Papers'!$D:$D,"*"&amp;$A271&amp;"*",'All Papers'!$G:$G,"*"&amp;Table1[[#Headers],[Monitoring]]&amp;"*")</f>
        <v>0</v>
      </c>
      <c r="M271" s="8">
        <f>COUNTIFS('All Papers'!$D:$D,"*"&amp;$A271&amp;"*",'All Papers'!$G:$G,"*"&amp;Table1[[#Headers],[Pricing]]&amp;"*")</f>
        <v>0</v>
      </c>
    </row>
    <row r="272" spans="1:13" x14ac:dyDescent="0.25">
      <c r="A272" s="8" t="s">
        <v>2705</v>
      </c>
      <c r="B272" s="8">
        <f>COUNTIF('All Papers'!D:D,"*"&amp;Table1[[#This Row],[Name]]&amp;"*")</f>
        <v>2</v>
      </c>
      <c r="C272" s="8">
        <f>COUNTIFS('All Papers'!$D:$D,"*"&amp;$A272&amp;"*",'All Papers'!$G:$G,"*"&amp;Table1[[#Headers],[Composition]]&amp;"*")</f>
        <v>0</v>
      </c>
      <c r="D272" s="8">
        <f>COUNTIFS('All Papers'!$D:$D,"*"&amp;$A272&amp;"*",'All Papers'!$G:$G,"*"&amp;Table1[[#Headers],[Discovery]]&amp;"*")</f>
        <v>1</v>
      </c>
      <c r="E272" s="8">
        <f>COUNTIFS('All Papers'!$D:$D,"*"&amp;$A272&amp;"*",'All Papers'!$G:$G,"*"&amp;Table1[[#Headers],[Selection]]&amp;"*")</f>
        <v>1</v>
      </c>
      <c r="F272" s="8">
        <f>COUNTIFS('All Papers'!$D:$D,"*"&amp;$A272&amp;"*",'All Papers'!$G:$G,"*"&amp;Table1[[#Headers],[Recommendation]]&amp;"*")</f>
        <v>0</v>
      </c>
      <c r="G272" s="8">
        <f>COUNTIFS('All Papers'!$D:$D,"*"&amp;$A272&amp;"*",'All Papers'!$G:$G,"*"&amp;Table1[[#Headers],[Resource Management-CS]]&amp;"*")</f>
        <v>1</v>
      </c>
      <c r="H272" s="8">
        <f>COUNTIFS('All Papers'!$D:$D,"*"&amp;$A272&amp;"*",'All Papers'!$G:$G,"*"&amp;Table1[[#Headers],[Resource Management-PS]]&amp;"*")</f>
        <v>1</v>
      </c>
      <c r="I272" s="8">
        <f>COUNTIFS('All Papers'!$D:$D,"*"&amp;$A272&amp;"*",'All Papers'!$G:$G,"*"&amp;Table1[[#Headers],[SLA Management]]&amp;"*")</f>
        <v>0</v>
      </c>
      <c r="J272" s="8">
        <f>COUNTIFS('All Papers'!$D:$D,"*"&amp;$A272&amp;"*",'All Papers'!$G:$G,"*"&amp;Table1[[#Headers],[Big Data]]&amp;"*")</f>
        <v>0</v>
      </c>
      <c r="K272" s="8">
        <f>COUNTIFS('All Papers'!$D:$D,"*"&amp;$A272&amp;"*",'All Papers'!$G:$G,"*"&amp;Table1[[#Headers],[Energy Management]]&amp;"*")</f>
        <v>0</v>
      </c>
      <c r="L272" s="8">
        <f>COUNTIFS('All Papers'!$D:$D,"*"&amp;$A272&amp;"*",'All Papers'!$G:$G,"*"&amp;Table1[[#Headers],[Monitoring]]&amp;"*")</f>
        <v>0</v>
      </c>
      <c r="M272" s="8">
        <f>COUNTIFS('All Papers'!$D:$D,"*"&amp;$A272&amp;"*",'All Papers'!$G:$G,"*"&amp;Table1[[#Headers],[Pricing]]&amp;"*")</f>
        <v>0</v>
      </c>
    </row>
    <row r="273" spans="1:13" x14ac:dyDescent="0.25">
      <c r="A273" s="8" t="s">
        <v>2706</v>
      </c>
      <c r="B273" s="8">
        <f>COUNTIF('All Papers'!D:D,"*"&amp;Table1[[#This Row],[Name]]&amp;"*")</f>
        <v>2</v>
      </c>
      <c r="C273" s="8">
        <f>COUNTIFS('All Papers'!$D:$D,"*"&amp;$A273&amp;"*",'All Papers'!$G:$G,"*"&amp;Table1[[#Headers],[Composition]]&amp;"*")</f>
        <v>0</v>
      </c>
      <c r="D273" s="8">
        <f>COUNTIFS('All Papers'!$D:$D,"*"&amp;$A273&amp;"*",'All Papers'!$G:$G,"*"&amp;Table1[[#Headers],[Discovery]]&amp;"*")</f>
        <v>1</v>
      </c>
      <c r="E273" s="8">
        <f>COUNTIFS('All Papers'!$D:$D,"*"&amp;$A273&amp;"*",'All Papers'!$G:$G,"*"&amp;Table1[[#Headers],[Selection]]&amp;"*")</f>
        <v>1</v>
      </c>
      <c r="F273" s="8">
        <f>COUNTIFS('All Papers'!$D:$D,"*"&amp;$A273&amp;"*",'All Papers'!$G:$G,"*"&amp;Table1[[#Headers],[Recommendation]]&amp;"*")</f>
        <v>0</v>
      </c>
      <c r="G273" s="8">
        <f>COUNTIFS('All Papers'!$D:$D,"*"&amp;$A273&amp;"*",'All Papers'!$G:$G,"*"&amp;Table1[[#Headers],[Resource Management-CS]]&amp;"*")</f>
        <v>1</v>
      </c>
      <c r="H273" s="8">
        <f>COUNTIFS('All Papers'!$D:$D,"*"&amp;$A273&amp;"*",'All Papers'!$G:$G,"*"&amp;Table1[[#Headers],[Resource Management-PS]]&amp;"*")</f>
        <v>0</v>
      </c>
      <c r="I273" s="8">
        <f>COUNTIFS('All Papers'!$D:$D,"*"&amp;$A273&amp;"*",'All Papers'!$G:$G,"*"&amp;Table1[[#Headers],[SLA Management]]&amp;"*")</f>
        <v>0</v>
      </c>
      <c r="J273" s="8">
        <f>COUNTIFS('All Papers'!$D:$D,"*"&amp;$A273&amp;"*",'All Papers'!$G:$G,"*"&amp;Table1[[#Headers],[Big Data]]&amp;"*")</f>
        <v>0</v>
      </c>
      <c r="K273" s="8">
        <f>COUNTIFS('All Papers'!$D:$D,"*"&amp;$A273&amp;"*",'All Papers'!$G:$G,"*"&amp;Table1[[#Headers],[Energy Management]]&amp;"*")</f>
        <v>0</v>
      </c>
      <c r="L273" s="8">
        <f>COUNTIFS('All Papers'!$D:$D,"*"&amp;$A273&amp;"*",'All Papers'!$G:$G,"*"&amp;Table1[[#Headers],[Monitoring]]&amp;"*")</f>
        <v>0</v>
      </c>
      <c r="M273" s="8">
        <f>COUNTIFS('All Papers'!$D:$D,"*"&amp;$A273&amp;"*",'All Papers'!$G:$G,"*"&amp;Table1[[#Headers],[Pricing]]&amp;"*")</f>
        <v>0</v>
      </c>
    </row>
    <row r="274" spans="1:13" x14ac:dyDescent="0.25">
      <c r="A274" s="8" t="s">
        <v>2707</v>
      </c>
      <c r="B274" s="8">
        <f>COUNTIF('All Papers'!D:D,"*"&amp;Table1[[#This Row],[Name]]&amp;"*")</f>
        <v>2</v>
      </c>
      <c r="C274" s="8">
        <f>COUNTIFS('All Papers'!$D:$D,"*"&amp;$A274&amp;"*",'All Papers'!$G:$G,"*"&amp;Table1[[#Headers],[Composition]]&amp;"*")</f>
        <v>0</v>
      </c>
      <c r="D274" s="8">
        <f>COUNTIFS('All Papers'!$D:$D,"*"&amp;$A274&amp;"*",'All Papers'!$G:$G,"*"&amp;Table1[[#Headers],[Discovery]]&amp;"*")</f>
        <v>0</v>
      </c>
      <c r="E274" s="8">
        <f>COUNTIFS('All Papers'!$D:$D,"*"&amp;$A274&amp;"*",'All Papers'!$G:$G,"*"&amp;Table1[[#Headers],[Selection]]&amp;"*")</f>
        <v>1</v>
      </c>
      <c r="F274" s="8">
        <f>COUNTIFS('All Papers'!$D:$D,"*"&amp;$A274&amp;"*",'All Papers'!$G:$G,"*"&amp;Table1[[#Headers],[Recommendation]]&amp;"*")</f>
        <v>0</v>
      </c>
      <c r="G274" s="8">
        <f>COUNTIFS('All Papers'!$D:$D,"*"&amp;$A274&amp;"*",'All Papers'!$G:$G,"*"&amp;Table1[[#Headers],[Resource Management-CS]]&amp;"*")</f>
        <v>0</v>
      </c>
      <c r="H274" s="8">
        <f>COUNTIFS('All Papers'!$D:$D,"*"&amp;$A274&amp;"*",'All Papers'!$G:$G,"*"&amp;Table1[[#Headers],[Resource Management-PS]]&amp;"*")</f>
        <v>0</v>
      </c>
      <c r="I274" s="8">
        <f>COUNTIFS('All Papers'!$D:$D,"*"&amp;$A274&amp;"*",'All Papers'!$G:$G,"*"&amp;Table1[[#Headers],[SLA Management]]&amp;"*")</f>
        <v>0</v>
      </c>
      <c r="J274" s="8">
        <f>COUNTIFS('All Papers'!$D:$D,"*"&amp;$A274&amp;"*",'All Papers'!$G:$G,"*"&amp;Table1[[#Headers],[Big Data]]&amp;"*")</f>
        <v>0</v>
      </c>
      <c r="K274" s="8">
        <f>COUNTIFS('All Papers'!$D:$D,"*"&amp;$A274&amp;"*",'All Papers'!$G:$G,"*"&amp;Table1[[#Headers],[Energy Management]]&amp;"*")</f>
        <v>0</v>
      </c>
      <c r="L274" s="8">
        <f>COUNTIFS('All Papers'!$D:$D,"*"&amp;$A274&amp;"*",'All Papers'!$G:$G,"*"&amp;Table1[[#Headers],[Monitoring]]&amp;"*")</f>
        <v>1</v>
      </c>
      <c r="M274" s="8">
        <f>COUNTIFS('All Papers'!$D:$D,"*"&amp;$A274&amp;"*",'All Papers'!$G:$G,"*"&amp;Table1[[#Headers],[Pricing]]&amp;"*")</f>
        <v>0</v>
      </c>
    </row>
    <row r="275" spans="1:13" x14ac:dyDescent="0.25">
      <c r="A275" s="8" t="s">
        <v>2708</v>
      </c>
      <c r="B275" s="8">
        <f>COUNTIF('All Papers'!D:D,"*"&amp;Table1[[#This Row],[Name]]&amp;"*")</f>
        <v>2</v>
      </c>
      <c r="C275" s="8">
        <f>COUNTIFS('All Papers'!$D:$D,"*"&amp;$A275&amp;"*",'All Papers'!$G:$G,"*"&amp;Table1[[#Headers],[Composition]]&amp;"*")</f>
        <v>1</v>
      </c>
      <c r="D275" s="8">
        <f>COUNTIFS('All Papers'!$D:$D,"*"&amp;$A275&amp;"*",'All Papers'!$G:$G,"*"&amp;Table1[[#Headers],[Discovery]]&amp;"*")</f>
        <v>1</v>
      </c>
      <c r="E275" s="8">
        <f>COUNTIFS('All Papers'!$D:$D,"*"&amp;$A275&amp;"*",'All Papers'!$G:$G,"*"&amp;Table1[[#Headers],[Selection]]&amp;"*")</f>
        <v>0</v>
      </c>
      <c r="F275" s="8">
        <f>COUNTIFS('All Papers'!$D:$D,"*"&amp;$A275&amp;"*",'All Papers'!$G:$G,"*"&amp;Table1[[#Headers],[Recommendation]]&amp;"*")</f>
        <v>0</v>
      </c>
      <c r="G275" s="8">
        <f>COUNTIFS('All Papers'!$D:$D,"*"&amp;$A275&amp;"*",'All Papers'!$G:$G,"*"&amp;Table1[[#Headers],[Resource Management-CS]]&amp;"*")</f>
        <v>0</v>
      </c>
      <c r="H275" s="8">
        <f>COUNTIFS('All Papers'!$D:$D,"*"&amp;$A275&amp;"*",'All Papers'!$G:$G,"*"&amp;Table1[[#Headers],[Resource Management-PS]]&amp;"*")</f>
        <v>0</v>
      </c>
      <c r="I275" s="8">
        <f>COUNTIFS('All Papers'!$D:$D,"*"&amp;$A275&amp;"*",'All Papers'!$G:$G,"*"&amp;Table1[[#Headers],[SLA Management]]&amp;"*")</f>
        <v>0</v>
      </c>
      <c r="J275" s="8">
        <f>COUNTIFS('All Papers'!$D:$D,"*"&amp;$A275&amp;"*",'All Papers'!$G:$G,"*"&amp;Table1[[#Headers],[Big Data]]&amp;"*")</f>
        <v>0</v>
      </c>
      <c r="K275" s="8">
        <f>COUNTIFS('All Papers'!$D:$D,"*"&amp;$A275&amp;"*",'All Papers'!$G:$G,"*"&amp;Table1[[#Headers],[Energy Management]]&amp;"*")</f>
        <v>0</v>
      </c>
      <c r="L275" s="8">
        <f>COUNTIFS('All Papers'!$D:$D,"*"&amp;$A275&amp;"*",'All Papers'!$G:$G,"*"&amp;Table1[[#Headers],[Monitoring]]&amp;"*")</f>
        <v>0</v>
      </c>
      <c r="M275" s="8">
        <f>COUNTIFS('All Papers'!$D:$D,"*"&amp;$A275&amp;"*",'All Papers'!$G:$G,"*"&amp;Table1[[#Headers],[Pricing]]&amp;"*")</f>
        <v>1</v>
      </c>
    </row>
    <row r="276" spans="1:13" x14ac:dyDescent="0.25">
      <c r="A276" s="8" t="s">
        <v>2709</v>
      </c>
      <c r="B276" s="8">
        <f>COUNTIF('All Papers'!D:D,"*"&amp;Table1[[#This Row],[Name]]&amp;"*")</f>
        <v>2</v>
      </c>
      <c r="C276" s="8">
        <f>COUNTIFS('All Papers'!$D:$D,"*"&amp;$A276&amp;"*",'All Papers'!$G:$G,"*"&amp;Table1[[#Headers],[Composition]]&amp;"*")</f>
        <v>0</v>
      </c>
      <c r="D276" s="8">
        <f>COUNTIFS('All Papers'!$D:$D,"*"&amp;$A276&amp;"*",'All Papers'!$G:$G,"*"&amp;Table1[[#Headers],[Discovery]]&amp;"*")</f>
        <v>0</v>
      </c>
      <c r="E276" s="8">
        <f>COUNTIFS('All Papers'!$D:$D,"*"&amp;$A276&amp;"*",'All Papers'!$G:$G,"*"&amp;Table1[[#Headers],[Selection]]&amp;"*")</f>
        <v>0</v>
      </c>
      <c r="F276" s="8">
        <f>COUNTIFS('All Papers'!$D:$D,"*"&amp;$A276&amp;"*",'All Papers'!$G:$G,"*"&amp;Table1[[#Headers],[Recommendation]]&amp;"*")</f>
        <v>0</v>
      </c>
      <c r="G276" s="8">
        <f>COUNTIFS('All Papers'!$D:$D,"*"&amp;$A276&amp;"*",'All Papers'!$G:$G,"*"&amp;Table1[[#Headers],[Resource Management-CS]]&amp;"*")</f>
        <v>2</v>
      </c>
      <c r="H276" s="8">
        <f>COUNTIFS('All Papers'!$D:$D,"*"&amp;$A276&amp;"*",'All Papers'!$G:$G,"*"&amp;Table1[[#Headers],[Resource Management-PS]]&amp;"*")</f>
        <v>0</v>
      </c>
      <c r="I276" s="8">
        <f>COUNTIFS('All Papers'!$D:$D,"*"&amp;$A276&amp;"*",'All Papers'!$G:$G,"*"&amp;Table1[[#Headers],[SLA Management]]&amp;"*")</f>
        <v>0</v>
      </c>
      <c r="J276" s="8">
        <f>COUNTIFS('All Papers'!$D:$D,"*"&amp;$A276&amp;"*",'All Papers'!$G:$G,"*"&amp;Table1[[#Headers],[Big Data]]&amp;"*")</f>
        <v>0</v>
      </c>
      <c r="K276" s="8">
        <f>COUNTIFS('All Papers'!$D:$D,"*"&amp;$A276&amp;"*",'All Papers'!$G:$G,"*"&amp;Table1[[#Headers],[Energy Management]]&amp;"*")</f>
        <v>0</v>
      </c>
      <c r="L276" s="8">
        <f>COUNTIFS('All Papers'!$D:$D,"*"&amp;$A276&amp;"*",'All Papers'!$G:$G,"*"&amp;Table1[[#Headers],[Monitoring]]&amp;"*")</f>
        <v>0</v>
      </c>
      <c r="M276" s="8">
        <f>COUNTIFS('All Papers'!$D:$D,"*"&amp;$A276&amp;"*",'All Papers'!$G:$G,"*"&amp;Table1[[#Headers],[Pricing]]&amp;"*")</f>
        <v>0</v>
      </c>
    </row>
    <row r="277" spans="1:13" x14ac:dyDescent="0.25">
      <c r="A277" s="8" t="s">
        <v>2710</v>
      </c>
      <c r="B277" s="8">
        <f>COUNTIF('All Papers'!D:D,"*"&amp;Table1[[#This Row],[Name]]&amp;"*")</f>
        <v>2</v>
      </c>
      <c r="C277" s="8">
        <f>COUNTIFS('All Papers'!$D:$D,"*"&amp;$A277&amp;"*",'All Papers'!$G:$G,"*"&amp;Table1[[#Headers],[Composition]]&amp;"*")</f>
        <v>0</v>
      </c>
      <c r="D277" s="8">
        <f>COUNTIFS('All Papers'!$D:$D,"*"&amp;$A277&amp;"*",'All Papers'!$G:$G,"*"&amp;Table1[[#Headers],[Discovery]]&amp;"*")</f>
        <v>0</v>
      </c>
      <c r="E277" s="8">
        <f>COUNTIFS('All Papers'!$D:$D,"*"&amp;$A277&amp;"*",'All Papers'!$G:$G,"*"&amp;Table1[[#Headers],[Selection]]&amp;"*")</f>
        <v>0</v>
      </c>
      <c r="F277" s="8">
        <f>COUNTIFS('All Papers'!$D:$D,"*"&amp;$A277&amp;"*",'All Papers'!$G:$G,"*"&amp;Table1[[#Headers],[Recommendation]]&amp;"*")</f>
        <v>0</v>
      </c>
      <c r="G277" s="8">
        <f>COUNTIFS('All Papers'!$D:$D,"*"&amp;$A277&amp;"*",'All Papers'!$G:$G,"*"&amp;Table1[[#Headers],[Resource Management-CS]]&amp;"*")</f>
        <v>1</v>
      </c>
      <c r="H277" s="8">
        <f>COUNTIFS('All Papers'!$D:$D,"*"&amp;$A277&amp;"*",'All Papers'!$G:$G,"*"&amp;Table1[[#Headers],[Resource Management-PS]]&amp;"*")</f>
        <v>0</v>
      </c>
      <c r="I277" s="8">
        <f>COUNTIFS('All Papers'!$D:$D,"*"&amp;$A277&amp;"*",'All Papers'!$G:$G,"*"&amp;Table1[[#Headers],[SLA Management]]&amp;"*")</f>
        <v>0</v>
      </c>
      <c r="J277" s="8">
        <f>COUNTIFS('All Papers'!$D:$D,"*"&amp;$A277&amp;"*",'All Papers'!$G:$G,"*"&amp;Table1[[#Headers],[Big Data]]&amp;"*")</f>
        <v>0</v>
      </c>
      <c r="K277" s="8">
        <f>COUNTIFS('All Papers'!$D:$D,"*"&amp;$A277&amp;"*",'All Papers'!$G:$G,"*"&amp;Table1[[#Headers],[Energy Management]]&amp;"*")</f>
        <v>2</v>
      </c>
      <c r="L277" s="8">
        <f>COUNTIFS('All Papers'!$D:$D,"*"&amp;$A277&amp;"*",'All Papers'!$G:$G,"*"&amp;Table1[[#Headers],[Monitoring]]&amp;"*")</f>
        <v>0</v>
      </c>
      <c r="M277" s="8">
        <f>COUNTIFS('All Papers'!$D:$D,"*"&amp;$A277&amp;"*",'All Papers'!$G:$G,"*"&amp;Table1[[#Headers],[Pricing]]&amp;"*")</f>
        <v>1</v>
      </c>
    </row>
    <row r="278" spans="1:13" x14ac:dyDescent="0.25">
      <c r="A278" s="8" t="s">
        <v>2711</v>
      </c>
      <c r="B278" s="8">
        <f>COUNTIF('All Papers'!D:D,"*"&amp;Table1[[#This Row],[Name]]&amp;"*")</f>
        <v>2</v>
      </c>
      <c r="C278" s="8">
        <f>COUNTIFS('All Papers'!$D:$D,"*"&amp;$A278&amp;"*",'All Papers'!$G:$G,"*"&amp;Table1[[#Headers],[Composition]]&amp;"*")</f>
        <v>0</v>
      </c>
      <c r="D278" s="8">
        <f>COUNTIFS('All Papers'!$D:$D,"*"&amp;$A278&amp;"*",'All Papers'!$G:$G,"*"&amp;Table1[[#Headers],[Discovery]]&amp;"*")</f>
        <v>0</v>
      </c>
      <c r="E278" s="8">
        <f>COUNTIFS('All Papers'!$D:$D,"*"&amp;$A278&amp;"*",'All Papers'!$G:$G,"*"&amp;Table1[[#Headers],[Selection]]&amp;"*")</f>
        <v>0</v>
      </c>
      <c r="F278" s="8">
        <f>COUNTIFS('All Papers'!$D:$D,"*"&amp;$A278&amp;"*",'All Papers'!$G:$G,"*"&amp;Table1[[#Headers],[Recommendation]]&amp;"*")</f>
        <v>0</v>
      </c>
      <c r="G278" s="8">
        <f>COUNTIFS('All Papers'!$D:$D,"*"&amp;$A278&amp;"*",'All Papers'!$G:$G,"*"&amp;Table1[[#Headers],[Resource Management-CS]]&amp;"*")</f>
        <v>1</v>
      </c>
      <c r="H278" s="8">
        <f>COUNTIFS('All Papers'!$D:$D,"*"&amp;$A278&amp;"*",'All Papers'!$G:$G,"*"&amp;Table1[[#Headers],[Resource Management-PS]]&amp;"*")</f>
        <v>0</v>
      </c>
      <c r="I278" s="8">
        <f>COUNTIFS('All Papers'!$D:$D,"*"&amp;$A278&amp;"*",'All Papers'!$G:$G,"*"&amp;Table1[[#Headers],[SLA Management]]&amp;"*")</f>
        <v>0</v>
      </c>
      <c r="J278" s="8">
        <f>COUNTIFS('All Papers'!$D:$D,"*"&amp;$A278&amp;"*",'All Papers'!$G:$G,"*"&amp;Table1[[#Headers],[Big Data]]&amp;"*")</f>
        <v>0</v>
      </c>
      <c r="K278" s="8">
        <f>COUNTIFS('All Papers'!$D:$D,"*"&amp;$A278&amp;"*",'All Papers'!$G:$G,"*"&amp;Table1[[#Headers],[Energy Management]]&amp;"*")</f>
        <v>2</v>
      </c>
      <c r="L278" s="8">
        <f>COUNTIFS('All Papers'!$D:$D,"*"&amp;$A278&amp;"*",'All Papers'!$G:$G,"*"&amp;Table1[[#Headers],[Monitoring]]&amp;"*")</f>
        <v>0</v>
      </c>
      <c r="M278" s="8">
        <f>COUNTIFS('All Papers'!$D:$D,"*"&amp;$A278&amp;"*",'All Papers'!$G:$G,"*"&amp;Table1[[#Headers],[Pricing]]&amp;"*")</f>
        <v>1</v>
      </c>
    </row>
    <row r="279" spans="1:13" x14ac:dyDescent="0.25">
      <c r="A279" s="8" t="s">
        <v>2712</v>
      </c>
      <c r="B279" s="8">
        <f>COUNTIF('All Papers'!D:D,"*"&amp;Table1[[#This Row],[Name]]&amp;"*")</f>
        <v>2</v>
      </c>
      <c r="C279" s="8">
        <f>COUNTIFS('All Papers'!$D:$D,"*"&amp;$A279&amp;"*",'All Papers'!$G:$G,"*"&amp;Table1[[#Headers],[Composition]]&amp;"*")</f>
        <v>0</v>
      </c>
      <c r="D279" s="8">
        <f>COUNTIFS('All Papers'!$D:$D,"*"&amp;$A279&amp;"*",'All Papers'!$G:$G,"*"&amp;Table1[[#Headers],[Discovery]]&amp;"*")</f>
        <v>0</v>
      </c>
      <c r="E279" s="8">
        <f>COUNTIFS('All Papers'!$D:$D,"*"&amp;$A279&amp;"*",'All Papers'!$G:$G,"*"&amp;Table1[[#Headers],[Selection]]&amp;"*")</f>
        <v>0</v>
      </c>
      <c r="F279" s="8">
        <f>COUNTIFS('All Papers'!$D:$D,"*"&amp;$A279&amp;"*",'All Papers'!$G:$G,"*"&amp;Table1[[#Headers],[Recommendation]]&amp;"*")</f>
        <v>0</v>
      </c>
      <c r="G279" s="8">
        <f>COUNTIFS('All Papers'!$D:$D,"*"&amp;$A279&amp;"*",'All Papers'!$G:$G,"*"&amp;Table1[[#Headers],[Resource Management-CS]]&amp;"*")</f>
        <v>1</v>
      </c>
      <c r="H279" s="8">
        <f>COUNTIFS('All Papers'!$D:$D,"*"&amp;$A279&amp;"*",'All Papers'!$G:$G,"*"&amp;Table1[[#Headers],[Resource Management-PS]]&amp;"*")</f>
        <v>0</v>
      </c>
      <c r="I279" s="8">
        <f>COUNTIFS('All Papers'!$D:$D,"*"&amp;$A279&amp;"*",'All Papers'!$G:$G,"*"&amp;Table1[[#Headers],[SLA Management]]&amp;"*")</f>
        <v>0</v>
      </c>
      <c r="J279" s="8">
        <f>COUNTIFS('All Papers'!$D:$D,"*"&amp;$A279&amp;"*",'All Papers'!$G:$G,"*"&amp;Table1[[#Headers],[Big Data]]&amp;"*")</f>
        <v>0</v>
      </c>
      <c r="K279" s="8">
        <f>COUNTIFS('All Papers'!$D:$D,"*"&amp;$A279&amp;"*",'All Papers'!$G:$G,"*"&amp;Table1[[#Headers],[Energy Management]]&amp;"*")</f>
        <v>2</v>
      </c>
      <c r="L279" s="8">
        <f>COUNTIFS('All Papers'!$D:$D,"*"&amp;$A279&amp;"*",'All Papers'!$G:$G,"*"&amp;Table1[[#Headers],[Monitoring]]&amp;"*")</f>
        <v>0</v>
      </c>
      <c r="M279" s="8">
        <f>COUNTIFS('All Papers'!$D:$D,"*"&amp;$A279&amp;"*",'All Papers'!$G:$G,"*"&amp;Table1[[#Headers],[Pricing]]&amp;"*")</f>
        <v>1</v>
      </c>
    </row>
    <row r="280" spans="1:13" x14ac:dyDescent="0.25">
      <c r="A280" s="8" t="s">
        <v>2713</v>
      </c>
      <c r="B280" s="8">
        <f>COUNTIF('All Papers'!D:D,"*"&amp;Table1[[#This Row],[Name]]&amp;"*")</f>
        <v>2</v>
      </c>
      <c r="C280" s="8">
        <f>COUNTIFS('All Papers'!$D:$D,"*"&amp;$A280&amp;"*",'All Papers'!$G:$G,"*"&amp;Table1[[#Headers],[Composition]]&amp;"*")</f>
        <v>0</v>
      </c>
      <c r="D280" s="8">
        <f>COUNTIFS('All Papers'!$D:$D,"*"&amp;$A280&amp;"*",'All Papers'!$G:$G,"*"&amp;Table1[[#Headers],[Discovery]]&amp;"*")</f>
        <v>0</v>
      </c>
      <c r="E280" s="8">
        <f>COUNTIFS('All Papers'!$D:$D,"*"&amp;$A280&amp;"*",'All Papers'!$G:$G,"*"&amp;Table1[[#Headers],[Selection]]&amp;"*")</f>
        <v>2</v>
      </c>
      <c r="F280" s="8">
        <f>COUNTIFS('All Papers'!$D:$D,"*"&amp;$A280&amp;"*",'All Papers'!$G:$G,"*"&amp;Table1[[#Headers],[Recommendation]]&amp;"*")</f>
        <v>0</v>
      </c>
      <c r="G280" s="8">
        <f>COUNTIFS('All Papers'!$D:$D,"*"&amp;$A280&amp;"*",'All Papers'!$G:$G,"*"&amp;Table1[[#Headers],[Resource Management-CS]]&amp;"*")</f>
        <v>0</v>
      </c>
      <c r="H280" s="8">
        <f>COUNTIFS('All Papers'!$D:$D,"*"&amp;$A280&amp;"*",'All Papers'!$G:$G,"*"&amp;Table1[[#Headers],[Resource Management-PS]]&amp;"*")</f>
        <v>0</v>
      </c>
      <c r="I280" s="8">
        <f>COUNTIFS('All Papers'!$D:$D,"*"&amp;$A280&amp;"*",'All Papers'!$G:$G,"*"&amp;Table1[[#Headers],[SLA Management]]&amp;"*")</f>
        <v>0</v>
      </c>
      <c r="J280" s="8">
        <f>COUNTIFS('All Papers'!$D:$D,"*"&amp;$A280&amp;"*",'All Papers'!$G:$G,"*"&amp;Table1[[#Headers],[Big Data]]&amp;"*")</f>
        <v>0</v>
      </c>
      <c r="K280" s="8">
        <f>COUNTIFS('All Papers'!$D:$D,"*"&amp;$A280&amp;"*",'All Papers'!$G:$G,"*"&amp;Table1[[#Headers],[Energy Management]]&amp;"*")</f>
        <v>0</v>
      </c>
      <c r="L280" s="8">
        <f>COUNTIFS('All Papers'!$D:$D,"*"&amp;$A280&amp;"*",'All Papers'!$G:$G,"*"&amp;Table1[[#Headers],[Monitoring]]&amp;"*")</f>
        <v>0</v>
      </c>
      <c r="M280" s="8">
        <f>COUNTIFS('All Papers'!$D:$D,"*"&amp;$A280&amp;"*",'All Papers'!$G:$G,"*"&amp;Table1[[#Headers],[Pricing]]&amp;"*")</f>
        <v>0</v>
      </c>
    </row>
    <row r="281" spans="1:13" x14ac:dyDescent="0.25">
      <c r="A281" s="8" t="s">
        <v>2714</v>
      </c>
      <c r="B281" s="8">
        <f>COUNTIF('All Papers'!D:D,"*"&amp;Table1[[#This Row],[Name]]&amp;"*")</f>
        <v>2</v>
      </c>
      <c r="C281" s="8">
        <f>COUNTIFS('All Papers'!$D:$D,"*"&amp;$A281&amp;"*",'All Papers'!$G:$G,"*"&amp;Table1[[#Headers],[Composition]]&amp;"*")</f>
        <v>1</v>
      </c>
      <c r="D281" s="8">
        <f>COUNTIFS('All Papers'!$D:$D,"*"&amp;$A281&amp;"*",'All Papers'!$G:$G,"*"&amp;Table1[[#Headers],[Discovery]]&amp;"*")</f>
        <v>0</v>
      </c>
      <c r="E281" s="8">
        <f>COUNTIFS('All Papers'!$D:$D,"*"&amp;$A281&amp;"*",'All Papers'!$G:$G,"*"&amp;Table1[[#Headers],[Selection]]&amp;"*")</f>
        <v>1</v>
      </c>
      <c r="F281" s="8">
        <f>COUNTIFS('All Papers'!$D:$D,"*"&amp;$A281&amp;"*",'All Papers'!$G:$G,"*"&amp;Table1[[#Headers],[Recommendation]]&amp;"*")</f>
        <v>0</v>
      </c>
      <c r="G281" s="8">
        <f>COUNTIFS('All Papers'!$D:$D,"*"&amp;$A281&amp;"*",'All Papers'!$G:$G,"*"&amp;Table1[[#Headers],[Resource Management-CS]]&amp;"*")</f>
        <v>0</v>
      </c>
      <c r="H281" s="8">
        <f>COUNTIFS('All Papers'!$D:$D,"*"&amp;$A281&amp;"*",'All Papers'!$G:$G,"*"&amp;Table1[[#Headers],[Resource Management-PS]]&amp;"*")</f>
        <v>0</v>
      </c>
      <c r="I281" s="8">
        <f>COUNTIFS('All Papers'!$D:$D,"*"&amp;$A281&amp;"*",'All Papers'!$G:$G,"*"&amp;Table1[[#Headers],[SLA Management]]&amp;"*")</f>
        <v>0</v>
      </c>
      <c r="J281" s="8">
        <f>COUNTIFS('All Papers'!$D:$D,"*"&amp;$A281&amp;"*",'All Papers'!$G:$G,"*"&amp;Table1[[#Headers],[Big Data]]&amp;"*")</f>
        <v>0</v>
      </c>
      <c r="K281" s="8">
        <f>COUNTIFS('All Papers'!$D:$D,"*"&amp;$A281&amp;"*",'All Papers'!$G:$G,"*"&amp;Table1[[#Headers],[Energy Management]]&amp;"*")</f>
        <v>0</v>
      </c>
      <c r="L281" s="8">
        <f>COUNTIFS('All Papers'!$D:$D,"*"&amp;$A281&amp;"*",'All Papers'!$G:$G,"*"&amp;Table1[[#Headers],[Monitoring]]&amp;"*")</f>
        <v>0</v>
      </c>
      <c r="M281" s="8">
        <f>COUNTIFS('All Papers'!$D:$D,"*"&amp;$A281&amp;"*",'All Papers'!$G:$G,"*"&amp;Table1[[#Headers],[Pricing]]&amp;"*")</f>
        <v>0</v>
      </c>
    </row>
    <row r="282" spans="1:13" x14ac:dyDescent="0.25">
      <c r="A282" s="8" t="s">
        <v>2715</v>
      </c>
      <c r="B282" s="8">
        <f>COUNTIF('All Papers'!D:D,"*"&amp;Table1[[#This Row],[Name]]&amp;"*")</f>
        <v>2</v>
      </c>
      <c r="C282" s="8">
        <f>COUNTIFS('All Papers'!$D:$D,"*"&amp;$A282&amp;"*",'All Papers'!$G:$G,"*"&amp;Table1[[#Headers],[Composition]]&amp;"*")</f>
        <v>1</v>
      </c>
      <c r="D282" s="8">
        <f>COUNTIFS('All Papers'!$D:$D,"*"&amp;$A282&amp;"*",'All Papers'!$G:$G,"*"&amp;Table1[[#Headers],[Discovery]]&amp;"*")</f>
        <v>0</v>
      </c>
      <c r="E282" s="8">
        <f>COUNTIFS('All Papers'!$D:$D,"*"&amp;$A282&amp;"*",'All Papers'!$G:$G,"*"&amp;Table1[[#Headers],[Selection]]&amp;"*")</f>
        <v>0</v>
      </c>
      <c r="F282" s="8">
        <f>COUNTIFS('All Papers'!$D:$D,"*"&amp;$A282&amp;"*",'All Papers'!$G:$G,"*"&amp;Table1[[#Headers],[Recommendation]]&amp;"*")</f>
        <v>0</v>
      </c>
      <c r="G282" s="8">
        <f>COUNTIFS('All Papers'!$D:$D,"*"&amp;$A282&amp;"*",'All Papers'!$G:$G,"*"&amp;Table1[[#Headers],[Resource Management-CS]]&amp;"*")</f>
        <v>0</v>
      </c>
      <c r="H282" s="8">
        <f>COUNTIFS('All Papers'!$D:$D,"*"&amp;$A282&amp;"*",'All Papers'!$G:$G,"*"&amp;Table1[[#Headers],[Resource Management-PS]]&amp;"*")</f>
        <v>1</v>
      </c>
      <c r="I282" s="8">
        <f>COUNTIFS('All Papers'!$D:$D,"*"&amp;$A282&amp;"*",'All Papers'!$G:$G,"*"&amp;Table1[[#Headers],[SLA Management]]&amp;"*")</f>
        <v>0</v>
      </c>
      <c r="J282" s="8">
        <f>COUNTIFS('All Papers'!$D:$D,"*"&amp;$A282&amp;"*",'All Papers'!$G:$G,"*"&amp;Table1[[#Headers],[Big Data]]&amp;"*")</f>
        <v>0</v>
      </c>
      <c r="K282" s="8">
        <f>COUNTIFS('All Papers'!$D:$D,"*"&amp;$A282&amp;"*",'All Papers'!$G:$G,"*"&amp;Table1[[#Headers],[Energy Management]]&amp;"*")</f>
        <v>0</v>
      </c>
      <c r="L282" s="8">
        <f>COUNTIFS('All Papers'!$D:$D,"*"&amp;$A282&amp;"*",'All Papers'!$G:$G,"*"&amp;Table1[[#Headers],[Monitoring]]&amp;"*")</f>
        <v>0</v>
      </c>
      <c r="M282" s="8">
        <f>COUNTIFS('All Papers'!$D:$D,"*"&amp;$A282&amp;"*",'All Papers'!$G:$G,"*"&amp;Table1[[#Headers],[Pricing]]&amp;"*")</f>
        <v>0</v>
      </c>
    </row>
    <row r="283" spans="1:13" x14ac:dyDescent="0.25">
      <c r="A283" s="8" t="s">
        <v>2716</v>
      </c>
      <c r="B283" s="8">
        <f>COUNTIF('All Papers'!D:D,"*"&amp;Table1[[#This Row],[Name]]&amp;"*")</f>
        <v>2</v>
      </c>
      <c r="C283" s="8">
        <f>COUNTIFS('All Papers'!$D:$D,"*"&amp;$A283&amp;"*",'All Papers'!$G:$G,"*"&amp;Table1[[#Headers],[Composition]]&amp;"*")</f>
        <v>0</v>
      </c>
      <c r="D283" s="8">
        <f>COUNTIFS('All Papers'!$D:$D,"*"&amp;$A283&amp;"*",'All Papers'!$G:$G,"*"&amp;Table1[[#Headers],[Discovery]]&amp;"*")</f>
        <v>0</v>
      </c>
      <c r="E283" s="8">
        <f>COUNTIFS('All Papers'!$D:$D,"*"&amp;$A283&amp;"*",'All Papers'!$G:$G,"*"&amp;Table1[[#Headers],[Selection]]&amp;"*")</f>
        <v>2</v>
      </c>
      <c r="F283" s="8">
        <f>COUNTIFS('All Papers'!$D:$D,"*"&amp;$A283&amp;"*",'All Papers'!$G:$G,"*"&amp;Table1[[#Headers],[Recommendation]]&amp;"*")</f>
        <v>0</v>
      </c>
      <c r="G283" s="8">
        <f>COUNTIFS('All Papers'!$D:$D,"*"&amp;$A283&amp;"*",'All Papers'!$G:$G,"*"&amp;Table1[[#Headers],[Resource Management-CS]]&amp;"*")</f>
        <v>0</v>
      </c>
      <c r="H283" s="8">
        <f>COUNTIFS('All Papers'!$D:$D,"*"&amp;$A283&amp;"*",'All Papers'!$G:$G,"*"&amp;Table1[[#Headers],[Resource Management-PS]]&amp;"*")</f>
        <v>0</v>
      </c>
      <c r="I283" s="8">
        <f>COUNTIFS('All Papers'!$D:$D,"*"&amp;$A283&amp;"*",'All Papers'!$G:$G,"*"&amp;Table1[[#Headers],[SLA Management]]&amp;"*")</f>
        <v>0</v>
      </c>
      <c r="J283" s="8">
        <f>COUNTIFS('All Papers'!$D:$D,"*"&amp;$A283&amp;"*",'All Papers'!$G:$G,"*"&amp;Table1[[#Headers],[Big Data]]&amp;"*")</f>
        <v>0</v>
      </c>
      <c r="K283" s="8">
        <f>COUNTIFS('All Papers'!$D:$D,"*"&amp;$A283&amp;"*",'All Papers'!$G:$G,"*"&amp;Table1[[#Headers],[Energy Management]]&amp;"*")</f>
        <v>0</v>
      </c>
      <c r="L283" s="8">
        <f>COUNTIFS('All Papers'!$D:$D,"*"&amp;$A283&amp;"*",'All Papers'!$G:$G,"*"&amp;Table1[[#Headers],[Monitoring]]&amp;"*")</f>
        <v>1</v>
      </c>
      <c r="M283" s="8">
        <f>COUNTIFS('All Papers'!$D:$D,"*"&amp;$A283&amp;"*",'All Papers'!$G:$G,"*"&amp;Table1[[#Headers],[Pricing]]&amp;"*")</f>
        <v>0</v>
      </c>
    </row>
    <row r="284" spans="1:13" x14ac:dyDescent="0.25">
      <c r="A284" s="8" t="s">
        <v>2717</v>
      </c>
      <c r="B284" s="8">
        <f>COUNTIF('All Papers'!D:D,"*"&amp;Table1[[#This Row],[Name]]&amp;"*")</f>
        <v>2</v>
      </c>
      <c r="C284" s="8">
        <f>COUNTIFS('All Papers'!$D:$D,"*"&amp;$A284&amp;"*",'All Papers'!$G:$G,"*"&amp;Table1[[#Headers],[Composition]]&amp;"*")</f>
        <v>0</v>
      </c>
      <c r="D284" s="8">
        <f>COUNTIFS('All Papers'!$D:$D,"*"&amp;$A284&amp;"*",'All Papers'!$G:$G,"*"&amp;Table1[[#Headers],[Discovery]]&amp;"*")</f>
        <v>0</v>
      </c>
      <c r="E284" s="8">
        <f>COUNTIFS('All Papers'!$D:$D,"*"&amp;$A284&amp;"*",'All Papers'!$G:$G,"*"&amp;Table1[[#Headers],[Selection]]&amp;"*")</f>
        <v>0</v>
      </c>
      <c r="F284" s="8">
        <f>COUNTIFS('All Papers'!$D:$D,"*"&amp;$A284&amp;"*",'All Papers'!$G:$G,"*"&amp;Table1[[#Headers],[Recommendation]]&amp;"*")</f>
        <v>0</v>
      </c>
      <c r="G284" s="8">
        <f>COUNTIFS('All Papers'!$D:$D,"*"&amp;$A284&amp;"*",'All Papers'!$G:$G,"*"&amp;Table1[[#Headers],[Resource Management-CS]]&amp;"*")</f>
        <v>1</v>
      </c>
      <c r="H284" s="8">
        <f>COUNTIFS('All Papers'!$D:$D,"*"&amp;$A284&amp;"*",'All Papers'!$G:$G,"*"&amp;Table1[[#Headers],[Resource Management-PS]]&amp;"*")</f>
        <v>0</v>
      </c>
      <c r="I284" s="8">
        <f>COUNTIFS('All Papers'!$D:$D,"*"&amp;$A284&amp;"*",'All Papers'!$G:$G,"*"&amp;Table1[[#Headers],[SLA Management]]&amp;"*")</f>
        <v>1</v>
      </c>
      <c r="J284" s="8">
        <f>COUNTIFS('All Papers'!$D:$D,"*"&amp;$A284&amp;"*",'All Papers'!$G:$G,"*"&amp;Table1[[#Headers],[Big Data]]&amp;"*")</f>
        <v>0</v>
      </c>
      <c r="K284" s="8">
        <f>COUNTIFS('All Papers'!$D:$D,"*"&amp;$A284&amp;"*",'All Papers'!$G:$G,"*"&amp;Table1[[#Headers],[Energy Management]]&amp;"*")</f>
        <v>1</v>
      </c>
      <c r="L284" s="8">
        <f>COUNTIFS('All Papers'!$D:$D,"*"&amp;$A284&amp;"*",'All Papers'!$G:$G,"*"&amp;Table1[[#Headers],[Monitoring]]&amp;"*")</f>
        <v>0</v>
      </c>
      <c r="M284" s="8">
        <f>COUNTIFS('All Papers'!$D:$D,"*"&amp;$A284&amp;"*",'All Papers'!$G:$G,"*"&amp;Table1[[#Headers],[Pricing]]&amp;"*")</f>
        <v>0</v>
      </c>
    </row>
    <row r="285" spans="1:13" x14ac:dyDescent="0.25">
      <c r="A285" s="8" t="s">
        <v>2718</v>
      </c>
      <c r="B285" s="8">
        <f>COUNTIF('All Papers'!D:D,"*"&amp;Table1[[#This Row],[Name]]&amp;"*")</f>
        <v>2</v>
      </c>
      <c r="C285" s="8">
        <f>COUNTIFS('All Papers'!$D:$D,"*"&amp;$A285&amp;"*",'All Papers'!$G:$G,"*"&amp;Table1[[#Headers],[Composition]]&amp;"*")</f>
        <v>0</v>
      </c>
      <c r="D285" s="8">
        <f>COUNTIFS('All Papers'!$D:$D,"*"&amp;$A285&amp;"*",'All Papers'!$G:$G,"*"&amp;Table1[[#Headers],[Discovery]]&amp;"*")</f>
        <v>0</v>
      </c>
      <c r="E285" s="8">
        <f>COUNTIFS('All Papers'!$D:$D,"*"&amp;$A285&amp;"*",'All Papers'!$G:$G,"*"&amp;Table1[[#Headers],[Selection]]&amp;"*")</f>
        <v>0</v>
      </c>
      <c r="F285" s="8">
        <f>COUNTIFS('All Papers'!$D:$D,"*"&amp;$A285&amp;"*",'All Papers'!$G:$G,"*"&amp;Table1[[#Headers],[Recommendation]]&amp;"*")</f>
        <v>0</v>
      </c>
      <c r="G285" s="8">
        <f>COUNTIFS('All Papers'!$D:$D,"*"&amp;$A285&amp;"*",'All Papers'!$G:$G,"*"&amp;Table1[[#Headers],[Resource Management-CS]]&amp;"*")</f>
        <v>2</v>
      </c>
      <c r="H285" s="8">
        <f>COUNTIFS('All Papers'!$D:$D,"*"&amp;$A285&amp;"*",'All Papers'!$G:$G,"*"&amp;Table1[[#Headers],[Resource Management-PS]]&amp;"*")</f>
        <v>0</v>
      </c>
      <c r="I285" s="8">
        <f>COUNTIFS('All Papers'!$D:$D,"*"&amp;$A285&amp;"*",'All Papers'!$G:$G,"*"&amp;Table1[[#Headers],[SLA Management]]&amp;"*")</f>
        <v>0</v>
      </c>
      <c r="J285" s="8">
        <f>COUNTIFS('All Papers'!$D:$D,"*"&amp;$A285&amp;"*",'All Papers'!$G:$G,"*"&amp;Table1[[#Headers],[Big Data]]&amp;"*")</f>
        <v>0</v>
      </c>
      <c r="K285" s="8">
        <f>COUNTIFS('All Papers'!$D:$D,"*"&amp;$A285&amp;"*",'All Papers'!$G:$G,"*"&amp;Table1[[#Headers],[Energy Management]]&amp;"*")</f>
        <v>0</v>
      </c>
      <c r="L285" s="8">
        <f>COUNTIFS('All Papers'!$D:$D,"*"&amp;$A285&amp;"*",'All Papers'!$G:$G,"*"&amp;Table1[[#Headers],[Monitoring]]&amp;"*")</f>
        <v>0</v>
      </c>
      <c r="M285" s="8">
        <f>COUNTIFS('All Papers'!$D:$D,"*"&amp;$A285&amp;"*",'All Papers'!$G:$G,"*"&amp;Table1[[#Headers],[Pricing]]&amp;"*")</f>
        <v>0</v>
      </c>
    </row>
    <row r="286" spans="1:13" x14ac:dyDescent="0.25">
      <c r="A286" s="8" t="s">
        <v>2719</v>
      </c>
      <c r="B286" s="8">
        <f>COUNTIF('All Papers'!D:D,"*"&amp;Table1[[#This Row],[Name]]&amp;"*")</f>
        <v>2</v>
      </c>
      <c r="C286" s="8">
        <f>COUNTIFS('All Papers'!$D:$D,"*"&amp;$A286&amp;"*",'All Papers'!$G:$G,"*"&amp;Table1[[#Headers],[Composition]]&amp;"*")</f>
        <v>0</v>
      </c>
      <c r="D286" s="8">
        <f>COUNTIFS('All Papers'!$D:$D,"*"&amp;$A286&amp;"*",'All Papers'!$G:$G,"*"&amp;Table1[[#Headers],[Discovery]]&amp;"*")</f>
        <v>0</v>
      </c>
      <c r="E286" s="8">
        <f>COUNTIFS('All Papers'!$D:$D,"*"&amp;$A286&amp;"*",'All Papers'!$G:$G,"*"&amp;Table1[[#Headers],[Selection]]&amp;"*")</f>
        <v>0</v>
      </c>
      <c r="F286" s="8">
        <f>COUNTIFS('All Papers'!$D:$D,"*"&amp;$A286&amp;"*",'All Papers'!$G:$G,"*"&amp;Table1[[#Headers],[Recommendation]]&amp;"*")</f>
        <v>0</v>
      </c>
      <c r="G286" s="8">
        <f>COUNTIFS('All Papers'!$D:$D,"*"&amp;$A286&amp;"*",'All Papers'!$G:$G,"*"&amp;Table1[[#Headers],[Resource Management-CS]]&amp;"*")</f>
        <v>1</v>
      </c>
      <c r="H286" s="8">
        <f>COUNTIFS('All Papers'!$D:$D,"*"&amp;$A286&amp;"*",'All Papers'!$G:$G,"*"&amp;Table1[[#Headers],[Resource Management-PS]]&amp;"*")</f>
        <v>1</v>
      </c>
      <c r="I286" s="8">
        <f>COUNTIFS('All Papers'!$D:$D,"*"&amp;$A286&amp;"*",'All Papers'!$G:$G,"*"&amp;Table1[[#Headers],[SLA Management]]&amp;"*")</f>
        <v>0</v>
      </c>
      <c r="J286" s="8">
        <f>COUNTIFS('All Papers'!$D:$D,"*"&amp;$A286&amp;"*",'All Papers'!$G:$G,"*"&amp;Table1[[#Headers],[Big Data]]&amp;"*")</f>
        <v>0</v>
      </c>
      <c r="K286" s="8">
        <f>COUNTIFS('All Papers'!$D:$D,"*"&amp;$A286&amp;"*",'All Papers'!$G:$G,"*"&amp;Table1[[#Headers],[Energy Management]]&amp;"*")</f>
        <v>0</v>
      </c>
      <c r="L286" s="8">
        <f>COUNTIFS('All Papers'!$D:$D,"*"&amp;$A286&amp;"*",'All Papers'!$G:$G,"*"&amp;Table1[[#Headers],[Monitoring]]&amp;"*")</f>
        <v>0</v>
      </c>
      <c r="M286" s="8">
        <f>COUNTIFS('All Papers'!$D:$D,"*"&amp;$A286&amp;"*",'All Papers'!$G:$G,"*"&amp;Table1[[#Headers],[Pricing]]&amp;"*")</f>
        <v>0</v>
      </c>
    </row>
    <row r="287" spans="1:13" x14ac:dyDescent="0.25">
      <c r="A287" s="8" t="s">
        <v>2720</v>
      </c>
      <c r="B287" s="8">
        <f>COUNTIF('All Papers'!D:D,"*"&amp;Table1[[#This Row],[Name]]&amp;"*")</f>
        <v>2</v>
      </c>
      <c r="C287" s="8">
        <f>COUNTIFS('All Papers'!$D:$D,"*"&amp;$A287&amp;"*",'All Papers'!$G:$G,"*"&amp;Table1[[#Headers],[Composition]]&amp;"*")</f>
        <v>0</v>
      </c>
      <c r="D287" s="8">
        <f>COUNTIFS('All Papers'!$D:$D,"*"&amp;$A287&amp;"*",'All Papers'!$G:$G,"*"&amp;Table1[[#Headers],[Discovery]]&amp;"*")</f>
        <v>0</v>
      </c>
      <c r="E287" s="8">
        <f>COUNTIFS('All Papers'!$D:$D,"*"&amp;$A287&amp;"*",'All Papers'!$G:$G,"*"&amp;Table1[[#Headers],[Selection]]&amp;"*")</f>
        <v>1</v>
      </c>
      <c r="F287" s="8">
        <f>COUNTIFS('All Papers'!$D:$D,"*"&amp;$A287&amp;"*",'All Papers'!$G:$G,"*"&amp;Table1[[#Headers],[Recommendation]]&amp;"*")</f>
        <v>0</v>
      </c>
      <c r="G287" s="8">
        <f>COUNTIFS('All Papers'!$D:$D,"*"&amp;$A287&amp;"*",'All Papers'!$G:$G,"*"&amp;Table1[[#Headers],[Resource Management-CS]]&amp;"*")</f>
        <v>0</v>
      </c>
      <c r="H287" s="8">
        <f>COUNTIFS('All Papers'!$D:$D,"*"&amp;$A287&amp;"*",'All Papers'!$G:$G,"*"&amp;Table1[[#Headers],[Resource Management-PS]]&amp;"*")</f>
        <v>1</v>
      </c>
      <c r="I287" s="8">
        <f>COUNTIFS('All Papers'!$D:$D,"*"&amp;$A287&amp;"*",'All Papers'!$G:$G,"*"&amp;Table1[[#Headers],[SLA Management]]&amp;"*")</f>
        <v>0</v>
      </c>
      <c r="J287" s="8">
        <f>COUNTIFS('All Papers'!$D:$D,"*"&amp;$A287&amp;"*",'All Papers'!$G:$G,"*"&amp;Table1[[#Headers],[Big Data]]&amp;"*")</f>
        <v>0</v>
      </c>
      <c r="K287" s="8">
        <f>COUNTIFS('All Papers'!$D:$D,"*"&amp;$A287&amp;"*",'All Papers'!$G:$G,"*"&amp;Table1[[#Headers],[Energy Management]]&amp;"*")</f>
        <v>0</v>
      </c>
      <c r="L287" s="8">
        <f>COUNTIFS('All Papers'!$D:$D,"*"&amp;$A287&amp;"*",'All Papers'!$G:$G,"*"&amp;Table1[[#Headers],[Monitoring]]&amp;"*")</f>
        <v>0</v>
      </c>
      <c r="M287" s="8">
        <f>COUNTIFS('All Papers'!$D:$D,"*"&amp;$A287&amp;"*",'All Papers'!$G:$G,"*"&amp;Table1[[#Headers],[Pricing]]&amp;"*")</f>
        <v>0</v>
      </c>
    </row>
    <row r="288" spans="1:13" x14ac:dyDescent="0.25">
      <c r="A288" s="8" t="s">
        <v>2721</v>
      </c>
      <c r="B288" s="8">
        <f>COUNTIF('All Papers'!D:D,"*"&amp;Table1[[#This Row],[Name]]&amp;"*")</f>
        <v>2</v>
      </c>
      <c r="C288" s="8">
        <f>COUNTIFS('All Papers'!$D:$D,"*"&amp;$A288&amp;"*",'All Papers'!$G:$G,"*"&amp;Table1[[#Headers],[Composition]]&amp;"*")</f>
        <v>0</v>
      </c>
      <c r="D288" s="8">
        <f>COUNTIFS('All Papers'!$D:$D,"*"&amp;$A288&amp;"*",'All Papers'!$G:$G,"*"&amp;Table1[[#Headers],[Discovery]]&amp;"*")</f>
        <v>0</v>
      </c>
      <c r="E288" s="8">
        <f>COUNTIFS('All Papers'!$D:$D,"*"&amp;$A288&amp;"*",'All Papers'!$G:$G,"*"&amp;Table1[[#Headers],[Selection]]&amp;"*")</f>
        <v>0</v>
      </c>
      <c r="F288" s="8">
        <f>COUNTIFS('All Papers'!$D:$D,"*"&amp;$A288&amp;"*",'All Papers'!$G:$G,"*"&amp;Table1[[#Headers],[Recommendation]]&amp;"*")</f>
        <v>0</v>
      </c>
      <c r="G288" s="8">
        <f>COUNTIFS('All Papers'!$D:$D,"*"&amp;$A288&amp;"*",'All Papers'!$G:$G,"*"&amp;Table1[[#Headers],[Resource Management-CS]]&amp;"*")</f>
        <v>1</v>
      </c>
      <c r="H288" s="8">
        <f>COUNTIFS('All Papers'!$D:$D,"*"&amp;$A288&amp;"*",'All Papers'!$G:$G,"*"&amp;Table1[[#Headers],[Resource Management-PS]]&amp;"*")</f>
        <v>0</v>
      </c>
      <c r="I288" s="8">
        <f>COUNTIFS('All Papers'!$D:$D,"*"&amp;$A288&amp;"*",'All Papers'!$G:$G,"*"&amp;Table1[[#Headers],[SLA Management]]&amp;"*")</f>
        <v>1</v>
      </c>
      <c r="J288" s="8">
        <f>COUNTIFS('All Papers'!$D:$D,"*"&amp;$A288&amp;"*",'All Papers'!$G:$G,"*"&amp;Table1[[#Headers],[Big Data]]&amp;"*")</f>
        <v>0</v>
      </c>
      <c r="K288" s="8">
        <f>COUNTIFS('All Papers'!$D:$D,"*"&amp;$A288&amp;"*",'All Papers'!$G:$G,"*"&amp;Table1[[#Headers],[Energy Management]]&amp;"*")</f>
        <v>0</v>
      </c>
      <c r="L288" s="8">
        <f>COUNTIFS('All Papers'!$D:$D,"*"&amp;$A288&amp;"*",'All Papers'!$G:$G,"*"&amp;Table1[[#Headers],[Monitoring]]&amp;"*")</f>
        <v>0</v>
      </c>
      <c r="M288" s="8">
        <f>COUNTIFS('All Papers'!$D:$D,"*"&amp;$A288&amp;"*",'All Papers'!$G:$G,"*"&amp;Table1[[#Headers],[Pricing]]&amp;"*")</f>
        <v>0</v>
      </c>
    </row>
    <row r="289" spans="1:13" x14ac:dyDescent="0.25">
      <c r="A289" s="8" t="s">
        <v>2722</v>
      </c>
      <c r="B289" s="8">
        <f>COUNTIF('All Papers'!D:D,"*"&amp;Table1[[#This Row],[Name]]&amp;"*")</f>
        <v>2</v>
      </c>
      <c r="C289" s="8">
        <f>COUNTIFS('All Papers'!$D:$D,"*"&amp;$A289&amp;"*",'All Papers'!$G:$G,"*"&amp;Table1[[#Headers],[Composition]]&amp;"*")</f>
        <v>0</v>
      </c>
      <c r="D289" s="8">
        <f>COUNTIFS('All Papers'!$D:$D,"*"&amp;$A289&amp;"*",'All Papers'!$G:$G,"*"&amp;Table1[[#Headers],[Discovery]]&amp;"*")</f>
        <v>0</v>
      </c>
      <c r="E289" s="8">
        <f>COUNTIFS('All Papers'!$D:$D,"*"&amp;$A289&amp;"*",'All Papers'!$G:$G,"*"&amp;Table1[[#Headers],[Selection]]&amp;"*")</f>
        <v>0</v>
      </c>
      <c r="F289" s="8">
        <f>COUNTIFS('All Papers'!$D:$D,"*"&amp;$A289&amp;"*",'All Papers'!$G:$G,"*"&amp;Table1[[#Headers],[Recommendation]]&amp;"*")</f>
        <v>0</v>
      </c>
      <c r="G289" s="8">
        <f>COUNTIFS('All Papers'!$D:$D,"*"&amp;$A289&amp;"*",'All Papers'!$G:$G,"*"&amp;Table1[[#Headers],[Resource Management-CS]]&amp;"*")</f>
        <v>0</v>
      </c>
      <c r="H289" s="8">
        <f>COUNTIFS('All Papers'!$D:$D,"*"&amp;$A289&amp;"*",'All Papers'!$G:$G,"*"&amp;Table1[[#Headers],[Resource Management-PS]]&amp;"*")</f>
        <v>1</v>
      </c>
      <c r="I289" s="8">
        <f>COUNTIFS('All Papers'!$D:$D,"*"&amp;$A289&amp;"*",'All Papers'!$G:$G,"*"&amp;Table1[[#Headers],[SLA Management]]&amp;"*")</f>
        <v>0</v>
      </c>
      <c r="J289" s="8">
        <f>COUNTIFS('All Papers'!$D:$D,"*"&amp;$A289&amp;"*",'All Papers'!$G:$G,"*"&amp;Table1[[#Headers],[Big Data]]&amp;"*")</f>
        <v>0</v>
      </c>
      <c r="K289" s="8">
        <f>COUNTIFS('All Papers'!$D:$D,"*"&amp;$A289&amp;"*",'All Papers'!$G:$G,"*"&amp;Table1[[#Headers],[Energy Management]]&amp;"*")</f>
        <v>2</v>
      </c>
      <c r="L289" s="8">
        <f>COUNTIFS('All Papers'!$D:$D,"*"&amp;$A289&amp;"*",'All Papers'!$G:$G,"*"&amp;Table1[[#Headers],[Monitoring]]&amp;"*")</f>
        <v>0</v>
      </c>
      <c r="M289" s="8">
        <f>COUNTIFS('All Papers'!$D:$D,"*"&amp;$A289&amp;"*",'All Papers'!$G:$G,"*"&amp;Table1[[#Headers],[Pricing]]&amp;"*")</f>
        <v>0</v>
      </c>
    </row>
    <row r="290" spans="1:13" x14ac:dyDescent="0.25">
      <c r="A290" s="8" t="s">
        <v>2723</v>
      </c>
      <c r="B290" s="8">
        <f>COUNTIF('All Papers'!D:D,"*"&amp;Table1[[#This Row],[Name]]&amp;"*")</f>
        <v>2</v>
      </c>
      <c r="C290" s="8">
        <f>COUNTIFS('All Papers'!$D:$D,"*"&amp;$A290&amp;"*",'All Papers'!$G:$G,"*"&amp;Table1[[#Headers],[Composition]]&amp;"*")</f>
        <v>0</v>
      </c>
      <c r="D290" s="8">
        <f>COUNTIFS('All Papers'!$D:$D,"*"&amp;$A290&amp;"*",'All Papers'!$G:$G,"*"&amp;Table1[[#Headers],[Discovery]]&amp;"*")</f>
        <v>0</v>
      </c>
      <c r="E290" s="8">
        <f>COUNTIFS('All Papers'!$D:$D,"*"&amp;$A290&amp;"*",'All Papers'!$G:$G,"*"&amp;Table1[[#Headers],[Selection]]&amp;"*")</f>
        <v>0</v>
      </c>
      <c r="F290" s="8">
        <f>COUNTIFS('All Papers'!$D:$D,"*"&amp;$A290&amp;"*",'All Papers'!$G:$G,"*"&amp;Table1[[#Headers],[Recommendation]]&amp;"*")</f>
        <v>0</v>
      </c>
      <c r="G290" s="8">
        <f>COUNTIFS('All Papers'!$D:$D,"*"&amp;$A290&amp;"*",'All Papers'!$G:$G,"*"&amp;Table1[[#Headers],[Resource Management-CS]]&amp;"*")</f>
        <v>0</v>
      </c>
      <c r="H290" s="8">
        <f>COUNTIFS('All Papers'!$D:$D,"*"&amp;$A290&amp;"*",'All Papers'!$G:$G,"*"&amp;Table1[[#Headers],[Resource Management-PS]]&amp;"*")</f>
        <v>1</v>
      </c>
      <c r="I290" s="8">
        <f>COUNTIFS('All Papers'!$D:$D,"*"&amp;$A290&amp;"*",'All Papers'!$G:$G,"*"&amp;Table1[[#Headers],[SLA Management]]&amp;"*")</f>
        <v>0</v>
      </c>
      <c r="J290" s="8">
        <f>COUNTIFS('All Papers'!$D:$D,"*"&amp;$A290&amp;"*",'All Papers'!$G:$G,"*"&amp;Table1[[#Headers],[Big Data]]&amp;"*")</f>
        <v>0</v>
      </c>
      <c r="K290" s="8">
        <f>COUNTIFS('All Papers'!$D:$D,"*"&amp;$A290&amp;"*",'All Papers'!$G:$G,"*"&amp;Table1[[#Headers],[Energy Management]]&amp;"*")</f>
        <v>2</v>
      </c>
      <c r="L290" s="8">
        <f>COUNTIFS('All Papers'!$D:$D,"*"&amp;$A290&amp;"*",'All Papers'!$G:$G,"*"&amp;Table1[[#Headers],[Monitoring]]&amp;"*")</f>
        <v>0</v>
      </c>
      <c r="M290" s="8">
        <f>COUNTIFS('All Papers'!$D:$D,"*"&amp;$A290&amp;"*",'All Papers'!$G:$G,"*"&amp;Table1[[#Headers],[Pricing]]&amp;"*")</f>
        <v>0</v>
      </c>
    </row>
    <row r="291" spans="1:13" x14ac:dyDescent="0.25">
      <c r="A291" s="8" t="s">
        <v>2724</v>
      </c>
      <c r="B291" s="8">
        <f>COUNTIF('All Papers'!D:D,"*"&amp;Table1[[#This Row],[Name]]&amp;"*")</f>
        <v>2</v>
      </c>
      <c r="C291" s="8">
        <f>COUNTIFS('All Papers'!$D:$D,"*"&amp;$A291&amp;"*",'All Papers'!$G:$G,"*"&amp;Table1[[#Headers],[Composition]]&amp;"*")</f>
        <v>1</v>
      </c>
      <c r="D291" s="8">
        <f>COUNTIFS('All Papers'!$D:$D,"*"&amp;$A291&amp;"*",'All Papers'!$G:$G,"*"&amp;Table1[[#Headers],[Discovery]]&amp;"*")</f>
        <v>0</v>
      </c>
      <c r="E291" s="8">
        <f>COUNTIFS('All Papers'!$D:$D,"*"&amp;$A291&amp;"*",'All Papers'!$G:$G,"*"&amp;Table1[[#Headers],[Selection]]&amp;"*")</f>
        <v>0</v>
      </c>
      <c r="F291" s="8">
        <f>COUNTIFS('All Papers'!$D:$D,"*"&amp;$A291&amp;"*",'All Papers'!$G:$G,"*"&amp;Table1[[#Headers],[Recommendation]]&amp;"*")</f>
        <v>0</v>
      </c>
      <c r="G291" s="8">
        <f>COUNTIFS('All Papers'!$D:$D,"*"&amp;$A291&amp;"*",'All Papers'!$G:$G,"*"&amp;Table1[[#Headers],[Resource Management-CS]]&amp;"*")</f>
        <v>1</v>
      </c>
      <c r="H291" s="8">
        <f>COUNTIFS('All Papers'!$D:$D,"*"&amp;$A291&amp;"*",'All Papers'!$G:$G,"*"&amp;Table1[[#Headers],[Resource Management-PS]]&amp;"*")</f>
        <v>1</v>
      </c>
      <c r="I291" s="8">
        <f>COUNTIFS('All Papers'!$D:$D,"*"&amp;$A291&amp;"*",'All Papers'!$G:$G,"*"&amp;Table1[[#Headers],[SLA Management]]&amp;"*")</f>
        <v>0</v>
      </c>
      <c r="J291" s="8">
        <f>COUNTIFS('All Papers'!$D:$D,"*"&amp;$A291&amp;"*",'All Papers'!$G:$G,"*"&amp;Table1[[#Headers],[Big Data]]&amp;"*")</f>
        <v>0</v>
      </c>
      <c r="K291" s="8">
        <f>COUNTIFS('All Papers'!$D:$D,"*"&amp;$A291&amp;"*",'All Papers'!$G:$G,"*"&amp;Table1[[#Headers],[Energy Management]]&amp;"*")</f>
        <v>0</v>
      </c>
      <c r="L291" s="8">
        <f>COUNTIFS('All Papers'!$D:$D,"*"&amp;$A291&amp;"*",'All Papers'!$G:$G,"*"&amp;Table1[[#Headers],[Monitoring]]&amp;"*")</f>
        <v>0</v>
      </c>
      <c r="M291" s="8">
        <f>COUNTIFS('All Papers'!$D:$D,"*"&amp;$A291&amp;"*",'All Papers'!$G:$G,"*"&amp;Table1[[#Headers],[Pricing]]&amp;"*")</f>
        <v>0</v>
      </c>
    </row>
    <row r="292" spans="1:13" x14ac:dyDescent="0.25">
      <c r="A292" s="8" t="s">
        <v>2725</v>
      </c>
      <c r="B292" s="8">
        <f>COUNTIF('All Papers'!D:D,"*"&amp;Table1[[#This Row],[Name]]&amp;"*")</f>
        <v>2</v>
      </c>
      <c r="C292" s="8">
        <f>COUNTIFS('All Papers'!$D:$D,"*"&amp;$A292&amp;"*",'All Papers'!$G:$G,"*"&amp;Table1[[#Headers],[Composition]]&amp;"*")</f>
        <v>1</v>
      </c>
      <c r="D292" s="8">
        <f>COUNTIFS('All Papers'!$D:$D,"*"&amp;$A292&amp;"*",'All Papers'!$G:$G,"*"&amp;Table1[[#Headers],[Discovery]]&amp;"*")</f>
        <v>0</v>
      </c>
      <c r="E292" s="8">
        <f>COUNTIFS('All Papers'!$D:$D,"*"&amp;$A292&amp;"*",'All Papers'!$G:$G,"*"&amp;Table1[[#Headers],[Selection]]&amp;"*")</f>
        <v>0</v>
      </c>
      <c r="F292" s="8">
        <f>COUNTIFS('All Papers'!$D:$D,"*"&amp;$A292&amp;"*",'All Papers'!$G:$G,"*"&amp;Table1[[#Headers],[Recommendation]]&amp;"*")</f>
        <v>0</v>
      </c>
      <c r="G292" s="8">
        <f>COUNTIFS('All Papers'!$D:$D,"*"&amp;$A292&amp;"*",'All Papers'!$G:$G,"*"&amp;Table1[[#Headers],[Resource Management-CS]]&amp;"*")</f>
        <v>1</v>
      </c>
      <c r="H292" s="8">
        <f>COUNTIFS('All Papers'!$D:$D,"*"&amp;$A292&amp;"*",'All Papers'!$G:$G,"*"&amp;Table1[[#Headers],[Resource Management-PS]]&amp;"*")</f>
        <v>1</v>
      </c>
      <c r="I292" s="8">
        <f>COUNTIFS('All Papers'!$D:$D,"*"&amp;$A292&amp;"*",'All Papers'!$G:$G,"*"&amp;Table1[[#Headers],[SLA Management]]&amp;"*")</f>
        <v>0</v>
      </c>
      <c r="J292" s="8">
        <f>COUNTIFS('All Papers'!$D:$D,"*"&amp;$A292&amp;"*",'All Papers'!$G:$G,"*"&amp;Table1[[#Headers],[Big Data]]&amp;"*")</f>
        <v>0</v>
      </c>
      <c r="K292" s="8">
        <f>COUNTIFS('All Papers'!$D:$D,"*"&amp;$A292&amp;"*",'All Papers'!$G:$G,"*"&amp;Table1[[#Headers],[Energy Management]]&amp;"*")</f>
        <v>0</v>
      </c>
      <c r="L292" s="8">
        <f>COUNTIFS('All Papers'!$D:$D,"*"&amp;$A292&amp;"*",'All Papers'!$G:$G,"*"&amp;Table1[[#Headers],[Monitoring]]&amp;"*")</f>
        <v>0</v>
      </c>
      <c r="M292" s="8">
        <f>COUNTIFS('All Papers'!$D:$D,"*"&amp;$A292&amp;"*",'All Papers'!$G:$G,"*"&amp;Table1[[#Headers],[Pricing]]&amp;"*")</f>
        <v>0</v>
      </c>
    </row>
    <row r="293" spans="1:13" x14ac:dyDescent="0.25">
      <c r="A293" s="8" t="s">
        <v>2726</v>
      </c>
      <c r="B293" s="8">
        <f>COUNTIF('All Papers'!D:D,"*"&amp;Table1[[#This Row],[Name]]&amp;"*")</f>
        <v>2</v>
      </c>
      <c r="C293" s="8">
        <f>COUNTIFS('All Papers'!$D:$D,"*"&amp;$A293&amp;"*",'All Papers'!$G:$G,"*"&amp;Table1[[#Headers],[Composition]]&amp;"*")</f>
        <v>2</v>
      </c>
      <c r="D293" s="8">
        <f>COUNTIFS('All Papers'!$D:$D,"*"&amp;$A293&amp;"*",'All Papers'!$G:$G,"*"&amp;Table1[[#Headers],[Discovery]]&amp;"*")</f>
        <v>0</v>
      </c>
      <c r="E293" s="8">
        <f>COUNTIFS('All Papers'!$D:$D,"*"&amp;$A293&amp;"*",'All Papers'!$G:$G,"*"&amp;Table1[[#Headers],[Selection]]&amp;"*")</f>
        <v>0</v>
      </c>
      <c r="F293" s="8">
        <f>COUNTIFS('All Papers'!$D:$D,"*"&amp;$A293&amp;"*",'All Papers'!$G:$G,"*"&amp;Table1[[#Headers],[Recommendation]]&amp;"*")</f>
        <v>0</v>
      </c>
      <c r="G293" s="8">
        <f>COUNTIFS('All Papers'!$D:$D,"*"&amp;$A293&amp;"*",'All Papers'!$G:$G,"*"&amp;Table1[[#Headers],[Resource Management-CS]]&amp;"*")</f>
        <v>0</v>
      </c>
      <c r="H293" s="8">
        <f>COUNTIFS('All Papers'!$D:$D,"*"&amp;$A293&amp;"*",'All Papers'!$G:$G,"*"&amp;Table1[[#Headers],[Resource Management-PS]]&amp;"*")</f>
        <v>0</v>
      </c>
      <c r="I293" s="8">
        <f>COUNTIFS('All Papers'!$D:$D,"*"&amp;$A293&amp;"*",'All Papers'!$G:$G,"*"&amp;Table1[[#Headers],[SLA Management]]&amp;"*")</f>
        <v>0</v>
      </c>
      <c r="J293" s="8">
        <f>COUNTIFS('All Papers'!$D:$D,"*"&amp;$A293&amp;"*",'All Papers'!$G:$G,"*"&amp;Table1[[#Headers],[Big Data]]&amp;"*")</f>
        <v>0</v>
      </c>
      <c r="K293" s="8">
        <f>COUNTIFS('All Papers'!$D:$D,"*"&amp;$A293&amp;"*",'All Papers'!$G:$G,"*"&amp;Table1[[#Headers],[Energy Management]]&amp;"*")</f>
        <v>0</v>
      </c>
      <c r="L293" s="8">
        <f>COUNTIFS('All Papers'!$D:$D,"*"&amp;$A293&amp;"*",'All Papers'!$G:$G,"*"&amp;Table1[[#Headers],[Monitoring]]&amp;"*")</f>
        <v>0</v>
      </c>
      <c r="M293" s="8">
        <f>COUNTIFS('All Papers'!$D:$D,"*"&amp;$A293&amp;"*",'All Papers'!$G:$G,"*"&amp;Table1[[#Headers],[Pricing]]&amp;"*")</f>
        <v>0</v>
      </c>
    </row>
    <row r="294" spans="1:13" x14ac:dyDescent="0.25">
      <c r="A294" s="8" t="s">
        <v>2727</v>
      </c>
      <c r="B294" s="8">
        <f>COUNTIF('All Papers'!D:D,"*"&amp;Table1[[#This Row],[Name]]&amp;"*")</f>
        <v>2</v>
      </c>
      <c r="C294" s="8">
        <f>COUNTIFS('All Papers'!$D:$D,"*"&amp;$A294&amp;"*",'All Papers'!$G:$G,"*"&amp;Table1[[#Headers],[Composition]]&amp;"*")</f>
        <v>0</v>
      </c>
      <c r="D294" s="8">
        <f>COUNTIFS('All Papers'!$D:$D,"*"&amp;$A294&amp;"*",'All Papers'!$G:$G,"*"&amp;Table1[[#Headers],[Discovery]]&amp;"*")</f>
        <v>0</v>
      </c>
      <c r="E294" s="8">
        <f>COUNTIFS('All Papers'!$D:$D,"*"&amp;$A294&amp;"*",'All Papers'!$G:$G,"*"&amp;Table1[[#Headers],[Selection]]&amp;"*")</f>
        <v>1</v>
      </c>
      <c r="F294" s="8">
        <f>COUNTIFS('All Papers'!$D:$D,"*"&amp;$A294&amp;"*",'All Papers'!$G:$G,"*"&amp;Table1[[#Headers],[Recommendation]]&amp;"*")</f>
        <v>0</v>
      </c>
      <c r="G294" s="8">
        <f>COUNTIFS('All Papers'!$D:$D,"*"&amp;$A294&amp;"*",'All Papers'!$G:$G,"*"&amp;Table1[[#Headers],[Resource Management-CS]]&amp;"*")</f>
        <v>1</v>
      </c>
      <c r="H294" s="8">
        <f>COUNTIFS('All Papers'!$D:$D,"*"&amp;$A294&amp;"*",'All Papers'!$G:$G,"*"&amp;Table1[[#Headers],[Resource Management-PS]]&amp;"*")</f>
        <v>0</v>
      </c>
      <c r="I294" s="8">
        <f>COUNTIFS('All Papers'!$D:$D,"*"&amp;$A294&amp;"*",'All Papers'!$G:$G,"*"&amp;Table1[[#Headers],[SLA Management]]&amp;"*")</f>
        <v>0</v>
      </c>
      <c r="J294" s="8">
        <f>COUNTIFS('All Papers'!$D:$D,"*"&amp;$A294&amp;"*",'All Papers'!$G:$G,"*"&amp;Table1[[#Headers],[Big Data]]&amp;"*")</f>
        <v>0</v>
      </c>
      <c r="K294" s="8">
        <f>COUNTIFS('All Papers'!$D:$D,"*"&amp;$A294&amp;"*",'All Papers'!$G:$G,"*"&amp;Table1[[#Headers],[Energy Management]]&amp;"*")</f>
        <v>0</v>
      </c>
      <c r="L294" s="8">
        <f>COUNTIFS('All Papers'!$D:$D,"*"&amp;$A294&amp;"*",'All Papers'!$G:$G,"*"&amp;Table1[[#Headers],[Monitoring]]&amp;"*")</f>
        <v>0</v>
      </c>
      <c r="M294" s="8">
        <f>COUNTIFS('All Papers'!$D:$D,"*"&amp;$A294&amp;"*",'All Papers'!$G:$G,"*"&amp;Table1[[#Headers],[Pricing]]&amp;"*")</f>
        <v>0</v>
      </c>
    </row>
    <row r="295" spans="1:13" x14ac:dyDescent="0.25">
      <c r="A295" s="8" t="s">
        <v>2728</v>
      </c>
      <c r="B295" s="8">
        <f>COUNTIF('All Papers'!D:D,"*"&amp;Table1[[#This Row],[Name]]&amp;"*")</f>
        <v>2</v>
      </c>
      <c r="C295" s="8">
        <f>COUNTIFS('All Papers'!$D:$D,"*"&amp;$A295&amp;"*",'All Papers'!$G:$G,"*"&amp;Table1[[#Headers],[Composition]]&amp;"*")</f>
        <v>0</v>
      </c>
      <c r="D295" s="8">
        <f>COUNTIFS('All Papers'!$D:$D,"*"&amp;$A295&amp;"*",'All Papers'!$G:$G,"*"&amp;Table1[[#Headers],[Discovery]]&amp;"*")</f>
        <v>0</v>
      </c>
      <c r="E295" s="8">
        <f>COUNTIFS('All Papers'!$D:$D,"*"&amp;$A295&amp;"*",'All Papers'!$G:$G,"*"&amp;Table1[[#Headers],[Selection]]&amp;"*")</f>
        <v>1</v>
      </c>
      <c r="F295" s="8">
        <f>COUNTIFS('All Papers'!$D:$D,"*"&amp;$A295&amp;"*",'All Papers'!$G:$G,"*"&amp;Table1[[#Headers],[Recommendation]]&amp;"*")</f>
        <v>0</v>
      </c>
      <c r="G295" s="8">
        <f>COUNTIFS('All Papers'!$D:$D,"*"&amp;$A295&amp;"*",'All Papers'!$G:$G,"*"&amp;Table1[[#Headers],[Resource Management-CS]]&amp;"*")</f>
        <v>0</v>
      </c>
      <c r="H295" s="8">
        <f>COUNTIFS('All Papers'!$D:$D,"*"&amp;$A295&amp;"*",'All Papers'!$G:$G,"*"&amp;Table1[[#Headers],[Resource Management-PS]]&amp;"*")</f>
        <v>1</v>
      </c>
      <c r="I295" s="8">
        <f>COUNTIFS('All Papers'!$D:$D,"*"&amp;$A295&amp;"*",'All Papers'!$G:$G,"*"&amp;Table1[[#Headers],[SLA Management]]&amp;"*")</f>
        <v>1</v>
      </c>
      <c r="J295" s="8">
        <f>COUNTIFS('All Papers'!$D:$D,"*"&amp;$A295&amp;"*",'All Papers'!$G:$G,"*"&amp;Table1[[#Headers],[Big Data]]&amp;"*")</f>
        <v>0</v>
      </c>
      <c r="K295" s="8">
        <f>COUNTIFS('All Papers'!$D:$D,"*"&amp;$A295&amp;"*",'All Papers'!$G:$G,"*"&amp;Table1[[#Headers],[Energy Management]]&amp;"*")</f>
        <v>0</v>
      </c>
      <c r="L295" s="8">
        <f>COUNTIFS('All Papers'!$D:$D,"*"&amp;$A295&amp;"*",'All Papers'!$G:$G,"*"&amp;Table1[[#Headers],[Monitoring]]&amp;"*")</f>
        <v>0</v>
      </c>
      <c r="M295" s="8">
        <f>COUNTIFS('All Papers'!$D:$D,"*"&amp;$A295&amp;"*",'All Papers'!$G:$G,"*"&amp;Table1[[#Headers],[Pricing]]&amp;"*")</f>
        <v>0</v>
      </c>
    </row>
    <row r="296" spans="1:13" x14ac:dyDescent="0.25">
      <c r="A296" s="8" t="s">
        <v>2729</v>
      </c>
      <c r="B296" s="8">
        <f>COUNTIF('All Papers'!D:D,"*"&amp;Table1[[#This Row],[Name]]&amp;"*")</f>
        <v>2</v>
      </c>
      <c r="C296" s="8">
        <f>COUNTIFS('All Papers'!$D:$D,"*"&amp;$A296&amp;"*",'All Papers'!$G:$G,"*"&amp;Table1[[#Headers],[Composition]]&amp;"*")</f>
        <v>0</v>
      </c>
      <c r="D296" s="8">
        <f>COUNTIFS('All Papers'!$D:$D,"*"&amp;$A296&amp;"*",'All Papers'!$G:$G,"*"&amp;Table1[[#Headers],[Discovery]]&amp;"*")</f>
        <v>0</v>
      </c>
      <c r="E296" s="8">
        <f>COUNTIFS('All Papers'!$D:$D,"*"&amp;$A296&amp;"*",'All Papers'!$G:$G,"*"&amp;Table1[[#Headers],[Selection]]&amp;"*")</f>
        <v>1</v>
      </c>
      <c r="F296" s="8">
        <f>COUNTIFS('All Papers'!$D:$D,"*"&amp;$A296&amp;"*",'All Papers'!$G:$G,"*"&amp;Table1[[#Headers],[Recommendation]]&amp;"*")</f>
        <v>0</v>
      </c>
      <c r="G296" s="8">
        <f>COUNTIFS('All Papers'!$D:$D,"*"&amp;$A296&amp;"*",'All Papers'!$G:$G,"*"&amp;Table1[[#Headers],[Resource Management-CS]]&amp;"*")</f>
        <v>0</v>
      </c>
      <c r="H296" s="8">
        <f>COUNTIFS('All Papers'!$D:$D,"*"&amp;$A296&amp;"*",'All Papers'!$G:$G,"*"&amp;Table1[[#Headers],[Resource Management-PS]]&amp;"*")</f>
        <v>1</v>
      </c>
      <c r="I296" s="8">
        <f>COUNTIFS('All Papers'!$D:$D,"*"&amp;$A296&amp;"*",'All Papers'!$G:$G,"*"&amp;Table1[[#Headers],[SLA Management]]&amp;"*")</f>
        <v>1</v>
      </c>
      <c r="J296" s="8">
        <f>COUNTIFS('All Papers'!$D:$D,"*"&amp;$A296&amp;"*",'All Papers'!$G:$G,"*"&amp;Table1[[#Headers],[Big Data]]&amp;"*")</f>
        <v>0</v>
      </c>
      <c r="K296" s="8">
        <f>COUNTIFS('All Papers'!$D:$D,"*"&amp;$A296&amp;"*",'All Papers'!$G:$G,"*"&amp;Table1[[#Headers],[Energy Management]]&amp;"*")</f>
        <v>0</v>
      </c>
      <c r="L296" s="8">
        <f>COUNTIFS('All Papers'!$D:$D,"*"&amp;$A296&amp;"*",'All Papers'!$G:$G,"*"&amp;Table1[[#Headers],[Monitoring]]&amp;"*")</f>
        <v>0</v>
      </c>
      <c r="M296" s="8">
        <f>COUNTIFS('All Papers'!$D:$D,"*"&amp;$A296&amp;"*",'All Papers'!$G:$G,"*"&amp;Table1[[#Headers],[Pricing]]&amp;"*")</f>
        <v>0</v>
      </c>
    </row>
    <row r="297" spans="1:13" x14ac:dyDescent="0.25">
      <c r="A297" s="8" t="s">
        <v>2730</v>
      </c>
      <c r="B297" s="8">
        <f>COUNTIF('All Papers'!D:D,"*"&amp;Table1[[#This Row],[Name]]&amp;"*")</f>
        <v>1</v>
      </c>
      <c r="C297" s="8">
        <f>COUNTIFS('All Papers'!$D:$D,"*"&amp;$A297&amp;"*",'All Papers'!$G:$G,"*"&amp;Table1[[#Headers],[Composition]]&amp;"*")</f>
        <v>0</v>
      </c>
      <c r="D297" s="8">
        <f>COUNTIFS('All Papers'!$D:$D,"*"&amp;$A297&amp;"*",'All Papers'!$G:$G,"*"&amp;Table1[[#Headers],[Discovery]]&amp;"*")</f>
        <v>0</v>
      </c>
      <c r="E297" s="8">
        <f>COUNTIFS('All Papers'!$D:$D,"*"&amp;$A297&amp;"*",'All Papers'!$G:$G,"*"&amp;Table1[[#Headers],[Selection]]&amp;"*")</f>
        <v>1</v>
      </c>
      <c r="F297" s="8">
        <f>COUNTIFS('All Papers'!$D:$D,"*"&amp;$A297&amp;"*",'All Papers'!$G:$G,"*"&amp;Table1[[#Headers],[Recommendation]]&amp;"*")</f>
        <v>0</v>
      </c>
      <c r="G297" s="8">
        <f>COUNTIFS('All Papers'!$D:$D,"*"&amp;$A297&amp;"*",'All Papers'!$G:$G,"*"&amp;Table1[[#Headers],[Resource Management-CS]]&amp;"*")</f>
        <v>0</v>
      </c>
      <c r="H297" s="8">
        <f>COUNTIFS('All Papers'!$D:$D,"*"&amp;$A297&amp;"*",'All Papers'!$G:$G,"*"&amp;Table1[[#Headers],[Resource Management-PS]]&amp;"*")</f>
        <v>0</v>
      </c>
      <c r="I297" s="8">
        <f>COUNTIFS('All Papers'!$D:$D,"*"&amp;$A297&amp;"*",'All Papers'!$G:$G,"*"&amp;Table1[[#Headers],[SLA Management]]&amp;"*")</f>
        <v>0</v>
      </c>
      <c r="J297" s="8">
        <f>COUNTIFS('All Papers'!$D:$D,"*"&amp;$A297&amp;"*",'All Papers'!$G:$G,"*"&amp;Table1[[#Headers],[Big Data]]&amp;"*")</f>
        <v>0</v>
      </c>
      <c r="K297" s="8">
        <f>COUNTIFS('All Papers'!$D:$D,"*"&amp;$A297&amp;"*",'All Papers'!$G:$G,"*"&amp;Table1[[#Headers],[Energy Management]]&amp;"*")</f>
        <v>0</v>
      </c>
      <c r="L297" s="8">
        <f>COUNTIFS('All Papers'!$D:$D,"*"&amp;$A297&amp;"*",'All Papers'!$G:$G,"*"&amp;Table1[[#Headers],[Monitoring]]&amp;"*")</f>
        <v>0</v>
      </c>
      <c r="M297" s="8">
        <f>COUNTIFS('All Papers'!$D:$D,"*"&amp;$A297&amp;"*",'All Papers'!$G:$G,"*"&amp;Table1[[#Headers],[Pricing]]&amp;"*")</f>
        <v>0</v>
      </c>
    </row>
    <row r="298" spans="1:13" x14ac:dyDescent="0.25">
      <c r="A298" s="8" t="s">
        <v>2731</v>
      </c>
      <c r="B298" s="8">
        <f>COUNTIF('All Papers'!D:D,"*"&amp;Table1[[#This Row],[Name]]&amp;"*")</f>
        <v>2</v>
      </c>
      <c r="C298" s="8">
        <f>COUNTIFS('All Papers'!$D:$D,"*"&amp;$A298&amp;"*",'All Papers'!$G:$G,"*"&amp;Table1[[#Headers],[Composition]]&amp;"*")</f>
        <v>0</v>
      </c>
      <c r="D298" s="8">
        <f>COUNTIFS('All Papers'!$D:$D,"*"&amp;$A298&amp;"*",'All Papers'!$G:$G,"*"&amp;Table1[[#Headers],[Discovery]]&amp;"*")</f>
        <v>0</v>
      </c>
      <c r="E298" s="8">
        <f>COUNTIFS('All Papers'!$D:$D,"*"&amp;$A298&amp;"*",'All Papers'!$G:$G,"*"&amp;Table1[[#Headers],[Selection]]&amp;"*")</f>
        <v>0</v>
      </c>
      <c r="F298" s="8">
        <f>COUNTIFS('All Papers'!$D:$D,"*"&amp;$A298&amp;"*",'All Papers'!$G:$G,"*"&amp;Table1[[#Headers],[Recommendation]]&amp;"*")</f>
        <v>0</v>
      </c>
      <c r="G298" s="8">
        <f>COUNTIFS('All Papers'!$D:$D,"*"&amp;$A298&amp;"*",'All Papers'!$G:$G,"*"&amp;Table1[[#Headers],[Resource Management-CS]]&amp;"*")</f>
        <v>2</v>
      </c>
      <c r="H298" s="8">
        <f>COUNTIFS('All Papers'!$D:$D,"*"&amp;$A298&amp;"*",'All Papers'!$G:$G,"*"&amp;Table1[[#Headers],[Resource Management-PS]]&amp;"*")</f>
        <v>0</v>
      </c>
      <c r="I298" s="8">
        <f>COUNTIFS('All Papers'!$D:$D,"*"&amp;$A298&amp;"*",'All Papers'!$G:$G,"*"&amp;Table1[[#Headers],[SLA Management]]&amp;"*")</f>
        <v>0</v>
      </c>
      <c r="J298" s="8">
        <f>COUNTIFS('All Papers'!$D:$D,"*"&amp;$A298&amp;"*",'All Papers'!$G:$G,"*"&amp;Table1[[#Headers],[Big Data]]&amp;"*")</f>
        <v>0</v>
      </c>
      <c r="K298" s="8">
        <f>COUNTIFS('All Papers'!$D:$D,"*"&amp;$A298&amp;"*",'All Papers'!$G:$G,"*"&amp;Table1[[#Headers],[Energy Management]]&amp;"*")</f>
        <v>0</v>
      </c>
      <c r="L298" s="8">
        <f>COUNTIFS('All Papers'!$D:$D,"*"&amp;$A298&amp;"*",'All Papers'!$G:$G,"*"&amp;Table1[[#Headers],[Monitoring]]&amp;"*")</f>
        <v>0</v>
      </c>
      <c r="M298" s="8">
        <f>COUNTIFS('All Papers'!$D:$D,"*"&amp;$A298&amp;"*",'All Papers'!$G:$G,"*"&amp;Table1[[#Headers],[Pricing]]&amp;"*")</f>
        <v>0</v>
      </c>
    </row>
    <row r="299" spans="1:13" x14ac:dyDescent="0.25">
      <c r="A299" s="8" t="s">
        <v>2732</v>
      </c>
      <c r="B299" s="8">
        <f>COUNTIF('All Papers'!D:D,"*"&amp;Table1[[#This Row],[Name]]&amp;"*")</f>
        <v>2</v>
      </c>
      <c r="C299" s="8">
        <f>COUNTIFS('All Papers'!$D:$D,"*"&amp;$A299&amp;"*",'All Papers'!$G:$G,"*"&amp;Table1[[#Headers],[Composition]]&amp;"*")</f>
        <v>0</v>
      </c>
      <c r="D299" s="8">
        <f>COUNTIFS('All Papers'!$D:$D,"*"&amp;$A299&amp;"*",'All Papers'!$G:$G,"*"&amp;Table1[[#Headers],[Discovery]]&amp;"*")</f>
        <v>0</v>
      </c>
      <c r="E299" s="8">
        <f>COUNTIFS('All Papers'!$D:$D,"*"&amp;$A299&amp;"*",'All Papers'!$G:$G,"*"&amp;Table1[[#Headers],[Selection]]&amp;"*")</f>
        <v>0</v>
      </c>
      <c r="F299" s="8">
        <f>COUNTIFS('All Papers'!$D:$D,"*"&amp;$A299&amp;"*",'All Papers'!$G:$G,"*"&amp;Table1[[#Headers],[Recommendation]]&amp;"*")</f>
        <v>0</v>
      </c>
      <c r="G299" s="8">
        <f>COUNTIFS('All Papers'!$D:$D,"*"&amp;$A299&amp;"*",'All Papers'!$G:$G,"*"&amp;Table1[[#Headers],[Resource Management-CS]]&amp;"*")</f>
        <v>1</v>
      </c>
      <c r="H299" s="8">
        <f>COUNTIFS('All Papers'!$D:$D,"*"&amp;$A299&amp;"*",'All Papers'!$G:$G,"*"&amp;Table1[[#Headers],[Resource Management-PS]]&amp;"*")</f>
        <v>0</v>
      </c>
      <c r="I299" s="8">
        <f>COUNTIFS('All Papers'!$D:$D,"*"&amp;$A299&amp;"*",'All Papers'!$G:$G,"*"&amp;Table1[[#Headers],[SLA Management]]&amp;"*")</f>
        <v>0</v>
      </c>
      <c r="J299" s="8">
        <f>COUNTIFS('All Papers'!$D:$D,"*"&amp;$A299&amp;"*",'All Papers'!$G:$G,"*"&amp;Table1[[#Headers],[Big Data]]&amp;"*")</f>
        <v>0</v>
      </c>
      <c r="K299" s="8">
        <f>COUNTIFS('All Papers'!$D:$D,"*"&amp;$A299&amp;"*",'All Papers'!$G:$G,"*"&amp;Table1[[#Headers],[Energy Management]]&amp;"*")</f>
        <v>0</v>
      </c>
      <c r="L299" s="8">
        <f>COUNTIFS('All Papers'!$D:$D,"*"&amp;$A299&amp;"*",'All Papers'!$G:$G,"*"&amp;Table1[[#Headers],[Monitoring]]&amp;"*")</f>
        <v>0</v>
      </c>
      <c r="M299" s="8">
        <f>COUNTIFS('All Papers'!$D:$D,"*"&amp;$A299&amp;"*",'All Papers'!$G:$G,"*"&amp;Table1[[#Headers],[Pricing]]&amp;"*")</f>
        <v>2</v>
      </c>
    </row>
    <row r="300" spans="1:13" x14ac:dyDescent="0.25">
      <c r="A300" s="8" t="s">
        <v>2733</v>
      </c>
      <c r="B300" s="8">
        <f>COUNTIF('All Papers'!D:D,"*"&amp;Table1[[#This Row],[Name]]&amp;"*")</f>
        <v>2</v>
      </c>
      <c r="C300" s="8">
        <f>COUNTIFS('All Papers'!$D:$D,"*"&amp;$A300&amp;"*",'All Papers'!$G:$G,"*"&amp;Table1[[#Headers],[Composition]]&amp;"*")</f>
        <v>0</v>
      </c>
      <c r="D300" s="8">
        <f>COUNTIFS('All Papers'!$D:$D,"*"&amp;$A300&amp;"*",'All Papers'!$G:$G,"*"&amp;Table1[[#Headers],[Discovery]]&amp;"*")</f>
        <v>0</v>
      </c>
      <c r="E300" s="8">
        <f>COUNTIFS('All Papers'!$D:$D,"*"&amp;$A300&amp;"*",'All Papers'!$G:$G,"*"&amp;Table1[[#Headers],[Selection]]&amp;"*")</f>
        <v>2</v>
      </c>
      <c r="F300" s="8">
        <f>COUNTIFS('All Papers'!$D:$D,"*"&amp;$A300&amp;"*",'All Papers'!$G:$G,"*"&amp;Table1[[#Headers],[Recommendation]]&amp;"*")</f>
        <v>0</v>
      </c>
      <c r="G300" s="8">
        <f>COUNTIFS('All Papers'!$D:$D,"*"&amp;$A300&amp;"*",'All Papers'!$G:$G,"*"&amp;Table1[[#Headers],[Resource Management-CS]]&amp;"*")</f>
        <v>0</v>
      </c>
      <c r="H300" s="8">
        <f>COUNTIFS('All Papers'!$D:$D,"*"&amp;$A300&amp;"*",'All Papers'!$G:$G,"*"&amp;Table1[[#Headers],[Resource Management-PS]]&amp;"*")</f>
        <v>0</v>
      </c>
      <c r="I300" s="8">
        <f>COUNTIFS('All Papers'!$D:$D,"*"&amp;$A300&amp;"*",'All Papers'!$G:$G,"*"&amp;Table1[[#Headers],[SLA Management]]&amp;"*")</f>
        <v>0</v>
      </c>
      <c r="J300" s="8">
        <f>COUNTIFS('All Papers'!$D:$D,"*"&amp;$A300&amp;"*",'All Papers'!$G:$G,"*"&amp;Table1[[#Headers],[Big Data]]&amp;"*")</f>
        <v>0</v>
      </c>
      <c r="K300" s="8">
        <f>COUNTIFS('All Papers'!$D:$D,"*"&amp;$A300&amp;"*",'All Papers'!$G:$G,"*"&amp;Table1[[#Headers],[Energy Management]]&amp;"*")</f>
        <v>0</v>
      </c>
      <c r="L300" s="8">
        <f>COUNTIFS('All Papers'!$D:$D,"*"&amp;$A300&amp;"*",'All Papers'!$G:$G,"*"&amp;Table1[[#Headers],[Monitoring]]&amp;"*")</f>
        <v>0</v>
      </c>
      <c r="M300" s="8">
        <f>COUNTIFS('All Papers'!$D:$D,"*"&amp;$A300&amp;"*",'All Papers'!$G:$G,"*"&amp;Table1[[#Headers],[Pricing]]&amp;"*")</f>
        <v>0</v>
      </c>
    </row>
    <row r="301" spans="1:13" x14ac:dyDescent="0.25">
      <c r="A301" s="8" t="s">
        <v>2734</v>
      </c>
      <c r="B301" s="8">
        <f>COUNTIF('All Papers'!D:D,"*"&amp;Table1[[#This Row],[Name]]&amp;"*")</f>
        <v>2</v>
      </c>
      <c r="C301" s="8">
        <f>COUNTIFS('All Papers'!$D:$D,"*"&amp;$A301&amp;"*",'All Papers'!$G:$G,"*"&amp;Table1[[#Headers],[Composition]]&amp;"*")</f>
        <v>0</v>
      </c>
      <c r="D301" s="8">
        <f>COUNTIFS('All Papers'!$D:$D,"*"&amp;$A301&amp;"*",'All Papers'!$G:$G,"*"&amp;Table1[[#Headers],[Discovery]]&amp;"*")</f>
        <v>0</v>
      </c>
      <c r="E301" s="8">
        <f>COUNTIFS('All Papers'!$D:$D,"*"&amp;$A301&amp;"*",'All Papers'!$G:$G,"*"&amp;Table1[[#Headers],[Selection]]&amp;"*")</f>
        <v>2</v>
      </c>
      <c r="F301" s="8">
        <f>COUNTIFS('All Papers'!$D:$D,"*"&amp;$A301&amp;"*",'All Papers'!$G:$G,"*"&amp;Table1[[#Headers],[Recommendation]]&amp;"*")</f>
        <v>0</v>
      </c>
      <c r="G301" s="8">
        <f>COUNTIFS('All Papers'!$D:$D,"*"&amp;$A301&amp;"*",'All Papers'!$G:$G,"*"&amp;Table1[[#Headers],[Resource Management-CS]]&amp;"*")</f>
        <v>0</v>
      </c>
      <c r="H301" s="8">
        <f>COUNTIFS('All Papers'!$D:$D,"*"&amp;$A301&amp;"*",'All Papers'!$G:$G,"*"&amp;Table1[[#Headers],[Resource Management-PS]]&amp;"*")</f>
        <v>0</v>
      </c>
      <c r="I301" s="8">
        <f>COUNTIFS('All Papers'!$D:$D,"*"&amp;$A301&amp;"*",'All Papers'!$G:$G,"*"&amp;Table1[[#Headers],[SLA Management]]&amp;"*")</f>
        <v>0</v>
      </c>
      <c r="J301" s="8">
        <f>COUNTIFS('All Papers'!$D:$D,"*"&amp;$A301&amp;"*",'All Papers'!$G:$G,"*"&amp;Table1[[#Headers],[Big Data]]&amp;"*")</f>
        <v>0</v>
      </c>
      <c r="K301" s="8">
        <f>COUNTIFS('All Papers'!$D:$D,"*"&amp;$A301&amp;"*",'All Papers'!$G:$G,"*"&amp;Table1[[#Headers],[Energy Management]]&amp;"*")</f>
        <v>0</v>
      </c>
      <c r="L301" s="8">
        <f>COUNTIFS('All Papers'!$D:$D,"*"&amp;$A301&amp;"*",'All Papers'!$G:$G,"*"&amp;Table1[[#Headers],[Monitoring]]&amp;"*")</f>
        <v>0</v>
      </c>
      <c r="M301" s="8">
        <f>COUNTIFS('All Papers'!$D:$D,"*"&amp;$A301&amp;"*",'All Papers'!$G:$G,"*"&amp;Table1[[#Headers],[Pricing]]&amp;"*")</f>
        <v>0</v>
      </c>
    </row>
    <row r="302" spans="1:13" x14ac:dyDescent="0.25">
      <c r="A302" s="8" t="s">
        <v>2735</v>
      </c>
      <c r="B302" s="8">
        <f>COUNTIF('All Papers'!D:D,"*"&amp;Table1[[#This Row],[Name]]&amp;"*")</f>
        <v>2</v>
      </c>
      <c r="C302" s="8">
        <f>COUNTIFS('All Papers'!$D:$D,"*"&amp;$A302&amp;"*",'All Papers'!$G:$G,"*"&amp;Table1[[#Headers],[Composition]]&amp;"*")</f>
        <v>0</v>
      </c>
      <c r="D302" s="8">
        <f>COUNTIFS('All Papers'!$D:$D,"*"&amp;$A302&amp;"*",'All Papers'!$G:$G,"*"&amp;Table1[[#Headers],[Discovery]]&amp;"*")</f>
        <v>1</v>
      </c>
      <c r="E302" s="8">
        <f>COUNTIFS('All Papers'!$D:$D,"*"&amp;$A302&amp;"*",'All Papers'!$G:$G,"*"&amp;Table1[[#Headers],[Selection]]&amp;"*")</f>
        <v>0</v>
      </c>
      <c r="F302" s="8">
        <f>COUNTIFS('All Papers'!$D:$D,"*"&amp;$A302&amp;"*",'All Papers'!$G:$G,"*"&amp;Table1[[#Headers],[Recommendation]]&amp;"*")</f>
        <v>0</v>
      </c>
      <c r="G302" s="8">
        <f>COUNTIFS('All Papers'!$D:$D,"*"&amp;$A302&amp;"*",'All Papers'!$G:$G,"*"&amp;Table1[[#Headers],[Resource Management-CS]]&amp;"*")</f>
        <v>0</v>
      </c>
      <c r="H302" s="8">
        <f>COUNTIFS('All Papers'!$D:$D,"*"&amp;$A302&amp;"*",'All Papers'!$G:$G,"*"&amp;Table1[[#Headers],[Resource Management-PS]]&amp;"*")</f>
        <v>2</v>
      </c>
      <c r="I302" s="8">
        <f>COUNTIFS('All Papers'!$D:$D,"*"&amp;$A302&amp;"*",'All Papers'!$G:$G,"*"&amp;Table1[[#Headers],[SLA Management]]&amp;"*")</f>
        <v>0</v>
      </c>
      <c r="J302" s="8">
        <f>COUNTIFS('All Papers'!$D:$D,"*"&amp;$A302&amp;"*",'All Papers'!$G:$G,"*"&amp;Table1[[#Headers],[Big Data]]&amp;"*")</f>
        <v>0</v>
      </c>
      <c r="K302" s="8">
        <f>COUNTIFS('All Papers'!$D:$D,"*"&amp;$A302&amp;"*",'All Papers'!$G:$G,"*"&amp;Table1[[#Headers],[Energy Management]]&amp;"*")</f>
        <v>0</v>
      </c>
      <c r="L302" s="8">
        <f>COUNTIFS('All Papers'!$D:$D,"*"&amp;$A302&amp;"*",'All Papers'!$G:$G,"*"&amp;Table1[[#Headers],[Monitoring]]&amp;"*")</f>
        <v>0</v>
      </c>
      <c r="M302" s="8">
        <f>COUNTIFS('All Papers'!$D:$D,"*"&amp;$A302&amp;"*",'All Papers'!$G:$G,"*"&amp;Table1[[#Headers],[Pricing]]&amp;"*")</f>
        <v>0</v>
      </c>
    </row>
    <row r="303" spans="1:13" x14ac:dyDescent="0.25">
      <c r="A303" s="8" t="s">
        <v>2736</v>
      </c>
      <c r="B303" s="8">
        <f>COUNTIF('All Papers'!D:D,"*"&amp;Table1[[#This Row],[Name]]&amp;"*")</f>
        <v>2</v>
      </c>
      <c r="C303" s="8">
        <f>COUNTIFS('All Papers'!$D:$D,"*"&amp;$A303&amp;"*",'All Papers'!$G:$G,"*"&amp;Table1[[#Headers],[Composition]]&amp;"*")</f>
        <v>0</v>
      </c>
      <c r="D303" s="8">
        <f>COUNTIFS('All Papers'!$D:$D,"*"&amp;$A303&amp;"*",'All Papers'!$G:$G,"*"&amp;Table1[[#Headers],[Discovery]]&amp;"*")</f>
        <v>0</v>
      </c>
      <c r="E303" s="8">
        <f>COUNTIFS('All Papers'!$D:$D,"*"&amp;$A303&amp;"*",'All Papers'!$G:$G,"*"&amp;Table1[[#Headers],[Selection]]&amp;"*")</f>
        <v>1</v>
      </c>
      <c r="F303" s="8">
        <f>COUNTIFS('All Papers'!$D:$D,"*"&amp;$A303&amp;"*",'All Papers'!$G:$G,"*"&amp;Table1[[#Headers],[Recommendation]]&amp;"*")</f>
        <v>1</v>
      </c>
      <c r="G303" s="8">
        <f>COUNTIFS('All Papers'!$D:$D,"*"&amp;$A303&amp;"*",'All Papers'!$G:$G,"*"&amp;Table1[[#Headers],[Resource Management-CS]]&amp;"*")</f>
        <v>0</v>
      </c>
      <c r="H303" s="8">
        <f>COUNTIFS('All Papers'!$D:$D,"*"&amp;$A303&amp;"*",'All Papers'!$G:$G,"*"&amp;Table1[[#Headers],[Resource Management-PS]]&amp;"*")</f>
        <v>0</v>
      </c>
      <c r="I303" s="8">
        <f>COUNTIFS('All Papers'!$D:$D,"*"&amp;$A303&amp;"*",'All Papers'!$G:$G,"*"&amp;Table1[[#Headers],[SLA Management]]&amp;"*")</f>
        <v>1</v>
      </c>
      <c r="J303" s="8">
        <f>COUNTIFS('All Papers'!$D:$D,"*"&amp;$A303&amp;"*",'All Papers'!$G:$G,"*"&amp;Table1[[#Headers],[Big Data]]&amp;"*")</f>
        <v>0</v>
      </c>
      <c r="K303" s="8">
        <f>COUNTIFS('All Papers'!$D:$D,"*"&amp;$A303&amp;"*",'All Papers'!$G:$G,"*"&amp;Table1[[#Headers],[Energy Management]]&amp;"*")</f>
        <v>0</v>
      </c>
      <c r="L303" s="8">
        <f>COUNTIFS('All Papers'!$D:$D,"*"&amp;$A303&amp;"*",'All Papers'!$G:$G,"*"&amp;Table1[[#Headers],[Monitoring]]&amp;"*")</f>
        <v>1</v>
      </c>
      <c r="M303" s="8">
        <f>COUNTIFS('All Papers'!$D:$D,"*"&amp;$A303&amp;"*",'All Papers'!$G:$G,"*"&amp;Table1[[#Headers],[Pricing]]&amp;"*")</f>
        <v>0</v>
      </c>
    </row>
    <row r="304" spans="1:13" x14ac:dyDescent="0.25">
      <c r="A304" s="8" t="s">
        <v>2737</v>
      </c>
      <c r="B304" s="8">
        <f>COUNTIF('All Papers'!D:D,"*"&amp;Table1[[#This Row],[Name]]&amp;"*")</f>
        <v>2</v>
      </c>
      <c r="C304" s="8">
        <f>COUNTIFS('All Papers'!$D:$D,"*"&amp;$A304&amp;"*",'All Papers'!$G:$G,"*"&amp;Table1[[#Headers],[Composition]]&amp;"*")</f>
        <v>0</v>
      </c>
      <c r="D304" s="8">
        <f>COUNTIFS('All Papers'!$D:$D,"*"&amp;$A304&amp;"*",'All Papers'!$G:$G,"*"&amp;Table1[[#Headers],[Discovery]]&amp;"*")</f>
        <v>0</v>
      </c>
      <c r="E304" s="8">
        <f>COUNTIFS('All Papers'!$D:$D,"*"&amp;$A304&amp;"*",'All Papers'!$G:$G,"*"&amp;Table1[[#Headers],[Selection]]&amp;"*")</f>
        <v>0</v>
      </c>
      <c r="F304" s="8">
        <f>COUNTIFS('All Papers'!$D:$D,"*"&amp;$A304&amp;"*",'All Papers'!$G:$G,"*"&amp;Table1[[#Headers],[Recommendation]]&amp;"*")</f>
        <v>0</v>
      </c>
      <c r="G304" s="8">
        <f>COUNTIFS('All Papers'!$D:$D,"*"&amp;$A304&amp;"*",'All Papers'!$G:$G,"*"&amp;Table1[[#Headers],[Resource Management-CS]]&amp;"*")</f>
        <v>0</v>
      </c>
      <c r="H304" s="8">
        <f>COUNTIFS('All Papers'!$D:$D,"*"&amp;$A304&amp;"*",'All Papers'!$G:$G,"*"&amp;Table1[[#Headers],[Resource Management-PS]]&amp;"*")</f>
        <v>2</v>
      </c>
      <c r="I304" s="8">
        <f>COUNTIFS('All Papers'!$D:$D,"*"&amp;$A304&amp;"*",'All Papers'!$G:$G,"*"&amp;Table1[[#Headers],[SLA Management]]&amp;"*")</f>
        <v>0</v>
      </c>
      <c r="J304" s="8">
        <f>COUNTIFS('All Papers'!$D:$D,"*"&amp;$A304&amp;"*",'All Papers'!$G:$G,"*"&amp;Table1[[#Headers],[Big Data]]&amp;"*")</f>
        <v>0</v>
      </c>
      <c r="K304" s="8">
        <f>COUNTIFS('All Papers'!$D:$D,"*"&amp;$A304&amp;"*",'All Papers'!$G:$G,"*"&amp;Table1[[#Headers],[Energy Management]]&amp;"*")</f>
        <v>0</v>
      </c>
      <c r="L304" s="8">
        <f>COUNTIFS('All Papers'!$D:$D,"*"&amp;$A304&amp;"*",'All Papers'!$G:$G,"*"&amp;Table1[[#Headers],[Monitoring]]&amp;"*")</f>
        <v>0</v>
      </c>
      <c r="M304" s="8">
        <f>COUNTIFS('All Papers'!$D:$D,"*"&amp;$A304&amp;"*",'All Papers'!$G:$G,"*"&amp;Table1[[#Headers],[Pricing]]&amp;"*")</f>
        <v>0</v>
      </c>
    </row>
    <row r="305" spans="1:13" x14ac:dyDescent="0.25">
      <c r="A305" s="8" t="s">
        <v>2738</v>
      </c>
      <c r="B305" s="8">
        <f>COUNTIF('All Papers'!D:D,"*"&amp;Table1[[#This Row],[Name]]&amp;"*")</f>
        <v>2</v>
      </c>
      <c r="C305" s="8">
        <f>COUNTIFS('All Papers'!$D:$D,"*"&amp;$A305&amp;"*",'All Papers'!$G:$G,"*"&amp;Table1[[#Headers],[Composition]]&amp;"*")</f>
        <v>1</v>
      </c>
      <c r="D305" s="8">
        <f>COUNTIFS('All Papers'!$D:$D,"*"&amp;$A305&amp;"*",'All Papers'!$G:$G,"*"&amp;Table1[[#Headers],[Discovery]]&amp;"*")</f>
        <v>0</v>
      </c>
      <c r="E305" s="8">
        <f>COUNTIFS('All Papers'!$D:$D,"*"&amp;$A305&amp;"*",'All Papers'!$G:$G,"*"&amp;Table1[[#Headers],[Selection]]&amp;"*")</f>
        <v>0</v>
      </c>
      <c r="F305" s="8">
        <f>COUNTIFS('All Papers'!$D:$D,"*"&amp;$A305&amp;"*",'All Papers'!$G:$G,"*"&amp;Table1[[#Headers],[Recommendation]]&amp;"*")</f>
        <v>0</v>
      </c>
      <c r="G305" s="8">
        <f>COUNTIFS('All Papers'!$D:$D,"*"&amp;$A305&amp;"*",'All Papers'!$G:$G,"*"&amp;Table1[[#Headers],[Resource Management-CS]]&amp;"*")</f>
        <v>0</v>
      </c>
      <c r="H305" s="8">
        <f>COUNTIFS('All Papers'!$D:$D,"*"&amp;$A305&amp;"*",'All Papers'!$G:$G,"*"&amp;Table1[[#Headers],[Resource Management-PS]]&amp;"*")</f>
        <v>1</v>
      </c>
      <c r="I305" s="8">
        <f>COUNTIFS('All Papers'!$D:$D,"*"&amp;$A305&amp;"*",'All Papers'!$G:$G,"*"&amp;Table1[[#Headers],[SLA Management]]&amp;"*")</f>
        <v>0</v>
      </c>
      <c r="J305" s="8">
        <f>COUNTIFS('All Papers'!$D:$D,"*"&amp;$A305&amp;"*",'All Papers'!$G:$G,"*"&amp;Table1[[#Headers],[Big Data]]&amp;"*")</f>
        <v>0</v>
      </c>
      <c r="K305" s="8">
        <f>COUNTIFS('All Papers'!$D:$D,"*"&amp;$A305&amp;"*",'All Papers'!$G:$G,"*"&amp;Table1[[#Headers],[Energy Management]]&amp;"*")</f>
        <v>0</v>
      </c>
      <c r="L305" s="8">
        <f>COUNTIFS('All Papers'!$D:$D,"*"&amp;$A305&amp;"*",'All Papers'!$G:$G,"*"&amp;Table1[[#Headers],[Monitoring]]&amp;"*")</f>
        <v>0</v>
      </c>
      <c r="M305" s="8">
        <f>COUNTIFS('All Papers'!$D:$D,"*"&amp;$A305&amp;"*",'All Papers'!$G:$G,"*"&amp;Table1[[#Headers],[Pricing]]&amp;"*")</f>
        <v>0</v>
      </c>
    </row>
    <row r="306" spans="1:13" x14ac:dyDescent="0.25">
      <c r="A306" s="8" t="s">
        <v>2739</v>
      </c>
      <c r="B306" s="8">
        <f>COUNTIF('All Papers'!D:D,"*"&amp;Table1[[#This Row],[Name]]&amp;"*")</f>
        <v>2</v>
      </c>
      <c r="C306" s="8">
        <f>COUNTIFS('All Papers'!$D:$D,"*"&amp;$A306&amp;"*",'All Papers'!$G:$G,"*"&amp;Table1[[#Headers],[Composition]]&amp;"*")</f>
        <v>0</v>
      </c>
      <c r="D306" s="8">
        <f>COUNTIFS('All Papers'!$D:$D,"*"&amp;$A306&amp;"*",'All Papers'!$G:$G,"*"&amp;Table1[[#Headers],[Discovery]]&amp;"*")</f>
        <v>0</v>
      </c>
      <c r="E306" s="8">
        <f>COUNTIFS('All Papers'!$D:$D,"*"&amp;$A306&amp;"*",'All Papers'!$G:$G,"*"&amp;Table1[[#Headers],[Selection]]&amp;"*")</f>
        <v>0</v>
      </c>
      <c r="F306" s="8">
        <f>COUNTIFS('All Papers'!$D:$D,"*"&amp;$A306&amp;"*",'All Papers'!$G:$G,"*"&amp;Table1[[#Headers],[Recommendation]]&amp;"*")</f>
        <v>0</v>
      </c>
      <c r="G306" s="8">
        <f>COUNTIFS('All Papers'!$D:$D,"*"&amp;$A306&amp;"*",'All Papers'!$G:$G,"*"&amp;Table1[[#Headers],[Resource Management-CS]]&amp;"*")</f>
        <v>1</v>
      </c>
      <c r="H306" s="8">
        <f>COUNTIFS('All Papers'!$D:$D,"*"&amp;$A306&amp;"*",'All Papers'!$G:$G,"*"&amp;Table1[[#Headers],[Resource Management-PS]]&amp;"*")</f>
        <v>1</v>
      </c>
      <c r="I306" s="8">
        <f>COUNTIFS('All Papers'!$D:$D,"*"&amp;$A306&amp;"*",'All Papers'!$G:$G,"*"&amp;Table1[[#Headers],[SLA Management]]&amp;"*")</f>
        <v>0</v>
      </c>
      <c r="J306" s="8">
        <f>COUNTIFS('All Papers'!$D:$D,"*"&amp;$A306&amp;"*",'All Papers'!$G:$G,"*"&amp;Table1[[#Headers],[Big Data]]&amp;"*")</f>
        <v>0</v>
      </c>
      <c r="K306" s="8">
        <f>COUNTIFS('All Papers'!$D:$D,"*"&amp;$A306&amp;"*",'All Papers'!$G:$G,"*"&amp;Table1[[#Headers],[Energy Management]]&amp;"*")</f>
        <v>0</v>
      </c>
      <c r="L306" s="8">
        <f>COUNTIFS('All Papers'!$D:$D,"*"&amp;$A306&amp;"*",'All Papers'!$G:$G,"*"&amp;Table1[[#Headers],[Monitoring]]&amp;"*")</f>
        <v>0</v>
      </c>
      <c r="M306" s="8">
        <f>COUNTIFS('All Papers'!$D:$D,"*"&amp;$A306&amp;"*",'All Papers'!$G:$G,"*"&amp;Table1[[#Headers],[Pricing]]&amp;"*")</f>
        <v>0</v>
      </c>
    </row>
    <row r="307" spans="1:13" x14ac:dyDescent="0.25">
      <c r="A307" s="8" t="s">
        <v>2740</v>
      </c>
      <c r="B307" s="8">
        <f>COUNTIF('All Papers'!D:D,"*"&amp;Table1[[#This Row],[Name]]&amp;"*")</f>
        <v>2</v>
      </c>
      <c r="C307" s="8">
        <f>COUNTIFS('All Papers'!$D:$D,"*"&amp;$A307&amp;"*",'All Papers'!$G:$G,"*"&amp;Table1[[#Headers],[Composition]]&amp;"*")</f>
        <v>0</v>
      </c>
      <c r="D307" s="8">
        <f>COUNTIFS('All Papers'!$D:$D,"*"&amp;$A307&amp;"*",'All Papers'!$G:$G,"*"&amp;Table1[[#Headers],[Discovery]]&amp;"*")</f>
        <v>0</v>
      </c>
      <c r="E307" s="8">
        <f>COUNTIFS('All Papers'!$D:$D,"*"&amp;$A307&amp;"*",'All Papers'!$G:$G,"*"&amp;Table1[[#Headers],[Selection]]&amp;"*")</f>
        <v>0</v>
      </c>
      <c r="F307" s="8">
        <f>COUNTIFS('All Papers'!$D:$D,"*"&amp;$A307&amp;"*",'All Papers'!$G:$G,"*"&amp;Table1[[#Headers],[Recommendation]]&amp;"*")</f>
        <v>0</v>
      </c>
      <c r="G307" s="8">
        <f>COUNTIFS('All Papers'!$D:$D,"*"&amp;$A307&amp;"*",'All Papers'!$G:$G,"*"&amp;Table1[[#Headers],[Resource Management-CS]]&amp;"*")</f>
        <v>1</v>
      </c>
      <c r="H307" s="8">
        <f>COUNTIFS('All Papers'!$D:$D,"*"&amp;$A307&amp;"*",'All Papers'!$G:$G,"*"&amp;Table1[[#Headers],[Resource Management-PS]]&amp;"*")</f>
        <v>1</v>
      </c>
      <c r="I307" s="8">
        <f>COUNTIFS('All Papers'!$D:$D,"*"&amp;$A307&amp;"*",'All Papers'!$G:$G,"*"&amp;Table1[[#Headers],[SLA Management]]&amp;"*")</f>
        <v>0</v>
      </c>
      <c r="J307" s="8">
        <f>COUNTIFS('All Papers'!$D:$D,"*"&amp;$A307&amp;"*",'All Papers'!$G:$G,"*"&amp;Table1[[#Headers],[Big Data]]&amp;"*")</f>
        <v>0</v>
      </c>
      <c r="K307" s="8">
        <f>COUNTIFS('All Papers'!$D:$D,"*"&amp;$A307&amp;"*",'All Papers'!$G:$G,"*"&amp;Table1[[#Headers],[Energy Management]]&amp;"*")</f>
        <v>0</v>
      </c>
      <c r="L307" s="8">
        <f>COUNTIFS('All Papers'!$D:$D,"*"&amp;$A307&amp;"*",'All Papers'!$G:$G,"*"&amp;Table1[[#Headers],[Monitoring]]&amp;"*")</f>
        <v>0</v>
      </c>
      <c r="M307" s="8">
        <f>COUNTIFS('All Papers'!$D:$D,"*"&amp;$A307&amp;"*",'All Papers'!$G:$G,"*"&amp;Table1[[#Headers],[Pricing]]&amp;"*")</f>
        <v>0</v>
      </c>
    </row>
    <row r="308" spans="1:13" x14ac:dyDescent="0.25">
      <c r="A308" s="8" t="s">
        <v>2741</v>
      </c>
      <c r="B308" s="8">
        <f>COUNTIF('All Papers'!D:D,"*"&amp;Table1[[#This Row],[Name]]&amp;"*")</f>
        <v>2</v>
      </c>
      <c r="C308" s="8">
        <f>COUNTIFS('All Papers'!$D:$D,"*"&amp;$A308&amp;"*",'All Papers'!$G:$G,"*"&amp;Table1[[#Headers],[Composition]]&amp;"*")</f>
        <v>0</v>
      </c>
      <c r="D308" s="8">
        <f>COUNTIFS('All Papers'!$D:$D,"*"&amp;$A308&amp;"*",'All Papers'!$G:$G,"*"&amp;Table1[[#Headers],[Discovery]]&amp;"*")</f>
        <v>0</v>
      </c>
      <c r="E308" s="8">
        <f>COUNTIFS('All Papers'!$D:$D,"*"&amp;$A308&amp;"*",'All Papers'!$G:$G,"*"&amp;Table1[[#Headers],[Selection]]&amp;"*")</f>
        <v>1</v>
      </c>
      <c r="F308" s="8">
        <f>COUNTIFS('All Papers'!$D:$D,"*"&amp;$A308&amp;"*",'All Papers'!$G:$G,"*"&amp;Table1[[#Headers],[Recommendation]]&amp;"*")</f>
        <v>0</v>
      </c>
      <c r="G308" s="8">
        <f>COUNTIFS('All Papers'!$D:$D,"*"&amp;$A308&amp;"*",'All Papers'!$G:$G,"*"&amp;Table1[[#Headers],[Resource Management-CS]]&amp;"*")</f>
        <v>0</v>
      </c>
      <c r="H308" s="8">
        <f>COUNTIFS('All Papers'!$D:$D,"*"&amp;$A308&amp;"*",'All Papers'!$G:$G,"*"&amp;Table1[[#Headers],[Resource Management-PS]]&amp;"*")</f>
        <v>0</v>
      </c>
      <c r="I308" s="8">
        <f>COUNTIFS('All Papers'!$D:$D,"*"&amp;$A308&amp;"*",'All Papers'!$G:$G,"*"&amp;Table1[[#Headers],[SLA Management]]&amp;"*")</f>
        <v>0</v>
      </c>
      <c r="J308" s="8">
        <f>COUNTIFS('All Papers'!$D:$D,"*"&amp;$A308&amp;"*",'All Papers'!$G:$G,"*"&amp;Table1[[#Headers],[Big Data]]&amp;"*")</f>
        <v>1</v>
      </c>
      <c r="K308" s="8">
        <f>COUNTIFS('All Papers'!$D:$D,"*"&amp;$A308&amp;"*",'All Papers'!$G:$G,"*"&amp;Table1[[#Headers],[Energy Management]]&amp;"*")</f>
        <v>0</v>
      </c>
      <c r="L308" s="8">
        <f>COUNTIFS('All Papers'!$D:$D,"*"&amp;$A308&amp;"*",'All Papers'!$G:$G,"*"&amp;Table1[[#Headers],[Monitoring]]&amp;"*")</f>
        <v>0</v>
      </c>
      <c r="M308" s="8">
        <f>COUNTIFS('All Papers'!$D:$D,"*"&amp;$A308&amp;"*",'All Papers'!$G:$G,"*"&amp;Table1[[#Headers],[Pricing]]&amp;"*")</f>
        <v>0</v>
      </c>
    </row>
    <row r="309" spans="1:13" x14ac:dyDescent="0.25">
      <c r="A309" s="8" t="s">
        <v>2742</v>
      </c>
      <c r="B309" s="8">
        <f>COUNTIF('All Papers'!D:D,"*"&amp;Table1[[#This Row],[Name]]&amp;"*")</f>
        <v>2</v>
      </c>
      <c r="C309" s="8">
        <f>COUNTIFS('All Papers'!$D:$D,"*"&amp;$A309&amp;"*",'All Papers'!$G:$G,"*"&amp;Table1[[#Headers],[Composition]]&amp;"*")</f>
        <v>0</v>
      </c>
      <c r="D309" s="8">
        <f>COUNTIFS('All Papers'!$D:$D,"*"&amp;$A309&amp;"*",'All Papers'!$G:$G,"*"&amp;Table1[[#Headers],[Discovery]]&amp;"*")</f>
        <v>0</v>
      </c>
      <c r="E309" s="8">
        <f>COUNTIFS('All Papers'!$D:$D,"*"&amp;$A309&amp;"*",'All Papers'!$G:$G,"*"&amp;Table1[[#Headers],[Selection]]&amp;"*")</f>
        <v>0</v>
      </c>
      <c r="F309" s="8">
        <f>COUNTIFS('All Papers'!$D:$D,"*"&amp;$A309&amp;"*",'All Papers'!$G:$G,"*"&amp;Table1[[#Headers],[Recommendation]]&amp;"*")</f>
        <v>0</v>
      </c>
      <c r="G309" s="8">
        <f>COUNTIFS('All Papers'!$D:$D,"*"&amp;$A309&amp;"*",'All Papers'!$G:$G,"*"&amp;Table1[[#Headers],[Resource Management-CS]]&amp;"*")</f>
        <v>2</v>
      </c>
      <c r="H309" s="8">
        <f>COUNTIFS('All Papers'!$D:$D,"*"&amp;$A309&amp;"*",'All Papers'!$G:$G,"*"&amp;Table1[[#Headers],[Resource Management-PS]]&amp;"*")</f>
        <v>0</v>
      </c>
      <c r="I309" s="8">
        <f>COUNTIFS('All Papers'!$D:$D,"*"&amp;$A309&amp;"*",'All Papers'!$G:$G,"*"&amp;Table1[[#Headers],[SLA Management]]&amp;"*")</f>
        <v>0</v>
      </c>
      <c r="J309" s="8">
        <f>COUNTIFS('All Papers'!$D:$D,"*"&amp;$A309&amp;"*",'All Papers'!$G:$G,"*"&amp;Table1[[#Headers],[Big Data]]&amp;"*")</f>
        <v>0</v>
      </c>
      <c r="K309" s="8">
        <f>COUNTIFS('All Papers'!$D:$D,"*"&amp;$A309&amp;"*",'All Papers'!$G:$G,"*"&amp;Table1[[#Headers],[Energy Management]]&amp;"*")</f>
        <v>0</v>
      </c>
      <c r="L309" s="8">
        <f>COUNTIFS('All Papers'!$D:$D,"*"&amp;$A309&amp;"*",'All Papers'!$G:$G,"*"&amp;Table1[[#Headers],[Monitoring]]&amp;"*")</f>
        <v>0</v>
      </c>
      <c r="M309" s="8">
        <f>COUNTIFS('All Papers'!$D:$D,"*"&amp;$A309&amp;"*",'All Papers'!$G:$G,"*"&amp;Table1[[#Headers],[Pricing]]&amp;"*")</f>
        <v>0</v>
      </c>
    </row>
    <row r="310" spans="1:13" x14ac:dyDescent="0.25">
      <c r="A310" s="8" t="s">
        <v>2743</v>
      </c>
      <c r="B310" s="8">
        <f>COUNTIF('All Papers'!D:D,"*"&amp;Table1[[#This Row],[Name]]&amp;"*")</f>
        <v>2</v>
      </c>
      <c r="C310" s="8">
        <f>COUNTIFS('All Papers'!$D:$D,"*"&amp;$A310&amp;"*",'All Papers'!$G:$G,"*"&amp;Table1[[#Headers],[Composition]]&amp;"*")</f>
        <v>0</v>
      </c>
      <c r="D310" s="8">
        <f>COUNTIFS('All Papers'!$D:$D,"*"&amp;$A310&amp;"*",'All Papers'!$G:$G,"*"&amp;Table1[[#Headers],[Discovery]]&amp;"*")</f>
        <v>0</v>
      </c>
      <c r="E310" s="8">
        <f>COUNTIFS('All Papers'!$D:$D,"*"&amp;$A310&amp;"*",'All Papers'!$G:$G,"*"&amp;Table1[[#Headers],[Selection]]&amp;"*")</f>
        <v>0</v>
      </c>
      <c r="F310" s="8">
        <f>COUNTIFS('All Papers'!$D:$D,"*"&amp;$A310&amp;"*",'All Papers'!$G:$G,"*"&amp;Table1[[#Headers],[Recommendation]]&amp;"*")</f>
        <v>0</v>
      </c>
      <c r="G310" s="8">
        <f>COUNTIFS('All Papers'!$D:$D,"*"&amp;$A310&amp;"*",'All Papers'!$G:$G,"*"&amp;Table1[[#Headers],[Resource Management-CS]]&amp;"*")</f>
        <v>2</v>
      </c>
      <c r="H310" s="8">
        <f>COUNTIFS('All Papers'!$D:$D,"*"&amp;$A310&amp;"*",'All Papers'!$G:$G,"*"&amp;Table1[[#Headers],[Resource Management-PS]]&amp;"*")</f>
        <v>0</v>
      </c>
      <c r="I310" s="8">
        <f>COUNTIFS('All Papers'!$D:$D,"*"&amp;$A310&amp;"*",'All Papers'!$G:$G,"*"&amp;Table1[[#Headers],[SLA Management]]&amp;"*")</f>
        <v>0</v>
      </c>
      <c r="J310" s="8">
        <f>COUNTIFS('All Papers'!$D:$D,"*"&amp;$A310&amp;"*",'All Papers'!$G:$G,"*"&amp;Table1[[#Headers],[Big Data]]&amp;"*")</f>
        <v>0</v>
      </c>
      <c r="K310" s="8">
        <f>COUNTIFS('All Papers'!$D:$D,"*"&amp;$A310&amp;"*",'All Papers'!$G:$G,"*"&amp;Table1[[#Headers],[Energy Management]]&amp;"*")</f>
        <v>0</v>
      </c>
      <c r="L310" s="8">
        <f>COUNTIFS('All Papers'!$D:$D,"*"&amp;$A310&amp;"*",'All Papers'!$G:$G,"*"&amp;Table1[[#Headers],[Monitoring]]&amp;"*")</f>
        <v>0</v>
      </c>
      <c r="M310" s="8">
        <f>COUNTIFS('All Papers'!$D:$D,"*"&amp;$A310&amp;"*",'All Papers'!$G:$G,"*"&amp;Table1[[#Headers],[Pricing]]&amp;"*")</f>
        <v>0</v>
      </c>
    </row>
    <row r="311" spans="1:13" x14ac:dyDescent="0.25">
      <c r="A311" s="8" t="s">
        <v>2744</v>
      </c>
      <c r="B311" s="8">
        <f>COUNTIF('All Papers'!D:D,"*"&amp;Table1[[#This Row],[Name]]&amp;"*")</f>
        <v>2</v>
      </c>
      <c r="C311" s="8">
        <f>COUNTIFS('All Papers'!$D:$D,"*"&amp;$A311&amp;"*",'All Papers'!$G:$G,"*"&amp;Table1[[#Headers],[Composition]]&amp;"*")</f>
        <v>0</v>
      </c>
      <c r="D311" s="8">
        <f>COUNTIFS('All Papers'!$D:$D,"*"&amp;$A311&amp;"*",'All Papers'!$G:$G,"*"&amp;Table1[[#Headers],[Discovery]]&amp;"*")</f>
        <v>0</v>
      </c>
      <c r="E311" s="8">
        <f>COUNTIFS('All Papers'!$D:$D,"*"&amp;$A311&amp;"*",'All Papers'!$G:$G,"*"&amp;Table1[[#Headers],[Selection]]&amp;"*")</f>
        <v>0</v>
      </c>
      <c r="F311" s="8">
        <f>COUNTIFS('All Papers'!$D:$D,"*"&amp;$A311&amp;"*",'All Papers'!$G:$G,"*"&amp;Table1[[#Headers],[Recommendation]]&amp;"*")</f>
        <v>0</v>
      </c>
      <c r="G311" s="8">
        <f>COUNTIFS('All Papers'!$D:$D,"*"&amp;$A311&amp;"*",'All Papers'!$G:$G,"*"&amp;Table1[[#Headers],[Resource Management-CS]]&amp;"*")</f>
        <v>2</v>
      </c>
      <c r="H311" s="8">
        <f>COUNTIFS('All Papers'!$D:$D,"*"&amp;$A311&amp;"*",'All Papers'!$G:$G,"*"&amp;Table1[[#Headers],[Resource Management-PS]]&amp;"*")</f>
        <v>0</v>
      </c>
      <c r="I311" s="8">
        <f>COUNTIFS('All Papers'!$D:$D,"*"&amp;$A311&amp;"*",'All Papers'!$G:$G,"*"&amp;Table1[[#Headers],[SLA Management]]&amp;"*")</f>
        <v>0</v>
      </c>
      <c r="J311" s="8">
        <f>COUNTIFS('All Papers'!$D:$D,"*"&amp;$A311&amp;"*",'All Papers'!$G:$G,"*"&amp;Table1[[#Headers],[Big Data]]&amp;"*")</f>
        <v>0</v>
      </c>
      <c r="K311" s="8">
        <f>COUNTIFS('All Papers'!$D:$D,"*"&amp;$A311&amp;"*",'All Papers'!$G:$G,"*"&amp;Table1[[#Headers],[Energy Management]]&amp;"*")</f>
        <v>0</v>
      </c>
      <c r="L311" s="8">
        <f>COUNTIFS('All Papers'!$D:$D,"*"&amp;$A311&amp;"*",'All Papers'!$G:$G,"*"&amp;Table1[[#Headers],[Monitoring]]&amp;"*")</f>
        <v>0</v>
      </c>
      <c r="M311" s="8">
        <f>COUNTIFS('All Papers'!$D:$D,"*"&amp;$A311&amp;"*",'All Papers'!$G:$G,"*"&amp;Table1[[#Headers],[Pricing]]&amp;"*")</f>
        <v>0</v>
      </c>
    </row>
    <row r="312" spans="1:13" x14ac:dyDescent="0.25">
      <c r="A312" s="8" t="s">
        <v>2745</v>
      </c>
      <c r="B312" s="8">
        <f>COUNTIF('All Papers'!D:D,"*"&amp;Table1[[#This Row],[Name]]&amp;"*")</f>
        <v>2</v>
      </c>
      <c r="C312" s="8">
        <f>COUNTIFS('All Papers'!$D:$D,"*"&amp;$A312&amp;"*",'All Papers'!$G:$G,"*"&amp;Table1[[#Headers],[Composition]]&amp;"*")</f>
        <v>0</v>
      </c>
      <c r="D312" s="8">
        <f>COUNTIFS('All Papers'!$D:$D,"*"&amp;$A312&amp;"*",'All Papers'!$G:$G,"*"&amp;Table1[[#Headers],[Discovery]]&amp;"*")</f>
        <v>0</v>
      </c>
      <c r="E312" s="8">
        <f>COUNTIFS('All Papers'!$D:$D,"*"&amp;$A312&amp;"*",'All Papers'!$G:$G,"*"&amp;Table1[[#Headers],[Selection]]&amp;"*")</f>
        <v>0</v>
      </c>
      <c r="F312" s="8">
        <f>COUNTIFS('All Papers'!$D:$D,"*"&amp;$A312&amp;"*",'All Papers'!$G:$G,"*"&amp;Table1[[#Headers],[Recommendation]]&amp;"*")</f>
        <v>0</v>
      </c>
      <c r="G312" s="8">
        <f>COUNTIFS('All Papers'!$D:$D,"*"&amp;$A312&amp;"*",'All Papers'!$G:$G,"*"&amp;Table1[[#Headers],[Resource Management-CS]]&amp;"*")</f>
        <v>1</v>
      </c>
      <c r="H312" s="8">
        <f>COUNTIFS('All Papers'!$D:$D,"*"&amp;$A312&amp;"*",'All Papers'!$G:$G,"*"&amp;Table1[[#Headers],[Resource Management-PS]]&amp;"*")</f>
        <v>0</v>
      </c>
      <c r="I312" s="8">
        <f>COUNTIFS('All Papers'!$D:$D,"*"&amp;$A312&amp;"*",'All Papers'!$G:$G,"*"&amp;Table1[[#Headers],[SLA Management]]&amp;"*")</f>
        <v>0</v>
      </c>
      <c r="J312" s="8">
        <f>COUNTIFS('All Papers'!$D:$D,"*"&amp;$A312&amp;"*",'All Papers'!$G:$G,"*"&amp;Table1[[#Headers],[Big Data]]&amp;"*")</f>
        <v>0</v>
      </c>
      <c r="K312" s="8">
        <f>COUNTIFS('All Papers'!$D:$D,"*"&amp;$A312&amp;"*",'All Papers'!$G:$G,"*"&amp;Table1[[#Headers],[Energy Management]]&amp;"*")</f>
        <v>0</v>
      </c>
      <c r="L312" s="8">
        <f>COUNTIFS('All Papers'!$D:$D,"*"&amp;$A312&amp;"*",'All Papers'!$G:$G,"*"&amp;Table1[[#Headers],[Monitoring]]&amp;"*")</f>
        <v>1</v>
      </c>
      <c r="M312" s="8">
        <f>COUNTIFS('All Papers'!$D:$D,"*"&amp;$A312&amp;"*",'All Papers'!$G:$G,"*"&amp;Table1[[#Headers],[Pricing]]&amp;"*")</f>
        <v>1</v>
      </c>
    </row>
    <row r="313" spans="1:13" x14ac:dyDescent="0.25">
      <c r="A313" s="8" t="s">
        <v>2746</v>
      </c>
      <c r="B313" s="8">
        <f>COUNTIF('All Papers'!D:D,"*"&amp;Table1[[#This Row],[Name]]&amp;"*")</f>
        <v>2</v>
      </c>
      <c r="C313" s="8">
        <f>COUNTIFS('All Papers'!$D:$D,"*"&amp;$A313&amp;"*",'All Papers'!$G:$G,"*"&amp;Table1[[#Headers],[Composition]]&amp;"*")</f>
        <v>0</v>
      </c>
      <c r="D313" s="8">
        <f>COUNTIFS('All Papers'!$D:$D,"*"&amp;$A313&amp;"*",'All Papers'!$G:$G,"*"&amp;Table1[[#Headers],[Discovery]]&amp;"*")</f>
        <v>0</v>
      </c>
      <c r="E313" s="8">
        <f>COUNTIFS('All Papers'!$D:$D,"*"&amp;$A313&amp;"*",'All Papers'!$G:$G,"*"&amp;Table1[[#Headers],[Selection]]&amp;"*")</f>
        <v>0</v>
      </c>
      <c r="F313" s="8">
        <f>COUNTIFS('All Papers'!$D:$D,"*"&amp;$A313&amp;"*",'All Papers'!$G:$G,"*"&amp;Table1[[#Headers],[Recommendation]]&amp;"*")</f>
        <v>0</v>
      </c>
      <c r="G313" s="8">
        <f>COUNTIFS('All Papers'!$D:$D,"*"&amp;$A313&amp;"*",'All Papers'!$G:$G,"*"&amp;Table1[[#Headers],[Resource Management-CS]]&amp;"*")</f>
        <v>0</v>
      </c>
      <c r="H313" s="8">
        <f>COUNTIFS('All Papers'!$D:$D,"*"&amp;$A313&amp;"*",'All Papers'!$G:$G,"*"&amp;Table1[[#Headers],[Resource Management-PS]]&amp;"*")</f>
        <v>1</v>
      </c>
      <c r="I313" s="8">
        <f>COUNTIFS('All Papers'!$D:$D,"*"&amp;$A313&amp;"*",'All Papers'!$G:$G,"*"&amp;Table1[[#Headers],[SLA Management]]&amp;"*")</f>
        <v>0</v>
      </c>
      <c r="J313" s="8">
        <f>COUNTIFS('All Papers'!$D:$D,"*"&amp;$A313&amp;"*",'All Papers'!$G:$G,"*"&amp;Table1[[#Headers],[Big Data]]&amp;"*")</f>
        <v>0</v>
      </c>
      <c r="K313" s="8">
        <f>COUNTIFS('All Papers'!$D:$D,"*"&amp;$A313&amp;"*",'All Papers'!$G:$G,"*"&amp;Table1[[#Headers],[Energy Management]]&amp;"*")</f>
        <v>0</v>
      </c>
      <c r="L313" s="8">
        <f>COUNTIFS('All Papers'!$D:$D,"*"&amp;$A313&amp;"*",'All Papers'!$G:$G,"*"&amp;Table1[[#Headers],[Monitoring]]&amp;"*")</f>
        <v>2</v>
      </c>
      <c r="M313" s="8">
        <f>COUNTIFS('All Papers'!$D:$D,"*"&amp;$A313&amp;"*",'All Papers'!$G:$G,"*"&amp;Table1[[#Headers],[Pricing]]&amp;"*")</f>
        <v>0</v>
      </c>
    </row>
    <row r="314" spans="1:13" x14ac:dyDescent="0.25">
      <c r="A314" s="8" t="s">
        <v>2747</v>
      </c>
      <c r="B314" s="8">
        <f>COUNTIF('All Papers'!D:D,"*"&amp;Table1[[#This Row],[Name]]&amp;"*")</f>
        <v>2</v>
      </c>
      <c r="C314" s="8">
        <f>COUNTIFS('All Papers'!$D:$D,"*"&amp;$A314&amp;"*",'All Papers'!$G:$G,"*"&amp;Table1[[#Headers],[Composition]]&amp;"*")</f>
        <v>0</v>
      </c>
      <c r="D314" s="8">
        <f>COUNTIFS('All Papers'!$D:$D,"*"&amp;$A314&amp;"*",'All Papers'!$G:$G,"*"&amp;Table1[[#Headers],[Discovery]]&amp;"*")</f>
        <v>0</v>
      </c>
      <c r="E314" s="8">
        <f>COUNTIFS('All Papers'!$D:$D,"*"&amp;$A314&amp;"*",'All Papers'!$G:$G,"*"&amp;Table1[[#Headers],[Selection]]&amp;"*")</f>
        <v>1</v>
      </c>
      <c r="F314" s="8">
        <f>COUNTIFS('All Papers'!$D:$D,"*"&amp;$A314&amp;"*",'All Papers'!$G:$G,"*"&amp;Table1[[#Headers],[Recommendation]]&amp;"*")</f>
        <v>0</v>
      </c>
      <c r="G314" s="8">
        <f>COUNTIFS('All Papers'!$D:$D,"*"&amp;$A314&amp;"*",'All Papers'!$G:$G,"*"&amp;Table1[[#Headers],[Resource Management-CS]]&amp;"*")</f>
        <v>0</v>
      </c>
      <c r="H314" s="8">
        <f>COUNTIFS('All Papers'!$D:$D,"*"&amp;$A314&amp;"*",'All Papers'!$G:$G,"*"&amp;Table1[[#Headers],[Resource Management-PS]]&amp;"*")</f>
        <v>0</v>
      </c>
      <c r="I314" s="8">
        <f>COUNTIFS('All Papers'!$D:$D,"*"&amp;$A314&amp;"*",'All Papers'!$G:$G,"*"&amp;Table1[[#Headers],[SLA Management]]&amp;"*")</f>
        <v>0</v>
      </c>
      <c r="J314" s="8">
        <f>COUNTIFS('All Papers'!$D:$D,"*"&amp;$A314&amp;"*",'All Papers'!$G:$G,"*"&amp;Table1[[#Headers],[Big Data]]&amp;"*")</f>
        <v>0</v>
      </c>
      <c r="K314" s="8">
        <f>COUNTIFS('All Papers'!$D:$D,"*"&amp;$A314&amp;"*",'All Papers'!$G:$G,"*"&amp;Table1[[#Headers],[Energy Management]]&amp;"*")</f>
        <v>0</v>
      </c>
      <c r="L314" s="8">
        <f>COUNTIFS('All Papers'!$D:$D,"*"&amp;$A314&amp;"*",'All Papers'!$G:$G,"*"&amp;Table1[[#Headers],[Monitoring]]&amp;"*")</f>
        <v>1</v>
      </c>
      <c r="M314" s="8">
        <f>COUNTIFS('All Papers'!$D:$D,"*"&amp;$A314&amp;"*",'All Papers'!$G:$G,"*"&amp;Table1[[#Headers],[Pricing]]&amp;"*")</f>
        <v>0</v>
      </c>
    </row>
    <row r="315" spans="1:13" x14ac:dyDescent="0.25">
      <c r="A315" s="8" t="s">
        <v>2748</v>
      </c>
      <c r="B315" s="8">
        <f>COUNTIF('All Papers'!D:D,"*"&amp;Table1[[#This Row],[Name]]&amp;"*")</f>
        <v>2</v>
      </c>
      <c r="C315" s="8">
        <f>COUNTIFS('All Papers'!$D:$D,"*"&amp;$A315&amp;"*",'All Papers'!$G:$G,"*"&amp;Table1[[#Headers],[Composition]]&amp;"*")</f>
        <v>1</v>
      </c>
      <c r="D315" s="8">
        <f>COUNTIFS('All Papers'!$D:$D,"*"&amp;$A315&amp;"*",'All Papers'!$G:$G,"*"&amp;Table1[[#Headers],[Discovery]]&amp;"*")</f>
        <v>0</v>
      </c>
      <c r="E315" s="8">
        <f>COUNTIFS('All Papers'!$D:$D,"*"&amp;$A315&amp;"*",'All Papers'!$G:$G,"*"&amp;Table1[[#Headers],[Selection]]&amp;"*")</f>
        <v>0</v>
      </c>
      <c r="F315" s="8">
        <f>COUNTIFS('All Papers'!$D:$D,"*"&amp;$A315&amp;"*",'All Papers'!$G:$G,"*"&amp;Table1[[#Headers],[Recommendation]]&amp;"*")</f>
        <v>0</v>
      </c>
      <c r="G315" s="8">
        <f>COUNTIFS('All Papers'!$D:$D,"*"&amp;$A315&amp;"*",'All Papers'!$G:$G,"*"&amp;Table1[[#Headers],[Resource Management-CS]]&amp;"*")</f>
        <v>0</v>
      </c>
      <c r="H315" s="8">
        <f>COUNTIFS('All Papers'!$D:$D,"*"&amp;$A315&amp;"*",'All Papers'!$G:$G,"*"&amp;Table1[[#Headers],[Resource Management-PS]]&amp;"*")</f>
        <v>0</v>
      </c>
      <c r="I315" s="8">
        <f>COUNTIFS('All Papers'!$D:$D,"*"&amp;$A315&amp;"*",'All Papers'!$G:$G,"*"&amp;Table1[[#Headers],[SLA Management]]&amp;"*")</f>
        <v>1</v>
      </c>
      <c r="J315" s="8">
        <f>COUNTIFS('All Papers'!$D:$D,"*"&amp;$A315&amp;"*",'All Papers'!$G:$G,"*"&amp;Table1[[#Headers],[Big Data]]&amp;"*")</f>
        <v>0</v>
      </c>
      <c r="K315" s="8">
        <f>COUNTIFS('All Papers'!$D:$D,"*"&amp;$A315&amp;"*",'All Papers'!$G:$G,"*"&amp;Table1[[#Headers],[Energy Management]]&amp;"*")</f>
        <v>0</v>
      </c>
      <c r="L315" s="8">
        <f>COUNTIFS('All Papers'!$D:$D,"*"&amp;$A315&amp;"*",'All Papers'!$G:$G,"*"&amp;Table1[[#Headers],[Monitoring]]&amp;"*")</f>
        <v>0</v>
      </c>
      <c r="M315" s="8">
        <f>COUNTIFS('All Papers'!$D:$D,"*"&amp;$A315&amp;"*",'All Papers'!$G:$G,"*"&amp;Table1[[#Headers],[Pricing]]&amp;"*")</f>
        <v>0</v>
      </c>
    </row>
    <row r="316" spans="1:13" x14ac:dyDescent="0.25">
      <c r="A316" s="8" t="s">
        <v>2749</v>
      </c>
      <c r="B316" s="8">
        <f>COUNTIF('All Papers'!D:D,"*"&amp;Table1[[#This Row],[Name]]&amp;"*")</f>
        <v>2</v>
      </c>
      <c r="C316" s="8">
        <f>COUNTIFS('All Papers'!$D:$D,"*"&amp;$A316&amp;"*",'All Papers'!$G:$G,"*"&amp;Table1[[#Headers],[Composition]]&amp;"*")</f>
        <v>1</v>
      </c>
      <c r="D316" s="8">
        <f>COUNTIFS('All Papers'!$D:$D,"*"&amp;$A316&amp;"*",'All Papers'!$G:$G,"*"&amp;Table1[[#Headers],[Discovery]]&amp;"*")</f>
        <v>0</v>
      </c>
      <c r="E316" s="8">
        <f>COUNTIFS('All Papers'!$D:$D,"*"&amp;$A316&amp;"*",'All Papers'!$G:$G,"*"&amp;Table1[[#Headers],[Selection]]&amp;"*")</f>
        <v>0</v>
      </c>
      <c r="F316" s="8">
        <f>COUNTIFS('All Papers'!$D:$D,"*"&amp;$A316&amp;"*",'All Papers'!$G:$G,"*"&amp;Table1[[#Headers],[Recommendation]]&amp;"*")</f>
        <v>0</v>
      </c>
      <c r="G316" s="8">
        <f>COUNTIFS('All Papers'!$D:$D,"*"&amp;$A316&amp;"*",'All Papers'!$G:$G,"*"&amp;Table1[[#Headers],[Resource Management-CS]]&amp;"*")</f>
        <v>0</v>
      </c>
      <c r="H316" s="8">
        <f>COUNTIFS('All Papers'!$D:$D,"*"&amp;$A316&amp;"*",'All Papers'!$G:$G,"*"&amp;Table1[[#Headers],[Resource Management-PS]]&amp;"*")</f>
        <v>0</v>
      </c>
      <c r="I316" s="8">
        <f>COUNTIFS('All Papers'!$D:$D,"*"&amp;$A316&amp;"*",'All Papers'!$G:$G,"*"&amp;Table1[[#Headers],[SLA Management]]&amp;"*")</f>
        <v>1</v>
      </c>
      <c r="J316" s="8">
        <f>COUNTIFS('All Papers'!$D:$D,"*"&amp;$A316&amp;"*",'All Papers'!$G:$G,"*"&amp;Table1[[#Headers],[Big Data]]&amp;"*")</f>
        <v>0</v>
      </c>
      <c r="K316" s="8">
        <f>COUNTIFS('All Papers'!$D:$D,"*"&amp;$A316&amp;"*",'All Papers'!$G:$G,"*"&amp;Table1[[#Headers],[Energy Management]]&amp;"*")</f>
        <v>0</v>
      </c>
      <c r="L316" s="8">
        <f>COUNTIFS('All Papers'!$D:$D,"*"&amp;$A316&amp;"*",'All Papers'!$G:$G,"*"&amp;Table1[[#Headers],[Monitoring]]&amp;"*")</f>
        <v>0</v>
      </c>
      <c r="M316" s="8">
        <f>COUNTIFS('All Papers'!$D:$D,"*"&amp;$A316&amp;"*",'All Papers'!$G:$G,"*"&amp;Table1[[#Headers],[Pricing]]&amp;"*")</f>
        <v>0</v>
      </c>
    </row>
    <row r="317" spans="1:13" x14ac:dyDescent="0.25">
      <c r="A317" s="8" t="s">
        <v>2750</v>
      </c>
      <c r="B317" s="8">
        <f>COUNTIF('All Papers'!D:D,"*"&amp;Table1[[#This Row],[Name]]&amp;"*")</f>
        <v>2</v>
      </c>
      <c r="C317" s="8">
        <f>COUNTIFS('All Papers'!$D:$D,"*"&amp;$A317&amp;"*",'All Papers'!$G:$G,"*"&amp;Table1[[#Headers],[Composition]]&amp;"*")</f>
        <v>0</v>
      </c>
      <c r="D317" s="8">
        <f>COUNTIFS('All Papers'!$D:$D,"*"&amp;$A317&amp;"*",'All Papers'!$G:$G,"*"&amp;Table1[[#Headers],[Discovery]]&amp;"*")</f>
        <v>0</v>
      </c>
      <c r="E317" s="8">
        <f>COUNTIFS('All Papers'!$D:$D,"*"&amp;$A317&amp;"*",'All Papers'!$G:$G,"*"&amp;Table1[[#Headers],[Selection]]&amp;"*")</f>
        <v>1</v>
      </c>
      <c r="F317" s="8">
        <f>COUNTIFS('All Papers'!$D:$D,"*"&amp;$A317&amp;"*",'All Papers'!$G:$G,"*"&amp;Table1[[#Headers],[Recommendation]]&amp;"*")</f>
        <v>0</v>
      </c>
      <c r="G317" s="8">
        <f>COUNTIFS('All Papers'!$D:$D,"*"&amp;$A317&amp;"*",'All Papers'!$G:$G,"*"&amp;Table1[[#Headers],[Resource Management-CS]]&amp;"*")</f>
        <v>0</v>
      </c>
      <c r="H317" s="8">
        <f>COUNTIFS('All Papers'!$D:$D,"*"&amp;$A317&amp;"*",'All Papers'!$G:$G,"*"&amp;Table1[[#Headers],[Resource Management-PS]]&amp;"*")</f>
        <v>0</v>
      </c>
      <c r="I317" s="8">
        <f>COUNTIFS('All Papers'!$D:$D,"*"&amp;$A317&amp;"*",'All Papers'!$G:$G,"*"&amp;Table1[[#Headers],[SLA Management]]&amp;"*")</f>
        <v>1</v>
      </c>
      <c r="J317" s="8">
        <f>COUNTIFS('All Papers'!$D:$D,"*"&amp;$A317&amp;"*",'All Papers'!$G:$G,"*"&amp;Table1[[#Headers],[Big Data]]&amp;"*")</f>
        <v>0</v>
      </c>
      <c r="K317" s="8">
        <f>COUNTIFS('All Papers'!$D:$D,"*"&amp;$A317&amp;"*",'All Papers'!$G:$G,"*"&amp;Table1[[#Headers],[Energy Management]]&amp;"*")</f>
        <v>0</v>
      </c>
      <c r="L317" s="8">
        <f>COUNTIFS('All Papers'!$D:$D,"*"&amp;$A317&amp;"*",'All Papers'!$G:$G,"*"&amp;Table1[[#Headers],[Monitoring]]&amp;"*")</f>
        <v>0</v>
      </c>
      <c r="M317" s="8">
        <f>COUNTIFS('All Papers'!$D:$D,"*"&amp;$A317&amp;"*",'All Papers'!$G:$G,"*"&amp;Table1[[#Headers],[Pricing]]&amp;"*")</f>
        <v>0</v>
      </c>
    </row>
    <row r="318" spans="1:13" x14ac:dyDescent="0.25">
      <c r="A318" s="8" t="s">
        <v>2751</v>
      </c>
      <c r="B318" s="8">
        <f>COUNTIF('All Papers'!D:D,"*"&amp;Table1[[#This Row],[Name]]&amp;"*")</f>
        <v>2</v>
      </c>
      <c r="C318" s="8">
        <f>COUNTIFS('All Papers'!$D:$D,"*"&amp;$A318&amp;"*",'All Papers'!$G:$G,"*"&amp;Table1[[#Headers],[Composition]]&amp;"*")</f>
        <v>2</v>
      </c>
      <c r="D318" s="8">
        <f>COUNTIFS('All Papers'!$D:$D,"*"&amp;$A318&amp;"*",'All Papers'!$G:$G,"*"&amp;Table1[[#Headers],[Discovery]]&amp;"*")</f>
        <v>0</v>
      </c>
      <c r="E318" s="8">
        <f>COUNTIFS('All Papers'!$D:$D,"*"&amp;$A318&amp;"*",'All Papers'!$G:$G,"*"&amp;Table1[[#Headers],[Selection]]&amp;"*")</f>
        <v>0</v>
      </c>
      <c r="F318" s="8">
        <f>COUNTIFS('All Papers'!$D:$D,"*"&amp;$A318&amp;"*",'All Papers'!$G:$G,"*"&amp;Table1[[#Headers],[Recommendation]]&amp;"*")</f>
        <v>0</v>
      </c>
      <c r="G318" s="8">
        <f>COUNTIFS('All Papers'!$D:$D,"*"&amp;$A318&amp;"*",'All Papers'!$G:$G,"*"&amp;Table1[[#Headers],[Resource Management-CS]]&amp;"*")</f>
        <v>0</v>
      </c>
      <c r="H318" s="8">
        <f>COUNTIFS('All Papers'!$D:$D,"*"&amp;$A318&amp;"*",'All Papers'!$G:$G,"*"&amp;Table1[[#Headers],[Resource Management-PS]]&amp;"*")</f>
        <v>0</v>
      </c>
      <c r="I318" s="8">
        <f>COUNTIFS('All Papers'!$D:$D,"*"&amp;$A318&amp;"*",'All Papers'!$G:$G,"*"&amp;Table1[[#Headers],[SLA Management]]&amp;"*")</f>
        <v>0</v>
      </c>
      <c r="J318" s="8">
        <f>COUNTIFS('All Papers'!$D:$D,"*"&amp;$A318&amp;"*",'All Papers'!$G:$G,"*"&amp;Table1[[#Headers],[Big Data]]&amp;"*")</f>
        <v>0</v>
      </c>
      <c r="K318" s="8">
        <f>COUNTIFS('All Papers'!$D:$D,"*"&amp;$A318&amp;"*",'All Papers'!$G:$G,"*"&amp;Table1[[#Headers],[Energy Management]]&amp;"*")</f>
        <v>0</v>
      </c>
      <c r="L318" s="8">
        <f>COUNTIFS('All Papers'!$D:$D,"*"&amp;$A318&amp;"*",'All Papers'!$G:$G,"*"&amp;Table1[[#Headers],[Monitoring]]&amp;"*")</f>
        <v>0</v>
      </c>
      <c r="M318" s="8">
        <f>COUNTIFS('All Papers'!$D:$D,"*"&amp;$A318&amp;"*",'All Papers'!$G:$G,"*"&amp;Table1[[#Headers],[Pricing]]&amp;"*")</f>
        <v>1</v>
      </c>
    </row>
    <row r="319" spans="1:13" x14ac:dyDescent="0.25">
      <c r="A319" s="8" t="s">
        <v>2752</v>
      </c>
      <c r="B319" s="8">
        <f>COUNTIF('All Papers'!D:D,"*"&amp;Table1[[#This Row],[Name]]&amp;"*")</f>
        <v>2</v>
      </c>
      <c r="C319" s="8">
        <f>COUNTIFS('All Papers'!$D:$D,"*"&amp;$A319&amp;"*",'All Papers'!$G:$G,"*"&amp;Table1[[#Headers],[Composition]]&amp;"*")</f>
        <v>0</v>
      </c>
      <c r="D319" s="8">
        <f>COUNTIFS('All Papers'!$D:$D,"*"&amp;$A319&amp;"*",'All Papers'!$G:$G,"*"&amp;Table1[[#Headers],[Discovery]]&amp;"*")</f>
        <v>0</v>
      </c>
      <c r="E319" s="8">
        <f>COUNTIFS('All Papers'!$D:$D,"*"&amp;$A319&amp;"*",'All Papers'!$G:$G,"*"&amp;Table1[[#Headers],[Selection]]&amp;"*")</f>
        <v>0</v>
      </c>
      <c r="F319" s="8">
        <f>COUNTIFS('All Papers'!$D:$D,"*"&amp;$A319&amp;"*",'All Papers'!$G:$G,"*"&amp;Table1[[#Headers],[Recommendation]]&amp;"*")</f>
        <v>0</v>
      </c>
      <c r="G319" s="8">
        <f>COUNTIFS('All Papers'!$D:$D,"*"&amp;$A319&amp;"*",'All Papers'!$G:$G,"*"&amp;Table1[[#Headers],[Resource Management-CS]]&amp;"*")</f>
        <v>1</v>
      </c>
      <c r="H319" s="8">
        <f>COUNTIFS('All Papers'!$D:$D,"*"&amp;$A319&amp;"*",'All Papers'!$G:$G,"*"&amp;Table1[[#Headers],[Resource Management-PS]]&amp;"*")</f>
        <v>1</v>
      </c>
      <c r="I319" s="8">
        <f>COUNTIFS('All Papers'!$D:$D,"*"&amp;$A319&amp;"*",'All Papers'!$G:$G,"*"&amp;Table1[[#Headers],[SLA Management]]&amp;"*")</f>
        <v>0</v>
      </c>
      <c r="J319" s="8">
        <f>COUNTIFS('All Papers'!$D:$D,"*"&amp;$A319&amp;"*",'All Papers'!$G:$G,"*"&amp;Table1[[#Headers],[Big Data]]&amp;"*")</f>
        <v>0</v>
      </c>
      <c r="K319" s="8">
        <f>COUNTIFS('All Papers'!$D:$D,"*"&amp;$A319&amp;"*",'All Papers'!$G:$G,"*"&amp;Table1[[#Headers],[Energy Management]]&amp;"*")</f>
        <v>0</v>
      </c>
      <c r="L319" s="8">
        <f>COUNTIFS('All Papers'!$D:$D,"*"&amp;$A319&amp;"*",'All Papers'!$G:$G,"*"&amp;Table1[[#Headers],[Monitoring]]&amp;"*")</f>
        <v>0</v>
      </c>
      <c r="M319" s="8">
        <f>COUNTIFS('All Papers'!$D:$D,"*"&amp;$A319&amp;"*",'All Papers'!$G:$G,"*"&amp;Table1[[#Headers],[Pricing]]&amp;"*")</f>
        <v>0</v>
      </c>
    </row>
    <row r="320" spans="1:13" x14ac:dyDescent="0.25">
      <c r="A320" s="8" t="s">
        <v>2753</v>
      </c>
      <c r="B320" s="8">
        <f>COUNTIF('All Papers'!D:D,"*"&amp;Table1[[#This Row],[Name]]&amp;"*")</f>
        <v>2</v>
      </c>
      <c r="C320" s="8">
        <f>COUNTIFS('All Papers'!$D:$D,"*"&amp;$A320&amp;"*",'All Papers'!$G:$G,"*"&amp;Table1[[#Headers],[Composition]]&amp;"*")</f>
        <v>0</v>
      </c>
      <c r="D320" s="8">
        <f>COUNTIFS('All Papers'!$D:$D,"*"&amp;$A320&amp;"*",'All Papers'!$G:$G,"*"&amp;Table1[[#Headers],[Discovery]]&amp;"*")</f>
        <v>0</v>
      </c>
      <c r="E320" s="8">
        <f>COUNTIFS('All Papers'!$D:$D,"*"&amp;$A320&amp;"*",'All Papers'!$G:$G,"*"&amp;Table1[[#Headers],[Selection]]&amp;"*")</f>
        <v>0</v>
      </c>
      <c r="F320" s="8">
        <f>COUNTIFS('All Papers'!$D:$D,"*"&amp;$A320&amp;"*",'All Papers'!$G:$G,"*"&amp;Table1[[#Headers],[Recommendation]]&amp;"*")</f>
        <v>0</v>
      </c>
      <c r="G320" s="8">
        <f>COUNTIFS('All Papers'!$D:$D,"*"&amp;$A320&amp;"*",'All Papers'!$G:$G,"*"&amp;Table1[[#Headers],[Resource Management-CS]]&amp;"*")</f>
        <v>1</v>
      </c>
      <c r="H320" s="8">
        <f>COUNTIFS('All Papers'!$D:$D,"*"&amp;$A320&amp;"*",'All Papers'!$G:$G,"*"&amp;Table1[[#Headers],[Resource Management-PS]]&amp;"*")</f>
        <v>1</v>
      </c>
      <c r="I320" s="8">
        <f>COUNTIFS('All Papers'!$D:$D,"*"&amp;$A320&amp;"*",'All Papers'!$G:$G,"*"&amp;Table1[[#Headers],[SLA Management]]&amp;"*")</f>
        <v>0</v>
      </c>
      <c r="J320" s="8">
        <f>COUNTIFS('All Papers'!$D:$D,"*"&amp;$A320&amp;"*",'All Papers'!$G:$G,"*"&amp;Table1[[#Headers],[Big Data]]&amp;"*")</f>
        <v>0</v>
      </c>
      <c r="K320" s="8">
        <f>COUNTIFS('All Papers'!$D:$D,"*"&amp;$A320&amp;"*",'All Papers'!$G:$G,"*"&amp;Table1[[#Headers],[Energy Management]]&amp;"*")</f>
        <v>0</v>
      </c>
      <c r="L320" s="8">
        <f>COUNTIFS('All Papers'!$D:$D,"*"&amp;$A320&amp;"*",'All Papers'!$G:$G,"*"&amp;Table1[[#Headers],[Monitoring]]&amp;"*")</f>
        <v>0</v>
      </c>
      <c r="M320" s="8">
        <f>COUNTIFS('All Papers'!$D:$D,"*"&amp;$A320&amp;"*",'All Papers'!$G:$G,"*"&amp;Table1[[#Headers],[Pricing]]&amp;"*")</f>
        <v>0</v>
      </c>
    </row>
    <row r="321" spans="1:13" x14ac:dyDescent="0.25">
      <c r="A321" s="8" t="s">
        <v>2754</v>
      </c>
      <c r="B321" s="8">
        <f>COUNTIF('All Papers'!D:D,"*"&amp;Table1[[#This Row],[Name]]&amp;"*")</f>
        <v>1</v>
      </c>
      <c r="C321" s="8">
        <f>COUNTIFS('All Papers'!$D:$D,"*"&amp;$A321&amp;"*",'All Papers'!$G:$G,"*"&amp;Table1[[#Headers],[Composition]]&amp;"*")</f>
        <v>1</v>
      </c>
      <c r="D321" s="8">
        <f>COUNTIFS('All Papers'!$D:$D,"*"&amp;$A321&amp;"*",'All Papers'!$G:$G,"*"&amp;Table1[[#Headers],[Discovery]]&amp;"*")</f>
        <v>0</v>
      </c>
      <c r="E321" s="8">
        <f>COUNTIFS('All Papers'!$D:$D,"*"&amp;$A321&amp;"*",'All Papers'!$G:$G,"*"&amp;Table1[[#Headers],[Selection]]&amp;"*")</f>
        <v>0</v>
      </c>
      <c r="F321" s="8">
        <f>COUNTIFS('All Papers'!$D:$D,"*"&amp;$A321&amp;"*",'All Papers'!$G:$G,"*"&amp;Table1[[#Headers],[Recommendation]]&amp;"*")</f>
        <v>0</v>
      </c>
      <c r="G321" s="8">
        <f>COUNTIFS('All Papers'!$D:$D,"*"&amp;$A321&amp;"*",'All Papers'!$G:$G,"*"&amp;Table1[[#Headers],[Resource Management-CS]]&amp;"*")</f>
        <v>0</v>
      </c>
      <c r="H321" s="8">
        <f>COUNTIFS('All Papers'!$D:$D,"*"&amp;$A321&amp;"*",'All Papers'!$G:$G,"*"&amp;Table1[[#Headers],[Resource Management-PS]]&amp;"*")</f>
        <v>0</v>
      </c>
      <c r="I321" s="8">
        <f>COUNTIFS('All Papers'!$D:$D,"*"&amp;$A321&amp;"*",'All Papers'!$G:$G,"*"&amp;Table1[[#Headers],[SLA Management]]&amp;"*")</f>
        <v>0</v>
      </c>
      <c r="J321" s="8">
        <f>COUNTIFS('All Papers'!$D:$D,"*"&amp;$A321&amp;"*",'All Papers'!$G:$G,"*"&amp;Table1[[#Headers],[Big Data]]&amp;"*")</f>
        <v>0</v>
      </c>
      <c r="K321" s="8">
        <f>COUNTIFS('All Papers'!$D:$D,"*"&amp;$A321&amp;"*",'All Papers'!$G:$G,"*"&amp;Table1[[#Headers],[Energy Management]]&amp;"*")</f>
        <v>0</v>
      </c>
      <c r="L321" s="8">
        <f>COUNTIFS('All Papers'!$D:$D,"*"&amp;$A321&amp;"*",'All Papers'!$G:$G,"*"&amp;Table1[[#Headers],[Monitoring]]&amp;"*")</f>
        <v>0</v>
      </c>
      <c r="M321" s="8">
        <f>COUNTIFS('All Papers'!$D:$D,"*"&amp;$A321&amp;"*",'All Papers'!$G:$G,"*"&amp;Table1[[#Headers],[Pricing]]&amp;"*")</f>
        <v>0</v>
      </c>
    </row>
    <row r="322" spans="1:13" x14ac:dyDescent="0.25">
      <c r="A322" s="8" t="s">
        <v>2755</v>
      </c>
      <c r="B322" s="8">
        <f>COUNTIF('All Papers'!D:D,"*"&amp;Table1[[#This Row],[Name]]&amp;"*")</f>
        <v>1</v>
      </c>
      <c r="C322" s="8">
        <f>COUNTIFS('All Papers'!$D:$D,"*"&amp;$A322&amp;"*",'All Papers'!$G:$G,"*"&amp;Table1[[#Headers],[Composition]]&amp;"*")</f>
        <v>1</v>
      </c>
      <c r="D322" s="8">
        <f>COUNTIFS('All Papers'!$D:$D,"*"&amp;$A322&amp;"*",'All Papers'!$G:$G,"*"&amp;Table1[[#Headers],[Discovery]]&amp;"*")</f>
        <v>0</v>
      </c>
      <c r="E322" s="8">
        <f>COUNTIFS('All Papers'!$D:$D,"*"&amp;$A322&amp;"*",'All Papers'!$G:$G,"*"&amp;Table1[[#Headers],[Selection]]&amp;"*")</f>
        <v>0</v>
      </c>
      <c r="F322" s="8">
        <f>COUNTIFS('All Papers'!$D:$D,"*"&amp;$A322&amp;"*",'All Papers'!$G:$G,"*"&amp;Table1[[#Headers],[Recommendation]]&amp;"*")</f>
        <v>0</v>
      </c>
      <c r="G322" s="8">
        <f>COUNTIFS('All Papers'!$D:$D,"*"&amp;$A322&amp;"*",'All Papers'!$G:$G,"*"&amp;Table1[[#Headers],[Resource Management-CS]]&amp;"*")</f>
        <v>0</v>
      </c>
      <c r="H322" s="8">
        <f>COUNTIFS('All Papers'!$D:$D,"*"&amp;$A322&amp;"*",'All Papers'!$G:$G,"*"&amp;Table1[[#Headers],[Resource Management-PS]]&amp;"*")</f>
        <v>0</v>
      </c>
      <c r="I322" s="8">
        <f>COUNTIFS('All Papers'!$D:$D,"*"&amp;$A322&amp;"*",'All Papers'!$G:$G,"*"&amp;Table1[[#Headers],[SLA Management]]&amp;"*")</f>
        <v>0</v>
      </c>
      <c r="J322" s="8">
        <f>COUNTIFS('All Papers'!$D:$D,"*"&amp;$A322&amp;"*",'All Papers'!$G:$G,"*"&amp;Table1[[#Headers],[Big Data]]&amp;"*")</f>
        <v>0</v>
      </c>
      <c r="K322" s="8">
        <f>COUNTIFS('All Papers'!$D:$D,"*"&amp;$A322&amp;"*",'All Papers'!$G:$G,"*"&amp;Table1[[#Headers],[Energy Management]]&amp;"*")</f>
        <v>0</v>
      </c>
      <c r="L322" s="8">
        <f>COUNTIFS('All Papers'!$D:$D,"*"&amp;$A322&amp;"*",'All Papers'!$G:$G,"*"&amp;Table1[[#Headers],[Monitoring]]&amp;"*")</f>
        <v>0</v>
      </c>
      <c r="M322" s="8">
        <f>COUNTIFS('All Papers'!$D:$D,"*"&amp;$A322&amp;"*",'All Papers'!$G:$G,"*"&amp;Table1[[#Headers],[Pricing]]&amp;"*")</f>
        <v>0</v>
      </c>
    </row>
    <row r="323" spans="1:13" x14ac:dyDescent="0.25">
      <c r="A323" s="8" t="s">
        <v>2756</v>
      </c>
      <c r="B323" s="8">
        <f>COUNTIF('All Papers'!D:D,"*"&amp;Table1[[#This Row],[Name]]&amp;"*")</f>
        <v>1</v>
      </c>
      <c r="C323" s="8">
        <f>COUNTIFS('All Papers'!$D:$D,"*"&amp;$A323&amp;"*",'All Papers'!$G:$G,"*"&amp;Table1[[#Headers],[Composition]]&amp;"*")</f>
        <v>1</v>
      </c>
      <c r="D323" s="8">
        <f>COUNTIFS('All Papers'!$D:$D,"*"&amp;$A323&amp;"*",'All Papers'!$G:$G,"*"&amp;Table1[[#Headers],[Discovery]]&amp;"*")</f>
        <v>0</v>
      </c>
      <c r="E323" s="8">
        <f>COUNTIFS('All Papers'!$D:$D,"*"&amp;$A323&amp;"*",'All Papers'!$G:$G,"*"&amp;Table1[[#Headers],[Selection]]&amp;"*")</f>
        <v>0</v>
      </c>
      <c r="F323" s="8">
        <f>COUNTIFS('All Papers'!$D:$D,"*"&amp;$A323&amp;"*",'All Papers'!$G:$G,"*"&amp;Table1[[#Headers],[Recommendation]]&amp;"*")</f>
        <v>0</v>
      </c>
      <c r="G323" s="8">
        <f>COUNTIFS('All Papers'!$D:$D,"*"&amp;$A323&amp;"*",'All Papers'!$G:$G,"*"&amp;Table1[[#Headers],[Resource Management-CS]]&amp;"*")</f>
        <v>0</v>
      </c>
      <c r="H323" s="8">
        <f>COUNTIFS('All Papers'!$D:$D,"*"&amp;$A323&amp;"*",'All Papers'!$G:$G,"*"&amp;Table1[[#Headers],[Resource Management-PS]]&amp;"*")</f>
        <v>0</v>
      </c>
      <c r="I323" s="8">
        <f>COUNTIFS('All Papers'!$D:$D,"*"&amp;$A323&amp;"*",'All Papers'!$G:$G,"*"&amp;Table1[[#Headers],[SLA Management]]&amp;"*")</f>
        <v>0</v>
      </c>
      <c r="J323" s="8">
        <f>COUNTIFS('All Papers'!$D:$D,"*"&amp;$A323&amp;"*",'All Papers'!$G:$G,"*"&amp;Table1[[#Headers],[Big Data]]&amp;"*")</f>
        <v>0</v>
      </c>
      <c r="K323" s="8">
        <f>COUNTIFS('All Papers'!$D:$D,"*"&amp;$A323&amp;"*",'All Papers'!$G:$G,"*"&amp;Table1[[#Headers],[Energy Management]]&amp;"*")</f>
        <v>0</v>
      </c>
      <c r="L323" s="8">
        <f>COUNTIFS('All Papers'!$D:$D,"*"&amp;$A323&amp;"*",'All Papers'!$G:$G,"*"&amp;Table1[[#Headers],[Monitoring]]&amp;"*")</f>
        <v>0</v>
      </c>
      <c r="M323" s="8">
        <f>COUNTIFS('All Papers'!$D:$D,"*"&amp;$A323&amp;"*",'All Papers'!$G:$G,"*"&amp;Table1[[#Headers],[Pricing]]&amp;"*")</f>
        <v>0</v>
      </c>
    </row>
    <row r="324" spans="1:13" x14ac:dyDescent="0.25">
      <c r="A324" s="8" t="s">
        <v>2757</v>
      </c>
      <c r="B324" s="8">
        <f>COUNTIF('All Papers'!D:D,"*"&amp;Table1[[#This Row],[Name]]&amp;"*")</f>
        <v>1</v>
      </c>
      <c r="C324" s="8">
        <f>COUNTIFS('All Papers'!$D:$D,"*"&amp;$A324&amp;"*",'All Papers'!$G:$G,"*"&amp;Table1[[#Headers],[Composition]]&amp;"*")</f>
        <v>1</v>
      </c>
      <c r="D324" s="8">
        <f>COUNTIFS('All Papers'!$D:$D,"*"&amp;$A324&amp;"*",'All Papers'!$G:$G,"*"&amp;Table1[[#Headers],[Discovery]]&amp;"*")</f>
        <v>0</v>
      </c>
      <c r="E324" s="8">
        <f>COUNTIFS('All Papers'!$D:$D,"*"&amp;$A324&amp;"*",'All Papers'!$G:$G,"*"&amp;Table1[[#Headers],[Selection]]&amp;"*")</f>
        <v>0</v>
      </c>
      <c r="F324" s="8">
        <f>COUNTIFS('All Papers'!$D:$D,"*"&amp;$A324&amp;"*",'All Papers'!$G:$G,"*"&amp;Table1[[#Headers],[Recommendation]]&amp;"*")</f>
        <v>0</v>
      </c>
      <c r="G324" s="8">
        <f>COUNTIFS('All Papers'!$D:$D,"*"&amp;$A324&amp;"*",'All Papers'!$G:$G,"*"&amp;Table1[[#Headers],[Resource Management-CS]]&amp;"*")</f>
        <v>0</v>
      </c>
      <c r="H324" s="8">
        <f>COUNTIFS('All Papers'!$D:$D,"*"&amp;$A324&amp;"*",'All Papers'!$G:$G,"*"&amp;Table1[[#Headers],[Resource Management-PS]]&amp;"*")</f>
        <v>0</v>
      </c>
      <c r="I324" s="8">
        <f>COUNTIFS('All Papers'!$D:$D,"*"&amp;$A324&amp;"*",'All Papers'!$G:$G,"*"&amp;Table1[[#Headers],[SLA Management]]&amp;"*")</f>
        <v>0</v>
      </c>
      <c r="J324" s="8">
        <f>COUNTIFS('All Papers'!$D:$D,"*"&amp;$A324&amp;"*",'All Papers'!$G:$G,"*"&amp;Table1[[#Headers],[Big Data]]&amp;"*")</f>
        <v>0</v>
      </c>
      <c r="K324" s="8">
        <f>COUNTIFS('All Papers'!$D:$D,"*"&amp;$A324&amp;"*",'All Papers'!$G:$G,"*"&amp;Table1[[#Headers],[Energy Management]]&amp;"*")</f>
        <v>0</v>
      </c>
      <c r="L324" s="8">
        <f>COUNTIFS('All Papers'!$D:$D,"*"&amp;$A324&amp;"*",'All Papers'!$G:$G,"*"&amp;Table1[[#Headers],[Monitoring]]&amp;"*")</f>
        <v>0</v>
      </c>
      <c r="M324" s="8">
        <f>COUNTIFS('All Papers'!$D:$D,"*"&amp;$A324&amp;"*",'All Papers'!$G:$G,"*"&amp;Table1[[#Headers],[Pricing]]&amp;"*")</f>
        <v>0</v>
      </c>
    </row>
    <row r="325" spans="1:13" x14ac:dyDescent="0.25">
      <c r="A325" s="8" t="s">
        <v>2758</v>
      </c>
      <c r="B325" s="8">
        <f>COUNTIF('All Papers'!D:D,"*"&amp;Table1[[#This Row],[Name]]&amp;"*")</f>
        <v>1</v>
      </c>
      <c r="C325" s="8">
        <f>COUNTIFS('All Papers'!$D:$D,"*"&amp;$A325&amp;"*",'All Papers'!$G:$G,"*"&amp;Table1[[#Headers],[Composition]]&amp;"*")</f>
        <v>1</v>
      </c>
      <c r="D325" s="8">
        <f>COUNTIFS('All Papers'!$D:$D,"*"&amp;$A325&amp;"*",'All Papers'!$G:$G,"*"&amp;Table1[[#Headers],[Discovery]]&amp;"*")</f>
        <v>0</v>
      </c>
      <c r="E325" s="8">
        <f>COUNTIFS('All Papers'!$D:$D,"*"&amp;$A325&amp;"*",'All Papers'!$G:$G,"*"&amp;Table1[[#Headers],[Selection]]&amp;"*")</f>
        <v>0</v>
      </c>
      <c r="F325" s="8">
        <f>COUNTIFS('All Papers'!$D:$D,"*"&amp;$A325&amp;"*",'All Papers'!$G:$G,"*"&amp;Table1[[#Headers],[Recommendation]]&amp;"*")</f>
        <v>0</v>
      </c>
      <c r="G325" s="8">
        <f>COUNTIFS('All Papers'!$D:$D,"*"&amp;$A325&amp;"*",'All Papers'!$G:$G,"*"&amp;Table1[[#Headers],[Resource Management-CS]]&amp;"*")</f>
        <v>0</v>
      </c>
      <c r="H325" s="8">
        <f>COUNTIFS('All Papers'!$D:$D,"*"&amp;$A325&amp;"*",'All Papers'!$G:$G,"*"&amp;Table1[[#Headers],[Resource Management-PS]]&amp;"*")</f>
        <v>0</v>
      </c>
      <c r="I325" s="8">
        <f>COUNTIFS('All Papers'!$D:$D,"*"&amp;$A325&amp;"*",'All Papers'!$G:$G,"*"&amp;Table1[[#Headers],[SLA Management]]&amp;"*")</f>
        <v>0</v>
      </c>
      <c r="J325" s="8">
        <f>COUNTIFS('All Papers'!$D:$D,"*"&amp;$A325&amp;"*",'All Papers'!$G:$G,"*"&amp;Table1[[#Headers],[Big Data]]&amp;"*")</f>
        <v>0</v>
      </c>
      <c r="K325" s="8">
        <f>COUNTIFS('All Papers'!$D:$D,"*"&amp;$A325&amp;"*",'All Papers'!$G:$G,"*"&amp;Table1[[#Headers],[Energy Management]]&amp;"*")</f>
        <v>0</v>
      </c>
      <c r="L325" s="8">
        <f>COUNTIFS('All Papers'!$D:$D,"*"&amp;$A325&amp;"*",'All Papers'!$G:$G,"*"&amp;Table1[[#Headers],[Monitoring]]&amp;"*")</f>
        <v>0</v>
      </c>
      <c r="M325" s="8">
        <f>COUNTIFS('All Papers'!$D:$D,"*"&amp;$A325&amp;"*",'All Papers'!$G:$G,"*"&amp;Table1[[#Headers],[Pricing]]&amp;"*")</f>
        <v>0</v>
      </c>
    </row>
    <row r="326" spans="1:13" x14ac:dyDescent="0.25">
      <c r="A326" s="8" t="s">
        <v>2759</v>
      </c>
      <c r="B326" s="8">
        <f>COUNTIF('All Papers'!D:D,"*"&amp;Table1[[#This Row],[Name]]&amp;"*")</f>
        <v>1</v>
      </c>
      <c r="C326" s="8">
        <f>COUNTIFS('All Papers'!$D:$D,"*"&amp;$A326&amp;"*",'All Papers'!$G:$G,"*"&amp;Table1[[#Headers],[Composition]]&amp;"*")</f>
        <v>0</v>
      </c>
      <c r="D326" s="8">
        <f>COUNTIFS('All Papers'!$D:$D,"*"&amp;$A326&amp;"*",'All Papers'!$G:$G,"*"&amp;Table1[[#Headers],[Discovery]]&amp;"*")</f>
        <v>0</v>
      </c>
      <c r="E326" s="8">
        <f>COUNTIFS('All Papers'!$D:$D,"*"&amp;$A326&amp;"*",'All Papers'!$G:$G,"*"&amp;Table1[[#Headers],[Selection]]&amp;"*")</f>
        <v>0</v>
      </c>
      <c r="F326" s="8">
        <f>COUNTIFS('All Papers'!$D:$D,"*"&amp;$A326&amp;"*",'All Papers'!$G:$G,"*"&amp;Table1[[#Headers],[Recommendation]]&amp;"*")</f>
        <v>0</v>
      </c>
      <c r="G326" s="8">
        <f>COUNTIFS('All Papers'!$D:$D,"*"&amp;$A326&amp;"*",'All Papers'!$G:$G,"*"&amp;Table1[[#Headers],[Resource Management-CS]]&amp;"*")</f>
        <v>1</v>
      </c>
      <c r="H326" s="8">
        <f>COUNTIFS('All Papers'!$D:$D,"*"&amp;$A326&amp;"*",'All Papers'!$G:$G,"*"&amp;Table1[[#Headers],[Resource Management-PS]]&amp;"*")</f>
        <v>0</v>
      </c>
      <c r="I326" s="8">
        <f>COUNTIFS('All Papers'!$D:$D,"*"&amp;$A326&amp;"*",'All Papers'!$G:$G,"*"&amp;Table1[[#Headers],[SLA Management]]&amp;"*")</f>
        <v>0</v>
      </c>
      <c r="J326" s="8">
        <f>COUNTIFS('All Papers'!$D:$D,"*"&amp;$A326&amp;"*",'All Papers'!$G:$G,"*"&amp;Table1[[#Headers],[Big Data]]&amp;"*")</f>
        <v>0</v>
      </c>
      <c r="K326" s="8">
        <f>COUNTIFS('All Papers'!$D:$D,"*"&amp;$A326&amp;"*",'All Papers'!$G:$G,"*"&amp;Table1[[#Headers],[Energy Management]]&amp;"*")</f>
        <v>0</v>
      </c>
      <c r="L326" s="8">
        <f>COUNTIFS('All Papers'!$D:$D,"*"&amp;$A326&amp;"*",'All Papers'!$G:$G,"*"&amp;Table1[[#Headers],[Monitoring]]&amp;"*")</f>
        <v>0</v>
      </c>
      <c r="M326" s="8">
        <f>COUNTIFS('All Papers'!$D:$D,"*"&amp;$A326&amp;"*",'All Papers'!$G:$G,"*"&amp;Table1[[#Headers],[Pricing]]&amp;"*")</f>
        <v>0</v>
      </c>
    </row>
    <row r="327" spans="1:13" x14ac:dyDescent="0.25">
      <c r="A327" s="8" t="s">
        <v>2760</v>
      </c>
      <c r="B327" s="8">
        <f>COUNTIF('All Papers'!D:D,"*"&amp;Table1[[#This Row],[Name]]&amp;"*")</f>
        <v>1</v>
      </c>
      <c r="C327" s="8">
        <f>COUNTIFS('All Papers'!$D:$D,"*"&amp;$A327&amp;"*",'All Papers'!$G:$G,"*"&amp;Table1[[#Headers],[Composition]]&amp;"*")</f>
        <v>0</v>
      </c>
      <c r="D327" s="8">
        <f>COUNTIFS('All Papers'!$D:$D,"*"&amp;$A327&amp;"*",'All Papers'!$G:$G,"*"&amp;Table1[[#Headers],[Discovery]]&amp;"*")</f>
        <v>0</v>
      </c>
      <c r="E327" s="8">
        <f>COUNTIFS('All Papers'!$D:$D,"*"&amp;$A327&amp;"*",'All Papers'!$G:$G,"*"&amp;Table1[[#Headers],[Selection]]&amp;"*")</f>
        <v>0</v>
      </c>
      <c r="F327" s="8">
        <f>COUNTIFS('All Papers'!$D:$D,"*"&amp;$A327&amp;"*",'All Papers'!$G:$G,"*"&amp;Table1[[#Headers],[Recommendation]]&amp;"*")</f>
        <v>0</v>
      </c>
      <c r="G327" s="8">
        <f>COUNTIFS('All Papers'!$D:$D,"*"&amp;$A327&amp;"*",'All Papers'!$G:$G,"*"&amp;Table1[[#Headers],[Resource Management-CS]]&amp;"*")</f>
        <v>1</v>
      </c>
      <c r="H327" s="8">
        <f>COUNTIFS('All Papers'!$D:$D,"*"&amp;$A327&amp;"*",'All Papers'!$G:$G,"*"&amp;Table1[[#Headers],[Resource Management-PS]]&amp;"*")</f>
        <v>0</v>
      </c>
      <c r="I327" s="8">
        <f>COUNTIFS('All Papers'!$D:$D,"*"&amp;$A327&amp;"*",'All Papers'!$G:$G,"*"&amp;Table1[[#Headers],[SLA Management]]&amp;"*")</f>
        <v>0</v>
      </c>
      <c r="J327" s="8">
        <f>COUNTIFS('All Papers'!$D:$D,"*"&amp;$A327&amp;"*",'All Papers'!$G:$G,"*"&amp;Table1[[#Headers],[Big Data]]&amp;"*")</f>
        <v>0</v>
      </c>
      <c r="K327" s="8">
        <f>COUNTIFS('All Papers'!$D:$D,"*"&amp;$A327&amp;"*",'All Papers'!$G:$G,"*"&amp;Table1[[#Headers],[Energy Management]]&amp;"*")</f>
        <v>0</v>
      </c>
      <c r="L327" s="8">
        <f>COUNTIFS('All Papers'!$D:$D,"*"&amp;$A327&amp;"*",'All Papers'!$G:$G,"*"&amp;Table1[[#Headers],[Monitoring]]&amp;"*")</f>
        <v>0</v>
      </c>
      <c r="M327" s="8">
        <f>COUNTIFS('All Papers'!$D:$D,"*"&amp;$A327&amp;"*",'All Papers'!$G:$G,"*"&amp;Table1[[#Headers],[Pricing]]&amp;"*")</f>
        <v>0</v>
      </c>
    </row>
    <row r="328" spans="1:13" x14ac:dyDescent="0.25">
      <c r="A328" s="8" t="s">
        <v>2761</v>
      </c>
      <c r="B328" s="8">
        <f>COUNTIF('All Papers'!D:D,"*"&amp;Table1[[#This Row],[Name]]&amp;"*")</f>
        <v>1</v>
      </c>
      <c r="C328" s="8">
        <f>COUNTIFS('All Papers'!$D:$D,"*"&amp;$A328&amp;"*",'All Papers'!$G:$G,"*"&amp;Table1[[#Headers],[Composition]]&amp;"*")</f>
        <v>0</v>
      </c>
      <c r="D328" s="8">
        <f>COUNTIFS('All Papers'!$D:$D,"*"&amp;$A328&amp;"*",'All Papers'!$G:$G,"*"&amp;Table1[[#Headers],[Discovery]]&amp;"*")</f>
        <v>0</v>
      </c>
      <c r="E328" s="8">
        <f>COUNTIFS('All Papers'!$D:$D,"*"&amp;$A328&amp;"*",'All Papers'!$G:$G,"*"&amp;Table1[[#Headers],[Selection]]&amp;"*")</f>
        <v>0</v>
      </c>
      <c r="F328" s="8">
        <f>COUNTIFS('All Papers'!$D:$D,"*"&amp;$A328&amp;"*",'All Papers'!$G:$G,"*"&amp;Table1[[#Headers],[Recommendation]]&amp;"*")</f>
        <v>0</v>
      </c>
      <c r="G328" s="8">
        <f>COUNTIFS('All Papers'!$D:$D,"*"&amp;$A328&amp;"*",'All Papers'!$G:$G,"*"&amp;Table1[[#Headers],[Resource Management-CS]]&amp;"*")</f>
        <v>1</v>
      </c>
      <c r="H328" s="8">
        <f>COUNTIFS('All Papers'!$D:$D,"*"&amp;$A328&amp;"*",'All Papers'!$G:$G,"*"&amp;Table1[[#Headers],[Resource Management-PS]]&amp;"*")</f>
        <v>0</v>
      </c>
      <c r="I328" s="8">
        <f>COUNTIFS('All Papers'!$D:$D,"*"&amp;$A328&amp;"*",'All Papers'!$G:$G,"*"&amp;Table1[[#Headers],[SLA Management]]&amp;"*")</f>
        <v>0</v>
      </c>
      <c r="J328" s="8">
        <f>COUNTIFS('All Papers'!$D:$D,"*"&amp;$A328&amp;"*",'All Papers'!$G:$G,"*"&amp;Table1[[#Headers],[Big Data]]&amp;"*")</f>
        <v>0</v>
      </c>
      <c r="K328" s="8">
        <f>COUNTIFS('All Papers'!$D:$D,"*"&amp;$A328&amp;"*",'All Papers'!$G:$G,"*"&amp;Table1[[#Headers],[Energy Management]]&amp;"*")</f>
        <v>0</v>
      </c>
      <c r="L328" s="8">
        <f>COUNTIFS('All Papers'!$D:$D,"*"&amp;$A328&amp;"*",'All Papers'!$G:$G,"*"&amp;Table1[[#Headers],[Monitoring]]&amp;"*")</f>
        <v>0</v>
      </c>
      <c r="M328" s="8">
        <f>COUNTIFS('All Papers'!$D:$D,"*"&amp;$A328&amp;"*",'All Papers'!$G:$G,"*"&amp;Table1[[#Headers],[Pricing]]&amp;"*")</f>
        <v>0</v>
      </c>
    </row>
    <row r="329" spans="1:13" x14ac:dyDescent="0.25">
      <c r="A329" s="8" t="s">
        <v>2762</v>
      </c>
      <c r="B329" s="8">
        <f>COUNTIF('All Papers'!D:D,"*"&amp;Table1[[#This Row],[Name]]&amp;"*")</f>
        <v>1</v>
      </c>
      <c r="C329" s="8">
        <f>COUNTIFS('All Papers'!$D:$D,"*"&amp;$A329&amp;"*",'All Papers'!$G:$G,"*"&amp;Table1[[#Headers],[Composition]]&amp;"*")</f>
        <v>0</v>
      </c>
      <c r="D329" s="8">
        <f>COUNTIFS('All Papers'!$D:$D,"*"&amp;$A329&amp;"*",'All Papers'!$G:$G,"*"&amp;Table1[[#Headers],[Discovery]]&amp;"*")</f>
        <v>0</v>
      </c>
      <c r="E329" s="8">
        <f>COUNTIFS('All Papers'!$D:$D,"*"&amp;$A329&amp;"*",'All Papers'!$G:$G,"*"&amp;Table1[[#Headers],[Selection]]&amp;"*")</f>
        <v>0</v>
      </c>
      <c r="F329" s="8">
        <f>COUNTIFS('All Papers'!$D:$D,"*"&amp;$A329&amp;"*",'All Papers'!$G:$G,"*"&amp;Table1[[#Headers],[Recommendation]]&amp;"*")</f>
        <v>0</v>
      </c>
      <c r="G329" s="8">
        <f>COUNTIFS('All Papers'!$D:$D,"*"&amp;$A329&amp;"*",'All Papers'!$G:$G,"*"&amp;Table1[[#Headers],[Resource Management-CS]]&amp;"*")</f>
        <v>1</v>
      </c>
      <c r="H329" s="8">
        <f>COUNTIFS('All Papers'!$D:$D,"*"&amp;$A329&amp;"*",'All Papers'!$G:$G,"*"&amp;Table1[[#Headers],[Resource Management-PS]]&amp;"*")</f>
        <v>0</v>
      </c>
      <c r="I329" s="8">
        <f>COUNTIFS('All Papers'!$D:$D,"*"&amp;$A329&amp;"*",'All Papers'!$G:$G,"*"&amp;Table1[[#Headers],[SLA Management]]&amp;"*")</f>
        <v>0</v>
      </c>
      <c r="J329" s="8">
        <f>COUNTIFS('All Papers'!$D:$D,"*"&amp;$A329&amp;"*",'All Papers'!$G:$G,"*"&amp;Table1[[#Headers],[Big Data]]&amp;"*")</f>
        <v>0</v>
      </c>
      <c r="K329" s="8">
        <f>COUNTIFS('All Papers'!$D:$D,"*"&amp;$A329&amp;"*",'All Papers'!$G:$G,"*"&amp;Table1[[#Headers],[Energy Management]]&amp;"*")</f>
        <v>0</v>
      </c>
      <c r="L329" s="8">
        <f>COUNTIFS('All Papers'!$D:$D,"*"&amp;$A329&amp;"*",'All Papers'!$G:$G,"*"&amp;Table1[[#Headers],[Monitoring]]&amp;"*")</f>
        <v>0</v>
      </c>
      <c r="M329" s="8">
        <f>COUNTIFS('All Papers'!$D:$D,"*"&amp;$A329&amp;"*",'All Papers'!$G:$G,"*"&amp;Table1[[#Headers],[Pricing]]&amp;"*")</f>
        <v>0</v>
      </c>
    </row>
    <row r="330" spans="1:13" x14ac:dyDescent="0.25">
      <c r="A330" s="8" t="s">
        <v>2763</v>
      </c>
      <c r="B330" s="8">
        <f>COUNTIF('All Papers'!D:D,"*"&amp;Table1[[#This Row],[Name]]&amp;"*")</f>
        <v>1</v>
      </c>
      <c r="C330" s="8">
        <f>COUNTIFS('All Papers'!$D:$D,"*"&amp;$A330&amp;"*",'All Papers'!$G:$G,"*"&amp;Table1[[#Headers],[Composition]]&amp;"*")</f>
        <v>0</v>
      </c>
      <c r="D330" s="8">
        <f>COUNTIFS('All Papers'!$D:$D,"*"&amp;$A330&amp;"*",'All Papers'!$G:$G,"*"&amp;Table1[[#Headers],[Discovery]]&amp;"*")</f>
        <v>0</v>
      </c>
      <c r="E330" s="8">
        <f>COUNTIFS('All Papers'!$D:$D,"*"&amp;$A330&amp;"*",'All Papers'!$G:$G,"*"&amp;Table1[[#Headers],[Selection]]&amp;"*")</f>
        <v>0</v>
      </c>
      <c r="F330" s="8">
        <f>COUNTIFS('All Papers'!$D:$D,"*"&amp;$A330&amp;"*",'All Papers'!$G:$G,"*"&amp;Table1[[#Headers],[Recommendation]]&amp;"*")</f>
        <v>0</v>
      </c>
      <c r="G330" s="8">
        <f>COUNTIFS('All Papers'!$D:$D,"*"&amp;$A330&amp;"*",'All Papers'!$G:$G,"*"&amp;Table1[[#Headers],[Resource Management-CS]]&amp;"*")</f>
        <v>1</v>
      </c>
      <c r="H330" s="8">
        <f>COUNTIFS('All Papers'!$D:$D,"*"&amp;$A330&amp;"*",'All Papers'!$G:$G,"*"&amp;Table1[[#Headers],[Resource Management-PS]]&amp;"*")</f>
        <v>0</v>
      </c>
      <c r="I330" s="8">
        <f>COUNTIFS('All Papers'!$D:$D,"*"&amp;$A330&amp;"*",'All Papers'!$G:$G,"*"&amp;Table1[[#Headers],[SLA Management]]&amp;"*")</f>
        <v>0</v>
      </c>
      <c r="J330" s="8">
        <f>COUNTIFS('All Papers'!$D:$D,"*"&amp;$A330&amp;"*",'All Papers'!$G:$G,"*"&amp;Table1[[#Headers],[Big Data]]&amp;"*")</f>
        <v>0</v>
      </c>
      <c r="K330" s="8">
        <f>COUNTIFS('All Papers'!$D:$D,"*"&amp;$A330&amp;"*",'All Papers'!$G:$G,"*"&amp;Table1[[#Headers],[Energy Management]]&amp;"*")</f>
        <v>0</v>
      </c>
      <c r="L330" s="8">
        <f>COUNTIFS('All Papers'!$D:$D,"*"&amp;$A330&amp;"*",'All Papers'!$G:$G,"*"&amp;Table1[[#Headers],[Monitoring]]&amp;"*")</f>
        <v>0</v>
      </c>
      <c r="M330" s="8">
        <f>COUNTIFS('All Papers'!$D:$D,"*"&amp;$A330&amp;"*",'All Papers'!$G:$G,"*"&amp;Table1[[#Headers],[Pricing]]&amp;"*")</f>
        <v>0</v>
      </c>
    </row>
    <row r="331" spans="1:13" x14ac:dyDescent="0.25">
      <c r="A331" s="8" t="s">
        <v>2764</v>
      </c>
      <c r="B331" s="8">
        <f>COUNTIF('All Papers'!D:D,"*"&amp;Table1[[#This Row],[Name]]&amp;"*")</f>
        <v>1</v>
      </c>
      <c r="C331" s="8">
        <f>COUNTIFS('All Papers'!$D:$D,"*"&amp;$A331&amp;"*",'All Papers'!$G:$G,"*"&amp;Table1[[#Headers],[Composition]]&amp;"*")</f>
        <v>0</v>
      </c>
      <c r="D331" s="8">
        <f>COUNTIFS('All Papers'!$D:$D,"*"&amp;$A331&amp;"*",'All Papers'!$G:$G,"*"&amp;Table1[[#Headers],[Discovery]]&amp;"*")</f>
        <v>0</v>
      </c>
      <c r="E331" s="8">
        <f>COUNTIFS('All Papers'!$D:$D,"*"&amp;$A331&amp;"*",'All Papers'!$G:$G,"*"&amp;Table1[[#Headers],[Selection]]&amp;"*")</f>
        <v>0</v>
      </c>
      <c r="F331" s="8">
        <f>COUNTIFS('All Papers'!$D:$D,"*"&amp;$A331&amp;"*",'All Papers'!$G:$G,"*"&amp;Table1[[#Headers],[Recommendation]]&amp;"*")</f>
        <v>0</v>
      </c>
      <c r="G331" s="8">
        <f>COUNTIFS('All Papers'!$D:$D,"*"&amp;$A331&amp;"*",'All Papers'!$G:$G,"*"&amp;Table1[[#Headers],[Resource Management-CS]]&amp;"*")</f>
        <v>0</v>
      </c>
      <c r="H331" s="8">
        <f>COUNTIFS('All Papers'!$D:$D,"*"&amp;$A331&amp;"*",'All Papers'!$G:$G,"*"&amp;Table1[[#Headers],[Resource Management-PS]]&amp;"*")</f>
        <v>1</v>
      </c>
      <c r="I331" s="8">
        <f>COUNTIFS('All Papers'!$D:$D,"*"&amp;$A331&amp;"*",'All Papers'!$G:$G,"*"&amp;Table1[[#Headers],[SLA Management]]&amp;"*")</f>
        <v>0</v>
      </c>
      <c r="J331" s="8">
        <f>COUNTIFS('All Papers'!$D:$D,"*"&amp;$A331&amp;"*",'All Papers'!$G:$G,"*"&amp;Table1[[#Headers],[Big Data]]&amp;"*")</f>
        <v>0</v>
      </c>
      <c r="K331" s="8">
        <f>COUNTIFS('All Papers'!$D:$D,"*"&amp;$A331&amp;"*",'All Papers'!$G:$G,"*"&amp;Table1[[#Headers],[Energy Management]]&amp;"*")</f>
        <v>1</v>
      </c>
      <c r="L331" s="8">
        <f>COUNTIFS('All Papers'!$D:$D,"*"&amp;$A331&amp;"*",'All Papers'!$G:$G,"*"&amp;Table1[[#Headers],[Monitoring]]&amp;"*")</f>
        <v>0</v>
      </c>
      <c r="M331" s="8">
        <f>COUNTIFS('All Papers'!$D:$D,"*"&amp;$A331&amp;"*",'All Papers'!$G:$G,"*"&amp;Table1[[#Headers],[Pricing]]&amp;"*")</f>
        <v>0</v>
      </c>
    </row>
    <row r="332" spans="1:13" x14ac:dyDescent="0.25">
      <c r="A332" s="8" t="s">
        <v>2765</v>
      </c>
      <c r="B332" s="8">
        <f>COUNTIF('All Papers'!D:D,"*"&amp;Table1[[#This Row],[Name]]&amp;"*")</f>
        <v>1</v>
      </c>
      <c r="C332" s="8">
        <f>COUNTIFS('All Papers'!$D:$D,"*"&amp;$A332&amp;"*",'All Papers'!$G:$G,"*"&amp;Table1[[#Headers],[Composition]]&amp;"*")</f>
        <v>0</v>
      </c>
      <c r="D332" s="8">
        <f>COUNTIFS('All Papers'!$D:$D,"*"&amp;$A332&amp;"*",'All Papers'!$G:$G,"*"&amp;Table1[[#Headers],[Discovery]]&amp;"*")</f>
        <v>0</v>
      </c>
      <c r="E332" s="8">
        <f>COUNTIFS('All Papers'!$D:$D,"*"&amp;$A332&amp;"*",'All Papers'!$G:$G,"*"&amp;Table1[[#Headers],[Selection]]&amp;"*")</f>
        <v>0</v>
      </c>
      <c r="F332" s="8">
        <f>COUNTIFS('All Papers'!$D:$D,"*"&amp;$A332&amp;"*",'All Papers'!$G:$G,"*"&amp;Table1[[#Headers],[Recommendation]]&amp;"*")</f>
        <v>0</v>
      </c>
      <c r="G332" s="8">
        <f>COUNTIFS('All Papers'!$D:$D,"*"&amp;$A332&amp;"*",'All Papers'!$G:$G,"*"&amp;Table1[[#Headers],[Resource Management-CS]]&amp;"*")</f>
        <v>0</v>
      </c>
      <c r="H332" s="8">
        <f>COUNTIFS('All Papers'!$D:$D,"*"&amp;$A332&amp;"*",'All Papers'!$G:$G,"*"&amp;Table1[[#Headers],[Resource Management-PS]]&amp;"*")</f>
        <v>1</v>
      </c>
      <c r="I332" s="8">
        <f>COUNTIFS('All Papers'!$D:$D,"*"&amp;$A332&amp;"*",'All Papers'!$G:$G,"*"&amp;Table1[[#Headers],[SLA Management]]&amp;"*")</f>
        <v>0</v>
      </c>
      <c r="J332" s="8">
        <f>COUNTIFS('All Papers'!$D:$D,"*"&amp;$A332&amp;"*",'All Papers'!$G:$G,"*"&amp;Table1[[#Headers],[Big Data]]&amp;"*")</f>
        <v>0</v>
      </c>
      <c r="K332" s="8">
        <f>COUNTIFS('All Papers'!$D:$D,"*"&amp;$A332&amp;"*",'All Papers'!$G:$G,"*"&amp;Table1[[#Headers],[Energy Management]]&amp;"*")</f>
        <v>1</v>
      </c>
      <c r="L332" s="8">
        <f>COUNTIFS('All Papers'!$D:$D,"*"&amp;$A332&amp;"*",'All Papers'!$G:$G,"*"&amp;Table1[[#Headers],[Monitoring]]&amp;"*")</f>
        <v>0</v>
      </c>
      <c r="M332" s="8">
        <f>COUNTIFS('All Papers'!$D:$D,"*"&amp;$A332&amp;"*",'All Papers'!$G:$G,"*"&amp;Table1[[#Headers],[Pricing]]&amp;"*")</f>
        <v>0</v>
      </c>
    </row>
    <row r="333" spans="1:13" x14ac:dyDescent="0.25">
      <c r="A333" s="8" t="s">
        <v>2766</v>
      </c>
      <c r="B333" s="8">
        <f>COUNTIF('All Papers'!D:D,"*"&amp;Table1[[#This Row],[Name]]&amp;"*")</f>
        <v>1</v>
      </c>
      <c r="C333" s="8">
        <f>COUNTIFS('All Papers'!$D:$D,"*"&amp;$A333&amp;"*",'All Papers'!$G:$G,"*"&amp;Table1[[#Headers],[Composition]]&amp;"*")</f>
        <v>0</v>
      </c>
      <c r="D333" s="8">
        <f>COUNTIFS('All Papers'!$D:$D,"*"&amp;$A333&amp;"*",'All Papers'!$G:$G,"*"&amp;Table1[[#Headers],[Discovery]]&amp;"*")</f>
        <v>0</v>
      </c>
      <c r="E333" s="8">
        <f>COUNTIFS('All Papers'!$D:$D,"*"&amp;$A333&amp;"*",'All Papers'!$G:$G,"*"&amp;Table1[[#Headers],[Selection]]&amp;"*")</f>
        <v>0</v>
      </c>
      <c r="F333" s="8">
        <f>COUNTIFS('All Papers'!$D:$D,"*"&amp;$A333&amp;"*",'All Papers'!$G:$G,"*"&amp;Table1[[#Headers],[Recommendation]]&amp;"*")</f>
        <v>0</v>
      </c>
      <c r="G333" s="8">
        <f>COUNTIFS('All Papers'!$D:$D,"*"&amp;$A333&amp;"*",'All Papers'!$G:$G,"*"&amp;Table1[[#Headers],[Resource Management-CS]]&amp;"*")</f>
        <v>0</v>
      </c>
      <c r="H333" s="8">
        <f>COUNTIFS('All Papers'!$D:$D,"*"&amp;$A333&amp;"*",'All Papers'!$G:$G,"*"&amp;Table1[[#Headers],[Resource Management-PS]]&amp;"*")</f>
        <v>1</v>
      </c>
      <c r="I333" s="8">
        <f>COUNTIFS('All Papers'!$D:$D,"*"&amp;$A333&amp;"*",'All Papers'!$G:$G,"*"&amp;Table1[[#Headers],[SLA Management]]&amp;"*")</f>
        <v>0</v>
      </c>
      <c r="J333" s="8">
        <f>COUNTIFS('All Papers'!$D:$D,"*"&amp;$A333&amp;"*",'All Papers'!$G:$G,"*"&amp;Table1[[#Headers],[Big Data]]&amp;"*")</f>
        <v>0</v>
      </c>
      <c r="K333" s="8">
        <f>COUNTIFS('All Papers'!$D:$D,"*"&amp;$A333&amp;"*",'All Papers'!$G:$G,"*"&amp;Table1[[#Headers],[Energy Management]]&amp;"*")</f>
        <v>1</v>
      </c>
      <c r="L333" s="8">
        <f>COUNTIFS('All Papers'!$D:$D,"*"&amp;$A333&amp;"*",'All Papers'!$G:$G,"*"&amp;Table1[[#Headers],[Monitoring]]&amp;"*")</f>
        <v>0</v>
      </c>
      <c r="M333" s="8">
        <f>COUNTIFS('All Papers'!$D:$D,"*"&amp;$A333&amp;"*",'All Papers'!$G:$G,"*"&amp;Table1[[#Headers],[Pricing]]&amp;"*")</f>
        <v>0</v>
      </c>
    </row>
    <row r="334" spans="1:13" x14ac:dyDescent="0.25">
      <c r="A334" s="8" t="s">
        <v>2767</v>
      </c>
      <c r="B334" s="8">
        <f>COUNTIF('All Papers'!D:D,"*"&amp;Table1[[#This Row],[Name]]&amp;"*")</f>
        <v>1</v>
      </c>
      <c r="C334" s="8">
        <f>COUNTIFS('All Papers'!$D:$D,"*"&amp;$A334&amp;"*",'All Papers'!$G:$G,"*"&amp;Table1[[#Headers],[Composition]]&amp;"*")</f>
        <v>0</v>
      </c>
      <c r="D334" s="8">
        <f>COUNTIFS('All Papers'!$D:$D,"*"&amp;$A334&amp;"*",'All Papers'!$G:$G,"*"&amp;Table1[[#Headers],[Discovery]]&amp;"*")</f>
        <v>0</v>
      </c>
      <c r="E334" s="8">
        <f>COUNTIFS('All Papers'!$D:$D,"*"&amp;$A334&amp;"*",'All Papers'!$G:$G,"*"&amp;Table1[[#Headers],[Selection]]&amp;"*")</f>
        <v>0</v>
      </c>
      <c r="F334" s="8">
        <f>COUNTIFS('All Papers'!$D:$D,"*"&amp;$A334&amp;"*",'All Papers'!$G:$G,"*"&amp;Table1[[#Headers],[Recommendation]]&amp;"*")</f>
        <v>0</v>
      </c>
      <c r="G334" s="8">
        <f>COUNTIFS('All Papers'!$D:$D,"*"&amp;$A334&amp;"*",'All Papers'!$G:$G,"*"&amp;Table1[[#Headers],[Resource Management-CS]]&amp;"*")</f>
        <v>0</v>
      </c>
      <c r="H334" s="8">
        <f>COUNTIFS('All Papers'!$D:$D,"*"&amp;$A334&amp;"*",'All Papers'!$G:$G,"*"&amp;Table1[[#Headers],[Resource Management-PS]]&amp;"*")</f>
        <v>1</v>
      </c>
      <c r="I334" s="8">
        <f>COUNTIFS('All Papers'!$D:$D,"*"&amp;$A334&amp;"*",'All Papers'!$G:$G,"*"&amp;Table1[[#Headers],[SLA Management]]&amp;"*")</f>
        <v>0</v>
      </c>
      <c r="J334" s="8">
        <f>COUNTIFS('All Papers'!$D:$D,"*"&amp;$A334&amp;"*",'All Papers'!$G:$G,"*"&amp;Table1[[#Headers],[Big Data]]&amp;"*")</f>
        <v>0</v>
      </c>
      <c r="K334" s="8">
        <f>COUNTIFS('All Papers'!$D:$D,"*"&amp;$A334&amp;"*",'All Papers'!$G:$G,"*"&amp;Table1[[#Headers],[Energy Management]]&amp;"*")</f>
        <v>1</v>
      </c>
      <c r="L334" s="8">
        <f>COUNTIFS('All Papers'!$D:$D,"*"&amp;$A334&amp;"*",'All Papers'!$G:$G,"*"&amp;Table1[[#Headers],[Monitoring]]&amp;"*")</f>
        <v>0</v>
      </c>
      <c r="M334" s="8">
        <f>COUNTIFS('All Papers'!$D:$D,"*"&amp;$A334&amp;"*",'All Papers'!$G:$G,"*"&amp;Table1[[#Headers],[Pricing]]&amp;"*")</f>
        <v>0</v>
      </c>
    </row>
    <row r="335" spans="1:13" x14ac:dyDescent="0.25">
      <c r="A335" s="8" t="s">
        <v>2768</v>
      </c>
      <c r="B335" s="8">
        <f>COUNTIF('All Papers'!D:D,"*"&amp;Table1[[#This Row],[Name]]&amp;"*")</f>
        <v>1</v>
      </c>
      <c r="C335" s="8">
        <f>COUNTIFS('All Papers'!$D:$D,"*"&amp;$A335&amp;"*",'All Papers'!$G:$G,"*"&amp;Table1[[#Headers],[Composition]]&amp;"*")</f>
        <v>1</v>
      </c>
      <c r="D335" s="8">
        <f>COUNTIFS('All Papers'!$D:$D,"*"&amp;$A335&amp;"*",'All Papers'!$G:$G,"*"&amp;Table1[[#Headers],[Discovery]]&amp;"*")</f>
        <v>0</v>
      </c>
      <c r="E335" s="8">
        <f>COUNTIFS('All Papers'!$D:$D,"*"&amp;$A335&amp;"*",'All Papers'!$G:$G,"*"&amp;Table1[[#Headers],[Selection]]&amp;"*")</f>
        <v>0</v>
      </c>
      <c r="F335" s="8">
        <f>COUNTIFS('All Papers'!$D:$D,"*"&amp;$A335&amp;"*",'All Papers'!$G:$G,"*"&amp;Table1[[#Headers],[Recommendation]]&amp;"*")</f>
        <v>0</v>
      </c>
      <c r="G335" s="8">
        <f>COUNTIFS('All Papers'!$D:$D,"*"&amp;$A335&amp;"*",'All Papers'!$G:$G,"*"&amp;Table1[[#Headers],[Resource Management-CS]]&amp;"*")</f>
        <v>0</v>
      </c>
      <c r="H335" s="8">
        <f>COUNTIFS('All Papers'!$D:$D,"*"&amp;$A335&amp;"*",'All Papers'!$G:$G,"*"&amp;Table1[[#Headers],[Resource Management-PS]]&amp;"*")</f>
        <v>0</v>
      </c>
      <c r="I335" s="8">
        <f>COUNTIFS('All Papers'!$D:$D,"*"&amp;$A335&amp;"*",'All Papers'!$G:$G,"*"&amp;Table1[[#Headers],[SLA Management]]&amp;"*")</f>
        <v>0</v>
      </c>
      <c r="J335" s="8">
        <f>COUNTIFS('All Papers'!$D:$D,"*"&amp;$A335&amp;"*",'All Papers'!$G:$G,"*"&amp;Table1[[#Headers],[Big Data]]&amp;"*")</f>
        <v>0</v>
      </c>
      <c r="K335" s="8">
        <f>COUNTIFS('All Papers'!$D:$D,"*"&amp;$A335&amp;"*",'All Papers'!$G:$G,"*"&amp;Table1[[#Headers],[Energy Management]]&amp;"*")</f>
        <v>0</v>
      </c>
      <c r="L335" s="8">
        <f>COUNTIFS('All Papers'!$D:$D,"*"&amp;$A335&amp;"*",'All Papers'!$G:$G,"*"&amp;Table1[[#Headers],[Monitoring]]&amp;"*")</f>
        <v>0</v>
      </c>
      <c r="M335" s="8">
        <f>COUNTIFS('All Papers'!$D:$D,"*"&amp;$A335&amp;"*",'All Papers'!$G:$G,"*"&amp;Table1[[#Headers],[Pricing]]&amp;"*")</f>
        <v>0</v>
      </c>
    </row>
    <row r="336" spans="1:13" x14ac:dyDescent="0.25">
      <c r="A336" s="8" t="s">
        <v>2769</v>
      </c>
      <c r="B336" s="8">
        <f>COUNTIF('All Papers'!D:D,"*"&amp;Table1[[#This Row],[Name]]&amp;"*")</f>
        <v>1</v>
      </c>
      <c r="C336" s="8">
        <f>COUNTIFS('All Papers'!$D:$D,"*"&amp;$A336&amp;"*",'All Papers'!$G:$G,"*"&amp;Table1[[#Headers],[Composition]]&amp;"*")</f>
        <v>1</v>
      </c>
      <c r="D336" s="8">
        <f>COUNTIFS('All Papers'!$D:$D,"*"&amp;$A336&amp;"*",'All Papers'!$G:$G,"*"&amp;Table1[[#Headers],[Discovery]]&amp;"*")</f>
        <v>0</v>
      </c>
      <c r="E336" s="8">
        <f>COUNTIFS('All Papers'!$D:$D,"*"&amp;$A336&amp;"*",'All Papers'!$G:$G,"*"&amp;Table1[[#Headers],[Selection]]&amp;"*")</f>
        <v>0</v>
      </c>
      <c r="F336" s="8">
        <f>COUNTIFS('All Papers'!$D:$D,"*"&amp;$A336&amp;"*",'All Papers'!$G:$G,"*"&amp;Table1[[#Headers],[Recommendation]]&amp;"*")</f>
        <v>0</v>
      </c>
      <c r="G336" s="8">
        <f>COUNTIFS('All Papers'!$D:$D,"*"&amp;$A336&amp;"*",'All Papers'!$G:$G,"*"&amp;Table1[[#Headers],[Resource Management-CS]]&amp;"*")</f>
        <v>0</v>
      </c>
      <c r="H336" s="8">
        <f>COUNTIFS('All Papers'!$D:$D,"*"&amp;$A336&amp;"*",'All Papers'!$G:$G,"*"&amp;Table1[[#Headers],[Resource Management-PS]]&amp;"*")</f>
        <v>0</v>
      </c>
      <c r="I336" s="8">
        <f>COUNTIFS('All Papers'!$D:$D,"*"&amp;$A336&amp;"*",'All Papers'!$G:$G,"*"&amp;Table1[[#Headers],[SLA Management]]&amp;"*")</f>
        <v>0</v>
      </c>
      <c r="J336" s="8">
        <f>COUNTIFS('All Papers'!$D:$D,"*"&amp;$A336&amp;"*",'All Papers'!$G:$G,"*"&amp;Table1[[#Headers],[Big Data]]&amp;"*")</f>
        <v>0</v>
      </c>
      <c r="K336" s="8">
        <f>COUNTIFS('All Papers'!$D:$D,"*"&amp;$A336&amp;"*",'All Papers'!$G:$G,"*"&amp;Table1[[#Headers],[Energy Management]]&amp;"*")</f>
        <v>0</v>
      </c>
      <c r="L336" s="8">
        <f>COUNTIFS('All Papers'!$D:$D,"*"&amp;$A336&amp;"*",'All Papers'!$G:$G,"*"&amp;Table1[[#Headers],[Monitoring]]&amp;"*")</f>
        <v>0</v>
      </c>
      <c r="M336" s="8">
        <f>COUNTIFS('All Papers'!$D:$D,"*"&amp;$A336&amp;"*",'All Papers'!$G:$G,"*"&amp;Table1[[#Headers],[Pricing]]&amp;"*")</f>
        <v>0</v>
      </c>
    </row>
    <row r="337" spans="1:13" x14ac:dyDescent="0.25">
      <c r="A337" s="8" t="s">
        <v>2770</v>
      </c>
      <c r="B337" s="8">
        <f>COUNTIF('All Papers'!D:D,"*"&amp;Table1[[#This Row],[Name]]&amp;"*")</f>
        <v>1</v>
      </c>
      <c r="C337" s="8">
        <f>COUNTIFS('All Papers'!$D:$D,"*"&amp;$A337&amp;"*",'All Papers'!$G:$G,"*"&amp;Table1[[#Headers],[Composition]]&amp;"*")</f>
        <v>1</v>
      </c>
      <c r="D337" s="8">
        <f>COUNTIFS('All Papers'!$D:$D,"*"&amp;$A337&amp;"*",'All Papers'!$G:$G,"*"&amp;Table1[[#Headers],[Discovery]]&amp;"*")</f>
        <v>0</v>
      </c>
      <c r="E337" s="8">
        <f>COUNTIFS('All Papers'!$D:$D,"*"&amp;$A337&amp;"*",'All Papers'!$G:$G,"*"&amp;Table1[[#Headers],[Selection]]&amp;"*")</f>
        <v>0</v>
      </c>
      <c r="F337" s="8">
        <f>COUNTIFS('All Papers'!$D:$D,"*"&amp;$A337&amp;"*",'All Papers'!$G:$G,"*"&amp;Table1[[#Headers],[Recommendation]]&amp;"*")</f>
        <v>0</v>
      </c>
      <c r="G337" s="8">
        <f>COUNTIFS('All Papers'!$D:$D,"*"&amp;$A337&amp;"*",'All Papers'!$G:$G,"*"&amp;Table1[[#Headers],[Resource Management-CS]]&amp;"*")</f>
        <v>0</v>
      </c>
      <c r="H337" s="8">
        <f>COUNTIFS('All Papers'!$D:$D,"*"&amp;$A337&amp;"*",'All Papers'!$G:$G,"*"&amp;Table1[[#Headers],[Resource Management-PS]]&amp;"*")</f>
        <v>0</v>
      </c>
      <c r="I337" s="8">
        <f>COUNTIFS('All Papers'!$D:$D,"*"&amp;$A337&amp;"*",'All Papers'!$G:$G,"*"&amp;Table1[[#Headers],[SLA Management]]&amp;"*")</f>
        <v>0</v>
      </c>
      <c r="J337" s="8">
        <f>COUNTIFS('All Papers'!$D:$D,"*"&amp;$A337&amp;"*",'All Papers'!$G:$G,"*"&amp;Table1[[#Headers],[Big Data]]&amp;"*")</f>
        <v>0</v>
      </c>
      <c r="K337" s="8">
        <f>COUNTIFS('All Papers'!$D:$D,"*"&amp;$A337&amp;"*",'All Papers'!$G:$G,"*"&amp;Table1[[#Headers],[Energy Management]]&amp;"*")</f>
        <v>0</v>
      </c>
      <c r="L337" s="8">
        <f>COUNTIFS('All Papers'!$D:$D,"*"&amp;$A337&amp;"*",'All Papers'!$G:$G,"*"&amp;Table1[[#Headers],[Monitoring]]&amp;"*")</f>
        <v>0</v>
      </c>
      <c r="M337" s="8">
        <f>COUNTIFS('All Papers'!$D:$D,"*"&amp;$A337&amp;"*",'All Papers'!$G:$G,"*"&amp;Table1[[#Headers],[Pricing]]&amp;"*")</f>
        <v>0</v>
      </c>
    </row>
    <row r="338" spans="1:13" x14ac:dyDescent="0.25">
      <c r="A338" s="8" t="s">
        <v>2771</v>
      </c>
      <c r="B338" s="8">
        <f>COUNTIF('All Papers'!D:D,"*"&amp;Table1[[#This Row],[Name]]&amp;"*")</f>
        <v>1</v>
      </c>
      <c r="C338" s="8">
        <f>COUNTIFS('All Papers'!$D:$D,"*"&amp;$A338&amp;"*",'All Papers'!$G:$G,"*"&amp;Table1[[#Headers],[Composition]]&amp;"*")</f>
        <v>0</v>
      </c>
      <c r="D338" s="8">
        <f>COUNTIFS('All Papers'!$D:$D,"*"&amp;$A338&amp;"*",'All Papers'!$G:$G,"*"&amp;Table1[[#Headers],[Discovery]]&amp;"*")</f>
        <v>0</v>
      </c>
      <c r="E338" s="8">
        <f>COUNTIFS('All Papers'!$D:$D,"*"&amp;$A338&amp;"*",'All Papers'!$G:$G,"*"&amp;Table1[[#Headers],[Selection]]&amp;"*")</f>
        <v>1</v>
      </c>
      <c r="F338" s="8">
        <f>COUNTIFS('All Papers'!$D:$D,"*"&amp;$A338&amp;"*",'All Papers'!$G:$G,"*"&amp;Table1[[#Headers],[Recommendation]]&amp;"*")</f>
        <v>0</v>
      </c>
      <c r="G338" s="8">
        <f>COUNTIFS('All Papers'!$D:$D,"*"&amp;$A338&amp;"*",'All Papers'!$G:$G,"*"&amp;Table1[[#Headers],[Resource Management-CS]]&amp;"*")</f>
        <v>0</v>
      </c>
      <c r="H338" s="8">
        <f>COUNTIFS('All Papers'!$D:$D,"*"&amp;$A338&amp;"*",'All Papers'!$G:$G,"*"&amp;Table1[[#Headers],[Resource Management-PS]]&amp;"*")</f>
        <v>0</v>
      </c>
      <c r="I338" s="8">
        <f>COUNTIFS('All Papers'!$D:$D,"*"&amp;$A338&amp;"*",'All Papers'!$G:$G,"*"&amp;Table1[[#Headers],[SLA Management]]&amp;"*")</f>
        <v>0</v>
      </c>
      <c r="J338" s="8">
        <f>COUNTIFS('All Papers'!$D:$D,"*"&amp;$A338&amp;"*",'All Papers'!$G:$G,"*"&amp;Table1[[#Headers],[Big Data]]&amp;"*")</f>
        <v>0</v>
      </c>
      <c r="K338" s="8">
        <f>COUNTIFS('All Papers'!$D:$D,"*"&amp;$A338&amp;"*",'All Papers'!$G:$G,"*"&amp;Table1[[#Headers],[Energy Management]]&amp;"*")</f>
        <v>0</v>
      </c>
      <c r="L338" s="8">
        <f>COUNTIFS('All Papers'!$D:$D,"*"&amp;$A338&amp;"*",'All Papers'!$G:$G,"*"&amp;Table1[[#Headers],[Monitoring]]&amp;"*")</f>
        <v>0</v>
      </c>
      <c r="M338" s="8">
        <f>COUNTIFS('All Papers'!$D:$D,"*"&amp;$A338&amp;"*",'All Papers'!$G:$G,"*"&amp;Table1[[#Headers],[Pricing]]&amp;"*")</f>
        <v>0</v>
      </c>
    </row>
    <row r="339" spans="1:13" x14ac:dyDescent="0.25">
      <c r="A339" s="8" t="s">
        <v>2772</v>
      </c>
      <c r="B339" s="8">
        <f>COUNTIF('All Papers'!D:D,"*"&amp;Table1[[#This Row],[Name]]&amp;"*")</f>
        <v>1</v>
      </c>
      <c r="C339" s="8">
        <f>COUNTIFS('All Papers'!$D:$D,"*"&amp;$A339&amp;"*",'All Papers'!$G:$G,"*"&amp;Table1[[#Headers],[Composition]]&amp;"*")</f>
        <v>0</v>
      </c>
      <c r="D339" s="8">
        <f>COUNTIFS('All Papers'!$D:$D,"*"&amp;$A339&amp;"*",'All Papers'!$G:$G,"*"&amp;Table1[[#Headers],[Discovery]]&amp;"*")</f>
        <v>0</v>
      </c>
      <c r="E339" s="8">
        <f>COUNTIFS('All Papers'!$D:$D,"*"&amp;$A339&amp;"*",'All Papers'!$G:$G,"*"&amp;Table1[[#Headers],[Selection]]&amp;"*")</f>
        <v>1</v>
      </c>
      <c r="F339" s="8">
        <f>COUNTIFS('All Papers'!$D:$D,"*"&amp;$A339&amp;"*",'All Papers'!$G:$G,"*"&amp;Table1[[#Headers],[Recommendation]]&amp;"*")</f>
        <v>0</v>
      </c>
      <c r="G339" s="8">
        <f>COUNTIFS('All Papers'!$D:$D,"*"&amp;$A339&amp;"*",'All Papers'!$G:$G,"*"&amp;Table1[[#Headers],[Resource Management-CS]]&amp;"*")</f>
        <v>0</v>
      </c>
      <c r="H339" s="8">
        <f>COUNTIFS('All Papers'!$D:$D,"*"&amp;$A339&amp;"*",'All Papers'!$G:$G,"*"&amp;Table1[[#Headers],[Resource Management-PS]]&amp;"*")</f>
        <v>0</v>
      </c>
      <c r="I339" s="8">
        <f>COUNTIFS('All Papers'!$D:$D,"*"&amp;$A339&amp;"*",'All Papers'!$G:$G,"*"&amp;Table1[[#Headers],[SLA Management]]&amp;"*")</f>
        <v>0</v>
      </c>
      <c r="J339" s="8">
        <f>COUNTIFS('All Papers'!$D:$D,"*"&amp;$A339&amp;"*",'All Papers'!$G:$G,"*"&amp;Table1[[#Headers],[Big Data]]&amp;"*")</f>
        <v>0</v>
      </c>
      <c r="K339" s="8">
        <f>COUNTIFS('All Papers'!$D:$D,"*"&amp;$A339&amp;"*",'All Papers'!$G:$G,"*"&amp;Table1[[#Headers],[Energy Management]]&amp;"*")</f>
        <v>0</v>
      </c>
      <c r="L339" s="8">
        <f>COUNTIFS('All Papers'!$D:$D,"*"&amp;$A339&amp;"*",'All Papers'!$G:$G,"*"&amp;Table1[[#Headers],[Monitoring]]&amp;"*")</f>
        <v>0</v>
      </c>
      <c r="M339" s="8">
        <f>COUNTIFS('All Papers'!$D:$D,"*"&amp;$A339&amp;"*",'All Papers'!$G:$G,"*"&amp;Table1[[#Headers],[Pricing]]&amp;"*")</f>
        <v>0</v>
      </c>
    </row>
    <row r="340" spans="1:13" x14ac:dyDescent="0.25">
      <c r="A340" s="8" t="s">
        <v>2773</v>
      </c>
      <c r="B340" s="8">
        <f>COUNTIF('All Papers'!D:D,"*"&amp;Table1[[#This Row],[Name]]&amp;"*")</f>
        <v>1</v>
      </c>
      <c r="C340" s="8">
        <f>COUNTIFS('All Papers'!$D:$D,"*"&amp;$A340&amp;"*",'All Papers'!$G:$G,"*"&amp;Table1[[#Headers],[Composition]]&amp;"*")</f>
        <v>0</v>
      </c>
      <c r="D340" s="8">
        <f>COUNTIFS('All Papers'!$D:$D,"*"&amp;$A340&amp;"*",'All Papers'!$G:$G,"*"&amp;Table1[[#Headers],[Discovery]]&amp;"*")</f>
        <v>0</v>
      </c>
      <c r="E340" s="8">
        <f>COUNTIFS('All Papers'!$D:$D,"*"&amp;$A340&amp;"*",'All Papers'!$G:$G,"*"&amp;Table1[[#Headers],[Selection]]&amp;"*")</f>
        <v>1</v>
      </c>
      <c r="F340" s="8">
        <f>COUNTIFS('All Papers'!$D:$D,"*"&amp;$A340&amp;"*",'All Papers'!$G:$G,"*"&amp;Table1[[#Headers],[Recommendation]]&amp;"*")</f>
        <v>0</v>
      </c>
      <c r="G340" s="8">
        <f>COUNTIFS('All Papers'!$D:$D,"*"&amp;$A340&amp;"*",'All Papers'!$G:$G,"*"&amp;Table1[[#Headers],[Resource Management-CS]]&amp;"*")</f>
        <v>0</v>
      </c>
      <c r="H340" s="8">
        <f>COUNTIFS('All Papers'!$D:$D,"*"&amp;$A340&amp;"*",'All Papers'!$G:$G,"*"&amp;Table1[[#Headers],[Resource Management-PS]]&amp;"*")</f>
        <v>0</v>
      </c>
      <c r="I340" s="8">
        <f>COUNTIFS('All Papers'!$D:$D,"*"&amp;$A340&amp;"*",'All Papers'!$G:$G,"*"&amp;Table1[[#Headers],[SLA Management]]&amp;"*")</f>
        <v>0</v>
      </c>
      <c r="J340" s="8">
        <f>COUNTIFS('All Papers'!$D:$D,"*"&amp;$A340&amp;"*",'All Papers'!$G:$G,"*"&amp;Table1[[#Headers],[Big Data]]&amp;"*")</f>
        <v>0</v>
      </c>
      <c r="K340" s="8">
        <f>COUNTIFS('All Papers'!$D:$D,"*"&amp;$A340&amp;"*",'All Papers'!$G:$G,"*"&amp;Table1[[#Headers],[Energy Management]]&amp;"*")</f>
        <v>0</v>
      </c>
      <c r="L340" s="8">
        <f>COUNTIFS('All Papers'!$D:$D,"*"&amp;$A340&amp;"*",'All Papers'!$G:$G,"*"&amp;Table1[[#Headers],[Monitoring]]&amp;"*")</f>
        <v>0</v>
      </c>
      <c r="M340" s="8">
        <f>COUNTIFS('All Papers'!$D:$D,"*"&amp;$A340&amp;"*",'All Papers'!$G:$G,"*"&amp;Table1[[#Headers],[Pricing]]&amp;"*")</f>
        <v>0</v>
      </c>
    </row>
    <row r="341" spans="1:13" x14ac:dyDescent="0.25">
      <c r="A341" s="8" t="s">
        <v>2774</v>
      </c>
      <c r="B341" s="8">
        <f>COUNTIF('All Papers'!D:D,"*"&amp;Table1[[#This Row],[Name]]&amp;"*")</f>
        <v>1</v>
      </c>
      <c r="C341" s="8">
        <f>COUNTIFS('All Papers'!$D:$D,"*"&amp;$A341&amp;"*",'All Papers'!$G:$G,"*"&amp;Table1[[#Headers],[Composition]]&amp;"*")</f>
        <v>0</v>
      </c>
      <c r="D341" s="8">
        <f>COUNTIFS('All Papers'!$D:$D,"*"&amp;$A341&amp;"*",'All Papers'!$G:$G,"*"&amp;Table1[[#Headers],[Discovery]]&amp;"*")</f>
        <v>0</v>
      </c>
      <c r="E341" s="8">
        <f>COUNTIFS('All Papers'!$D:$D,"*"&amp;$A341&amp;"*",'All Papers'!$G:$G,"*"&amp;Table1[[#Headers],[Selection]]&amp;"*")</f>
        <v>1</v>
      </c>
      <c r="F341" s="8">
        <f>COUNTIFS('All Papers'!$D:$D,"*"&amp;$A341&amp;"*",'All Papers'!$G:$G,"*"&amp;Table1[[#Headers],[Recommendation]]&amp;"*")</f>
        <v>0</v>
      </c>
      <c r="G341" s="8">
        <f>COUNTIFS('All Papers'!$D:$D,"*"&amp;$A341&amp;"*",'All Papers'!$G:$G,"*"&amp;Table1[[#Headers],[Resource Management-CS]]&amp;"*")</f>
        <v>0</v>
      </c>
      <c r="H341" s="8">
        <f>COUNTIFS('All Papers'!$D:$D,"*"&amp;$A341&amp;"*",'All Papers'!$G:$G,"*"&amp;Table1[[#Headers],[Resource Management-PS]]&amp;"*")</f>
        <v>0</v>
      </c>
      <c r="I341" s="8">
        <f>COUNTIFS('All Papers'!$D:$D,"*"&amp;$A341&amp;"*",'All Papers'!$G:$G,"*"&amp;Table1[[#Headers],[SLA Management]]&amp;"*")</f>
        <v>0</v>
      </c>
      <c r="J341" s="8">
        <f>COUNTIFS('All Papers'!$D:$D,"*"&amp;$A341&amp;"*",'All Papers'!$G:$G,"*"&amp;Table1[[#Headers],[Big Data]]&amp;"*")</f>
        <v>0</v>
      </c>
      <c r="K341" s="8">
        <f>COUNTIFS('All Papers'!$D:$D,"*"&amp;$A341&amp;"*",'All Papers'!$G:$G,"*"&amp;Table1[[#Headers],[Energy Management]]&amp;"*")</f>
        <v>0</v>
      </c>
      <c r="L341" s="8">
        <f>COUNTIFS('All Papers'!$D:$D,"*"&amp;$A341&amp;"*",'All Papers'!$G:$G,"*"&amp;Table1[[#Headers],[Monitoring]]&amp;"*")</f>
        <v>0</v>
      </c>
      <c r="M341" s="8">
        <f>COUNTIFS('All Papers'!$D:$D,"*"&amp;$A341&amp;"*",'All Papers'!$G:$G,"*"&amp;Table1[[#Headers],[Pricing]]&amp;"*")</f>
        <v>0</v>
      </c>
    </row>
    <row r="342" spans="1:13" x14ac:dyDescent="0.25">
      <c r="A342" s="8" t="s">
        <v>2775</v>
      </c>
      <c r="B342" s="8">
        <f>COUNTIF('All Papers'!D:D,"*"&amp;Table1[[#This Row],[Name]]&amp;"*")</f>
        <v>1</v>
      </c>
      <c r="C342" s="8">
        <f>COUNTIFS('All Papers'!$D:$D,"*"&amp;$A342&amp;"*",'All Papers'!$G:$G,"*"&amp;Table1[[#Headers],[Composition]]&amp;"*")</f>
        <v>0</v>
      </c>
      <c r="D342" s="8">
        <f>COUNTIFS('All Papers'!$D:$D,"*"&amp;$A342&amp;"*",'All Papers'!$G:$G,"*"&amp;Table1[[#Headers],[Discovery]]&amp;"*")</f>
        <v>0</v>
      </c>
      <c r="E342" s="8">
        <f>COUNTIFS('All Papers'!$D:$D,"*"&amp;$A342&amp;"*",'All Papers'!$G:$G,"*"&amp;Table1[[#Headers],[Selection]]&amp;"*")</f>
        <v>0</v>
      </c>
      <c r="F342" s="8">
        <f>COUNTIFS('All Papers'!$D:$D,"*"&amp;$A342&amp;"*",'All Papers'!$G:$G,"*"&amp;Table1[[#Headers],[Recommendation]]&amp;"*")</f>
        <v>0</v>
      </c>
      <c r="G342" s="8">
        <f>COUNTIFS('All Papers'!$D:$D,"*"&amp;$A342&amp;"*",'All Papers'!$G:$G,"*"&amp;Table1[[#Headers],[Resource Management-CS]]&amp;"*")</f>
        <v>1</v>
      </c>
      <c r="H342" s="8">
        <f>COUNTIFS('All Papers'!$D:$D,"*"&amp;$A342&amp;"*",'All Papers'!$G:$G,"*"&amp;Table1[[#Headers],[Resource Management-PS]]&amp;"*")</f>
        <v>0</v>
      </c>
      <c r="I342" s="8">
        <f>COUNTIFS('All Papers'!$D:$D,"*"&amp;$A342&amp;"*",'All Papers'!$G:$G,"*"&amp;Table1[[#Headers],[SLA Management]]&amp;"*")</f>
        <v>0</v>
      </c>
      <c r="J342" s="8">
        <f>COUNTIFS('All Papers'!$D:$D,"*"&amp;$A342&amp;"*",'All Papers'!$G:$G,"*"&amp;Table1[[#Headers],[Big Data]]&amp;"*")</f>
        <v>0</v>
      </c>
      <c r="K342" s="8">
        <f>COUNTIFS('All Papers'!$D:$D,"*"&amp;$A342&amp;"*",'All Papers'!$G:$G,"*"&amp;Table1[[#Headers],[Energy Management]]&amp;"*")</f>
        <v>0</v>
      </c>
      <c r="L342" s="8">
        <f>COUNTIFS('All Papers'!$D:$D,"*"&amp;$A342&amp;"*",'All Papers'!$G:$G,"*"&amp;Table1[[#Headers],[Monitoring]]&amp;"*")</f>
        <v>0</v>
      </c>
      <c r="M342" s="8">
        <f>COUNTIFS('All Papers'!$D:$D,"*"&amp;$A342&amp;"*",'All Papers'!$G:$G,"*"&amp;Table1[[#Headers],[Pricing]]&amp;"*")</f>
        <v>0</v>
      </c>
    </row>
    <row r="343" spans="1:13" x14ac:dyDescent="0.25">
      <c r="A343" s="8" t="s">
        <v>2776</v>
      </c>
      <c r="B343" s="8">
        <f>COUNTIF('All Papers'!D:D,"*"&amp;Table1[[#This Row],[Name]]&amp;"*")</f>
        <v>1</v>
      </c>
      <c r="C343" s="8">
        <f>COUNTIFS('All Papers'!$D:$D,"*"&amp;$A343&amp;"*",'All Papers'!$G:$G,"*"&amp;Table1[[#Headers],[Composition]]&amp;"*")</f>
        <v>0</v>
      </c>
      <c r="D343" s="8">
        <f>COUNTIFS('All Papers'!$D:$D,"*"&amp;$A343&amp;"*",'All Papers'!$G:$G,"*"&amp;Table1[[#Headers],[Discovery]]&amp;"*")</f>
        <v>0</v>
      </c>
      <c r="E343" s="8">
        <f>COUNTIFS('All Papers'!$D:$D,"*"&amp;$A343&amp;"*",'All Papers'!$G:$G,"*"&amp;Table1[[#Headers],[Selection]]&amp;"*")</f>
        <v>0</v>
      </c>
      <c r="F343" s="8">
        <f>COUNTIFS('All Papers'!$D:$D,"*"&amp;$A343&amp;"*",'All Papers'!$G:$G,"*"&amp;Table1[[#Headers],[Recommendation]]&amp;"*")</f>
        <v>0</v>
      </c>
      <c r="G343" s="8">
        <f>COUNTIFS('All Papers'!$D:$D,"*"&amp;$A343&amp;"*",'All Papers'!$G:$G,"*"&amp;Table1[[#Headers],[Resource Management-CS]]&amp;"*")</f>
        <v>1</v>
      </c>
      <c r="H343" s="8">
        <f>COUNTIFS('All Papers'!$D:$D,"*"&amp;$A343&amp;"*",'All Papers'!$G:$G,"*"&amp;Table1[[#Headers],[Resource Management-PS]]&amp;"*")</f>
        <v>0</v>
      </c>
      <c r="I343" s="8">
        <f>COUNTIFS('All Papers'!$D:$D,"*"&amp;$A343&amp;"*",'All Papers'!$G:$G,"*"&amp;Table1[[#Headers],[SLA Management]]&amp;"*")</f>
        <v>0</v>
      </c>
      <c r="J343" s="8">
        <f>COUNTIFS('All Papers'!$D:$D,"*"&amp;$A343&amp;"*",'All Papers'!$G:$G,"*"&amp;Table1[[#Headers],[Big Data]]&amp;"*")</f>
        <v>0</v>
      </c>
      <c r="K343" s="8">
        <f>COUNTIFS('All Papers'!$D:$D,"*"&amp;$A343&amp;"*",'All Papers'!$G:$G,"*"&amp;Table1[[#Headers],[Energy Management]]&amp;"*")</f>
        <v>0</v>
      </c>
      <c r="L343" s="8">
        <f>COUNTIFS('All Papers'!$D:$D,"*"&amp;$A343&amp;"*",'All Papers'!$G:$G,"*"&amp;Table1[[#Headers],[Monitoring]]&amp;"*")</f>
        <v>0</v>
      </c>
      <c r="M343" s="8">
        <f>COUNTIFS('All Papers'!$D:$D,"*"&amp;$A343&amp;"*",'All Papers'!$G:$G,"*"&amp;Table1[[#Headers],[Pricing]]&amp;"*")</f>
        <v>0</v>
      </c>
    </row>
    <row r="344" spans="1:13" x14ac:dyDescent="0.25">
      <c r="A344" s="8" t="s">
        <v>2777</v>
      </c>
      <c r="B344" s="8">
        <f>COUNTIF('All Papers'!D:D,"*"&amp;Table1[[#This Row],[Name]]&amp;"*")</f>
        <v>1</v>
      </c>
      <c r="C344" s="8">
        <f>COUNTIFS('All Papers'!$D:$D,"*"&amp;$A344&amp;"*",'All Papers'!$G:$G,"*"&amp;Table1[[#Headers],[Composition]]&amp;"*")</f>
        <v>0</v>
      </c>
      <c r="D344" s="8">
        <f>COUNTIFS('All Papers'!$D:$D,"*"&amp;$A344&amp;"*",'All Papers'!$G:$G,"*"&amp;Table1[[#Headers],[Discovery]]&amp;"*")</f>
        <v>0</v>
      </c>
      <c r="E344" s="8">
        <f>COUNTIFS('All Papers'!$D:$D,"*"&amp;$A344&amp;"*",'All Papers'!$G:$G,"*"&amp;Table1[[#Headers],[Selection]]&amp;"*")</f>
        <v>0</v>
      </c>
      <c r="F344" s="8">
        <f>COUNTIFS('All Papers'!$D:$D,"*"&amp;$A344&amp;"*",'All Papers'!$G:$G,"*"&amp;Table1[[#Headers],[Recommendation]]&amp;"*")</f>
        <v>0</v>
      </c>
      <c r="G344" s="8">
        <f>COUNTIFS('All Papers'!$D:$D,"*"&amp;$A344&amp;"*",'All Papers'!$G:$G,"*"&amp;Table1[[#Headers],[Resource Management-CS]]&amp;"*")</f>
        <v>1</v>
      </c>
      <c r="H344" s="8">
        <f>COUNTIFS('All Papers'!$D:$D,"*"&amp;$A344&amp;"*",'All Papers'!$G:$G,"*"&amp;Table1[[#Headers],[Resource Management-PS]]&amp;"*")</f>
        <v>0</v>
      </c>
      <c r="I344" s="8">
        <f>COUNTIFS('All Papers'!$D:$D,"*"&amp;$A344&amp;"*",'All Papers'!$G:$G,"*"&amp;Table1[[#Headers],[SLA Management]]&amp;"*")</f>
        <v>0</v>
      </c>
      <c r="J344" s="8">
        <f>COUNTIFS('All Papers'!$D:$D,"*"&amp;$A344&amp;"*",'All Papers'!$G:$G,"*"&amp;Table1[[#Headers],[Big Data]]&amp;"*")</f>
        <v>0</v>
      </c>
      <c r="K344" s="8">
        <f>COUNTIFS('All Papers'!$D:$D,"*"&amp;$A344&amp;"*",'All Papers'!$G:$G,"*"&amp;Table1[[#Headers],[Energy Management]]&amp;"*")</f>
        <v>0</v>
      </c>
      <c r="L344" s="8">
        <f>COUNTIFS('All Papers'!$D:$D,"*"&amp;$A344&amp;"*",'All Papers'!$G:$G,"*"&amp;Table1[[#Headers],[Monitoring]]&amp;"*")</f>
        <v>0</v>
      </c>
      <c r="M344" s="8">
        <f>COUNTIFS('All Papers'!$D:$D,"*"&amp;$A344&amp;"*",'All Papers'!$G:$G,"*"&amp;Table1[[#Headers],[Pricing]]&amp;"*")</f>
        <v>0</v>
      </c>
    </row>
    <row r="345" spans="1:13" x14ac:dyDescent="0.25">
      <c r="A345" s="8" t="s">
        <v>2778</v>
      </c>
      <c r="B345" s="8">
        <f>COUNTIF('All Papers'!D:D,"*"&amp;Table1[[#This Row],[Name]]&amp;"*")</f>
        <v>1</v>
      </c>
      <c r="C345" s="8">
        <f>COUNTIFS('All Papers'!$D:$D,"*"&amp;$A345&amp;"*",'All Papers'!$G:$G,"*"&amp;Table1[[#Headers],[Composition]]&amp;"*")</f>
        <v>1</v>
      </c>
      <c r="D345" s="8">
        <f>COUNTIFS('All Papers'!$D:$D,"*"&amp;$A345&amp;"*",'All Papers'!$G:$G,"*"&amp;Table1[[#Headers],[Discovery]]&amp;"*")</f>
        <v>0</v>
      </c>
      <c r="E345" s="8">
        <f>COUNTIFS('All Papers'!$D:$D,"*"&amp;$A345&amp;"*",'All Papers'!$G:$G,"*"&amp;Table1[[#Headers],[Selection]]&amp;"*")</f>
        <v>0</v>
      </c>
      <c r="F345" s="8">
        <f>COUNTIFS('All Papers'!$D:$D,"*"&amp;$A345&amp;"*",'All Papers'!$G:$G,"*"&amp;Table1[[#Headers],[Recommendation]]&amp;"*")</f>
        <v>0</v>
      </c>
      <c r="G345" s="8">
        <f>COUNTIFS('All Papers'!$D:$D,"*"&amp;$A345&amp;"*",'All Papers'!$G:$G,"*"&amp;Table1[[#Headers],[Resource Management-CS]]&amp;"*")</f>
        <v>0</v>
      </c>
      <c r="H345" s="8">
        <f>COUNTIFS('All Papers'!$D:$D,"*"&amp;$A345&amp;"*",'All Papers'!$G:$G,"*"&amp;Table1[[#Headers],[Resource Management-PS]]&amp;"*")</f>
        <v>0</v>
      </c>
      <c r="I345" s="8">
        <f>COUNTIFS('All Papers'!$D:$D,"*"&amp;$A345&amp;"*",'All Papers'!$G:$G,"*"&amp;Table1[[#Headers],[SLA Management]]&amp;"*")</f>
        <v>0</v>
      </c>
      <c r="J345" s="8">
        <f>COUNTIFS('All Papers'!$D:$D,"*"&amp;$A345&amp;"*",'All Papers'!$G:$G,"*"&amp;Table1[[#Headers],[Big Data]]&amp;"*")</f>
        <v>0</v>
      </c>
      <c r="K345" s="8">
        <f>COUNTIFS('All Papers'!$D:$D,"*"&amp;$A345&amp;"*",'All Papers'!$G:$G,"*"&amp;Table1[[#Headers],[Energy Management]]&amp;"*")</f>
        <v>0</v>
      </c>
      <c r="L345" s="8">
        <f>COUNTIFS('All Papers'!$D:$D,"*"&amp;$A345&amp;"*",'All Papers'!$G:$G,"*"&amp;Table1[[#Headers],[Monitoring]]&amp;"*")</f>
        <v>0</v>
      </c>
      <c r="M345" s="8">
        <f>COUNTIFS('All Papers'!$D:$D,"*"&amp;$A345&amp;"*",'All Papers'!$G:$G,"*"&amp;Table1[[#Headers],[Pricing]]&amp;"*")</f>
        <v>0</v>
      </c>
    </row>
    <row r="346" spans="1:13" x14ac:dyDescent="0.25">
      <c r="A346" s="8" t="s">
        <v>2779</v>
      </c>
      <c r="B346" s="8">
        <f>COUNTIF('All Papers'!D:D,"*"&amp;Table1[[#This Row],[Name]]&amp;"*")</f>
        <v>1</v>
      </c>
      <c r="C346" s="8">
        <f>COUNTIFS('All Papers'!$D:$D,"*"&amp;$A346&amp;"*",'All Papers'!$G:$G,"*"&amp;Table1[[#Headers],[Composition]]&amp;"*")</f>
        <v>1</v>
      </c>
      <c r="D346" s="8">
        <f>COUNTIFS('All Papers'!$D:$D,"*"&amp;$A346&amp;"*",'All Papers'!$G:$G,"*"&amp;Table1[[#Headers],[Discovery]]&amp;"*")</f>
        <v>0</v>
      </c>
      <c r="E346" s="8">
        <f>COUNTIFS('All Papers'!$D:$D,"*"&amp;$A346&amp;"*",'All Papers'!$G:$G,"*"&amp;Table1[[#Headers],[Selection]]&amp;"*")</f>
        <v>0</v>
      </c>
      <c r="F346" s="8">
        <f>COUNTIFS('All Papers'!$D:$D,"*"&amp;$A346&amp;"*",'All Papers'!$G:$G,"*"&amp;Table1[[#Headers],[Recommendation]]&amp;"*")</f>
        <v>0</v>
      </c>
      <c r="G346" s="8">
        <f>COUNTIFS('All Papers'!$D:$D,"*"&amp;$A346&amp;"*",'All Papers'!$G:$G,"*"&amp;Table1[[#Headers],[Resource Management-CS]]&amp;"*")</f>
        <v>0</v>
      </c>
      <c r="H346" s="8">
        <f>COUNTIFS('All Papers'!$D:$D,"*"&amp;$A346&amp;"*",'All Papers'!$G:$G,"*"&amp;Table1[[#Headers],[Resource Management-PS]]&amp;"*")</f>
        <v>0</v>
      </c>
      <c r="I346" s="8">
        <f>COUNTIFS('All Papers'!$D:$D,"*"&amp;$A346&amp;"*",'All Papers'!$G:$G,"*"&amp;Table1[[#Headers],[SLA Management]]&amp;"*")</f>
        <v>0</v>
      </c>
      <c r="J346" s="8">
        <f>COUNTIFS('All Papers'!$D:$D,"*"&amp;$A346&amp;"*",'All Papers'!$G:$G,"*"&amp;Table1[[#Headers],[Big Data]]&amp;"*")</f>
        <v>0</v>
      </c>
      <c r="K346" s="8">
        <f>COUNTIFS('All Papers'!$D:$D,"*"&amp;$A346&amp;"*",'All Papers'!$G:$G,"*"&amp;Table1[[#Headers],[Energy Management]]&amp;"*")</f>
        <v>0</v>
      </c>
      <c r="L346" s="8">
        <f>COUNTIFS('All Papers'!$D:$D,"*"&amp;$A346&amp;"*",'All Papers'!$G:$G,"*"&amp;Table1[[#Headers],[Monitoring]]&amp;"*")</f>
        <v>0</v>
      </c>
      <c r="M346" s="8">
        <f>COUNTIFS('All Papers'!$D:$D,"*"&amp;$A346&amp;"*",'All Papers'!$G:$G,"*"&amp;Table1[[#Headers],[Pricing]]&amp;"*")</f>
        <v>0</v>
      </c>
    </row>
    <row r="347" spans="1:13" x14ac:dyDescent="0.25">
      <c r="A347" s="8" t="s">
        <v>2780</v>
      </c>
      <c r="B347" s="8">
        <f>COUNTIF('All Papers'!D:D,"*"&amp;Table1[[#This Row],[Name]]&amp;"*")</f>
        <v>1</v>
      </c>
      <c r="C347" s="8">
        <f>COUNTIFS('All Papers'!$D:$D,"*"&amp;$A347&amp;"*",'All Papers'!$G:$G,"*"&amp;Table1[[#Headers],[Composition]]&amp;"*")</f>
        <v>1</v>
      </c>
      <c r="D347" s="8">
        <f>COUNTIFS('All Papers'!$D:$D,"*"&amp;$A347&amp;"*",'All Papers'!$G:$G,"*"&amp;Table1[[#Headers],[Discovery]]&amp;"*")</f>
        <v>0</v>
      </c>
      <c r="E347" s="8">
        <f>COUNTIFS('All Papers'!$D:$D,"*"&amp;$A347&amp;"*",'All Papers'!$G:$G,"*"&amp;Table1[[#Headers],[Selection]]&amp;"*")</f>
        <v>0</v>
      </c>
      <c r="F347" s="8">
        <f>COUNTIFS('All Papers'!$D:$D,"*"&amp;$A347&amp;"*",'All Papers'!$G:$G,"*"&amp;Table1[[#Headers],[Recommendation]]&amp;"*")</f>
        <v>0</v>
      </c>
      <c r="G347" s="8">
        <f>COUNTIFS('All Papers'!$D:$D,"*"&amp;$A347&amp;"*",'All Papers'!$G:$G,"*"&amp;Table1[[#Headers],[Resource Management-CS]]&amp;"*")</f>
        <v>0</v>
      </c>
      <c r="H347" s="8">
        <f>COUNTIFS('All Papers'!$D:$D,"*"&amp;$A347&amp;"*",'All Papers'!$G:$G,"*"&amp;Table1[[#Headers],[Resource Management-PS]]&amp;"*")</f>
        <v>0</v>
      </c>
      <c r="I347" s="8">
        <f>COUNTIFS('All Papers'!$D:$D,"*"&amp;$A347&amp;"*",'All Papers'!$G:$G,"*"&amp;Table1[[#Headers],[SLA Management]]&amp;"*")</f>
        <v>0</v>
      </c>
      <c r="J347" s="8">
        <f>COUNTIFS('All Papers'!$D:$D,"*"&amp;$A347&amp;"*",'All Papers'!$G:$G,"*"&amp;Table1[[#Headers],[Big Data]]&amp;"*")</f>
        <v>0</v>
      </c>
      <c r="K347" s="8">
        <f>COUNTIFS('All Papers'!$D:$D,"*"&amp;$A347&amp;"*",'All Papers'!$G:$G,"*"&amp;Table1[[#Headers],[Energy Management]]&amp;"*")</f>
        <v>0</v>
      </c>
      <c r="L347" s="8">
        <f>COUNTIFS('All Papers'!$D:$D,"*"&amp;$A347&amp;"*",'All Papers'!$G:$G,"*"&amp;Table1[[#Headers],[Monitoring]]&amp;"*")</f>
        <v>0</v>
      </c>
      <c r="M347" s="8">
        <f>COUNTIFS('All Papers'!$D:$D,"*"&amp;$A347&amp;"*",'All Papers'!$G:$G,"*"&amp;Table1[[#Headers],[Pricing]]&amp;"*")</f>
        <v>0</v>
      </c>
    </row>
    <row r="348" spans="1:13" x14ac:dyDescent="0.25">
      <c r="A348" s="8" t="s">
        <v>2781</v>
      </c>
      <c r="B348" s="8">
        <f>COUNTIF('All Papers'!D:D,"*"&amp;Table1[[#This Row],[Name]]&amp;"*")</f>
        <v>1</v>
      </c>
      <c r="C348" s="8">
        <f>COUNTIFS('All Papers'!$D:$D,"*"&amp;$A348&amp;"*",'All Papers'!$G:$G,"*"&amp;Table1[[#Headers],[Composition]]&amp;"*")</f>
        <v>1</v>
      </c>
      <c r="D348" s="8">
        <f>COUNTIFS('All Papers'!$D:$D,"*"&amp;$A348&amp;"*",'All Papers'!$G:$G,"*"&amp;Table1[[#Headers],[Discovery]]&amp;"*")</f>
        <v>0</v>
      </c>
      <c r="E348" s="8">
        <f>COUNTIFS('All Papers'!$D:$D,"*"&amp;$A348&amp;"*",'All Papers'!$G:$G,"*"&amp;Table1[[#Headers],[Selection]]&amp;"*")</f>
        <v>0</v>
      </c>
      <c r="F348" s="8">
        <f>COUNTIFS('All Papers'!$D:$D,"*"&amp;$A348&amp;"*",'All Papers'!$G:$G,"*"&amp;Table1[[#Headers],[Recommendation]]&amp;"*")</f>
        <v>0</v>
      </c>
      <c r="G348" s="8">
        <f>COUNTIFS('All Papers'!$D:$D,"*"&amp;$A348&amp;"*",'All Papers'!$G:$G,"*"&amp;Table1[[#Headers],[Resource Management-CS]]&amp;"*")</f>
        <v>0</v>
      </c>
      <c r="H348" s="8">
        <f>COUNTIFS('All Papers'!$D:$D,"*"&amp;$A348&amp;"*",'All Papers'!$G:$G,"*"&amp;Table1[[#Headers],[Resource Management-PS]]&amp;"*")</f>
        <v>0</v>
      </c>
      <c r="I348" s="8">
        <f>COUNTIFS('All Papers'!$D:$D,"*"&amp;$A348&amp;"*",'All Papers'!$G:$G,"*"&amp;Table1[[#Headers],[SLA Management]]&amp;"*")</f>
        <v>0</v>
      </c>
      <c r="J348" s="8">
        <f>COUNTIFS('All Papers'!$D:$D,"*"&amp;$A348&amp;"*",'All Papers'!$G:$G,"*"&amp;Table1[[#Headers],[Big Data]]&amp;"*")</f>
        <v>0</v>
      </c>
      <c r="K348" s="8">
        <f>COUNTIFS('All Papers'!$D:$D,"*"&amp;$A348&amp;"*",'All Papers'!$G:$G,"*"&amp;Table1[[#Headers],[Energy Management]]&amp;"*")</f>
        <v>0</v>
      </c>
      <c r="L348" s="8">
        <f>COUNTIFS('All Papers'!$D:$D,"*"&amp;$A348&amp;"*",'All Papers'!$G:$G,"*"&amp;Table1[[#Headers],[Monitoring]]&amp;"*")</f>
        <v>0</v>
      </c>
      <c r="M348" s="8">
        <f>COUNTIFS('All Papers'!$D:$D,"*"&amp;$A348&amp;"*",'All Papers'!$G:$G,"*"&amp;Table1[[#Headers],[Pricing]]&amp;"*")</f>
        <v>0</v>
      </c>
    </row>
    <row r="349" spans="1:13" x14ac:dyDescent="0.25">
      <c r="A349" s="8" t="s">
        <v>2782</v>
      </c>
      <c r="B349" s="8">
        <f>COUNTIF('All Papers'!D:D,"*"&amp;Table1[[#This Row],[Name]]&amp;"*")</f>
        <v>1</v>
      </c>
      <c r="C349" s="8">
        <f>COUNTIFS('All Papers'!$D:$D,"*"&amp;$A349&amp;"*",'All Papers'!$G:$G,"*"&amp;Table1[[#Headers],[Composition]]&amp;"*")</f>
        <v>1</v>
      </c>
      <c r="D349" s="8">
        <f>COUNTIFS('All Papers'!$D:$D,"*"&amp;$A349&amp;"*",'All Papers'!$G:$G,"*"&amp;Table1[[#Headers],[Discovery]]&amp;"*")</f>
        <v>0</v>
      </c>
      <c r="E349" s="8">
        <f>COUNTIFS('All Papers'!$D:$D,"*"&amp;$A349&amp;"*",'All Papers'!$G:$G,"*"&amp;Table1[[#Headers],[Selection]]&amp;"*")</f>
        <v>0</v>
      </c>
      <c r="F349" s="8">
        <f>COUNTIFS('All Papers'!$D:$D,"*"&amp;$A349&amp;"*",'All Papers'!$G:$G,"*"&amp;Table1[[#Headers],[Recommendation]]&amp;"*")</f>
        <v>0</v>
      </c>
      <c r="G349" s="8">
        <f>COUNTIFS('All Papers'!$D:$D,"*"&amp;$A349&amp;"*",'All Papers'!$G:$G,"*"&amp;Table1[[#Headers],[Resource Management-CS]]&amp;"*")</f>
        <v>0</v>
      </c>
      <c r="H349" s="8">
        <f>COUNTIFS('All Papers'!$D:$D,"*"&amp;$A349&amp;"*",'All Papers'!$G:$G,"*"&amp;Table1[[#Headers],[Resource Management-PS]]&amp;"*")</f>
        <v>0</v>
      </c>
      <c r="I349" s="8">
        <f>COUNTIFS('All Papers'!$D:$D,"*"&amp;$A349&amp;"*",'All Papers'!$G:$G,"*"&amp;Table1[[#Headers],[SLA Management]]&amp;"*")</f>
        <v>0</v>
      </c>
      <c r="J349" s="8">
        <f>COUNTIFS('All Papers'!$D:$D,"*"&amp;$A349&amp;"*",'All Papers'!$G:$G,"*"&amp;Table1[[#Headers],[Big Data]]&amp;"*")</f>
        <v>0</v>
      </c>
      <c r="K349" s="8">
        <f>COUNTIFS('All Papers'!$D:$D,"*"&amp;$A349&amp;"*",'All Papers'!$G:$G,"*"&amp;Table1[[#Headers],[Energy Management]]&amp;"*")</f>
        <v>0</v>
      </c>
      <c r="L349" s="8">
        <f>COUNTIFS('All Papers'!$D:$D,"*"&amp;$A349&amp;"*",'All Papers'!$G:$G,"*"&amp;Table1[[#Headers],[Monitoring]]&amp;"*")</f>
        <v>0</v>
      </c>
      <c r="M349" s="8">
        <f>COUNTIFS('All Papers'!$D:$D,"*"&amp;$A349&amp;"*",'All Papers'!$G:$G,"*"&amp;Table1[[#Headers],[Pricing]]&amp;"*")</f>
        <v>0</v>
      </c>
    </row>
    <row r="350" spans="1:13" x14ac:dyDescent="0.25">
      <c r="A350" s="8" t="s">
        <v>2783</v>
      </c>
      <c r="B350" s="8">
        <f>COUNTIF('All Papers'!D:D,"*"&amp;Table1[[#This Row],[Name]]&amp;"*")</f>
        <v>1</v>
      </c>
      <c r="C350" s="8">
        <f>COUNTIFS('All Papers'!$D:$D,"*"&amp;$A350&amp;"*",'All Papers'!$G:$G,"*"&amp;Table1[[#Headers],[Composition]]&amp;"*")</f>
        <v>0</v>
      </c>
      <c r="D350" s="8">
        <f>COUNTIFS('All Papers'!$D:$D,"*"&amp;$A350&amp;"*",'All Papers'!$G:$G,"*"&amp;Table1[[#Headers],[Discovery]]&amp;"*")</f>
        <v>0</v>
      </c>
      <c r="E350" s="8">
        <f>COUNTIFS('All Papers'!$D:$D,"*"&amp;$A350&amp;"*",'All Papers'!$G:$G,"*"&amp;Table1[[#Headers],[Selection]]&amp;"*")</f>
        <v>0</v>
      </c>
      <c r="F350" s="8">
        <f>COUNTIFS('All Papers'!$D:$D,"*"&amp;$A350&amp;"*",'All Papers'!$G:$G,"*"&amp;Table1[[#Headers],[Recommendation]]&amp;"*")</f>
        <v>0</v>
      </c>
      <c r="G350" s="8">
        <f>COUNTIFS('All Papers'!$D:$D,"*"&amp;$A350&amp;"*",'All Papers'!$G:$G,"*"&amp;Table1[[#Headers],[Resource Management-CS]]&amp;"*")</f>
        <v>0</v>
      </c>
      <c r="H350" s="8">
        <f>COUNTIFS('All Papers'!$D:$D,"*"&amp;$A350&amp;"*",'All Papers'!$G:$G,"*"&amp;Table1[[#Headers],[Resource Management-PS]]&amp;"*")</f>
        <v>1</v>
      </c>
      <c r="I350" s="8">
        <f>COUNTIFS('All Papers'!$D:$D,"*"&amp;$A350&amp;"*",'All Papers'!$G:$G,"*"&amp;Table1[[#Headers],[SLA Management]]&amp;"*")</f>
        <v>0</v>
      </c>
      <c r="J350" s="8">
        <f>COUNTIFS('All Papers'!$D:$D,"*"&amp;$A350&amp;"*",'All Papers'!$G:$G,"*"&amp;Table1[[#Headers],[Big Data]]&amp;"*")</f>
        <v>0</v>
      </c>
      <c r="K350" s="8">
        <f>COUNTIFS('All Papers'!$D:$D,"*"&amp;$A350&amp;"*",'All Papers'!$G:$G,"*"&amp;Table1[[#Headers],[Energy Management]]&amp;"*")</f>
        <v>0</v>
      </c>
      <c r="L350" s="8">
        <f>COUNTIFS('All Papers'!$D:$D,"*"&amp;$A350&amp;"*",'All Papers'!$G:$G,"*"&amp;Table1[[#Headers],[Monitoring]]&amp;"*")</f>
        <v>0</v>
      </c>
      <c r="M350" s="8">
        <f>COUNTIFS('All Papers'!$D:$D,"*"&amp;$A350&amp;"*",'All Papers'!$G:$G,"*"&amp;Table1[[#Headers],[Pricing]]&amp;"*")</f>
        <v>0</v>
      </c>
    </row>
    <row r="351" spans="1:13" x14ac:dyDescent="0.25">
      <c r="A351" s="8" t="s">
        <v>2784</v>
      </c>
      <c r="B351" s="8">
        <f>COUNTIF('All Papers'!D:D,"*"&amp;Table1[[#This Row],[Name]]&amp;"*")</f>
        <v>1</v>
      </c>
      <c r="C351" s="8">
        <f>COUNTIFS('All Papers'!$D:$D,"*"&amp;$A351&amp;"*",'All Papers'!$G:$G,"*"&amp;Table1[[#Headers],[Composition]]&amp;"*")</f>
        <v>0</v>
      </c>
      <c r="D351" s="8">
        <f>COUNTIFS('All Papers'!$D:$D,"*"&amp;$A351&amp;"*",'All Papers'!$G:$G,"*"&amp;Table1[[#Headers],[Discovery]]&amp;"*")</f>
        <v>0</v>
      </c>
      <c r="E351" s="8">
        <f>COUNTIFS('All Papers'!$D:$D,"*"&amp;$A351&amp;"*",'All Papers'!$G:$G,"*"&amp;Table1[[#Headers],[Selection]]&amp;"*")</f>
        <v>0</v>
      </c>
      <c r="F351" s="8">
        <f>COUNTIFS('All Papers'!$D:$D,"*"&amp;$A351&amp;"*",'All Papers'!$G:$G,"*"&amp;Table1[[#Headers],[Recommendation]]&amp;"*")</f>
        <v>0</v>
      </c>
      <c r="G351" s="8">
        <f>COUNTIFS('All Papers'!$D:$D,"*"&amp;$A351&amp;"*",'All Papers'!$G:$G,"*"&amp;Table1[[#Headers],[Resource Management-CS]]&amp;"*")</f>
        <v>0</v>
      </c>
      <c r="H351" s="8">
        <f>COUNTIFS('All Papers'!$D:$D,"*"&amp;$A351&amp;"*",'All Papers'!$G:$G,"*"&amp;Table1[[#Headers],[Resource Management-PS]]&amp;"*")</f>
        <v>1</v>
      </c>
      <c r="I351" s="8">
        <f>COUNTIFS('All Papers'!$D:$D,"*"&amp;$A351&amp;"*",'All Papers'!$G:$G,"*"&amp;Table1[[#Headers],[SLA Management]]&amp;"*")</f>
        <v>0</v>
      </c>
      <c r="J351" s="8">
        <f>COUNTIFS('All Papers'!$D:$D,"*"&amp;$A351&amp;"*",'All Papers'!$G:$G,"*"&amp;Table1[[#Headers],[Big Data]]&amp;"*")</f>
        <v>0</v>
      </c>
      <c r="K351" s="8">
        <f>COUNTIFS('All Papers'!$D:$D,"*"&amp;$A351&amp;"*",'All Papers'!$G:$G,"*"&amp;Table1[[#Headers],[Energy Management]]&amp;"*")</f>
        <v>0</v>
      </c>
      <c r="L351" s="8">
        <f>COUNTIFS('All Papers'!$D:$D,"*"&amp;$A351&amp;"*",'All Papers'!$G:$G,"*"&amp;Table1[[#Headers],[Monitoring]]&amp;"*")</f>
        <v>0</v>
      </c>
      <c r="M351" s="8">
        <f>COUNTIFS('All Papers'!$D:$D,"*"&amp;$A351&amp;"*",'All Papers'!$G:$G,"*"&amp;Table1[[#Headers],[Pricing]]&amp;"*")</f>
        <v>0</v>
      </c>
    </row>
    <row r="352" spans="1:13" x14ac:dyDescent="0.25">
      <c r="A352" s="8" t="s">
        <v>2785</v>
      </c>
      <c r="B352" s="8">
        <f>COUNTIF('All Papers'!D:D,"*"&amp;Table1[[#This Row],[Name]]&amp;"*")</f>
        <v>1</v>
      </c>
      <c r="C352" s="8">
        <f>COUNTIFS('All Papers'!$D:$D,"*"&amp;$A352&amp;"*",'All Papers'!$G:$G,"*"&amp;Table1[[#Headers],[Composition]]&amp;"*")</f>
        <v>0</v>
      </c>
      <c r="D352" s="8">
        <f>COUNTIFS('All Papers'!$D:$D,"*"&amp;$A352&amp;"*",'All Papers'!$G:$G,"*"&amp;Table1[[#Headers],[Discovery]]&amp;"*")</f>
        <v>0</v>
      </c>
      <c r="E352" s="8">
        <f>COUNTIFS('All Papers'!$D:$D,"*"&amp;$A352&amp;"*",'All Papers'!$G:$G,"*"&amp;Table1[[#Headers],[Selection]]&amp;"*")</f>
        <v>0</v>
      </c>
      <c r="F352" s="8">
        <f>COUNTIFS('All Papers'!$D:$D,"*"&amp;$A352&amp;"*",'All Papers'!$G:$G,"*"&amp;Table1[[#Headers],[Recommendation]]&amp;"*")</f>
        <v>0</v>
      </c>
      <c r="G352" s="8">
        <f>COUNTIFS('All Papers'!$D:$D,"*"&amp;$A352&amp;"*",'All Papers'!$G:$G,"*"&amp;Table1[[#Headers],[Resource Management-CS]]&amp;"*")</f>
        <v>0</v>
      </c>
      <c r="H352" s="8">
        <f>COUNTIFS('All Papers'!$D:$D,"*"&amp;$A352&amp;"*",'All Papers'!$G:$G,"*"&amp;Table1[[#Headers],[Resource Management-PS]]&amp;"*")</f>
        <v>1</v>
      </c>
      <c r="I352" s="8">
        <f>COUNTIFS('All Papers'!$D:$D,"*"&amp;$A352&amp;"*",'All Papers'!$G:$G,"*"&amp;Table1[[#Headers],[SLA Management]]&amp;"*")</f>
        <v>0</v>
      </c>
      <c r="J352" s="8">
        <f>COUNTIFS('All Papers'!$D:$D,"*"&amp;$A352&amp;"*",'All Papers'!$G:$G,"*"&amp;Table1[[#Headers],[Big Data]]&amp;"*")</f>
        <v>0</v>
      </c>
      <c r="K352" s="8">
        <f>COUNTIFS('All Papers'!$D:$D,"*"&amp;$A352&amp;"*",'All Papers'!$G:$G,"*"&amp;Table1[[#Headers],[Energy Management]]&amp;"*")</f>
        <v>0</v>
      </c>
      <c r="L352" s="8">
        <f>COUNTIFS('All Papers'!$D:$D,"*"&amp;$A352&amp;"*",'All Papers'!$G:$G,"*"&amp;Table1[[#Headers],[Monitoring]]&amp;"*")</f>
        <v>0</v>
      </c>
      <c r="M352" s="8">
        <f>COUNTIFS('All Papers'!$D:$D,"*"&amp;$A352&amp;"*",'All Papers'!$G:$G,"*"&amp;Table1[[#Headers],[Pricing]]&amp;"*")</f>
        <v>0</v>
      </c>
    </row>
    <row r="353" spans="1:13" x14ac:dyDescent="0.25">
      <c r="A353" s="8" t="s">
        <v>2786</v>
      </c>
      <c r="B353" s="8">
        <f>COUNTIF('All Papers'!D:D,"*"&amp;Table1[[#This Row],[Name]]&amp;"*")</f>
        <v>1</v>
      </c>
      <c r="C353" s="8">
        <f>COUNTIFS('All Papers'!$D:$D,"*"&amp;$A353&amp;"*",'All Papers'!$G:$G,"*"&amp;Table1[[#Headers],[Composition]]&amp;"*")</f>
        <v>0</v>
      </c>
      <c r="D353" s="8">
        <f>COUNTIFS('All Papers'!$D:$D,"*"&amp;$A353&amp;"*",'All Papers'!$G:$G,"*"&amp;Table1[[#Headers],[Discovery]]&amp;"*")</f>
        <v>0</v>
      </c>
      <c r="E353" s="8">
        <f>COUNTIFS('All Papers'!$D:$D,"*"&amp;$A353&amp;"*",'All Papers'!$G:$G,"*"&amp;Table1[[#Headers],[Selection]]&amp;"*")</f>
        <v>0</v>
      </c>
      <c r="F353" s="8">
        <f>COUNTIFS('All Papers'!$D:$D,"*"&amp;$A353&amp;"*",'All Papers'!$G:$G,"*"&amp;Table1[[#Headers],[Recommendation]]&amp;"*")</f>
        <v>0</v>
      </c>
      <c r="G353" s="8">
        <f>COUNTIFS('All Papers'!$D:$D,"*"&amp;$A353&amp;"*",'All Papers'!$G:$G,"*"&amp;Table1[[#Headers],[Resource Management-CS]]&amp;"*")</f>
        <v>0</v>
      </c>
      <c r="H353" s="8">
        <f>COUNTIFS('All Papers'!$D:$D,"*"&amp;$A353&amp;"*",'All Papers'!$G:$G,"*"&amp;Table1[[#Headers],[Resource Management-PS]]&amp;"*")</f>
        <v>1</v>
      </c>
      <c r="I353" s="8">
        <f>COUNTIFS('All Papers'!$D:$D,"*"&amp;$A353&amp;"*",'All Papers'!$G:$G,"*"&amp;Table1[[#Headers],[SLA Management]]&amp;"*")</f>
        <v>0</v>
      </c>
      <c r="J353" s="8">
        <f>COUNTIFS('All Papers'!$D:$D,"*"&amp;$A353&amp;"*",'All Papers'!$G:$G,"*"&amp;Table1[[#Headers],[Big Data]]&amp;"*")</f>
        <v>0</v>
      </c>
      <c r="K353" s="8">
        <f>COUNTIFS('All Papers'!$D:$D,"*"&amp;$A353&amp;"*",'All Papers'!$G:$G,"*"&amp;Table1[[#Headers],[Energy Management]]&amp;"*")</f>
        <v>0</v>
      </c>
      <c r="L353" s="8">
        <f>COUNTIFS('All Papers'!$D:$D,"*"&amp;$A353&amp;"*",'All Papers'!$G:$G,"*"&amp;Table1[[#Headers],[Monitoring]]&amp;"*")</f>
        <v>0</v>
      </c>
      <c r="M353" s="8">
        <f>COUNTIFS('All Papers'!$D:$D,"*"&amp;$A353&amp;"*",'All Papers'!$G:$G,"*"&amp;Table1[[#Headers],[Pricing]]&amp;"*")</f>
        <v>0</v>
      </c>
    </row>
    <row r="354" spans="1:13" x14ac:dyDescent="0.25">
      <c r="A354" s="8" t="s">
        <v>2787</v>
      </c>
      <c r="B354" s="8">
        <f>COUNTIF('All Papers'!D:D,"*"&amp;Table1[[#This Row],[Name]]&amp;"*")</f>
        <v>1</v>
      </c>
      <c r="C354" s="8">
        <f>COUNTIFS('All Papers'!$D:$D,"*"&amp;$A354&amp;"*",'All Papers'!$G:$G,"*"&amp;Table1[[#Headers],[Composition]]&amp;"*")</f>
        <v>1</v>
      </c>
      <c r="D354" s="8">
        <f>COUNTIFS('All Papers'!$D:$D,"*"&amp;$A354&amp;"*",'All Papers'!$G:$G,"*"&amp;Table1[[#Headers],[Discovery]]&amp;"*")</f>
        <v>0</v>
      </c>
      <c r="E354" s="8">
        <f>COUNTIFS('All Papers'!$D:$D,"*"&amp;$A354&amp;"*",'All Papers'!$G:$G,"*"&amp;Table1[[#Headers],[Selection]]&amp;"*")</f>
        <v>0</v>
      </c>
      <c r="F354" s="8">
        <f>COUNTIFS('All Papers'!$D:$D,"*"&amp;$A354&amp;"*",'All Papers'!$G:$G,"*"&amp;Table1[[#Headers],[Recommendation]]&amp;"*")</f>
        <v>0</v>
      </c>
      <c r="G354" s="8">
        <f>COUNTIFS('All Papers'!$D:$D,"*"&amp;$A354&amp;"*",'All Papers'!$G:$G,"*"&amp;Table1[[#Headers],[Resource Management-CS]]&amp;"*")</f>
        <v>0</v>
      </c>
      <c r="H354" s="8">
        <f>COUNTIFS('All Papers'!$D:$D,"*"&amp;$A354&amp;"*",'All Papers'!$G:$G,"*"&amp;Table1[[#Headers],[Resource Management-PS]]&amp;"*")</f>
        <v>0</v>
      </c>
      <c r="I354" s="8">
        <f>COUNTIFS('All Papers'!$D:$D,"*"&amp;$A354&amp;"*",'All Papers'!$G:$G,"*"&amp;Table1[[#Headers],[SLA Management]]&amp;"*")</f>
        <v>0</v>
      </c>
      <c r="J354" s="8">
        <f>COUNTIFS('All Papers'!$D:$D,"*"&amp;$A354&amp;"*",'All Papers'!$G:$G,"*"&amp;Table1[[#Headers],[Big Data]]&amp;"*")</f>
        <v>0</v>
      </c>
      <c r="K354" s="8">
        <f>COUNTIFS('All Papers'!$D:$D,"*"&amp;$A354&amp;"*",'All Papers'!$G:$G,"*"&amp;Table1[[#Headers],[Energy Management]]&amp;"*")</f>
        <v>1</v>
      </c>
      <c r="L354" s="8">
        <f>COUNTIFS('All Papers'!$D:$D,"*"&amp;$A354&amp;"*",'All Papers'!$G:$G,"*"&amp;Table1[[#Headers],[Monitoring]]&amp;"*")</f>
        <v>0</v>
      </c>
      <c r="M354" s="8">
        <f>COUNTIFS('All Papers'!$D:$D,"*"&amp;$A354&amp;"*",'All Papers'!$G:$G,"*"&amp;Table1[[#Headers],[Pricing]]&amp;"*")</f>
        <v>0</v>
      </c>
    </row>
    <row r="355" spans="1:13" x14ac:dyDescent="0.25">
      <c r="A355" s="8" t="s">
        <v>2788</v>
      </c>
      <c r="B355" s="8">
        <f>COUNTIF('All Papers'!D:D,"*"&amp;Table1[[#This Row],[Name]]&amp;"*")</f>
        <v>1</v>
      </c>
      <c r="C355" s="8">
        <f>COUNTIFS('All Papers'!$D:$D,"*"&amp;$A355&amp;"*",'All Papers'!$G:$G,"*"&amp;Table1[[#Headers],[Composition]]&amp;"*")</f>
        <v>1</v>
      </c>
      <c r="D355" s="8">
        <f>COUNTIFS('All Papers'!$D:$D,"*"&amp;$A355&amp;"*",'All Papers'!$G:$G,"*"&amp;Table1[[#Headers],[Discovery]]&amp;"*")</f>
        <v>0</v>
      </c>
      <c r="E355" s="8">
        <f>COUNTIFS('All Papers'!$D:$D,"*"&amp;$A355&amp;"*",'All Papers'!$G:$G,"*"&amp;Table1[[#Headers],[Selection]]&amp;"*")</f>
        <v>0</v>
      </c>
      <c r="F355" s="8">
        <f>COUNTIFS('All Papers'!$D:$D,"*"&amp;$A355&amp;"*",'All Papers'!$G:$G,"*"&amp;Table1[[#Headers],[Recommendation]]&amp;"*")</f>
        <v>0</v>
      </c>
      <c r="G355" s="8">
        <f>COUNTIFS('All Papers'!$D:$D,"*"&amp;$A355&amp;"*",'All Papers'!$G:$G,"*"&amp;Table1[[#Headers],[Resource Management-CS]]&amp;"*")</f>
        <v>0</v>
      </c>
      <c r="H355" s="8">
        <f>COUNTIFS('All Papers'!$D:$D,"*"&amp;$A355&amp;"*",'All Papers'!$G:$G,"*"&amp;Table1[[#Headers],[Resource Management-PS]]&amp;"*")</f>
        <v>0</v>
      </c>
      <c r="I355" s="8">
        <f>COUNTIFS('All Papers'!$D:$D,"*"&amp;$A355&amp;"*",'All Papers'!$G:$G,"*"&amp;Table1[[#Headers],[SLA Management]]&amp;"*")</f>
        <v>0</v>
      </c>
      <c r="J355" s="8">
        <f>COUNTIFS('All Papers'!$D:$D,"*"&amp;$A355&amp;"*",'All Papers'!$G:$G,"*"&amp;Table1[[#Headers],[Big Data]]&amp;"*")</f>
        <v>0</v>
      </c>
      <c r="K355" s="8">
        <f>COUNTIFS('All Papers'!$D:$D,"*"&amp;$A355&amp;"*",'All Papers'!$G:$G,"*"&amp;Table1[[#Headers],[Energy Management]]&amp;"*")</f>
        <v>1</v>
      </c>
      <c r="L355" s="8">
        <f>COUNTIFS('All Papers'!$D:$D,"*"&amp;$A355&amp;"*",'All Papers'!$G:$G,"*"&amp;Table1[[#Headers],[Monitoring]]&amp;"*")</f>
        <v>0</v>
      </c>
      <c r="M355" s="8">
        <f>COUNTIFS('All Papers'!$D:$D,"*"&amp;$A355&amp;"*",'All Papers'!$G:$G,"*"&amp;Table1[[#Headers],[Pricing]]&amp;"*")</f>
        <v>0</v>
      </c>
    </row>
    <row r="356" spans="1:13" x14ac:dyDescent="0.25">
      <c r="A356" s="8" t="s">
        <v>2789</v>
      </c>
      <c r="B356" s="8">
        <f>COUNTIF('All Papers'!D:D,"*"&amp;Table1[[#This Row],[Name]]&amp;"*")</f>
        <v>1</v>
      </c>
      <c r="C356" s="8">
        <f>COUNTIFS('All Papers'!$D:$D,"*"&amp;$A356&amp;"*",'All Papers'!$G:$G,"*"&amp;Table1[[#Headers],[Composition]]&amp;"*")</f>
        <v>1</v>
      </c>
      <c r="D356" s="8">
        <f>COUNTIFS('All Papers'!$D:$D,"*"&amp;$A356&amp;"*",'All Papers'!$G:$G,"*"&amp;Table1[[#Headers],[Discovery]]&amp;"*")</f>
        <v>0</v>
      </c>
      <c r="E356" s="8">
        <f>COUNTIFS('All Papers'!$D:$D,"*"&amp;$A356&amp;"*",'All Papers'!$G:$G,"*"&amp;Table1[[#Headers],[Selection]]&amp;"*")</f>
        <v>0</v>
      </c>
      <c r="F356" s="8">
        <f>COUNTIFS('All Papers'!$D:$D,"*"&amp;$A356&amp;"*",'All Papers'!$G:$G,"*"&amp;Table1[[#Headers],[Recommendation]]&amp;"*")</f>
        <v>0</v>
      </c>
      <c r="G356" s="8">
        <f>COUNTIFS('All Papers'!$D:$D,"*"&amp;$A356&amp;"*",'All Papers'!$G:$G,"*"&amp;Table1[[#Headers],[Resource Management-CS]]&amp;"*")</f>
        <v>0</v>
      </c>
      <c r="H356" s="8">
        <f>COUNTIFS('All Papers'!$D:$D,"*"&amp;$A356&amp;"*",'All Papers'!$G:$G,"*"&amp;Table1[[#Headers],[Resource Management-PS]]&amp;"*")</f>
        <v>0</v>
      </c>
      <c r="I356" s="8">
        <f>COUNTIFS('All Papers'!$D:$D,"*"&amp;$A356&amp;"*",'All Papers'!$G:$G,"*"&amp;Table1[[#Headers],[SLA Management]]&amp;"*")</f>
        <v>0</v>
      </c>
      <c r="J356" s="8">
        <f>COUNTIFS('All Papers'!$D:$D,"*"&amp;$A356&amp;"*",'All Papers'!$G:$G,"*"&amp;Table1[[#Headers],[Big Data]]&amp;"*")</f>
        <v>0</v>
      </c>
      <c r="K356" s="8">
        <f>COUNTIFS('All Papers'!$D:$D,"*"&amp;$A356&amp;"*",'All Papers'!$G:$G,"*"&amp;Table1[[#Headers],[Energy Management]]&amp;"*")</f>
        <v>1</v>
      </c>
      <c r="L356" s="8">
        <f>COUNTIFS('All Papers'!$D:$D,"*"&amp;$A356&amp;"*",'All Papers'!$G:$G,"*"&amp;Table1[[#Headers],[Monitoring]]&amp;"*")</f>
        <v>0</v>
      </c>
      <c r="M356" s="8">
        <f>COUNTIFS('All Papers'!$D:$D,"*"&amp;$A356&amp;"*",'All Papers'!$G:$G,"*"&amp;Table1[[#Headers],[Pricing]]&amp;"*")</f>
        <v>0</v>
      </c>
    </row>
    <row r="357" spans="1:13" x14ac:dyDescent="0.25">
      <c r="A357" s="8" t="s">
        <v>2790</v>
      </c>
      <c r="B357" s="8">
        <f>COUNTIF('All Papers'!D:D,"*"&amp;Table1[[#This Row],[Name]]&amp;"*")</f>
        <v>1</v>
      </c>
      <c r="C357" s="8">
        <f>COUNTIFS('All Papers'!$D:$D,"*"&amp;$A357&amp;"*",'All Papers'!$G:$G,"*"&amp;Table1[[#Headers],[Composition]]&amp;"*")</f>
        <v>1</v>
      </c>
      <c r="D357" s="8">
        <f>COUNTIFS('All Papers'!$D:$D,"*"&amp;$A357&amp;"*",'All Papers'!$G:$G,"*"&amp;Table1[[#Headers],[Discovery]]&amp;"*")</f>
        <v>0</v>
      </c>
      <c r="E357" s="8">
        <f>COUNTIFS('All Papers'!$D:$D,"*"&amp;$A357&amp;"*",'All Papers'!$G:$G,"*"&amp;Table1[[#Headers],[Selection]]&amp;"*")</f>
        <v>0</v>
      </c>
      <c r="F357" s="8">
        <f>COUNTIFS('All Papers'!$D:$D,"*"&amp;$A357&amp;"*",'All Papers'!$G:$G,"*"&amp;Table1[[#Headers],[Recommendation]]&amp;"*")</f>
        <v>0</v>
      </c>
      <c r="G357" s="8">
        <f>COUNTIFS('All Papers'!$D:$D,"*"&amp;$A357&amp;"*",'All Papers'!$G:$G,"*"&amp;Table1[[#Headers],[Resource Management-CS]]&amp;"*")</f>
        <v>0</v>
      </c>
      <c r="H357" s="8">
        <f>COUNTIFS('All Papers'!$D:$D,"*"&amp;$A357&amp;"*",'All Papers'!$G:$G,"*"&amp;Table1[[#Headers],[Resource Management-PS]]&amp;"*")</f>
        <v>0</v>
      </c>
      <c r="I357" s="8">
        <f>COUNTIFS('All Papers'!$D:$D,"*"&amp;$A357&amp;"*",'All Papers'!$G:$G,"*"&amp;Table1[[#Headers],[SLA Management]]&amp;"*")</f>
        <v>0</v>
      </c>
      <c r="J357" s="8">
        <f>COUNTIFS('All Papers'!$D:$D,"*"&amp;$A357&amp;"*",'All Papers'!$G:$G,"*"&amp;Table1[[#Headers],[Big Data]]&amp;"*")</f>
        <v>0</v>
      </c>
      <c r="K357" s="8">
        <f>COUNTIFS('All Papers'!$D:$D,"*"&amp;$A357&amp;"*",'All Papers'!$G:$G,"*"&amp;Table1[[#Headers],[Energy Management]]&amp;"*")</f>
        <v>1</v>
      </c>
      <c r="L357" s="8">
        <f>COUNTIFS('All Papers'!$D:$D,"*"&amp;$A357&amp;"*",'All Papers'!$G:$G,"*"&amp;Table1[[#Headers],[Monitoring]]&amp;"*")</f>
        <v>0</v>
      </c>
      <c r="M357" s="8">
        <f>COUNTIFS('All Papers'!$D:$D,"*"&amp;$A357&amp;"*",'All Papers'!$G:$G,"*"&amp;Table1[[#Headers],[Pricing]]&amp;"*")</f>
        <v>0</v>
      </c>
    </row>
    <row r="358" spans="1:13" x14ac:dyDescent="0.25">
      <c r="A358" s="8" t="s">
        <v>2791</v>
      </c>
      <c r="B358" s="8">
        <f>COUNTIF('All Papers'!D:D,"*"&amp;Table1[[#This Row],[Name]]&amp;"*")</f>
        <v>1</v>
      </c>
      <c r="C358" s="8">
        <f>COUNTIFS('All Papers'!$D:$D,"*"&amp;$A358&amp;"*",'All Papers'!$G:$G,"*"&amp;Table1[[#Headers],[Composition]]&amp;"*")</f>
        <v>0</v>
      </c>
      <c r="D358" s="8">
        <f>COUNTIFS('All Papers'!$D:$D,"*"&amp;$A358&amp;"*",'All Papers'!$G:$G,"*"&amp;Table1[[#Headers],[Discovery]]&amp;"*")</f>
        <v>0</v>
      </c>
      <c r="E358" s="8">
        <f>COUNTIFS('All Papers'!$D:$D,"*"&amp;$A358&amp;"*",'All Papers'!$G:$G,"*"&amp;Table1[[#Headers],[Selection]]&amp;"*")</f>
        <v>0</v>
      </c>
      <c r="F358" s="8">
        <f>COUNTIFS('All Papers'!$D:$D,"*"&amp;$A358&amp;"*",'All Papers'!$G:$G,"*"&amp;Table1[[#Headers],[Recommendation]]&amp;"*")</f>
        <v>0</v>
      </c>
      <c r="G358" s="8">
        <f>COUNTIFS('All Papers'!$D:$D,"*"&amp;$A358&amp;"*",'All Papers'!$G:$G,"*"&amp;Table1[[#Headers],[Resource Management-CS]]&amp;"*")</f>
        <v>0</v>
      </c>
      <c r="H358" s="8">
        <f>COUNTIFS('All Papers'!$D:$D,"*"&amp;$A358&amp;"*",'All Papers'!$G:$G,"*"&amp;Table1[[#Headers],[Resource Management-PS]]&amp;"*")</f>
        <v>0</v>
      </c>
      <c r="I358" s="8">
        <f>COUNTIFS('All Papers'!$D:$D,"*"&amp;$A358&amp;"*",'All Papers'!$G:$G,"*"&amp;Table1[[#Headers],[SLA Management]]&amp;"*")</f>
        <v>0</v>
      </c>
      <c r="J358" s="8">
        <f>COUNTIFS('All Papers'!$D:$D,"*"&amp;$A358&amp;"*",'All Papers'!$G:$G,"*"&amp;Table1[[#Headers],[Big Data]]&amp;"*")</f>
        <v>1</v>
      </c>
      <c r="K358" s="8">
        <f>COUNTIFS('All Papers'!$D:$D,"*"&amp;$A358&amp;"*",'All Papers'!$G:$G,"*"&amp;Table1[[#Headers],[Energy Management]]&amp;"*")</f>
        <v>0</v>
      </c>
      <c r="L358" s="8">
        <f>COUNTIFS('All Papers'!$D:$D,"*"&amp;$A358&amp;"*",'All Papers'!$G:$G,"*"&amp;Table1[[#Headers],[Monitoring]]&amp;"*")</f>
        <v>0</v>
      </c>
      <c r="M358" s="8">
        <f>COUNTIFS('All Papers'!$D:$D,"*"&amp;$A358&amp;"*",'All Papers'!$G:$G,"*"&amp;Table1[[#Headers],[Pricing]]&amp;"*")</f>
        <v>0</v>
      </c>
    </row>
    <row r="359" spans="1:13" x14ac:dyDescent="0.25">
      <c r="A359" s="8" t="s">
        <v>2792</v>
      </c>
      <c r="B359" s="8">
        <f>COUNTIF('All Papers'!D:D,"*"&amp;Table1[[#This Row],[Name]]&amp;"*")</f>
        <v>1</v>
      </c>
      <c r="C359" s="8">
        <f>COUNTIFS('All Papers'!$D:$D,"*"&amp;$A359&amp;"*",'All Papers'!$G:$G,"*"&amp;Table1[[#Headers],[Composition]]&amp;"*")</f>
        <v>0</v>
      </c>
      <c r="D359" s="8">
        <f>COUNTIFS('All Papers'!$D:$D,"*"&amp;$A359&amp;"*",'All Papers'!$G:$G,"*"&amp;Table1[[#Headers],[Discovery]]&amp;"*")</f>
        <v>0</v>
      </c>
      <c r="E359" s="8">
        <f>COUNTIFS('All Papers'!$D:$D,"*"&amp;$A359&amp;"*",'All Papers'!$G:$G,"*"&amp;Table1[[#Headers],[Selection]]&amp;"*")</f>
        <v>0</v>
      </c>
      <c r="F359" s="8">
        <f>COUNTIFS('All Papers'!$D:$D,"*"&amp;$A359&amp;"*",'All Papers'!$G:$G,"*"&amp;Table1[[#Headers],[Recommendation]]&amp;"*")</f>
        <v>0</v>
      </c>
      <c r="G359" s="8">
        <f>COUNTIFS('All Papers'!$D:$D,"*"&amp;$A359&amp;"*",'All Papers'!$G:$G,"*"&amp;Table1[[#Headers],[Resource Management-CS]]&amp;"*")</f>
        <v>0</v>
      </c>
      <c r="H359" s="8">
        <f>COUNTIFS('All Papers'!$D:$D,"*"&amp;$A359&amp;"*",'All Papers'!$G:$G,"*"&amp;Table1[[#Headers],[Resource Management-PS]]&amp;"*")</f>
        <v>0</v>
      </c>
      <c r="I359" s="8">
        <f>COUNTIFS('All Papers'!$D:$D,"*"&amp;$A359&amp;"*",'All Papers'!$G:$G,"*"&amp;Table1[[#Headers],[SLA Management]]&amp;"*")</f>
        <v>0</v>
      </c>
      <c r="J359" s="8">
        <f>COUNTIFS('All Papers'!$D:$D,"*"&amp;$A359&amp;"*",'All Papers'!$G:$G,"*"&amp;Table1[[#Headers],[Big Data]]&amp;"*")</f>
        <v>1</v>
      </c>
      <c r="K359" s="8">
        <f>COUNTIFS('All Papers'!$D:$D,"*"&amp;$A359&amp;"*",'All Papers'!$G:$G,"*"&amp;Table1[[#Headers],[Energy Management]]&amp;"*")</f>
        <v>0</v>
      </c>
      <c r="L359" s="8">
        <f>COUNTIFS('All Papers'!$D:$D,"*"&amp;$A359&amp;"*",'All Papers'!$G:$G,"*"&amp;Table1[[#Headers],[Monitoring]]&amp;"*")</f>
        <v>0</v>
      </c>
      <c r="M359" s="8">
        <f>COUNTIFS('All Papers'!$D:$D,"*"&amp;$A359&amp;"*",'All Papers'!$G:$G,"*"&amp;Table1[[#Headers],[Pricing]]&amp;"*")</f>
        <v>0</v>
      </c>
    </row>
    <row r="360" spans="1:13" x14ac:dyDescent="0.25">
      <c r="A360" s="8" t="s">
        <v>2793</v>
      </c>
      <c r="B360" s="8">
        <f>COUNTIF('All Papers'!D:D,"*"&amp;Table1[[#This Row],[Name]]&amp;"*")</f>
        <v>1</v>
      </c>
      <c r="C360" s="8">
        <f>COUNTIFS('All Papers'!$D:$D,"*"&amp;$A360&amp;"*",'All Papers'!$G:$G,"*"&amp;Table1[[#Headers],[Composition]]&amp;"*")</f>
        <v>0</v>
      </c>
      <c r="D360" s="8">
        <f>COUNTIFS('All Papers'!$D:$D,"*"&amp;$A360&amp;"*",'All Papers'!$G:$G,"*"&amp;Table1[[#Headers],[Discovery]]&amp;"*")</f>
        <v>0</v>
      </c>
      <c r="E360" s="8">
        <f>COUNTIFS('All Papers'!$D:$D,"*"&amp;$A360&amp;"*",'All Papers'!$G:$G,"*"&amp;Table1[[#Headers],[Selection]]&amp;"*")</f>
        <v>0</v>
      </c>
      <c r="F360" s="8">
        <f>COUNTIFS('All Papers'!$D:$D,"*"&amp;$A360&amp;"*",'All Papers'!$G:$G,"*"&amp;Table1[[#Headers],[Recommendation]]&amp;"*")</f>
        <v>0</v>
      </c>
      <c r="G360" s="8">
        <f>COUNTIFS('All Papers'!$D:$D,"*"&amp;$A360&amp;"*",'All Papers'!$G:$G,"*"&amp;Table1[[#Headers],[Resource Management-CS]]&amp;"*")</f>
        <v>1</v>
      </c>
      <c r="H360" s="8">
        <f>COUNTIFS('All Papers'!$D:$D,"*"&amp;$A360&amp;"*",'All Papers'!$G:$G,"*"&amp;Table1[[#Headers],[Resource Management-PS]]&amp;"*")</f>
        <v>0</v>
      </c>
      <c r="I360" s="8">
        <f>COUNTIFS('All Papers'!$D:$D,"*"&amp;$A360&amp;"*",'All Papers'!$G:$G,"*"&amp;Table1[[#Headers],[SLA Management]]&amp;"*")</f>
        <v>0</v>
      </c>
      <c r="J360" s="8">
        <f>COUNTIFS('All Papers'!$D:$D,"*"&amp;$A360&amp;"*",'All Papers'!$G:$G,"*"&amp;Table1[[#Headers],[Big Data]]&amp;"*")</f>
        <v>0</v>
      </c>
      <c r="K360" s="8">
        <f>COUNTIFS('All Papers'!$D:$D,"*"&amp;$A360&amp;"*",'All Papers'!$G:$G,"*"&amp;Table1[[#Headers],[Energy Management]]&amp;"*")</f>
        <v>0</v>
      </c>
      <c r="L360" s="8">
        <f>COUNTIFS('All Papers'!$D:$D,"*"&amp;$A360&amp;"*",'All Papers'!$G:$G,"*"&amp;Table1[[#Headers],[Monitoring]]&amp;"*")</f>
        <v>0</v>
      </c>
      <c r="M360" s="8">
        <f>COUNTIFS('All Papers'!$D:$D,"*"&amp;$A360&amp;"*",'All Papers'!$G:$G,"*"&amp;Table1[[#Headers],[Pricing]]&amp;"*")</f>
        <v>0</v>
      </c>
    </row>
    <row r="361" spans="1:13" x14ac:dyDescent="0.25">
      <c r="A361" s="8" t="s">
        <v>2794</v>
      </c>
      <c r="B361" s="8">
        <f>COUNTIF('All Papers'!D:D,"*"&amp;Table1[[#This Row],[Name]]&amp;"*")</f>
        <v>1</v>
      </c>
      <c r="C361" s="8">
        <f>COUNTIFS('All Papers'!$D:$D,"*"&amp;$A361&amp;"*",'All Papers'!$G:$G,"*"&amp;Table1[[#Headers],[Composition]]&amp;"*")</f>
        <v>0</v>
      </c>
      <c r="D361" s="8">
        <f>COUNTIFS('All Papers'!$D:$D,"*"&amp;$A361&amp;"*",'All Papers'!$G:$G,"*"&amp;Table1[[#Headers],[Discovery]]&amp;"*")</f>
        <v>0</v>
      </c>
      <c r="E361" s="8">
        <f>COUNTIFS('All Papers'!$D:$D,"*"&amp;$A361&amp;"*",'All Papers'!$G:$G,"*"&amp;Table1[[#Headers],[Selection]]&amp;"*")</f>
        <v>0</v>
      </c>
      <c r="F361" s="8">
        <f>COUNTIFS('All Papers'!$D:$D,"*"&amp;$A361&amp;"*",'All Papers'!$G:$G,"*"&amp;Table1[[#Headers],[Recommendation]]&amp;"*")</f>
        <v>0</v>
      </c>
      <c r="G361" s="8">
        <f>COUNTIFS('All Papers'!$D:$D,"*"&amp;$A361&amp;"*",'All Papers'!$G:$G,"*"&amp;Table1[[#Headers],[Resource Management-CS]]&amp;"*")</f>
        <v>1</v>
      </c>
      <c r="H361" s="8">
        <f>COUNTIFS('All Papers'!$D:$D,"*"&amp;$A361&amp;"*",'All Papers'!$G:$G,"*"&amp;Table1[[#Headers],[Resource Management-PS]]&amp;"*")</f>
        <v>0</v>
      </c>
      <c r="I361" s="8">
        <f>COUNTIFS('All Papers'!$D:$D,"*"&amp;$A361&amp;"*",'All Papers'!$G:$G,"*"&amp;Table1[[#Headers],[SLA Management]]&amp;"*")</f>
        <v>0</v>
      </c>
      <c r="J361" s="8">
        <f>COUNTIFS('All Papers'!$D:$D,"*"&amp;$A361&amp;"*",'All Papers'!$G:$G,"*"&amp;Table1[[#Headers],[Big Data]]&amp;"*")</f>
        <v>0</v>
      </c>
      <c r="K361" s="8">
        <f>COUNTIFS('All Papers'!$D:$D,"*"&amp;$A361&amp;"*",'All Papers'!$G:$G,"*"&amp;Table1[[#Headers],[Energy Management]]&amp;"*")</f>
        <v>0</v>
      </c>
      <c r="L361" s="8">
        <f>COUNTIFS('All Papers'!$D:$D,"*"&amp;$A361&amp;"*",'All Papers'!$G:$G,"*"&amp;Table1[[#Headers],[Monitoring]]&amp;"*")</f>
        <v>0</v>
      </c>
      <c r="M361" s="8">
        <f>COUNTIFS('All Papers'!$D:$D,"*"&amp;$A361&amp;"*",'All Papers'!$G:$G,"*"&amp;Table1[[#Headers],[Pricing]]&amp;"*")</f>
        <v>0</v>
      </c>
    </row>
    <row r="362" spans="1:13" x14ac:dyDescent="0.25">
      <c r="A362" s="8" t="s">
        <v>2795</v>
      </c>
      <c r="B362" s="8">
        <f>COUNTIF('All Papers'!D:D,"*"&amp;Table1[[#This Row],[Name]]&amp;"*")</f>
        <v>1</v>
      </c>
      <c r="C362" s="8">
        <f>COUNTIFS('All Papers'!$D:$D,"*"&amp;$A362&amp;"*",'All Papers'!$G:$G,"*"&amp;Table1[[#Headers],[Composition]]&amp;"*")</f>
        <v>0</v>
      </c>
      <c r="D362" s="8">
        <f>COUNTIFS('All Papers'!$D:$D,"*"&amp;$A362&amp;"*",'All Papers'!$G:$G,"*"&amp;Table1[[#Headers],[Discovery]]&amp;"*")</f>
        <v>0</v>
      </c>
      <c r="E362" s="8">
        <f>COUNTIFS('All Papers'!$D:$D,"*"&amp;$A362&amp;"*",'All Papers'!$G:$G,"*"&amp;Table1[[#Headers],[Selection]]&amp;"*")</f>
        <v>0</v>
      </c>
      <c r="F362" s="8">
        <f>COUNTIFS('All Papers'!$D:$D,"*"&amp;$A362&amp;"*",'All Papers'!$G:$G,"*"&amp;Table1[[#Headers],[Recommendation]]&amp;"*")</f>
        <v>0</v>
      </c>
      <c r="G362" s="8">
        <f>COUNTIFS('All Papers'!$D:$D,"*"&amp;$A362&amp;"*",'All Papers'!$G:$G,"*"&amp;Table1[[#Headers],[Resource Management-CS]]&amp;"*")</f>
        <v>1</v>
      </c>
      <c r="H362" s="8">
        <f>COUNTIFS('All Papers'!$D:$D,"*"&amp;$A362&amp;"*",'All Papers'!$G:$G,"*"&amp;Table1[[#Headers],[Resource Management-PS]]&amp;"*")</f>
        <v>0</v>
      </c>
      <c r="I362" s="8">
        <f>COUNTIFS('All Papers'!$D:$D,"*"&amp;$A362&amp;"*",'All Papers'!$G:$G,"*"&amp;Table1[[#Headers],[SLA Management]]&amp;"*")</f>
        <v>0</v>
      </c>
      <c r="J362" s="8">
        <f>COUNTIFS('All Papers'!$D:$D,"*"&amp;$A362&amp;"*",'All Papers'!$G:$G,"*"&amp;Table1[[#Headers],[Big Data]]&amp;"*")</f>
        <v>0</v>
      </c>
      <c r="K362" s="8">
        <f>COUNTIFS('All Papers'!$D:$D,"*"&amp;$A362&amp;"*",'All Papers'!$G:$G,"*"&amp;Table1[[#Headers],[Energy Management]]&amp;"*")</f>
        <v>0</v>
      </c>
      <c r="L362" s="8">
        <f>COUNTIFS('All Papers'!$D:$D,"*"&amp;$A362&amp;"*",'All Papers'!$G:$G,"*"&amp;Table1[[#Headers],[Monitoring]]&amp;"*")</f>
        <v>0</v>
      </c>
      <c r="M362" s="8">
        <f>COUNTIFS('All Papers'!$D:$D,"*"&amp;$A362&amp;"*",'All Papers'!$G:$G,"*"&amp;Table1[[#Headers],[Pricing]]&amp;"*")</f>
        <v>0</v>
      </c>
    </row>
    <row r="363" spans="1:13" x14ac:dyDescent="0.25">
      <c r="A363" s="8" t="s">
        <v>2796</v>
      </c>
      <c r="B363" s="8">
        <f>COUNTIF('All Papers'!D:D,"*"&amp;Table1[[#This Row],[Name]]&amp;"*")</f>
        <v>1</v>
      </c>
      <c r="C363" s="8">
        <f>COUNTIFS('All Papers'!$D:$D,"*"&amp;$A363&amp;"*",'All Papers'!$G:$G,"*"&amp;Table1[[#Headers],[Composition]]&amp;"*")</f>
        <v>0</v>
      </c>
      <c r="D363" s="8">
        <f>COUNTIFS('All Papers'!$D:$D,"*"&amp;$A363&amp;"*",'All Papers'!$G:$G,"*"&amp;Table1[[#Headers],[Discovery]]&amp;"*")</f>
        <v>0</v>
      </c>
      <c r="E363" s="8">
        <f>COUNTIFS('All Papers'!$D:$D,"*"&amp;$A363&amp;"*",'All Papers'!$G:$G,"*"&amp;Table1[[#Headers],[Selection]]&amp;"*")</f>
        <v>0</v>
      </c>
      <c r="F363" s="8">
        <f>COUNTIFS('All Papers'!$D:$D,"*"&amp;$A363&amp;"*",'All Papers'!$G:$G,"*"&amp;Table1[[#Headers],[Recommendation]]&amp;"*")</f>
        <v>0</v>
      </c>
      <c r="G363" s="8">
        <f>COUNTIFS('All Papers'!$D:$D,"*"&amp;$A363&amp;"*",'All Papers'!$G:$G,"*"&amp;Table1[[#Headers],[Resource Management-CS]]&amp;"*")</f>
        <v>1</v>
      </c>
      <c r="H363" s="8">
        <f>COUNTIFS('All Papers'!$D:$D,"*"&amp;$A363&amp;"*",'All Papers'!$G:$G,"*"&amp;Table1[[#Headers],[Resource Management-PS]]&amp;"*")</f>
        <v>0</v>
      </c>
      <c r="I363" s="8">
        <f>COUNTIFS('All Papers'!$D:$D,"*"&amp;$A363&amp;"*",'All Papers'!$G:$G,"*"&amp;Table1[[#Headers],[SLA Management]]&amp;"*")</f>
        <v>0</v>
      </c>
      <c r="J363" s="8">
        <f>COUNTIFS('All Papers'!$D:$D,"*"&amp;$A363&amp;"*",'All Papers'!$G:$G,"*"&amp;Table1[[#Headers],[Big Data]]&amp;"*")</f>
        <v>0</v>
      </c>
      <c r="K363" s="8">
        <f>COUNTIFS('All Papers'!$D:$D,"*"&amp;$A363&amp;"*",'All Papers'!$G:$G,"*"&amp;Table1[[#Headers],[Energy Management]]&amp;"*")</f>
        <v>0</v>
      </c>
      <c r="L363" s="8">
        <f>COUNTIFS('All Papers'!$D:$D,"*"&amp;$A363&amp;"*",'All Papers'!$G:$G,"*"&amp;Table1[[#Headers],[Monitoring]]&amp;"*")</f>
        <v>0</v>
      </c>
      <c r="M363" s="8">
        <f>COUNTIFS('All Papers'!$D:$D,"*"&amp;$A363&amp;"*",'All Papers'!$G:$G,"*"&amp;Table1[[#Headers],[Pricing]]&amp;"*")</f>
        <v>0</v>
      </c>
    </row>
    <row r="364" spans="1:13" x14ac:dyDescent="0.25">
      <c r="A364" s="8" t="s">
        <v>2797</v>
      </c>
      <c r="B364" s="8">
        <f>COUNTIF('All Papers'!D:D,"*"&amp;Table1[[#This Row],[Name]]&amp;"*")</f>
        <v>1</v>
      </c>
      <c r="C364" s="8">
        <f>COUNTIFS('All Papers'!$D:$D,"*"&amp;$A364&amp;"*",'All Papers'!$G:$G,"*"&amp;Table1[[#Headers],[Composition]]&amp;"*")</f>
        <v>0</v>
      </c>
      <c r="D364" s="8">
        <f>COUNTIFS('All Papers'!$D:$D,"*"&amp;$A364&amp;"*",'All Papers'!$G:$G,"*"&amp;Table1[[#Headers],[Discovery]]&amp;"*")</f>
        <v>0</v>
      </c>
      <c r="E364" s="8">
        <f>COUNTIFS('All Papers'!$D:$D,"*"&amp;$A364&amp;"*",'All Papers'!$G:$G,"*"&amp;Table1[[#Headers],[Selection]]&amp;"*")</f>
        <v>0</v>
      </c>
      <c r="F364" s="8">
        <f>COUNTIFS('All Papers'!$D:$D,"*"&amp;$A364&amp;"*",'All Papers'!$G:$G,"*"&amp;Table1[[#Headers],[Recommendation]]&amp;"*")</f>
        <v>0</v>
      </c>
      <c r="G364" s="8">
        <f>COUNTIFS('All Papers'!$D:$D,"*"&amp;$A364&amp;"*",'All Papers'!$G:$G,"*"&amp;Table1[[#Headers],[Resource Management-CS]]&amp;"*")</f>
        <v>1</v>
      </c>
      <c r="H364" s="8">
        <f>COUNTIFS('All Papers'!$D:$D,"*"&amp;$A364&amp;"*",'All Papers'!$G:$G,"*"&amp;Table1[[#Headers],[Resource Management-PS]]&amp;"*")</f>
        <v>0</v>
      </c>
      <c r="I364" s="8">
        <f>COUNTIFS('All Papers'!$D:$D,"*"&amp;$A364&amp;"*",'All Papers'!$G:$G,"*"&amp;Table1[[#Headers],[SLA Management]]&amp;"*")</f>
        <v>0</v>
      </c>
      <c r="J364" s="8">
        <f>COUNTIFS('All Papers'!$D:$D,"*"&amp;$A364&amp;"*",'All Papers'!$G:$G,"*"&amp;Table1[[#Headers],[Big Data]]&amp;"*")</f>
        <v>0</v>
      </c>
      <c r="K364" s="8">
        <f>COUNTIFS('All Papers'!$D:$D,"*"&amp;$A364&amp;"*",'All Papers'!$G:$G,"*"&amp;Table1[[#Headers],[Energy Management]]&amp;"*")</f>
        <v>0</v>
      </c>
      <c r="L364" s="8">
        <f>COUNTIFS('All Papers'!$D:$D,"*"&amp;$A364&amp;"*",'All Papers'!$G:$G,"*"&amp;Table1[[#Headers],[Monitoring]]&amp;"*")</f>
        <v>0</v>
      </c>
      <c r="M364" s="8">
        <f>COUNTIFS('All Papers'!$D:$D,"*"&amp;$A364&amp;"*",'All Papers'!$G:$G,"*"&amp;Table1[[#Headers],[Pricing]]&amp;"*")</f>
        <v>0</v>
      </c>
    </row>
    <row r="365" spans="1:13" x14ac:dyDescent="0.25">
      <c r="A365" s="8" t="s">
        <v>2798</v>
      </c>
      <c r="B365" s="8">
        <f>COUNTIF('All Papers'!D:D,"*"&amp;Table1[[#This Row],[Name]]&amp;"*")</f>
        <v>1</v>
      </c>
      <c r="C365" s="8">
        <f>COUNTIFS('All Papers'!$D:$D,"*"&amp;$A365&amp;"*",'All Papers'!$G:$G,"*"&amp;Table1[[#Headers],[Composition]]&amp;"*")</f>
        <v>0</v>
      </c>
      <c r="D365" s="8">
        <f>COUNTIFS('All Papers'!$D:$D,"*"&amp;$A365&amp;"*",'All Papers'!$G:$G,"*"&amp;Table1[[#Headers],[Discovery]]&amp;"*")</f>
        <v>0</v>
      </c>
      <c r="E365" s="8">
        <f>COUNTIFS('All Papers'!$D:$D,"*"&amp;$A365&amp;"*",'All Papers'!$G:$G,"*"&amp;Table1[[#Headers],[Selection]]&amp;"*")</f>
        <v>0</v>
      </c>
      <c r="F365" s="8">
        <f>COUNTIFS('All Papers'!$D:$D,"*"&amp;$A365&amp;"*",'All Papers'!$G:$G,"*"&amp;Table1[[#Headers],[Recommendation]]&amp;"*")</f>
        <v>0</v>
      </c>
      <c r="G365" s="8">
        <f>COUNTIFS('All Papers'!$D:$D,"*"&amp;$A365&amp;"*",'All Papers'!$G:$G,"*"&amp;Table1[[#Headers],[Resource Management-CS]]&amp;"*")</f>
        <v>1</v>
      </c>
      <c r="H365" s="8">
        <f>COUNTIFS('All Papers'!$D:$D,"*"&amp;$A365&amp;"*",'All Papers'!$G:$G,"*"&amp;Table1[[#Headers],[Resource Management-PS]]&amp;"*")</f>
        <v>0</v>
      </c>
      <c r="I365" s="8">
        <f>COUNTIFS('All Papers'!$D:$D,"*"&amp;$A365&amp;"*",'All Papers'!$G:$G,"*"&amp;Table1[[#Headers],[SLA Management]]&amp;"*")</f>
        <v>0</v>
      </c>
      <c r="J365" s="8">
        <f>COUNTIFS('All Papers'!$D:$D,"*"&amp;$A365&amp;"*",'All Papers'!$G:$G,"*"&amp;Table1[[#Headers],[Big Data]]&amp;"*")</f>
        <v>0</v>
      </c>
      <c r="K365" s="8">
        <f>COUNTIFS('All Papers'!$D:$D,"*"&amp;$A365&amp;"*",'All Papers'!$G:$G,"*"&amp;Table1[[#Headers],[Energy Management]]&amp;"*")</f>
        <v>0</v>
      </c>
      <c r="L365" s="8">
        <f>COUNTIFS('All Papers'!$D:$D,"*"&amp;$A365&amp;"*",'All Papers'!$G:$G,"*"&amp;Table1[[#Headers],[Monitoring]]&amp;"*")</f>
        <v>0</v>
      </c>
      <c r="M365" s="8">
        <f>COUNTIFS('All Papers'!$D:$D,"*"&amp;$A365&amp;"*",'All Papers'!$G:$G,"*"&amp;Table1[[#Headers],[Pricing]]&amp;"*")</f>
        <v>0</v>
      </c>
    </row>
    <row r="366" spans="1:13" x14ac:dyDescent="0.25">
      <c r="A366" s="8" t="s">
        <v>2799</v>
      </c>
      <c r="B366" s="8">
        <f>COUNTIF('All Papers'!D:D,"*"&amp;Table1[[#This Row],[Name]]&amp;"*")</f>
        <v>1</v>
      </c>
      <c r="C366" s="8">
        <f>COUNTIFS('All Papers'!$D:$D,"*"&amp;$A366&amp;"*",'All Papers'!$G:$G,"*"&amp;Table1[[#Headers],[Composition]]&amp;"*")</f>
        <v>0</v>
      </c>
      <c r="D366" s="8">
        <f>COUNTIFS('All Papers'!$D:$D,"*"&amp;$A366&amp;"*",'All Papers'!$G:$G,"*"&amp;Table1[[#Headers],[Discovery]]&amp;"*")</f>
        <v>0</v>
      </c>
      <c r="E366" s="8">
        <f>COUNTIFS('All Papers'!$D:$D,"*"&amp;$A366&amp;"*",'All Papers'!$G:$G,"*"&amp;Table1[[#Headers],[Selection]]&amp;"*")</f>
        <v>0</v>
      </c>
      <c r="F366" s="8">
        <f>COUNTIFS('All Papers'!$D:$D,"*"&amp;$A366&amp;"*",'All Papers'!$G:$G,"*"&amp;Table1[[#Headers],[Recommendation]]&amp;"*")</f>
        <v>0</v>
      </c>
      <c r="G366" s="8">
        <f>COUNTIFS('All Papers'!$D:$D,"*"&amp;$A366&amp;"*",'All Papers'!$G:$G,"*"&amp;Table1[[#Headers],[Resource Management-CS]]&amp;"*")</f>
        <v>1</v>
      </c>
      <c r="H366" s="8">
        <f>COUNTIFS('All Papers'!$D:$D,"*"&amp;$A366&amp;"*",'All Papers'!$G:$G,"*"&amp;Table1[[#Headers],[Resource Management-PS]]&amp;"*")</f>
        <v>0</v>
      </c>
      <c r="I366" s="8">
        <f>COUNTIFS('All Papers'!$D:$D,"*"&amp;$A366&amp;"*",'All Papers'!$G:$G,"*"&amp;Table1[[#Headers],[SLA Management]]&amp;"*")</f>
        <v>0</v>
      </c>
      <c r="J366" s="8">
        <f>COUNTIFS('All Papers'!$D:$D,"*"&amp;$A366&amp;"*",'All Papers'!$G:$G,"*"&amp;Table1[[#Headers],[Big Data]]&amp;"*")</f>
        <v>0</v>
      </c>
      <c r="K366" s="8">
        <f>COUNTIFS('All Papers'!$D:$D,"*"&amp;$A366&amp;"*",'All Papers'!$G:$G,"*"&amp;Table1[[#Headers],[Energy Management]]&amp;"*")</f>
        <v>0</v>
      </c>
      <c r="L366" s="8">
        <f>COUNTIFS('All Papers'!$D:$D,"*"&amp;$A366&amp;"*",'All Papers'!$G:$G,"*"&amp;Table1[[#Headers],[Monitoring]]&amp;"*")</f>
        <v>0</v>
      </c>
      <c r="M366" s="8">
        <f>COUNTIFS('All Papers'!$D:$D,"*"&amp;$A366&amp;"*",'All Papers'!$G:$G,"*"&amp;Table1[[#Headers],[Pricing]]&amp;"*")</f>
        <v>0</v>
      </c>
    </row>
    <row r="367" spans="1:13" x14ac:dyDescent="0.25">
      <c r="A367" s="8" t="s">
        <v>2800</v>
      </c>
      <c r="B367" s="8">
        <f>COUNTIF('All Papers'!D:D,"*"&amp;Table1[[#This Row],[Name]]&amp;"*")</f>
        <v>1</v>
      </c>
      <c r="C367" s="8">
        <f>COUNTIFS('All Papers'!$D:$D,"*"&amp;$A367&amp;"*",'All Papers'!$G:$G,"*"&amp;Table1[[#Headers],[Composition]]&amp;"*")</f>
        <v>0</v>
      </c>
      <c r="D367" s="8">
        <f>COUNTIFS('All Papers'!$D:$D,"*"&amp;$A367&amp;"*",'All Papers'!$G:$G,"*"&amp;Table1[[#Headers],[Discovery]]&amp;"*")</f>
        <v>0</v>
      </c>
      <c r="E367" s="8">
        <f>COUNTIFS('All Papers'!$D:$D,"*"&amp;$A367&amp;"*",'All Papers'!$G:$G,"*"&amp;Table1[[#Headers],[Selection]]&amp;"*")</f>
        <v>0</v>
      </c>
      <c r="F367" s="8">
        <f>COUNTIFS('All Papers'!$D:$D,"*"&amp;$A367&amp;"*",'All Papers'!$G:$G,"*"&amp;Table1[[#Headers],[Recommendation]]&amp;"*")</f>
        <v>0</v>
      </c>
      <c r="G367" s="8">
        <f>COUNTIFS('All Papers'!$D:$D,"*"&amp;$A367&amp;"*",'All Papers'!$G:$G,"*"&amp;Table1[[#Headers],[Resource Management-CS]]&amp;"*")</f>
        <v>1</v>
      </c>
      <c r="H367" s="8">
        <f>COUNTIFS('All Papers'!$D:$D,"*"&amp;$A367&amp;"*",'All Papers'!$G:$G,"*"&amp;Table1[[#Headers],[Resource Management-PS]]&amp;"*")</f>
        <v>0</v>
      </c>
      <c r="I367" s="8">
        <f>COUNTIFS('All Papers'!$D:$D,"*"&amp;$A367&amp;"*",'All Papers'!$G:$G,"*"&amp;Table1[[#Headers],[SLA Management]]&amp;"*")</f>
        <v>0</v>
      </c>
      <c r="J367" s="8">
        <f>COUNTIFS('All Papers'!$D:$D,"*"&amp;$A367&amp;"*",'All Papers'!$G:$G,"*"&amp;Table1[[#Headers],[Big Data]]&amp;"*")</f>
        <v>0</v>
      </c>
      <c r="K367" s="8">
        <f>COUNTIFS('All Papers'!$D:$D,"*"&amp;$A367&amp;"*",'All Papers'!$G:$G,"*"&amp;Table1[[#Headers],[Energy Management]]&amp;"*")</f>
        <v>0</v>
      </c>
      <c r="L367" s="8">
        <f>COUNTIFS('All Papers'!$D:$D,"*"&amp;$A367&amp;"*",'All Papers'!$G:$G,"*"&amp;Table1[[#Headers],[Monitoring]]&amp;"*")</f>
        <v>0</v>
      </c>
      <c r="M367" s="8">
        <f>COUNTIFS('All Papers'!$D:$D,"*"&amp;$A367&amp;"*",'All Papers'!$G:$G,"*"&amp;Table1[[#Headers],[Pricing]]&amp;"*")</f>
        <v>0</v>
      </c>
    </row>
    <row r="368" spans="1:13" x14ac:dyDescent="0.25">
      <c r="A368" s="8" t="s">
        <v>2801</v>
      </c>
      <c r="B368" s="8">
        <f>COUNTIF('All Papers'!D:D,"*"&amp;Table1[[#This Row],[Name]]&amp;"*")</f>
        <v>1</v>
      </c>
      <c r="C368" s="8">
        <f>COUNTIFS('All Papers'!$D:$D,"*"&amp;$A368&amp;"*",'All Papers'!$G:$G,"*"&amp;Table1[[#Headers],[Composition]]&amp;"*")</f>
        <v>0</v>
      </c>
      <c r="D368" s="8">
        <f>COUNTIFS('All Papers'!$D:$D,"*"&amp;$A368&amp;"*",'All Papers'!$G:$G,"*"&amp;Table1[[#Headers],[Discovery]]&amp;"*")</f>
        <v>0</v>
      </c>
      <c r="E368" s="8">
        <f>COUNTIFS('All Papers'!$D:$D,"*"&amp;$A368&amp;"*",'All Papers'!$G:$G,"*"&amp;Table1[[#Headers],[Selection]]&amp;"*")</f>
        <v>0</v>
      </c>
      <c r="F368" s="8">
        <f>COUNTIFS('All Papers'!$D:$D,"*"&amp;$A368&amp;"*",'All Papers'!$G:$G,"*"&amp;Table1[[#Headers],[Recommendation]]&amp;"*")</f>
        <v>0</v>
      </c>
      <c r="G368" s="8">
        <f>COUNTIFS('All Papers'!$D:$D,"*"&amp;$A368&amp;"*",'All Papers'!$G:$G,"*"&amp;Table1[[#Headers],[Resource Management-CS]]&amp;"*")</f>
        <v>1</v>
      </c>
      <c r="H368" s="8">
        <f>COUNTIFS('All Papers'!$D:$D,"*"&amp;$A368&amp;"*",'All Papers'!$G:$G,"*"&amp;Table1[[#Headers],[Resource Management-PS]]&amp;"*")</f>
        <v>0</v>
      </c>
      <c r="I368" s="8">
        <f>COUNTIFS('All Papers'!$D:$D,"*"&amp;$A368&amp;"*",'All Papers'!$G:$G,"*"&amp;Table1[[#Headers],[SLA Management]]&amp;"*")</f>
        <v>0</v>
      </c>
      <c r="J368" s="8">
        <f>COUNTIFS('All Papers'!$D:$D,"*"&amp;$A368&amp;"*",'All Papers'!$G:$G,"*"&amp;Table1[[#Headers],[Big Data]]&amp;"*")</f>
        <v>0</v>
      </c>
      <c r="K368" s="8">
        <f>COUNTIFS('All Papers'!$D:$D,"*"&amp;$A368&amp;"*",'All Papers'!$G:$G,"*"&amp;Table1[[#Headers],[Energy Management]]&amp;"*")</f>
        <v>0</v>
      </c>
      <c r="L368" s="8">
        <f>COUNTIFS('All Papers'!$D:$D,"*"&amp;$A368&amp;"*",'All Papers'!$G:$G,"*"&amp;Table1[[#Headers],[Monitoring]]&amp;"*")</f>
        <v>0</v>
      </c>
      <c r="M368" s="8">
        <f>COUNTIFS('All Papers'!$D:$D,"*"&amp;$A368&amp;"*",'All Papers'!$G:$G,"*"&amp;Table1[[#Headers],[Pricing]]&amp;"*")</f>
        <v>0</v>
      </c>
    </row>
    <row r="369" spans="1:13" x14ac:dyDescent="0.25">
      <c r="A369" s="8" t="s">
        <v>2802</v>
      </c>
      <c r="B369" s="8">
        <f>COUNTIF('All Papers'!D:D,"*"&amp;Table1[[#This Row],[Name]]&amp;"*")</f>
        <v>1</v>
      </c>
      <c r="C369" s="8">
        <f>COUNTIFS('All Papers'!$D:$D,"*"&amp;$A369&amp;"*",'All Papers'!$G:$G,"*"&amp;Table1[[#Headers],[Composition]]&amp;"*")</f>
        <v>0</v>
      </c>
      <c r="D369" s="8">
        <f>COUNTIFS('All Papers'!$D:$D,"*"&amp;$A369&amp;"*",'All Papers'!$G:$G,"*"&amp;Table1[[#Headers],[Discovery]]&amp;"*")</f>
        <v>0</v>
      </c>
      <c r="E369" s="8">
        <f>COUNTIFS('All Papers'!$D:$D,"*"&amp;$A369&amp;"*",'All Papers'!$G:$G,"*"&amp;Table1[[#Headers],[Selection]]&amp;"*")</f>
        <v>0</v>
      </c>
      <c r="F369" s="8">
        <f>COUNTIFS('All Papers'!$D:$D,"*"&amp;$A369&amp;"*",'All Papers'!$G:$G,"*"&amp;Table1[[#Headers],[Recommendation]]&amp;"*")</f>
        <v>0</v>
      </c>
      <c r="G369" s="8">
        <f>COUNTIFS('All Papers'!$D:$D,"*"&amp;$A369&amp;"*",'All Papers'!$G:$G,"*"&amp;Table1[[#Headers],[Resource Management-CS]]&amp;"*")</f>
        <v>1</v>
      </c>
      <c r="H369" s="8">
        <f>COUNTIFS('All Papers'!$D:$D,"*"&amp;$A369&amp;"*",'All Papers'!$G:$G,"*"&amp;Table1[[#Headers],[Resource Management-PS]]&amp;"*")</f>
        <v>0</v>
      </c>
      <c r="I369" s="8">
        <f>COUNTIFS('All Papers'!$D:$D,"*"&amp;$A369&amp;"*",'All Papers'!$G:$G,"*"&amp;Table1[[#Headers],[SLA Management]]&amp;"*")</f>
        <v>0</v>
      </c>
      <c r="J369" s="8">
        <f>COUNTIFS('All Papers'!$D:$D,"*"&amp;$A369&amp;"*",'All Papers'!$G:$G,"*"&amp;Table1[[#Headers],[Big Data]]&amp;"*")</f>
        <v>0</v>
      </c>
      <c r="K369" s="8">
        <f>COUNTIFS('All Papers'!$D:$D,"*"&amp;$A369&amp;"*",'All Papers'!$G:$G,"*"&amp;Table1[[#Headers],[Energy Management]]&amp;"*")</f>
        <v>0</v>
      </c>
      <c r="L369" s="8">
        <f>COUNTIFS('All Papers'!$D:$D,"*"&amp;$A369&amp;"*",'All Papers'!$G:$G,"*"&amp;Table1[[#Headers],[Monitoring]]&amp;"*")</f>
        <v>0</v>
      </c>
      <c r="M369" s="8">
        <f>COUNTIFS('All Papers'!$D:$D,"*"&amp;$A369&amp;"*",'All Papers'!$G:$G,"*"&amp;Table1[[#Headers],[Pricing]]&amp;"*")</f>
        <v>0</v>
      </c>
    </row>
    <row r="370" spans="1:13" x14ac:dyDescent="0.25">
      <c r="A370" s="8" t="s">
        <v>2803</v>
      </c>
      <c r="B370" s="8">
        <f>COUNTIF('All Papers'!D:D,"*"&amp;Table1[[#This Row],[Name]]&amp;"*")</f>
        <v>1</v>
      </c>
      <c r="C370" s="8">
        <f>COUNTIFS('All Papers'!$D:$D,"*"&amp;$A370&amp;"*",'All Papers'!$G:$G,"*"&amp;Table1[[#Headers],[Composition]]&amp;"*")</f>
        <v>0</v>
      </c>
      <c r="D370" s="8">
        <f>COUNTIFS('All Papers'!$D:$D,"*"&amp;$A370&amp;"*",'All Papers'!$G:$G,"*"&amp;Table1[[#Headers],[Discovery]]&amp;"*")</f>
        <v>0</v>
      </c>
      <c r="E370" s="8">
        <f>COUNTIFS('All Papers'!$D:$D,"*"&amp;$A370&amp;"*",'All Papers'!$G:$G,"*"&amp;Table1[[#Headers],[Selection]]&amp;"*")</f>
        <v>0</v>
      </c>
      <c r="F370" s="8">
        <f>COUNTIFS('All Papers'!$D:$D,"*"&amp;$A370&amp;"*",'All Papers'!$G:$G,"*"&amp;Table1[[#Headers],[Recommendation]]&amp;"*")</f>
        <v>0</v>
      </c>
      <c r="G370" s="8">
        <f>COUNTIFS('All Papers'!$D:$D,"*"&amp;$A370&amp;"*",'All Papers'!$G:$G,"*"&amp;Table1[[#Headers],[Resource Management-CS]]&amp;"*")</f>
        <v>1</v>
      </c>
      <c r="H370" s="8">
        <f>COUNTIFS('All Papers'!$D:$D,"*"&amp;$A370&amp;"*",'All Papers'!$G:$G,"*"&amp;Table1[[#Headers],[Resource Management-PS]]&amp;"*")</f>
        <v>0</v>
      </c>
      <c r="I370" s="8">
        <f>COUNTIFS('All Papers'!$D:$D,"*"&amp;$A370&amp;"*",'All Papers'!$G:$G,"*"&amp;Table1[[#Headers],[SLA Management]]&amp;"*")</f>
        <v>0</v>
      </c>
      <c r="J370" s="8">
        <f>COUNTIFS('All Papers'!$D:$D,"*"&amp;$A370&amp;"*",'All Papers'!$G:$G,"*"&amp;Table1[[#Headers],[Big Data]]&amp;"*")</f>
        <v>0</v>
      </c>
      <c r="K370" s="8">
        <f>COUNTIFS('All Papers'!$D:$D,"*"&amp;$A370&amp;"*",'All Papers'!$G:$G,"*"&amp;Table1[[#Headers],[Energy Management]]&amp;"*")</f>
        <v>0</v>
      </c>
      <c r="L370" s="8">
        <f>COUNTIFS('All Papers'!$D:$D,"*"&amp;$A370&amp;"*",'All Papers'!$G:$G,"*"&amp;Table1[[#Headers],[Monitoring]]&amp;"*")</f>
        <v>0</v>
      </c>
      <c r="M370" s="8">
        <f>COUNTIFS('All Papers'!$D:$D,"*"&amp;$A370&amp;"*",'All Papers'!$G:$G,"*"&amp;Table1[[#Headers],[Pricing]]&amp;"*")</f>
        <v>0</v>
      </c>
    </row>
    <row r="371" spans="1:13" x14ac:dyDescent="0.25">
      <c r="A371" s="8" t="s">
        <v>2804</v>
      </c>
      <c r="B371" s="8">
        <f>COUNTIF('All Papers'!D:D,"*"&amp;Table1[[#This Row],[Name]]&amp;"*")</f>
        <v>1</v>
      </c>
      <c r="C371" s="8">
        <f>COUNTIFS('All Papers'!$D:$D,"*"&amp;$A371&amp;"*",'All Papers'!$G:$G,"*"&amp;Table1[[#Headers],[Composition]]&amp;"*")</f>
        <v>0</v>
      </c>
      <c r="D371" s="8">
        <f>COUNTIFS('All Papers'!$D:$D,"*"&amp;$A371&amp;"*",'All Papers'!$G:$G,"*"&amp;Table1[[#Headers],[Discovery]]&amp;"*")</f>
        <v>0</v>
      </c>
      <c r="E371" s="8">
        <f>COUNTIFS('All Papers'!$D:$D,"*"&amp;$A371&amp;"*",'All Papers'!$G:$G,"*"&amp;Table1[[#Headers],[Selection]]&amp;"*")</f>
        <v>0</v>
      </c>
      <c r="F371" s="8">
        <f>COUNTIFS('All Papers'!$D:$D,"*"&amp;$A371&amp;"*",'All Papers'!$G:$G,"*"&amp;Table1[[#Headers],[Recommendation]]&amp;"*")</f>
        <v>0</v>
      </c>
      <c r="G371" s="8">
        <f>COUNTIFS('All Papers'!$D:$D,"*"&amp;$A371&amp;"*",'All Papers'!$G:$G,"*"&amp;Table1[[#Headers],[Resource Management-CS]]&amp;"*")</f>
        <v>0</v>
      </c>
      <c r="H371" s="8">
        <f>COUNTIFS('All Papers'!$D:$D,"*"&amp;$A371&amp;"*",'All Papers'!$G:$G,"*"&amp;Table1[[#Headers],[Resource Management-PS]]&amp;"*")</f>
        <v>1</v>
      </c>
      <c r="I371" s="8">
        <f>COUNTIFS('All Papers'!$D:$D,"*"&amp;$A371&amp;"*",'All Papers'!$G:$G,"*"&amp;Table1[[#Headers],[SLA Management]]&amp;"*")</f>
        <v>0</v>
      </c>
      <c r="J371" s="8">
        <f>COUNTIFS('All Papers'!$D:$D,"*"&amp;$A371&amp;"*",'All Papers'!$G:$G,"*"&amp;Table1[[#Headers],[Big Data]]&amp;"*")</f>
        <v>0</v>
      </c>
      <c r="K371" s="8">
        <f>COUNTIFS('All Papers'!$D:$D,"*"&amp;$A371&amp;"*",'All Papers'!$G:$G,"*"&amp;Table1[[#Headers],[Energy Management]]&amp;"*")</f>
        <v>0</v>
      </c>
      <c r="L371" s="8">
        <f>COUNTIFS('All Papers'!$D:$D,"*"&amp;$A371&amp;"*",'All Papers'!$G:$G,"*"&amp;Table1[[#Headers],[Monitoring]]&amp;"*")</f>
        <v>0</v>
      </c>
      <c r="M371" s="8">
        <f>COUNTIFS('All Papers'!$D:$D,"*"&amp;$A371&amp;"*",'All Papers'!$G:$G,"*"&amp;Table1[[#Headers],[Pricing]]&amp;"*")</f>
        <v>1</v>
      </c>
    </row>
    <row r="372" spans="1:13" x14ac:dyDescent="0.25">
      <c r="A372" s="8" t="s">
        <v>2805</v>
      </c>
      <c r="B372" s="8">
        <f>COUNTIF('All Papers'!D:D,"*"&amp;Table1[[#This Row],[Name]]&amp;"*")</f>
        <v>1</v>
      </c>
      <c r="C372" s="8">
        <f>COUNTIFS('All Papers'!$D:$D,"*"&amp;$A372&amp;"*",'All Papers'!$G:$G,"*"&amp;Table1[[#Headers],[Composition]]&amp;"*")</f>
        <v>0</v>
      </c>
      <c r="D372" s="8">
        <f>COUNTIFS('All Papers'!$D:$D,"*"&amp;$A372&amp;"*",'All Papers'!$G:$G,"*"&amp;Table1[[#Headers],[Discovery]]&amp;"*")</f>
        <v>0</v>
      </c>
      <c r="E372" s="8">
        <f>COUNTIFS('All Papers'!$D:$D,"*"&amp;$A372&amp;"*",'All Papers'!$G:$G,"*"&amp;Table1[[#Headers],[Selection]]&amp;"*")</f>
        <v>0</v>
      </c>
      <c r="F372" s="8">
        <f>COUNTIFS('All Papers'!$D:$D,"*"&amp;$A372&amp;"*",'All Papers'!$G:$G,"*"&amp;Table1[[#Headers],[Recommendation]]&amp;"*")</f>
        <v>0</v>
      </c>
      <c r="G372" s="8">
        <f>COUNTIFS('All Papers'!$D:$D,"*"&amp;$A372&amp;"*",'All Papers'!$G:$G,"*"&amp;Table1[[#Headers],[Resource Management-CS]]&amp;"*")</f>
        <v>0</v>
      </c>
      <c r="H372" s="8">
        <f>COUNTIFS('All Papers'!$D:$D,"*"&amp;$A372&amp;"*",'All Papers'!$G:$G,"*"&amp;Table1[[#Headers],[Resource Management-PS]]&amp;"*")</f>
        <v>1</v>
      </c>
      <c r="I372" s="8">
        <f>COUNTIFS('All Papers'!$D:$D,"*"&amp;$A372&amp;"*",'All Papers'!$G:$G,"*"&amp;Table1[[#Headers],[SLA Management]]&amp;"*")</f>
        <v>0</v>
      </c>
      <c r="J372" s="8">
        <f>COUNTIFS('All Papers'!$D:$D,"*"&amp;$A372&amp;"*",'All Papers'!$G:$G,"*"&amp;Table1[[#Headers],[Big Data]]&amp;"*")</f>
        <v>0</v>
      </c>
      <c r="K372" s="8">
        <f>COUNTIFS('All Papers'!$D:$D,"*"&amp;$A372&amp;"*",'All Papers'!$G:$G,"*"&amp;Table1[[#Headers],[Energy Management]]&amp;"*")</f>
        <v>0</v>
      </c>
      <c r="L372" s="8">
        <f>COUNTIFS('All Papers'!$D:$D,"*"&amp;$A372&amp;"*",'All Papers'!$G:$G,"*"&amp;Table1[[#Headers],[Monitoring]]&amp;"*")</f>
        <v>0</v>
      </c>
      <c r="M372" s="8">
        <f>COUNTIFS('All Papers'!$D:$D,"*"&amp;$A372&amp;"*",'All Papers'!$G:$G,"*"&amp;Table1[[#Headers],[Pricing]]&amp;"*")</f>
        <v>1</v>
      </c>
    </row>
    <row r="373" spans="1:13" x14ac:dyDescent="0.25">
      <c r="A373" s="8" t="s">
        <v>2806</v>
      </c>
      <c r="B373" s="8">
        <f>COUNTIF('All Papers'!D:D,"*"&amp;Table1[[#This Row],[Name]]&amp;"*")</f>
        <v>1</v>
      </c>
      <c r="C373" s="8">
        <f>COUNTIFS('All Papers'!$D:$D,"*"&amp;$A373&amp;"*",'All Papers'!$G:$G,"*"&amp;Table1[[#Headers],[Composition]]&amp;"*")</f>
        <v>0</v>
      </c>
      <c r="D373" s="8">
        <f>COUNTIFS('All Papers'!$D:$D,"*"&amp;$A373&amp;"*",'All Papers'!$G:$G,"*"&amp;Table1[[#Headers],[Discovery]]&amp;"*")</f>
        <v>0</v>
      </c>
      <c r="E373" s="8">
        <f>COUNTIFS('All Papers'!$D:$D,"*"&amp;$A373&amp;"*",'All Papers'!$G:$G,"*"&amp;Table1[[#Headers],[Selection]]&amp;"*")</f>
        <v>0</v>
      </c>
      <c r="F373" s="8">
        <f>COUNTIFS('All Papers'!$D:$D,"*"&amp;$A373&amp;"*",'All Papers'!$G:$G,"*"&amp;Table1[[#Headers],[Recommendation]]&amp;"*")</f>
        <v>0</v>
      </c>
      <c r="G373" s="8">
        <f>COUNTIFS('All Papers'!$D:$D,"*"&amp;$A373&amp;"*",'All Papers'!$G:$G,"*"&amp;Table1[[#Headers],[Resource Management-CS]]&amp;"*")</f>
        <v>0</v>
      </c>
      <c r="H373" s="8">
        <f>COUNTIFS('All Papers'!$D:$D,"*"&amp;$A373&amp;"*",'All Papers'!$G:$G,"*"&amp;Table1[[#Headers],[Resource Management-PS]]&amp;"*")</f>
        <v>1</v>
      </c>
      <c r="I373" s="8">
        <f>COUNTIFS('All Papers'!$D:$D,"*"&amp;$A373&amp;"*",'All Papers'!$G:$G,"*"&amp;Table1[[#Headers],[SLA Management]]&amp;"*")</f>
        <v>0</v>
      </c>
      <c r="J373" s="8">
        <f>COUNTIFS('All Papers'!$D:$D,"*"&amp;$A373&amp;"*",'All Papers'!$G:$G,"*"&amp;Table1[[#Headers],[Big Data]]&amp;"*")</f>
        <v>0</v>
      </c>
      <c r="K373" s="8">
        <f>COUNTIFS('All Papers'!$D:$D,"*"&amp;$A373&amp;"*",'All Papers'!$G:$G,"*"&amp;Table1[[#Headers],[Energy Management]]&amp;"*")</f>
        <v>0</v>
      </c>
      <c r="L373" s="8">
        <f>COUNTIFS('All Papers'!$D:$D,"*"&amp;$A373&amp;"*",'All Papers'!$G:$G,"*"&amp;Table1[[#Headers],[Monitoring]]&amp;"*")</f>
        <v>0</v>
      </c>
      <c r="M373" s="8">
        <f>COUNTIFS('All Papers'!$D:$D,"*"&amp;$A373&amp;"*",'All Papers'!$G:$G,"*"&amp;Table1[[#Headers],[Pricing]]&amp;"*")</f>
        <v>1</v>
      </c>
    </row>
    <row r="374" spans="1:13" x14ac:dyDescent="0.25">
      <c r="A374" s="8" t="s">
        <v>2807</v>
      </c>
      <c r="B374" s="8">
        <f>COUNTIF('All Papers'!D:D,"*"&amp;Table1[[#This Row],[Name]]&amp;"*")</f>
        <v>1</v>
      </c>
      <c r="C374" s="8">
        <f>COUNTIFS('All Papers'!$D:$D,"*"&amp;$A374&amp;"*",'All Papers'!$G:$G,"*"&amp;Table1[[#Headers],[Composition]]&amp;"*")</f>
        <v>0</v>
      </c>
      <c r="D374" s="8">
        <f>COUNTIFS('All Papers'!$D:$D,"*"&amp;$A374&amp;"*",'All Papers'!$G:$G,"*"&amp;Table1[[#Headers],[Discovery]]&amp;"*")</f>
        <v>0</v>
      </c>
      <c r="E374" s="8">
        <f>COUNTIFS('All Papers'!$D:$D,"*"&amp;$A374&amp;"*",'All Papers'!$G:$G,"*"&amp;Table1[[#Headers],[Selection]]&amp;"*")</f>
        <v>0</v>
      </c>
      <c r="F374" s="8">
        <f>COUNTIFS('All Papers'!$D:$D,"*"&amp;$A374&amp;"*",'All Papers'!$G:$G,"*"&amp;Table1[[#Headers],[Recommendation]]&amp;"*")</f>
        <v>0</v>
      </c>
      <c r="G374" s="8">
        <f>COUNTIFS('All Papers'!$D:$D,"*"&amp;$A374&amp;"*",'All Papers'!$G:$G,"*"&amp;Table1[[#Headers],[Resource Management-CS]]&amp;"*")</f>
        <v>1</v>
      </c>
      <c r="H374" s="8">
        <f>COUNTIFS('All Papers'!$D:$D,"*"&amp;$A374&amp;"*",'All Papers'!$G:$G,"*"&amp;Table1[[#Headers],[Resource Management-PS]]&amp;"*")</f>
        <v>0</v>
      </c>
      <c r="I374" s="8">
        <f>COUNTIFS('All Papers'!$D:$D,"*"&amp;$A374&amp;"*",'All Papers'!$G:$G,"*"&amp;Table1[[#Headers],[SLA Management]]&amp;"*")</f>
        <v>0</v>
      </c>
      <c r="J374" s="8">
        <f>COUNTIFS('All Papers'!$D:$D,"*"&amp;$A374&amp;"*",'All Papers'!$G:$G,"*"&amp;Table1[[#Headers],[Big Data]]&amp;"*")</f>
        <v>0</v>
      </c>
      <c r="K374" s="8">
        <f>COUNTIFS('All Papers'!$D:$D,"*"&amp;$A374&amp;"*",'All Papers'!$G:$G,"*"&amp;Table1[[#Headers],[Energy Management]]&amp;"*")</f>
        <v>0</v>
      </c>
      <c r="L374" s="8">
        <f>COUNTIFS('All Papers'!$D:$D,"*"&amp;$A374&amp;"*",'All Papers'!$G:$G,"*"&amp;Table1[[#Headers],[Monitoring]]&amp;"*")</f>
        <v>0</v>
      </c>
      <c r="M374" s="8">
        <f>COUNTIFS('All Papers'!$D:$D,"*"&amp;$A374&amp;"*",'All Papers'!$G:$G,"*"&amp;Table1[[#Headers],[Pricing]]&amp;"*")</f>
        <v>0</v>
      </c>
    </row>
    <row r="375" spans="1:13" x14ac:dyDescent="0.25">
      <c r="A375" s="8" t="s">
        <v>2808</v>
      </c>
      <c r="B375" s="8">
        <f>COUNTIF('All Papers'!D:D,"*"&amp;Table1[[#This Row],[Name]]&amp;"*")</f>
        <v>1</v>
      </c>
      <c r="C375" s="8">
        <f>COUNTIFS('All Papers'!$D:$D,"*"&amp;$A375&amp;"*",'All Papers'!$G:$G,"*"&amp;Table1[[#Headers],[Composition]]&amp;"*")</f>
        <v>0</v>
      </c>
      <c r="D375" s="8">
        <f>COUNTIFS('All Papers'!$D:$D,"*"&amp;$A375&amp;"*",'All Papers'!$G:$G,"*"&amp;Table1[[#Headers],[Discovery]]&amp;"*")</f>
        <v>0</v>
      </c>
      <c r="E375" s="8">
        <f>COUNTIFS('All Papers'!$D:$D,"*"&amp;$A375&amp;"*",'All Papers'!$G:$G,"*"&amp;Table1[[#Headers],[Selection]]&amp;"*")</f>
        <v>0</v>
      </c>
      <c r="F375" s="8">
        <f>COUNTIFS('All Papers'!$D:$D,"*"&amp;$A375&amp;"*",'All Papers'!$G:$G,"*"&amp;Table1[[#Headers],[Recommendation]]&amp;"*")</f>
        <v>0</v>
      </c>
      <c r="G375" s="8">
        <f>COUNTIFS('All Papers'!$D:$D,"*"&amp;$A375&amp;"*",'All Papers'!$G:$G,"*"&amp;Table1[[#Headers],[Resource Management-CS]]&amp;"*")</f>
        <v>1</v>
      </c>
      <c r="H375" s="8">
        <f>COUNTIFS('All Papers'!$D:$D,"*"&amp;$A375&amp;"*",'All Papers'!$G:$G,"*"&amp;Table1[[#Headers],[Resource Management-PS]]&amp;"*")</f>
        <v>0</v>
      </c>
      <c r="I375" s="8">
        <f>COUNTIFS('All Papers'!$D:$D,"*"&amp;$A375&amp;"*",'All Papers'!$G:$G,"*"&amp;Table1[[#Headers],[SLA Management]]&amp;"*")</f>
        <v>0</v>
      </c>
      <c r="J375" s="8">
        <f>COUNTIFS('All Papers'!$D:$D,"*"&amp;$A375&amp;"*",'All Papers'!$G:$G,"*"&amp;Table1[[#Headers],[Big Data]]&amp;"*")</f>
        <v>0</v>
      </c>
      <c r="K375" s="8">
        <f>COUNTIFS('All Papers'!$D:$D,"*"&amp;$A375&amp;"*",'All Papers'!$G:$G,"*"&amp;Table1[[#Headers],[Energy Management]]&amp;"*")</f>
        <v>0</v>
      </c>
      <c r="L375" s="8">
        <f>COUNTIFS('All Papers'!$D:$D,"*"&amp;$A375&amp;"*",'All Papers'!$G:$G,"*"&amp;Table1[[#Headers],[Monitoring]]&amp;"*")</f>
        <v>0</v>
      </c>
      <c r="M375" s="8">
        <f>COUNTIFS('All Papers'!$D:$D,"*"&amp;$A375&amp;"*",'All Papers'!$G:$G,"*"&amp;Table1[[#Headers],[Pricing]]&amp;"*")</f>
        <v>0</v>
      </c>
    </row>
    <row r="376" spans="1:13" x14ac:dyDescent="0.25">
      <c r="A376" s="8" t="s">
        <v>2809</v>
      </c>
      <c r="B376" s="8">
        <f>COUNTIF('All Papers'!D:D,"*"&amp;Table1[[#This Row],[Name]]&amp;"*")</f>
        <v>1</v>
      </c>
      <c r="C376" s="8">
        <f>COUNTIFS('All Papers'!$D:$D,"*"&amp;$A376&amp;"*",'All Papers'!$G:$G,"*"&amp;Table1[[#Headers],[Composition]]&amp;"*")</f>
        <v>0</v>
      </c>
      <c r="D376" s="8">
        <f>COUNTIFS('All Papers'!$D:$D,"*"&amp;$A376&amp;"*",'All Papers'!$G:$G,"*"&amp;Table1[[#Headers],[Discovery]]&amp;"*")</f>
        <v>0</v>
      </c>
      <c r="E376" s="8">
        <f>COUNTIFS('All Papers'!$D:$D,"*"&amp;$A376&amp;"*",'All Papers'!$G:$G,"*"&amp;Table1[[#Headers],[Selection]]&amp;"*")</f>
        <v>0</v>
      </c>
      <c r="F376" s="8">
        <f>COUNTIFS('All Papers'!$D:$D,"*"&amp;$A376&amp;"*",'All Papers'!$G:$G,"*"&amp;Table1[[#Headers],[Recommendation]]&amp;"*")</f>
        <v>0</v>
      </c>
      <c r="G376" s="8">
        <f>COUNTIFS('All Papers'!$D:$D,"*"&amp;$A376&amp;"*",'All Papers'!$G:$G,"*"&amp;Table1[[#Headers],[Resource Management-CS]]&amp;"*")</f>
        <v>1</v>
      </c>
      <c r="H376" s="8">
        <f>COUNTIFS('All Papers'!$D:$D,"*"&amp;$A376&amp;"*",'All Papers'!$G:$G,"*"&amp;Table1[[#Headers],[Resource Management-PS]]&amp;"*")</f>
        <v>0</v>
      </c>
      <c r="I376" s="8">
        <f>COUNTIFS('All Papers'!$D:$D,"*"&amp;$A376&amp;"*",'All Papers'!$G:$G,"*"&amp;Table1[[#Headers],[SLA Management]]&amp;"*")</f>
        <v>0</v>
      </c>
      <c r="J376" s="8">
        <f>COUNTIFS('All Papers'!$D:$D,"*"&amp;$A376&amp;"*",'All Papers'!$G:$G,"*"&amp;Table1[[#Headers],[Big Data]]&amp;"*")</f>
        <v>0</v>
      </c>
      <c r="K376" s="8">
        <f>COUNTIFS('All Papers'!$D:$D,"*"&amp;$A376&amp;"*",'All Papers'!$G:$G,"*"&amp;Table1[[#Headers],[Energy Management]]&amp;"*")</f>
        <v>0</v>
      </c>
      <c r="L376" s="8">
        <f>COUNTIFS('All Papers'!$D:$D,"*"&amp;$A376&amp;"*",'All Papers'!$G:$G,"*"&amp;Table1[[#Headers],[Monitoring]]&amp;"*")</f>
        <v>0</v>
      </c>
      <c r="M376" s="8">
        <f>COUNTIFS('All Papers'!$D:$D,"*"&amp;$A376&amp;"*",'All Papers'!$G:$G,"*"&amp;Table1[[#Headers],[Pricing]]&amp;"*")</f>
        <v>0</v>
      </c>
    </row>
    <row r="377" spans="1:13" x14ac:dyDescent="0.25">
      <c r="A377" s="8" t="s">
        <v>2810</v>
      </c>
      <c r="B377" s="8">
        <f>COUNTIF('All Papers'!D:D,"*"&amp;Table1[[#This Row],[Name]]&amp;"*")</f>
        <v>1</v>
      </c>
      <c r="C377" s="8">
        <f>COUNTIFS('All Papers'!$D:$D,"*"&amp;$A377&amp;"*",'All Papers'!$G:$G,"*"&amp;Table1[[#Headers],[Composition]]&amp;"*")</f>
        <v>0</v>
      </c>
      <c r="D377" s="8">
        <f>COUNTIFS('All Papers'!$D:$D,"*"&amp;$A377&amp;"*",'All Papers'!$G:$G,"*"&amp;Table1[[#Headers],[Discovery]]&amp;"*")</f>
        <v>0</v>
      </c>
      <c r="E377" s="8">
        <f>COUNTIFS('All Papers'!$D:$D,"*"&amp;$A377&amp;"*",'All Papers'!$G:$G,"*"&amp;Table1[[#Headers],[Selection]]&amp;"*")</f>
        <v>0</v>
      </c>
      <c r="F377" s="8">
        <f>COUNTIFS('All Papers'!$D:$D,"*"&amp;$A377&amp;"*",'All Papers'!$G:$G,"*"&amp;Table1[[#Headers],[Recommendation]]&amp;"*")</f>
        <v>0</v>
      </c>
      <c r="G377" s="8">
        <f>COUNTIFS('All Papers'!$D:$D,"*"&amp;$A377&amp;"*",'All Papers'!$G:$G,"*"&amp;Table1[[#Headers],[Resource Management-CS]]&amp;"*")</f>
        <v>1</v>
      </c>
      <c r="H377" s="8">
        <f>COUNTIFS('All Papers'!$D:$D,"*"&amp;$A377&amp;"*",'All Papers'!$G:$G,"*"&amp;Table1[[#Headers],[Resource Management-PS]]&amp;"*")</f>
        <v>0</v>
      </c>
      <c r="I377" s="8">
        <f>COUNTIFS('All Papers'!$D:$D,"*"&amp;$A377&amp;"*",'All Papers'!$G:$G,"*"&amp;Table1[[#Headers],[SLA Management]]&amp;"*")</f>
        <v>0</v>
      </c>
      <c r="J377" s="8">
        <f>COUNTIFS('All Papers'!$D:$D,"*"&amp;$A377&amp;"*",'All Papers'!$G:$G,"*"&amp;Table1[[#Headers],[Big Data]]&amp;"*")</f>
        <v>0</v>
      </c>
      <c r="K377" s="8">
        <f>COUNTIFS('All Papers'!$D:$D,"*"&amp;$A377&amp;"*",'All Papers'!$G:$G,"*"&amp;Table1[[#Headers],[Energy Management]]&amp;"*")</f>
        <v>0</v>
      </c>
      <c r="L377" s="8">
        <f>COUNTIFS('All Papers'!$D:$D,"*"&amp;$A377&amp;"*",'All Papers'!$G:$G,"*"&amp;Table1[[#Headers],[Monitoring]]&amp;"*")</f>
        <v>0</v>
      </c>
      <c r="M377" s="8">
        <f>COUNTIFS('All Papers'!$D:$D,"*"&amp;$A377&amp;"*",'All Papers'!$G:$G,"*"&amp;Table1[[#Headers],[Pricing]]&amp;"*")</f>
        <v>1</v>
      </c>
    </row>
    <row r="378" spans="1:13" x14ac:dyDescent="0.25">
      <c r="A378" s="8" t="s">
        <v>2811</v>
      </c>
      <c r="B378" s="8">
        <f>COUNTIF('All Papers'!D:D,"*"&amp;Table1[[#This Row],[Name]]&amp;"*")</f>
        <v>1</v>
      </c>
      <c r="C378" s="8">
        <f>COUNTIFS('All Papers'!$D:$D,"*"&amp;$A378&amp;"*",'All Papers'!$G:$G,"*"&amp;Table1[[#Headers],[Composition]]&amp;"*")</f>
        <v>0</v>
      </c>
      <c r="D378" s="8">
        <f>COUNTIFS('All Papers'!$D:$D,"*"&amp;$A378&amp;"*",'All Papers'!$G:$G,"*"&amp;Table1[[#Headers],[Discovery]]&amp;"*")</f>
        <v>0</v>
      </c>
      <c r="E378" s="8">
        <f>COUNTIFS('All Papers'!$D:$D,"*"&amp;$A378&amp;"*",'All Papers'!$G:$G,"*"&amp;Table1[[#Headers],[Selection]]&amp;"*")</f>
        <v>0</v>
      </c>
      <c r="F378" s="8">
        <f>COUNTIFS('All Papers'!$D:$D,"*"&amp;$A378&amp;"*",'All Papers'!$G:$G,"*"&amp;Table1[[#Headers],[Recommendation]]&amp;"*")</f>
        <v>0</v>
      </c>
      <c r="G378" s="8">
        <f>COUNTIFS('All Papers'!$D:$D,"*"&amp;$A378&amp;"*",'All Papers'!$G:$G,"*"&amp;Table1[[#Headers],[Resource Management-CS]]&amp;"*")</f>
        <v>1</v>
      </c>
      <c r="H378" s="8">
        <f>COUNTIFS('All Papers'!$D:$D,"*"&amp;$A378&amp;"*",'All Papers'!$G:$G,"*"&amp;Table1[[#Headers],[Resource Management-PS]]&amp;"*")</f>
        <v>0</v>
      </c>
      <c r="I378" s="8">
        <f>COUNTIFS('All Papers'!$D:$D,"*"&amp;$A378&amp;"*",'All Papers'!$G:$G,"*"&amp;Table1[[#Headers],[SLA Management]]&amp;"*")</f>
        <v>0</v>
      </c>
      <c r="J378" s="8">
        <f>COUNTIFS('All Papers'!$D:$D,"*"&amp;$A378&amp;"*",'All Papers'!$G:$G,"*"&amp;Table1[[#Headers],[Big Data]]&amp;"*")</f>
        <v>0</v>
      </c>
      <c r="K378" s="8">
        <f>COUNTIFS('All Papers'!$D:$D,"*"&amp;$A378&amp;"*",'All Papers'!$G:$G,"*"&amp;Table1[[#Headers],[Energy Management]]&amp;"*")</f>
        <v>0</v>
      </c>
      <c r="L378" s="8">
        <f>COUNTIFS('All Papers'!$D:$D,"*"&amp;$A378&amp;"*",'All Papers'!$G:$G,"*"&amp;Table1[[#Headers],[Monitoring]]&amp;"*")</f>
        <v>0</v>
      </c>
      <c r="M378" s="8">
        <f>COUNTIFS('All Papers'!$D:$D,"*"&amp;$A378&amp;"*",'All Papers'!$G:$G,"*"&amp;Table1[[#Headers],[Pricing]]&amp;"*")</f>
        <v>1</v>
      </c>
    </row>
    <row r="379" spans="1:13" x14ac:dyDescent="0.25">
      <c r="A379" s="8" t="s">
        <v>2812</v>
      </c>
      <c r="B379" s="8">
        <f>COUNTIF('All Papers'!D:D,"*"&amp;Table1[[#This Row],[Name]]&amp;"*")</f>
        <v>1</v>
      </c>
      <c r="C379" s="8">
        <f>COUNTIFS('All Papers'!$D:$D,"*"&amp;$A379&amp;"*",'All Papers'!$G:$G,"*"&amp;Table1[[#Headers],[Composition]]&amp;"*")</f>
        <v>0</v>
      </c>
      <c r="D379" s="8">
        <f>COUNTIFS('All Papers'!$D:$D,"*"&amp;$A379&amp;"*",'All Papers'!$G:$G,"*"&amp;Table1[[#Headers],[Discovery]]&amp;"*")</f>
        <v>0</v>
      </c>
      <c r="E379" s="8">
        <f>COUNTIFS('All Papers'!$D:$D,"*"&amp;$A379&amp;"*",'All Papers'!$G:$G,"*"&amp;Table1[[#Headers],[Selection]]&amp;"*")</f>
        <v>0</v>
      </c>
      <c r="F379" s="8">
        <f>COUNTIFS('All Papers'!$D:$D,"*"&amp;$A379&amp;"*",'All Papers'!$G:$G,"*"&amp;Table1[[#Headers],[Recommendation]]&amp;"*")</f>
        <v>0</v>
      </c>
      <c r="G379" s="8">
        <f>COUNTIFS('All Papers'!$D:$D,"*"&amp;$A379&amp;"*",'All Papers'!$G:$G,"*"&amp;Table1[[#Headers],[Resource Management-CS]]&amp;"*")</f>
        <v>1</v>
      </c>
      <c r="H379" s="8">
        <f>COUNTIFS('All Papers'!$D:$D,"*"&amp;$A379&amp;"*",'All Papers'!$G:$G,"*"&amp;Table1[[#Headers],[Resource Management-PS]]&amp;"*")</f>
        <v>0</v>
      </c>
      <c r="I379" s="8">
        <f>COUNTIFS('All Papers'!$D:$D,"*"&amp;$A379&amp;"*",'All Papers'!$G:$G,"*"&amp;Table1[[#Headers],[SLA Management]]&amp;"*")</f>
        <v>0</v>
      </c>
      <c r="J379" s="8">
        <f>COUNTIFS('All Papers'!$D:$D,"*"&amp;$A379&amp;"*",'All Papers'!$G:$G,"*"&amp;Table1[[#Headers],[Big Data]]&amp;"*")</f>
        <v>0</v>
      </c>
      <c r="K379" s="8">
        <f>COUNTIFS('All Papers'!$D:$D,"*"&amp;$A379&amp;"*",'All Papers'!$G:$G,"*"&amp;Table1[[#Headers],[Energy Management]]&amp;"*")</f>
        <v>0</v>
      </c>
      <c r="L379" s="8">
        <f>COUNTIFS('All Papers'!$D:$D,"*"&amp;$A379&amp;"*",'All Papers'!$G:$G,"*"&amp;Table1[[#Headers],[Monitoring]]&amp;"*")</f>
        <v>0</v>
      </c>
      <c r="M379" s="8">
        <f>COUNTIFS('All Papers'!$D:$D,"*"&amp;$A379&amp;"*",'All Papers'!$G:$G,"*"&amp;Table1[[#Headers],[Pricing]]&amp;"*")</f>
        <v>1</v>
      </c>
    </row>
    <row r="380" spans="1:13" x14ac:dyDescent="0.25">
      <c r="A380" s="8" t="s">
        <v>2813</v>
      </c>
      <c r="B380" s="8">
        <f>COUNTIF('All Papers'!D:D,"*"&amp;Table1[[#This Row],[Name]]&amp;"*")</f>
        <v>1</v>
      </c>
      <c r="C380" s="8">
        <f>COUNTIFS('All Papers'!$D:$D,"*"&amp;$A380&amp;"*",'All Papers'!$G:$G,"*"&amp;Table1[[#Headers],[Composition]]&amp;"*")</f>
        <v>0</v>
      </c>
      <c r="D380" s="8">
        <f>COUNTIFS('All Papers'!$D:$D,"*"&amp;$A380&amp;"*",'All Papers'!$G:$G,"*"&amp;Table1[[#Headers],[Discovery]]&amp;"*")</f>
        <v>0</v>
      </c>
      <c r="E380" s="8">
        <f>COUNTIFS('All Papers'!$D:$D,"*"&amp;$A380&amp;"*",'All Papers'!$G:$G,"*"&amp;Table1[[#Headers],[Selection]]&amp;"*")</f>
        <v>0</v>
      </c>
      <c r="F380" s="8">
        <f>COUNTIFS('All Papers'!$D:$D,"*"&amp;$A380&amp;"*",'All Papers'!$G:$G,"*"&amp;Table1[[#Headers],[Recommendation]]&amp;"*")</f>
        <v>0</v>
      </c>
      <c r="G380" s="8">
        <f>COUNTIFS('All Papers'!$D:$D,"*"&amp;$A380&amp;"*",'All Papers'!$G:$G,"*"&amp;Table1[[#Headers],[Resource Management-CS]]&amp;"*")</f>
        <v>0</v>
      </c>
      <c r="H380" s="8">
        <f>COUNTIFS('All Papers'!$D:$D,"*"&amp;$A380&amp;"*",'All Papers'!$G:$G,"*"&amp;Table1[[#Headers],[Resource Management-PS]]&amp;"*")</f>
        <v>0</v>
      </c>
      <c r="I380" s="8">
        <f>COUNTIFS('All Papers'!$D:$D,"*"&amp;$A380&amp;"*",'All Papers'!$G:$G,"*"&amp;Table1[[#Headers],[SLA Management]]&amp;"*")</f>
        <v>1</v>
      </c>
      <c r="J380" s="8">
        <f>COUNTIFS('All Papers'!$D:$D,"*"&amp;$A380&amp;"*",'All Papers'!$G:$G,"*"&amp;Table1[[#Headers],[Big Data]]&amp;"*")</f>
        <v>0</v>
      </c>
      <c r="K380" s="8">
        <f>COUNTIFS('All Papers'!$D:$D,"*"&amp;$A380&amp;"*",'All Papers'!$G:$G,"*"&amp;Table1[[#Headers],[Energy Management]]&amp;"*")</f>
        <v>0</v>
      </c>
      <c r="L380" s="8">
        <f>COUNTIFS('All Papers'!$D:$D,"*"&amp;$A380&amp;"*",'All Papers'!$G:$G,"*"&amp;Table1[[#Headers],[Monitoring]]&amp;"*")</f>
        <v>0</v>
      </c>
      <c r="M380" s="8">
        <f>COUNTIFS('All Papers'!$D:$D,"*"&amp;$A380&amp;"*",'All Papers'!$G:$G,"*"&amp;Table1[[#Headers],[Pricing]]&amp;"*")</f>
        <v>0</v>
      </c>
    </row>
    <row r="381" spans="1:13" x14ac:dyDescent="0.25">
      <c r="A381" s="8" t="s">
        <v>2814</v>
      </c>
      <c r="B381" s="8">
        <f>COUNTIF('All Papers'!D:D,"*"&amp;Table1[[#This Row],[Name]]&amp;"*")</f>
        <v>1</v>
      </c>
      <c r="C381" s="8">
        <f>COUNTIFS('All Papers'!$D:$D,"*"&amp;$A381&amp;"*",'All Papers'!$G:$G,"*"&amp;Table1[[#Headers],[Composition]]&amp;"*")</f>
        <v>0</v>
      </c>
      <c r="D381" s="8">
        <f>COUNTIFS('All Papers'!$D:$D,"*"&amp;$A381&amp;"*",'All Papers'!$G:$G,"*"&amp;Table1[[#Headers],[Discovery]]&amp;"*")</f>
        <v>0</v>
      </c>
      <c r="E381" s="8">
        <f>COUNTIFS('All Papers'!$D:$D,"*"&amp;$A381&amp;"*",'All Papers'!$G:$G,"*"&amp;Table1[[#Headers],[Selection]]&amp;"*")</f>
        <v>0</v>
      </c>
      <c r="F381" s="8">
        <f>COUNTIFS('All Papers'!$D:$D,"*"&amp;$A381&amp;"*",'All Papers'!$G:$G,"*"&amp;Table1[[#Headers],[Recommendation]]&amp;"*")</f>
        <v>0</v>
      </c>
      <c r="G381" s="8">
        <f>COUNTIFS('All Papers'!$D:$D,"*"&amp;$A381&amp;"*",'All Papers'!$G:$G,"*"&amp;Table1[[#Headers],[Resource Management-CS]]&amp;"*")</f>
        <v>0</v>
      </c>
      <c r="H381" s="8">
        <f>COUNTIFS('All Papers'!$D:$D,"*"&amp;$A381&amp;"*",'All Papers'!$G:$G,"*"&amp;Table1[[#Headers],[Resource Management-PS]]&amp;"*")</f>
        <v>0</v>
      </c>
      <c r="I381" s="8">
        <f>COUNTIFS('All Papers'!$D:$D,"*"&amp;$A381&amp;"*",'All Papers'!$G:$G,"*"&amp;Table1[[#Headers],[SLA Management]]&amp;"*")</f>
        <v>1</v>
      </c>
      <c r="J381" s="8">
        <f>COUNTIFS('All Papers'!$D:$D,"*"&amp;$A381&amp;"*",'All Papers'!$G:$G,"*"&amp;Table1[[#Headers],[Big Data]]&amp;"*")</f>
        <v>0</v>
      </c>
      <c r="K381" s="8">
        <f>COUNTIFS('All Papers'!$D:$D,"*"&amp;$A381&amp;"*",'All Papers'!$G:$G,"*"&amp;Table1[[#Headers],[Energy Management]]&amp;"*")</f>
        <v>0</v>
      </c>
      <c r="L381" s="8">
        <f>COUNTIFS('All Papers'!$D:$D,"*"&amp;$A381&amp;"*",'All Papers'!$G:$G,"*"&amp;Table1[[#Headers],[Monitoring]]&amp;"*")</f>
        <v>0</v>
      </c>
      <c r="M381" s="8">
        <f>COUNTIFS('All Papers'!$D:$D,"*"&amp;$A381&amp;"*",'All Papers'!$G:$G,"*"&amp;Table1[[#Headers],[Pricing]]&amp;"*")</f>
        <v>0</v>
      </c>
    </row>
    <row r="382" spans="1:13" x14ac:dyDescent="0.25">
      <c r="A382" s="8" t="s">
        <v>2815</v>
      </c>
      <c r="B382" s="8">
        <f>COUNTIF('All Papers'!D:D,"*"&amp;Table1[[#This Row],[Name]]&amp;"*")</f>
        <v>1</v>
      </c>
      <c r="C382" s="8">
        <f>COUNTIFS('All Papers'!$D:$D,"*"&amp;$A382&amp;"*",'All Papers'!$G:$G,"*"&amp;Table1[[#Headers],[Composition]]&amp;"*")</f>
        <v>0</v>
      </c>
      <c r="D382" s="8">
        <f>COUNTIFS('All Papers'!$D:$D,"*"&amp;$A382&amp;"*",'All Papers'!$G:$G,"*"&amp;Table1[[#Headers],[Discovery]]&amp;"*")</f>
        <v>0</v>
      </c>
      <c r="E382" s="8">
        <f>COUNTIFS('All Papers'!$D:$D,"*"&amp;$A382&amp;"*",'All Papers'!$G:$G,"*"&amp;Table1[[#Headers],[Selection]]&amp;"*")</f>
        <v>0</v>
      </c>
      <c r="F382" s="8">
        <f>COUNTIFS('All Papers'!$D:$D,"*"&amp;$A382&amp;"*",'All Papers'!$G:$G,"*"&amp;Table1[[#Headers],[Recommendation]]&amp;"*")</f>
        <v>0</v>
      </c>
      <c r="G382" s="8">
        <f>COUNTIFS('All Papers'!$D:$D,"*"&amp;$A382&amp;"*",'All Papers'!$G:$G,"*"&amp;Table1[[#Headers],[Resource Management-CS]]&amp;"*")</f>
        <v>1</v>
      </c>
      <c r="H382" s="8">
        <f>COUNTIFS('All Papers'!$D:$D,"*"&amp;$A382&amp;"*",'All Papers'!$G:$G,"*"&amp;Table1[[#Headers],[Resource Management-PS]]&amp;"*")</f>
        <v>0</v>
      </c>
      <c r="I382" s="8">
        <f>COUNTIFS('All Papers'!$D:$D,"*"&amp;$A382&amp;"*",'All Papers'!$G:$G,"*"&amp;Table1[[#Headers],[SLA Management]]&amp;"*")</f>
        <v>0</v>
      </c>
      <c r="J382" s="8">
        <f>COUNTIFS('All Papers'!$D:$D,"*"&amp;$A382&amp;"*",'All Papers'!$G:$G,"*"&amp;Table1[[#Headers],[Big Data]]&amp;"*")</f>
        <v>0</v>
      </c>
      <c r="K382" s="8">
        <f>COUNTIFS('All Papers'!$D:$D,"*"&amp;$A382&amp;"*",'All Papers'!$G:$G,"*"&amp;Table1[[#Headers],[Energy Management]]&amp;"*")</f>
        <v>0</v>
      </c>
      <c r="L382" s="8">
        <f>COUNTIFS('All Papers'!$D:$D,"*"&amp;$A382&amp;"*",'All Papers'!$G:$G,"*"&amp;Table1[[#Headers],[Monitoring]]&amp;"*")</f>
        <v>0</v>
      </c>
      <c r="M382" s="8">
        <f>COUNTIFS('All Papers'!$D:$D,"*"&amp;$A382&amp;"*",'All Papers'!$G:$G,"*"&amp;Table1[[#Headers],[Pricing]]&amp;"*")</f>
        <v>0</v>
      </c>
    </row>
    <row r="383" spans="1:13" x14ac:dyDescent="0.25">
      <c r="A383" s="8" t="s">
        <v>2816</v>
      </c>
      <c r="B383" s="8">
        <f>COUNTIF('All Papers'!D:D,"*"&amp;Table1[[#This Row],[Name]]&amp;"*")</f>
        <v>1</v>
      </c>
      <c r="C383" s="8">
        <f>COUNTIFS('All Papers'!$D:$D,"*"&amp;$A383&amp;"*",'All Papers'!$G:$G,"*"&amp;Table1[[#Headers],[Composition]]&amp;"*")</f>
        <v>0</v>
      </c>
      <c r="D383" s="8">
        <f>COUNTIFS('All Papers'!$D:$D,"*"&amp;$A383&amp;"*",'All Papers'!$G:$G,"*"&amp;Table1[[#Headers],[Discovery]]&amp;"*")</f>
        <v>0</v>
      </c>
      <c r="E383" s="8">
        <f>COUNTIFS('All Papers'!$D:$D,"*"&amp;$A383&amp;"*",'All Papers'!$G:$G,"*"&amp;Table1[[#Headers],[Selection]]&amp;"*")</f>
        <v>0</v>
      </c>
      <c r="F383" s="8">
        <f>COUNTIFS('All Papers'!$D:$D,"*"&amp;$A383&amp;"*",'All Papers'!$G:$G,"*"&amp;Table1[[#Headers],[Recommendation]]&amp;"*")</f>
        <v>0</v>
      </c>
      <c r="G383" s="8">
        <f>COUNTIFS('All Papers'!$D:$D,"*"&amp;$A383&amp;"*",'All Papers'!$G:$G,"*"&amp;Table1[[#Headers],[Resource Management-CS]]&amp;"*")</f>
        <v>1</v>
      </c>
      <c r="H383" s="8">
        <f>COUNTIFS('All Papers'!$D:$D,"*"&amp;$A383&amp;"*",'All Papers'!$G:$G,"*"&amp;Table1[[#Headers],[Resource Management-PS]]&amp;"*")</f>
        <v>0</v>
      </c>
      <c r="I383" s="8">
        <f>COUNTIFS('All Papers'!$D:$D,"*"&amp;$A383&amp;"*",'All Papers'!$G:$G,"*"&amp;Table1[[#Headers],[SLA Management]]&amp;"*")</f>
        <v>0</v>
      </c>
      <c r="J383" s="8">
        <f>COUNTIFS('All Papers'!$D:$D,"*"&amp;$A383&amp;"*",'All Papers'!$G:$G,"*"&amp;Table1[[#Headers],[Big Data]]&amp;"*")</f>
        <v>0</v>
      </c>
      <c r="K383" s="8">
        <f>COUNTIFS('All Papers'!$D:$D,"*"&amp;$A383&amp;"*",'All Papers'!$G:$G,"*"&amp;Table1[[#Headers],[Energy Management]]&amp;"*")</f>
        <v>0</v>
      </c>
      <c r="L383" s="8">
        <f>COUNTIFS('All Papers'!$D:$D,"*"&amp;$A383&amp;"*",'All Papers'!$G:$G,"*"&amp;Table1[[#Headers],[Monitoring]]&amp;"*")</f>
        <v>0</v>
      </c>
      <c r="M383" s="8">
        <f>COUNTIFS('All Papers'!$D:$D,"*"&amp;$A383&amp;"*",'All Papers'!$G:$G,"*"&amp;Table1[[#Headers],[Pricing]]&amp;"*")</f>
        <v>0</v>
      </c>
    </row>
    <row r="384" spans="1:13" x14ac:dyDescent="0.25">
      <c r="A384" s="8" t="s">
        <v>2817</v>
      </c>
      <c r="B384" s="8">
        <f>COUNTIF('All Papers'!D:D,"*"&amp;Table1[[#This Row],[Name]]&amp;"*")</f>
        <v>1</v>
      </c>
      <c r="C384" s="8">
        <f>COUNTIFS('All Papers'!$D:$D,"*"&amp;$A384&amp;"*",'All Papers'!$G:$G,"*"&amp;Table1[[#Headers],[Composition]]&amp;"*")</f>
        <v>0</v>
      </c>
      <c r="D384" s="8">
        <f>COUNTIFS('All Papers'!$D:$D,"*"&amp;$A384&amp;"*",'All Papers'!$G:$G,"*"&amp;Table1[[#Headers],[Discovery]]&amp;"*")</f>
        <v>0</v>
      </c>
      <c r="E384" s="8">
        <f>COUNTIFS('All Papers'!$D:$D,"*"&amp;$A384&amp;"*",'All Papers'!$G:$G,"*"&amp;Table1[[#Headers],[Selection]]&amp;"*")</f>
        <v>0</v>
      </c>
      <c r="F384" s="8">
        <f>COUNTIFS('All Papers'!$D:$D,"*"&amp;$A384&amp;"*",'All Papers'!$G:$G,"*"&amp;Table1[[#Headers],[Recommendation]]&amp;"*")</f>
        <v>0</v>
      </c>
      <c r="G384" s="8">
        <f>COUNTIFS('All Papers'!$D:$D,"*"&amp;$A384&amp;"*",'All Papers'!$G:$G,"*"&amp;Table1[[#Headers],[Resource Management-CS]]&amp;"*")</f>
        <v>1</v>
      </c>
      <c r="H384" s="8">
        <f>COUNTIFS('All Papers'!$D:$D,"*"&amp;$A384&amp;"*",'All Papers'!$G:$G,"*"&amp;Table1[[#Headers],[Resource Management-PS]]&amp;"*")</f>
        <v>0</v>
      </c>
      <c r="I384" s="8">
        <f>COUNTIFS('All Papers'!$D:$D,"*"&amp;$A384&amp;"*",'All Papers'!$G:$G,"*"&amp;Table1[[#Headers],[SLA Management]]&amp;"*")</f>
        <v>0</v>
      </c>
      <c r="J384" s="8">
        <f>COUNTIFS('All Papers'!$D:$D,"*"&amp;$A384&amp;"*",'All Papers'!$G:$G,"*"&amp;Table1[[#Headers],[Big Data]]&amp;"*")</f>
        <v>0</v>
      </c>
      <c r="K384" s="8">
        <f>COUNTIFS('All Papers'!$D:$D,"*"&amp;$A384&amp;"*",'All Papers'!$G:$G,"*"&amp;Table1[[#Headers],[Energy Management]]&amp;"*")</f>
        <v>0</v>
      </c>
      <c r="L384" s="8">
        <f>COUNTIFS('All Papers'!$D:$D,"*"&amp;$A384&amp;"*",'All Papers'!$G:$G,"*"&amp;Table1[[#Headers],[Monitoring]]&amp;"*")</f>
        <v>0</v>
      </c>
      <c r="M384" s="8">
        <f>COUNTIFS('All Papers'!$D:$D,"*"&amp;$A384&amp;"*",'All Papers'!$G:$G,"*"&amp;Table1[[#Headers],[Pricing]]&amp;"*")</f>
        <v>1</v>
      </c>
    </row>
    <row r="385" spans="1:13" x14ac:dyDescent="0.25">
      <c r="A385" s="8" t="s">
        <v>2818</v>
      </c>
      <c r="B385" s="8">
        <f>COUNTIF('All Papers'!D:D,"*"&amp;Table1[[#This Row],[Name]]&amp;"*")</f>
        <v>1</v>
      </c>
      <c r="C385" s="8">
        <f>COUNTIFS('All Papers'!$D:$D,"*"&amp;$A385&amp;"*",'All Papers'!$G:$G,"*"&amp;Table1[[#Headers],[Composition]]&amp;"*")</f>
        <v>0</v>
      </c>
      <c r="D385" s="8">
        <f>COUNTIFS('All Papers'!$D:$D,"*"&amp;$A385&amp;"*",'All Papers'!$G:$G,"*"&amp;Table1[[#Headers],[Discovery]]&amp;"*")</f>
        <v>0</v>
      </c>
      <c r="E385" s="8">
        <f>COUNTIFS('All Papers'!$D:$D,"*"&amp;$A385&amp;"*",'All Papers'!$G:$G,"*"&amp;Table1[[#Headers],[Selection]]&amp;"*")</f>
        <v>0</v>
      </c>
      <c r="F385" s="8">
        <f>COUNTIFS('All Papers'!$D:$D,"*"&amp;$A385&amp;"*",'All Papers'!$G:$G,"*"&amp;Table1[[#Headers],[Recommendation]]&amp;"*")</f>
        <v>0</v>
      </c>
      <c r="G385" s="8">
        <f>COUNTIFS('All Papers'!$D:$D,"*"&amp;$A385&amp;"*",'All Papers'!$G:$G,"*"&amp;Table1[[#Headers],[Resource Management-CS]]&amp;"*")</f>
        <v>0</v>
      </c>
      <c r="H385" s="8">
        <f>COUNTIFS('All Papers'!$D:$D,"*"&amp;$A385&amp;"*",'All Papers'!$G:$G,"*"&amp;Table1[[#Headers],[Resource Management-PS]]&amp;"*")</f>
        <v>1</v>
      </c>
      <c r="I385" s="8">
        <f>COUNTIFS('All Papers'!$D:$D,"*"&amp;$A385&amp;"*",'All Papers'!$G:$G,"*"&amp;Table1[[#Headers],[SLA Management]]&amp;"*")</f>
        <v>0</v>
      </c>
      <c r="J385" s="8">
        <f>COUNTIFS('All Papers'!$D:$D,"*"&amp;$A385&amp;"*",'All Papers'!$G:$G,"*"&amp;Table1[[#Headers],[Big Data]]&amp;"*")</f>
        <v>0</v>
      </c>
      <c r="K385" s="8">
        <f>COUNTIFS('All Papers'!$D:$D,"*"&amp;$A385&amp;"*",'All Papers'!$G:$G,"*"&amp;Table1[[#Headers],[Energy Management]]&amp;"*")</f>
        <v>0</v>
      </c>
      <c r="L385" s="8">
        <f>COUNTIFS('All Papers'!$D:$D,"*"&amp;$A385&amp;"*",'All Papers'!$G:$G,"*"&amp;Table1[[#Headers],[Monitoring]]&amp;"*")</f>
        <v>0</v>
      </c>
      <c r="M385" s="8">
        <f>COUNTIFS('All Papers'!$D:$D,"*"&amp;$A385&amp;"*",'All Papers'!$G:$G,"*"&amp;Table1[[#Headers],[Pricing]]&amp;"*")</f>
        <v>0</v>
      </c>
    </row>
    <row r="386" spans="1:13" x14ac:dyDescent="0.25">
      <c r="A386" s="8" t="s">
        <v>2819</v>
      </c>
      <c r="B386" s="8">
        <f>COUNTIF('All Papers'!D:D,"*"&amp;Table1[[#This Row],[Name]]&amp;"*")</f>
        <v>1</v>
      </c>
      <c r="C386" s="8">
        <f>COUNTIFS('All Papers'!$D:$D,"*"&amp;$A386&amp;"*",'All Papers'!$G:$G,"*"&amp;Table1[[#Headers],[Composition]]&amp;"*")</f>
        <v>0</v>
      </c>
      <c r="D386" s="8">
        <f>COUNTIFS('All Papers'!$D:$D,"*"&amp;$A386&amp;"*",'All Papers'!$G:$G,"*"&amp;Table1[[#Headers],[Discovery]]&amp;"*")</f>
        <v>0</v>
      </c>
      <c r="E386" s="8">
        <f>COUNTIFS('All Papers'!$D:$D,"*"&amp;$A386&amp;"*",'All Papers'!$G:$G,"*"&amp;Table1[[#Headers],[Selection]]&amp;"*")</f>
        <v>0</v>
      </c>
      <c r="F386" s="8">
        <f>COUNTIFS('All Papers'!$D:$D,"*"&amp;$A386&amp;"*",'All Papers'!$G:$G,"*"&amp;Table1[[#Headers],[Recommendation]]&amp;"*")</f>
        <v>0</v>
      </c>
      <c r="G386" s="8">
        <f>COUNTIFS('All Papers'!$D:$D,"*"&amp;$A386&amp;"*",'All Papers'!$G:$G,"*"&amp;Table1[[#Headers],[Resource Management-CS]]&amp;"*")</f>
        <v>0</v>
      </c>
      <c r="H386" s="8">
        <f>COUNTIFS('All Papers'!$D:$D,"*"&amp;$A386&amp;"*",'All Papers'!$G:$G,"*"&amp;Table1[[#Headers],[Resource Management-PS]]&amp;"*")</f>
        <v>1</v>
      </c>
      <c r="I386" s="8">
        <f>COUNTIFS('All Papers'!$D:$D,"*"&amp;$A386&amp;"*",'All Papers'!$G:$G,"*"&amp;Table1[[#Headers],[SLA Management]]&amp;"*")</f>
        <v>0</v>
      </c>
      <c r="J386" s="8">
        <f>COUNTIFS('All Papers'!$D:$D,"*"&amp;$A386&amp;"*",'All Papers'!$G:$G,"*"&amp;Table1[[#Headers],[Big Data]]&amp;"*")</f>
        <v>0</v>
      </c>
      <c r="K386" s="8">
        <f>COUNTIFS('All Papers'!$D:$D,"*"&amp;$A386&amp;"*",'All Papers'!$G:$G,"*"&amp;Table1[[#Headers],[Energy Management]]&amp;"*")</f>
        <v>0</v>
      </c>
      <c r="L386" s="8">
        <f>COUNTIFS('All Papers'!$D:$D,"*"&amp;$A386&amp;"*",'All Papers'!$G:$G,"*"&amp;Table1[[#Headers],[Monitoring]]&amp;"*")</f>
        <v>0</v>
      </c>
      <c r="M386" s="8">
        <f>COUNTIFS('All Papers'!$D:$D,"*"&amp;$A386&amp;"*",'All Papers'!$G:$G,"*"&amp;Table1[[#Headers],[Pricing]]&amp;"*")</f>
        <v>0</v>
      </c>
    </row>
    <row r="387" spans="1:13" x14ac:dyDescent="0.25">
      <c r="A387" s="8" t="s">
        <v>2820</v>
      </c>
      <c r="B387" s="8">
        <f>COUNTIF('All Papers'!D:D,"*"&amp;Table1[[#This Row],[Name]]&amp;"*")</f>
        <v>1</v>
      </c>
      <c r="C387" s="8">
        <f>COUNTIFS('All Papers'!$D:$D,"*"&amp;$A387&amp;"*",'All Papers'!$G:$G,"*"&amp;Table1[[#Headers],[Composition]]&amp;"*")</f>
        <v>0</v>
      </c>
      <c r="D387" s="8">
        <f>COUNTIFS('All Papers'!$D:$D,"*"&amp;$A387&amp;"*",'All Papers'!$G:$G,"*"&amp;Table1[[#Headers],[Discovery]]&amp;"*")</f>
        <v>0</v>
      </c>
      <c r="E387" s="8">
        <f>COUNTIFS('All Papers'!$D:$D,"*"&amp;$A387&amp;"*",'All Papers'!$G:$G,"*"&amp;Table1[[#Headers],[Selection]]&amp;"*")</f>
        <v>0</v>
      </c>
      <c r="F387" s="8">
        <f>COUNTIFS('All Papers'!$D:$D,"*"&amp;$A387&amp;"*",'All Papers'!$G:$G,"*"&amp;Table1[[#Headers],[Recommendation]]&amp;"*")</f>
        <v>0</v>
      </c>
      <c r="G387" s="8">
        <f>COUNTIFS('All Papers'!$D:$D,"*"&amp;$A387&amp;"*",'All Papers'!$G:$G,"*"&amp;Table1[[#Headers],[Resource Management-CS]]&amp;"*")</f>
        <v>0</v>
      </c>
      <c r="H387" s="8">
        <f>COUNTIFS('All Papers'!$D:$D,"*"&amp;$A387&amp;"*",'All Papers'!$G:$G,"*"&amp;Table1[[#Headers],[Resource Management-PS]]&amp;"*")</f>
        <v>1</v>
      </c>
      <c r="I387" s="8">
        <f>COUNTIFS('All Papers'!$D:$D,"*"&amp;$A387&amp;"*",'All Papers'!$G:$G,"*"&amp;Table1[[#Headers],[SLA Management]]&amp;"*")</f>
        <v>0</v>
      </c>
      <c r="J387" s="8">
        <f>COUNTIFS('All Papers'!$D:$D,"*"&amp;$A387&amp;"*",'All Papers'!$G:$G,"*"&amp;Table1[[#Headers],[Big Data]]&amp;"*")</f>
        <v>0</v>
      </c>
      <c r="K387" s="8">
        <f>COUNTIFS('All Papers'!$D:$D,"*"&amp;$A387&amp;"*",'All Papers'!$G:$G,"*"&amp;Table1[[#Headers],[Energy Management]]&amp;"*")</f>
        <v>0</v>
      </c>
      <c r="L387" s="8">
        <f>COUNTIFS('All Papers'!$D:$D,"*"&amp;$A387&amp;"*",'All Papers'!$G:$G,"*"&amp;Table1[[#Headers],[Monitoring]]&amp;"*")</f>
        <v>0</v>
      </c>
      <c r="M387" s="8">
        <f>COUNTIFS('All Papers'!$D:$D,"*"&amp;$A387&amp;"*",'All Papers'!$G:$G,"*"&amp;Table1[[#Headers],[Pricing]]&amp;"*")</f>
        <v>0</v>
      </c>
    </row>
    <row r="388" spans="1:13" x14ac:dyDescent="0.25">
      <c r="A388" s="8" t="s">
        <v>2821</v>
      </c>
      <c r="B388" s="8">
        <f>COUNTIF('All Papers'!D:D,"*"&amp;Table1[[#This Row],[Name]]&amp;"*")</f>
        <v>1</v>
      </c>
      <c r="C388" s="8">
        <f>COUNTIFS('All Papers'!$D:$D,"*"&amp;$A388&amp;"*",'All Papers'!$G:$G,"*"&amp;Table1[[#Headers],[Composition]]&amp;"*")</f>
        <v>0</v>
      </c>
      <c r="D388" s="8">
        <f>COUNTIFS('All Papers'!$D:$D,"*"&amp;$A388&amp;"*",'All Papers'!$G:$G,"*"&amp;Table1[[#Headers],[Discovery]]&amp;"*")</f>
        <v>0</v>
      </c>
      <c r="E388" s="8">
        <f>COUNTIFS('All Papers'!$D:$D,"*"&amp;$A388&amp;"*",'All Papers'!$G:$G,"*"&amp;Table1[[#Headers],[Selection]]&amp;"*")</f>
        <v>0</v>
      </c>
      <c r="F388" s="8">
        <f>COUNTIFS('All Papers'!$D:$D,"*"&amp;$A388&amp;"*",'All Papers'!$G:$G,"*"&amp;Table1[[#Headers],[Recommendation]]&amp;"*")</f>
        <v>0</v>
      </c>
      <c r="G388" s="8">
        <f>COUNTIFS('All Papers'!$D:$D,"*"&amp;$A388&amp;"*",'All Papers'!$G:$G,"*"&amp;Table1[[#Headers],[Resource Management-CS]]&amp;"*")</f>
        <v>0</v>
      </c>
      <c r="H388" s="8">
        <f>COUNTIFS('All Papers'!$D:$D,"*"&amp;$A388&amp;"*",'All Papers'!$G:$G,"*"&amp;Table1[[#Headers],[Resource Management-PS]]&amp;"*")</f>
        <v>1</v>
      </c>
      <c r="I388" s="8">
        <f>COUNTIFS('All Papers'!$D:$D,"*"&amp;$A388&amp;"*",'All Papers'!$G:$G,"*"&amp;Table1[[#Headers],[SLA Management]]&amp;"*")</f>
        <v>0</v>
      </c>
      <c r="J388" s="8">
        <f>COUNTIFS('All Papers'!$D:$D,"*"&amp;$A388&amp;"*",'All Papers'!$G:$G,"*"&amp;Table1[[#Headers],[Big Data]]&amp;"*")</f>
        <v>0</v>
      </c>
      <c r="K388" s="8">
        <f>COUNTIFS('All Papers'!$D:$D,"*"&amp;$A388&amp;"*",'All Papers'!$G:$G,"*"&amp;Table1[[#Headers],[Energy Management]]&amp;"*")</f>
        <v>0</v>
      </c>
      <c r="L388" s="8">
        <f>COUNTIFS('All Papers'!$D:$D,"*"&amp;$A388&amp;"*",'All Papers'!$G:$G,"*"&amp;Table1[[#Headers],[Monitoring]]&amp;"*")</f>
        <v>0</v>
      </c>
      <c r="M388" s="8">
        <f>COUNTIFS('All Papers'!$D:$D,"*"&amp;$A388&amp;"*",'All Papers'!$G:$G,"*"&amp;Table1[[#Headers],[Pricing]]&amp;"*")</f>
        <v>0</v>
      </c>
    </row>
    <row r="389" spans="1:13" x14ac:dyDescent="0.25">
      <c r="A389" s="8" t="s">
        <v>2822</v>
      </c>
      <c r="B389" s="8">
        <f>COUNTIF('All Papers'!D:D,"*"&amp;Table1[[#This Row],[Name]]&amp;"*")</f>
        <v>1</v>
      </c>
      <c r="C389" s="8">
        <f>COUNTIFS('All Papers'!$D:$D,"*"&amp;$A389&amp;"*",'All Papers'!$G:$G,"*"&amp;Table1[[#Headers],[Composition]]&amp;"*")</f>
        <v>0</v>
      </c>
      <c r="D389" s="8">
        <f>COUNTIFS('All Papers'!$D:$D,"*"&amp;$A389&amp;"*",'All Papers'!$G:$G,"*"&amp;Table1[[#Headers],[Discovery]]&amp;"*")</f>
        <v>0</v>
      </c>
      <c r="E389" s="8">
        <f>COUNTIFS('All Papers'!$D:$D,"*"&amp;$A389&amp;"*",'All Papers'!$G:$G,"*"&amp;Table1[[#Headers],[Selection]]&amp;"*")</f>
        <v>0</v>
      </c>
      <c r="F389" s="8">
        <f>COUNTIFS('All Papers'!$D:$D,"*"&amp;$A389&amp;"*",'All Papers'!$G:$G,"*"&amp;Table1[[#Headers],[Recommendation]]&amp;"*")</f>
        <v>0</v>
      </c>
      <c r="G389" s="8">
        <f>COUNTIFS('All Papers'!$D:$D,"*"&amp;$A389&amp;"*",'All Papers'!$G:$G,"*"&amp;Table1[[#Headers],[Resource Management-CS]]&amp;"*")</f>
        <v>0</v>
      </c>
      <c r="H389" s="8">
        <f>COUNTIFS('All Papers'!$D:$D,"*"&amp;$A389&amp;"*",'All Papers'!$G:$G,"*"&amp;Table1[[#Headers],[Resource Management-PS]]&amp;"*")</f>
        <v>1</v>
      </c>
      <c r="I389" s="8">
        <f>COUNTIFS('All Papers'!$D:$D,"*"&amp;$A389&amp;"*",'All Papers'!$G:$G,"*"&amp;Table1[[#Headers],[SLA Management]]&amp;"*")</f>
        <v>0</v>
      </c>
      <c r="J389" s="8">
        <f>COUNTIFS('All Papers'!$D:$D,"*"&amp;$A389&amp;"*",'All Papers'!$G:$G,"*"&amp;Table1[[#Headers],[Big Data]]&amp;"*")</f>
        <v>0</v>
      </c>
      <c r="K389" s="8">
        <f>COUNTIFS('All Papers'!$D:$D,"*"&amp;$A389&amp;"*",'All Papers'!$G:$G,"*"&amp;Table1[[#Headers],[Energy Management]]&amp;"*")</f>
        <v>0</v>
      </c>
      <c r="L389" s="8">
        <f>COUNTIFS('All Papers'!$D:$D,"*"&amp;$A389&amp;"*",'All Papers'!$G:$G,"*"&amp;Table1[[#Headers],[Monitoring]]&amp;"*")</f>
        <v>0</v>
      </c>
      <c r="M389" s="8">
        <f>COUNTIFS('All Papers'!$D:$D,"*"&amp;$A389&amp;"*",'All Papers'!$G:$G,"*"&amp;Table1[[#Headers],[Pricing]]&amp;"*")</f>
        <v>0</v>
      </c>
    </row>
    <row r="390" spans="1:13" x14ac:dyDescent="0.25">
      <c r="A390" s="8" t="s">
        <v>2823</v>
      </c>
      <c r="B390" s="8">
        <f>COUNTIF('All Papers'!D:D,"*"&amp;Table1[[#This Row],[Name]]&amp;"*")</f>
        <v>1</v>
      </c>
      <c r="C390" s="8">
        <f>COUNTIFS('All Papers'!$D:$D,"*"&amp;$A390&amp;"*",'All Papers'!$G:$G,"*"&amp;Table1[[#Headers],[Composition]]&amp;"*")</f>
        <v>0</v>
      </c>
      <c r="D390" s="8">
        <f>COUNTIFS('All Papers'!$D:$D,"*"&amp;$A390&amp;"*",'All Papers'!$G:$G,"*"&amp;Table1[[#Headers],[Discovery]]&amp;"*")</f>
        <v>0</v>
      </c>
      <c r="E390" s="8">
        <f>COUNTIFS('All Papers'!$D:$D,"*"&amp;$A390&amp;"*",'All Papers'!$G:$G,"*"&amp;Table1[[#Headers],[Selection]]&amp;"*")</f>
        <v>0</v>
      </c>
      <c r="F390" s="8">
        <f>COUNTIFS('All Papers'!$D:$D,"*"&amp;$A390&amp;"*",'All Papers'!$G:$G,"*"&amp;Table1[[#Headers],[Recommendation]]&amp;"*")</f>
        <v>0</v>
      </c>
      <c r="G390" s="8">
        <f>COUNTIFS('All Papers'!$D:$D,"*"&amp;$A390&amp;"*",'All Papers'!$G:$G,"*"&amp;Table1[[#Headers],[Resource Management-CS]]&amp;"*")</f>
        <v>0</v>
      </c>
      <c r="H390" s="8">
        <f>COUNTIFS('All Papers'!$D:$D,"*"&amp;$A390&amp;"*",'All Papers'!$G:$G,"*"&amp;Table1[[#Headers],[Resource Management-PS]]&amp;"*")</f>
        <v>1</v>
      </c>
      <c r="I390" s="8">
        <f>COUNTIFS('All Papers'!$D:$D,"*"&amp;$A390&amp;"*",'All Papers'!$G:$G,"*"&amp;Table1[[#Headers],[SLA Management]]&amp;"*")</f>
        <v>0</v>
      </c>
      <c r="J390" s="8">
        <f>COUNTIFS('All Papers'!$D:$D,"*"&amp;$A390&amp;"*",'All Papers'!$G:$G,"*"&amp;Table1[[#Headers],[Big Data]]&amp;"*")</f>
        <v>0</v>
      </c>
      <c r="K390" s="8">
        <f>COUNTIFS('All Papers'!$D:$D,"*"&amp;$A390&amp;"*",'All Papers'!$G:$G,"*"&amp;Table1[[#Headers],[Energy Management]]&amp;"*")</f>
        <v>0</v>
      </c>
      <c r="L390" s="8">
        <f>COUNTIFS('All Papers'!$D:$D,"*"&amp;$A390&amp;"*",'All Papers'!$G:$G,"*"&amp;Table1[[#Headers],[Monitoring]]&amp;"*")</f>
        <v>0</v>
      </c>
      <c r="M390" s="8">
        <f>COUNTIFS('All Papers'!$D:$D,"*"&amp;$A390&amp;"*",'All Papers'!$G:$G,"*"&amp;Table1[[#Headers],[Pricing]]&amp;"*")</f>
        <v>1</v>
      </c>
    </row>
    <row r="391" spans="1:13" x14ac:dyDescent="0.25">
      <c r="A391" s="8" t="s">
        <v>2824</v>
      </c>
      <c r="B391" s="8">
        <f>COUNTIF('All Papers'!D:D,"*"&amp;Table1[[#This Row],[Name]]&amp;"*")</f>
        <v>1</v>
      </c>
      <c r="C391" s="8">
        <f>COUNTIFS('All Papers'!$D:$D,"*"&amp;$A391&amp;"*",'All Papers'!$G:$G,"*"&amp;Table1[[#Headers],[Composition]]&amp;"*")</f>
        <v>0</v>
      </c>
      <c r="D391" s="8">
        <f>COUNTIFS('All Papers'!$D:$D,"*"&amp;$A391&amp;"*",'All Papers'!$G:$G,"*"&amp;Table1[[#Headers],[Discovery]]&amp;"*")</f>
        <v>0</v>
      </c>
      <c r="E391" s="8">
        <f>COUNTIFS('All Papers'!$D:$D,"*"&amp;$A391&amp;"*",'All Papers'!$G:$G,"*"&amp;Table1[[#Headers],[Selection]]&amp;"*")</f>
        <v>0</v>
      </c>
      <c r="F391" s="8">
        <f>COUNTIFS('All Papers'!$D:$D,"*"&amp;$A391&amp;"*",'All Papers'!$G:$G,"*"&amp;Table1[[#Headers],[Recommendation]]&amp;"*")</f>
        <v>0</v>
      </c>
      <c r="G391" s="8">
        <f>COUNTIFS('All Papers'!$D:$D,"*"&amp;$A391&amp;"*",'All Papers'!$G:$G,"*"&amp;Table1[[#Headers],[Resource Management-CS]]&amp;"*")</f>
        <v>0</v>
      </c>
      <c r="H391" s="8">
        <f>COUNTIFS('All Papers'!$D:$D,"*"&amp;$A391&amp;"*",'All Papers'!$G:$G,"*"&amp;Table1[[#Headers],[Resource Management-PS]]&amp;"*")</f>
        <v>1</v>
      </c>
      <c r="I391" s="8">
        <f>COUNTIFS('All Papers'!$D:$D,"*"&amp;$A391&amp;"*",'All Papers'!$G:$G,"*"&amp;Table1[[#Headers],[SLA Management]]&amp;"*")</f>
        <v>0</v>
      </c>
      <c r="J391" s="8">
        <f>COUNTIFS('All Papers'!$D:$D,"*"&amp;$A391&amp;"*",'All Papers'!$G:$G,"*"&amp;Table1[[#Headers],[Big Data]]&amp;"*")</f>
        <v>0</v>
      </c>
      <c r="K391" s="8">
        <f>COUNTIFS('All Papers'!$D:$D,"*"&amp;$A391&amp;"*",'All Papers'!$G:$G,"*"&amp;Table1[[#Headers],[Energy Management]]&amp;"*")</f>
        <v>0</v>
      </c>
      <c r="L391" s="8">
        <f>COUNTIFS('All Papers'!$D:$D,"*"&amp;$A391&amp;"*",'All Papers'!$G:$G,"*"&amp;Table1[[#Headers],[Monitoring]]&amp;"*")</f>
        <v>0</v>
      </c>
      <c r="M391" s="8">
        <f>COUNTIFS('All Papers'!$D:$D,"*"&amp;$A391&amp;"*",'All Papers'!$G:$G,"*"&amp;Table1[[#Headers],[Pricing]]&amp;"*")</f>
        <v>1</v>
      </c>
    </row>
    <row r="392" spans="1:13" x14ac:dyDescent="0.25">
      <c r="A392" s="8" t="s">
        <v>2825</v>
      </c>
      <c r="B392" s="8">
        <f>COUNTIF('All Papers'!D:D,"*"&amp;Table1[[#This Row],[Name]]&amp;"*")</f>
        <v>1</v>
      </c>
      <c r="C392" s="8">
        <f>COUNTIFS('All Papers'!$D:$D,"*"&amp;$A392&amp;"*",'All Papers'!$G:$G,"*"&amp;Table1[[#Headers],[Composition]]&amp;"*")</f>
        <v>1</v>
      </c>
      <c r="D392" s="8">
        <f>COUNTIFS('All Papers'!$D:$D,"*"&amp;$A392&amp;"*",'All Papers'!$G:$G,"*"&amp;Table1[[#Headers],[Discovery]]&amp;"*")</f>
        <v>0</v>
      </c>
      <c r="E392" s="8">
        <f>COUNTIFS('All Papers'!$D:$D,"*"&amp;$A392&amp;"*",'All Papers'!$G:$G,"*"&amp;Table1[[#Headers],[Selection]]&amp;"*")</f>
        <v>0</v>
      </c>
      <c r="F392" s="8">
        <f>COUNTIFS('All Papers'!$D:$D,"*"&amp;$A392&amp;"*",'All Papers'!$G:$G,"*"&amp;Table1[[#Headers],[Recommendation]]&amp;"*")</f>
        <v>0</v>
      </c>
      <c r="G392" s="8">
        <f>COUNTIFS('All Papers'!$D:$D,"*"&amp;$A392&amp;"*",'All Papers'!$G:$G,"*"&amp;Table1[[#Headers],[Resource Management-CS]]&amp;"*")</f>
        <v>0</v>
      </c>
      <c r="H392" s="8">
        <f>COUNTIFS('All Papers'!$D:$D,"*"&amp;$A392&amp;"*",'All Papers'!$G:$G,"*"&amp;Table1[[#Headers],[Resource Management-PS]]&amp;"*")</f>
        <v>0</v>
      </c>
      <c r="I392" s="8">
        <f>COUNTIFS('All Papers'!$D:$D,"*"&amp;$A392&amp;"*",'All Papers'!$G:$G,"*"&amp;Table1[[#Headers],[SLA Management]]&amp;"*")</f>
        <v>0</v>
      </c>
      <c r="J392" s="8">
        <f>COUNTIFS('All Papers'!$D:$D,"*"&amp;$A392&amp;"*",'All Papers'!$G:$G,"*"&amp;Table1[[#Headers],[Big Data]]&amp;"*")</f>
        <v>0</v>
      </c>
      <c r="K392" s="8">
        <f>COUNTIFS('All Papers'!$D:$D,"*"&amp;$A392&amp;"*",'All Papers'!$G:$G,"*"&amp;Table1[[#Headers],[Energy Management]]&amp;"*")</f>
        <v>0</v>
      </c>
      <c r="L392" s="8">
        <f>COUNTIFS('All Papers'!$D:$D,"*"&amp;$A392&amp;"*",'All Papers'!$G:$G,"*"&amp;Table1[[#Headers],[Monitoring]]&amp;"*")</f>
        <v>0</v>
      </c>
      <c r="M392" s="8">
        <f>COUNTIFS('All Papers'!$D:$D,"*"&amp;$A392&amp;"*",'All Papers'!$G:$G,"*"&amp;Table1[[#Headers],[Pricing]]&amp;"*")</f>
        <v>0</v>
      </c>
    </row>
    <row r="393" spans="1:13" x14ac:dyDescent="0.25">
      <c r="A393" s="8" t="s">
        <v>2826</v>
      </c>
      <c r="B393" s="8">
        <f>COUNTIF('All Papers'!D:D,"*"&amp;Table1[[#This Row],[Name]]&amp;"*")</f>
        <v>1</v>
      </c>
      <c r="C393" s="8">
        <f>COUNTIFS('All Papers'!$D:$D,"*"&amp;$A393&amp;"*",'All Papers'!$G:$G,"*"&amp;Table1[[#Headers],[Composition]]&amp;"*")</f>
        <v>1</v>
      </c>
      <c r="D393" s="8">
        <f>COUNTIFS('All Papers'!$D:$D,"*"&amp;$A393&amp;"*",'All Papers'!$G:$G,"*"&amp;Table1[[#Headers],[Discovery]]&amp;"*")</f>
        <v>0</v>
      </c>
      <c r="E393" s="8">
        <f>COUNTIFS('All Papers'!$D:$D,"*"&amp;$A393&amp;"*",'All Papers'!$G:$G,"*"&amp;Table1[[#Headers],[Selection]]&amp;"*")</f>
        <v>0</v>
      </c>
      <c r="F393" s="8">
        <f>COUNTIFS('All Papers'!$D:$D,"*"&amp;$A393&amp;"*",'All Papers'!$G:$G,"*"&amp;Table1[[#Headers],[Recommendation]]&amp;"*")</f>
        <v>0</v>
      </c>
      <c r="G393" s="8">
        <f>COUNTIFS('All Papers'!$D:$D,"*"&amp;$A393&amp;"*",'All Papers'!$G:$G,"*"&amp;Table1[[#Headers],[Resource Management-CS]]&amp;"*")</f>
        <v>0</v>
      </c>
      <c r="H393" s="8">
        <f>COUNTIFS('All Papers'!$D:$D,"*"&amp;$A393&amp;"*",'All Papers'!$G:$G,"*"&amp;Table1[[#Headers],[Resource Management-PS]]&amp;"*")</f>
        <v>0</v>
      </c>
      <c r="I393" s="8">
        <f>COUNTIFS('All Papers'!$D:$D,"*"&amp;$A393&amp;"*",'All Papers'!$G:$G,"*"&amp;Table1[[#Headers],[SLA Management]]&amp;"*")</f>
        <v>0</v>
      </c>
      <c r="J393" s="8">
        <f>COUNTIFS('All Papers'!$D:$D,"*"&amp;$A393&amp;"*",'All Papers'!$G:$G,"*"&amp;Table1[[#Headers],[Big Data]]&amp;"*")</f>
        <v>0</v>
      </c>
      <c r="K393" s="8">
        <f>COUNTIFS('All Papers'!$D:$D,"*"&amp;$A393&amp;"*",'All Papers'!$G:$G,"*"&amp;Table1[[#Headers],[Energy Management]]&amp;"*")</f>
        <v>0</v>
      </c>
      <c r="L393" s="8">
        <f>COUNTIFS('All Papers'!$D:$D,"*"&amp;$A393&amp;"*",'All Papers'!$G:$G,"*"&amp;Table1[[#Headers],[Monitoring]]&amp;"*")</f>
        <v>0</v>
      </c>
      <c r="M393" s="8">
        <f>COUNTIFS('All Papers'!$D:$D,"*"&amp;$A393&amp;"*",'All Papers'!$G:$G,"*"&amp;Table1[[#Headers],[Pricing]]&amp;"*")</f>
        <v>0</v>
      </c>
    </row>
    <row r="394" spans="1:13" x14ac:dyDescent="0.25">
      <c r="A394" s="8" t="s">
        <v>2827</v>
      </c>
      <c r="B394" s="8">
        <f>COUNTIF('All Papers'!D:D,"*"&amp;Table1[[#This Row],[Name]]&amp;"*")</f>
        <v>1</v>
      </c>
      <c r="C394" s="8">
        <f>COUNTIFS('All Papers'!$D:$D,"*"&amp;$A394&amp;"*",'All Papers'!$G:$G,"*"&amp;Table1[[#Headers],[Composition]]&amp;"*")</f>
        <v>0</v>
      </c>
      <c r="D394" s="8">
        <f>COUNTIFS('All Papers'!$D:$D,"*"&amp;$A394&amp;"*",'All Papers'!$G:$G,"*"&amp;Table1[[#Headers],[Discovery]]&amp;"*")</f>
        <v>0</v>
      </c>
      <c r="E394" s="8">
        <f>COUNTIFS('All Papers'!$D:$D,"*"&amp;$A394&amp;"*",'All Papers'!$G:$G,"*"&amp;Table1[[#Headers],[Selection]]&amp;"*")</f>
        <v>0</v>
      </c>
      <c r="F394" s="8">
        <f>COUNTIFS('All Papers'!$D:$D,"*"&amp;$A394&amp;"*",'All Papers'!$G:$G,"*"&amp;Table1[[#Headers],[Recommendation]]&amp;"*")</f>
        <v>0</v>
      </c>
      <c r="G394" s="8">
        <f>COUNTIFS('All Papers'!$D:$D,"*"&amp;$A394&amp;"*",'All Papers'!$G:$G,"*"&amp;Table1[[#Headers],[Resource Management-CS]]&amp;"*")</f>
        <v>1</v>
      </c>
      <c r="H394" s="8">
        <f>COUNTIFS('All Papers'!$D:$D,"*"&amp;$A394&amp;"*",'All Papers'!$G:$G,"*"&amp;Table1[[#Headers],[Resource Management-PS]]&amp;"*")</f>
        <v>0</v>
      </c>
      <c r="I394" s="8">
        <f>COUNTIFS('All Papers'!$D:$D,"*"&amp;$A394&amp;"*",'All Papers'!$G:$G,"*"&amp;Table1[[#Headers],[SLA Management]]&amp;"*")</f>
        <v>0</v>
      </c>
      <c r="J394" s="8">
        <f>COUNTIFS('All Papers'!$D:$D,"*"&amp;$A394&amp;"*",'All Papers'!$G:$G,"*"&amp;Table1[[#Headers],[Big Data]]&amp;"*")</f>
        <v>0</v>
      </c>
      <c r="K394" s="8">
        <f>COUNTIFS('All Papers'!$D:$D,"*"&amp;$A394&amp;"*",'All Papers'!$G:$G,"*"&amp;Table1[[#Headers],[Energy Management]]&amp;"*")</f>
        <v>0</v>
      </c>
      <c r="L394" s="8">
        <f>COUNTIFS('All Papers'!$D:$D,"*"&amp;$A394&amp;"*",'All Papers'!$G:$G,"*"&amp;Table1[[#Headers],[Monitoring]]&amp;"*")</f>
        <v>0</v>
      </c>
      <c r="M394" s="8">
        <f>COUNTIFS('All Papers'!$D:$D,"*"&amp;$A394&amp;"*",'All Papers'!$G:$G,"*"&amp;Table1[[#Headers],[Pricing]]&amp;"*")</f>
        <v>1</v>
      </c>
    </row>
    <row r="395" spans="1:13" x14ac:dyDescent="0.25">
      <c r="A395" s="8" t="s">
        <v>2828</v>
      </c>
      <c r="B395" s="8">
        <f>COUNTIF('All Papers'!D:D,"*"&amp;Table1[[#This Row],[Name]]&amp;"*")</f>
        <v>1</v>
      </c>
      <c r="C395" s="8">
        <f>COUNTIFS('All Papers'!$D:$D,"*"&amp;$A395&amp;"*",'All Papers'!$G:$G,"*"&amp;Table1[[#Headers],[Composition]]&amp;"*")</f>
        <v>1</v>
      </c>
      <c r="D395" s="8">
        <f>COUNTIFS('All Papers'!$D:$D,"*"&amp;$A395&amp;"*",'All Papers'!$G:$G,"*"&amp;Table1[[#Headers],[Discovery]]&amp;"*")</f>
        <v>0</v>
      </c>
      <c r="E395" s="8">
        <f>COUNTIFS('All Papers'!$D:$D,"*"&amp;$A395&amp;"*",'All Papers'!$G:$G,"*"&amp;Table1[[#Headers],[Selection]]&amp;"*")</f>
        <v>0</v>
      </c>
      <c r="F395" s="8">
        <f>COUNTIFS('All Papers'!$D:$D,"*"&amp;$A395&amp;"*",'All Papers'!$G:$G,"*"&amp;Table1[[#Headers],[Recommendation]]&amp;"*")</f>
        <v>0</v>
      </c>
      <c r="G395" s="8">
        <f>COUNTIFS('All Papers'!$D:$D,"*"&amp;$A395&amp;"*",'All Papers'!$G:$G,"*"&amp;Table1[[#Headers],[Resource Management-CS]]&amp;"*")</f>
        <v>0</v>
      </c>
      <c r="H395" s="8">
        <f>COUNTIFS('All Papers'!$D:$D,"*"&amp;$A395&amp;"*",'All Papers'!$G:$G,"*"&amp;Table1[[#Headers],[Resource Management-PS]]&amp;"*")</f>
        <v>0</v>
      </c>
      <c r="I395" s="8">
        <f>COUNTIFS('All Papers'!$D:$D,"*"&amp;$A395&amp;"*",'All Papers'!$G:$G,"*"&amp;Table1[[#Headers],[SLA Management]]&amp;"*")</f>
        <v>0</v>
      </c>
      <c r="J395" s="8">
        <f>COUNTIFS('All Papers'!$D:$D,"*"&amp;$A395&amp;"*",'All Papers'!$G:$G,"*"&amp;Table1[[#Headers],[Big Data]]&amp;"*")</f>
        <v>0</v>
      </c>
      <c r="K395" s="8">
        <f>COUNTIFS('All Papers'!$D:$D,"*"&amp;$A395&amp;"*",'All Papers'!$G:$G,"*"&amp;Table1[[#Headers],[Energy Management]]&amp;"*")</f>
        <v>0</v>
      </c>
      <c r="L395" s="8">
        <f>COUNTIFS('All Papers'!$D:$D,"*"&amp;$A395&amp;"*",'All Papers'!$G:$G,"*"&amp;Table1[[#Headers],[Monitoring]]&amp;"*")</f>
        <v>0</v>
      </c>
      <c r="M395" s="8">
        <f>COUNTIFS('All Papers'!$D:$D,"*"&amp;$A395&amp;"*",'All Papers'!$G:$G,"*"&amp;Table1[[#Headers],[Pricing]]&amp;"*")</f>
        <v>0</v>
      </c>
    </row>
    <row r="396" spans="1:13" x14ac:dyDescent="0.25">
      <c r="A396" s="8" t="s">
        <v>2829</v>
      </c>
      <c r="B396" s="8">
        <f>COUNTIF('All Papers'!D:D,"*"&amp;Table1[[#This Row],[Name]]&amp;"*")</f>
        <v>1</v>
      </c>
      <c r="C396" s="8">
        <f>COUNTIFS('All Papers'!$D:$D,"*"&amp;$A396&amp;"*",'All Papers'!$G:$G,"*"&amp;Table1[[#Headers],[Composition]]&amp;"*")</f>
        <v>1</v>
      </c>
      <c r="D396" s="8">
        <f>COUNTIFS('All Papers'!$D:$D,"*"&amp;$A396&amp;"*",'All Papers'!$G:$G,"*"&amp;Table1[[#Headers],[Discovery]]&amp;"*")</f>
        <v>0</v>
      </c>
      <c r="E396" s="8">
        <f>COUNTIFS('All Papers'!$D:$D,"*"&amp;$A396&amp;"*",'All Papers'!$G:$G,"*"&amp;Table1[[#Headers],[Selection]]&amp;"*")</f>
        <v>0</v>
      </c>
      <c r="F396" s="8">
        <f>COUNTIFS('All Papers'!$D:$D,"*"&amp;$A396&amp;"*",'All Papers'!$G:$G,"*"&amp;Table1[[#Headers],[Recommendation]]&amp;"*")</f>
        <v>0</v>
      </c>
      <c r="G396" s="8">
        <f>COUNTIFS('All Papers'!$D:$D,"*"&amp;$A396&amp;"*",'All Papers'!$G:$G,"*"&amp;Table1[[#Headers],[Resource Management-CS]]&amp;"*")</f>
        <v>0</v>
      </c>
      <c r="H396" s="8">
        <f>COUNTIFS('All Papers'!$D:$D,"*"&amp;$A396&amp;"*",'All Papers'!$G:$G,"*"&amp;Table1[[#Headers],[Resource Management-PS]]&amp;"*")</f>
        <v>0</v>
      </c>
      <c r="I396" s="8">
        <f>COUNTIFS('All Papers'!$D:$D,"*"&amp;$A396&amp;"*",'All Papers'!$G:$G,"*"&amp;Table1[[#Headers],[SLA Management]]&amp;"*")</f>
        <v>0</v>
      </c>
      <c r="J396" s="8">
        <f>COUNTIFS('All Papers'!$D:$D,"*"&amp;$A396&amp;"*",'All Papers'!$G:$G,"*"&amp;Table1[[#Headers],[Big Data]]&amp;"*")</f>
        <v>0</v>
      </c>
      <c r="K396" s="8">
        <f>COUNTIFS('All Papers'!$D:$D,"*"&amp;$A396&amp;"*",'All Papers'!$G:$G,"*"&amp;Table1[[#Headers],[Energy Management]]&amp;"*")</f>
        <v>0</v>
      </c>
      <c r="L396" s="8">
        <f>COUNTIFS('All Papers'!$D:$D,"*"&amp;$A396&amp;"*",'All Papers'!$G:$G,"*"&amp;Table1[[#Headers],[Monitoring]]&amp;"*")</f>
        <v>0</v>
      </c>
      <c r="M396" s="8">
        <f>COUNTIFS('All Papers'!$D:$D,"*"&amp;$A396&amp;"*",'All Papers'!$G:$G,"*"&amp;Table1[[#Headers],[Pricing]]&amp;"*")</f>
        <v>0</v>
      </c>
    </row>
    <row r="397" spans="1:13" x14ac:dyDescent="0.25">
      <c r="A397" s="8" t="s">
        <v>2830</v>
      </c>
      <c r="B397" s="8">
        <f>COUNTIF('All Papers'!D:D,"*"&amp;Table1[[#This Row],[Name]]&amp;"*")</f>
        <v>1</v>
      </c>
      <c r="C397" s="8">
        <f>COUNTIFS('All Papers'!$D:$D,"*"&amp;$A397&amp;"*",'All Papers'!$G:$G,"*"&amp;Table1[[#Headers],[Composition]]&amp;"*")</f>
        <v>1</v>
      </c>
      <c r="D397" s="8">
        <f>COUNTIFS('All Papers'!$D:$D,"*"&amp;$A397&amp;"*",'All Papers'!$G:$G,"*"&amp;Table1[[#Headers],[Discovery]]&amp;"*")</f>
        <v>0</v>
      </c>
      <c r="E397" s="8">
        <f>COUNTIFS('All Papers'!$D:$D,"*"&amp;$A397&amp;"*",'All Papers'!$G:$G,"*"&amp;Table1[[#Headers],[Selection]]&amp;"*")</f>
        <v>0</v>
      </c>
      <c r="F397" s="8">
        <f>COUNTIFS('All Papers'!$D:$D,"*"&amp;$A397&amp;"*",'All Papers'!$G:$G,"*"&amp;Table1[[#Headers],[Recommendation]]&amp;"*")</f>
        <v>0</v>
      </c>
      <c r="G397" s="8">
        <f>COUNTIFS('All Papers'!$D:$D,"*"&amp;$A397&amp;"*",'All Papers'!$G:$G,"*"&amp;Table1[[#Headers],[Resource Management-CS]]&amp;"*")</f>
        <v>0</v>
      </c>
      <c r="H397" s="8">
        <f>COUNTIFS('All Papers'!$D:$D,"*"&amp;$A397&amp;"*",'All Papers'!$G:$G,"*"&amp;Table1[[#Headers],[Resource Management-PS]]&amp;"*")</f>
        <v>0</v>
      </c>
      <c r="I397" s="8">
        <f>COUNTIFS('All Papers'!$D:$D,"*"&amp;$A397&amp;"*",'All Papers'!$G:$G,"*"&amp;Table1[[#Headers],[SLA Management]]&amp;"*")</f>
        <v>0</v>
      </c>
      <c r="J397" s="8">
        <f>COUNTIFS('All Papers'!$D:$D,"*"&amp;$A397&amp;"*",'All Papers'!$G:$G,"*"&amp;Table1[[#Headers],[Big Data]]&amp;"*")</f>
        <v>0</v>
      </c>
      <c r="K397" s="8">
        <f>COUNTIFS('All Papers'!$D:$D,"*"&amp;$A397&amp;"*",'All Papers'!$G:$G,"*"&amp;Table1[[#Headers],[Energy Management]]&amp;"*")</f>
        <v>0</v>
      </c>
      <c r="L397" s="8">
        <f>COUNTIFS('All Papers'!$D:$D,"*"&amp;$A397&amp;"*",'All Papers'!$G:$G,"*"&amp;Table1[[#Headers],[Monitoring]]&amp;"*")</f>
        <v>0</v>
      </c>
      <c r="M397" s="8">
        <f>COUNTIFS('All Papers'!$D:$D,"*"&amp;$A397&amp;"*",'All Papers'!$G:$G,"*"&amp;Table1[[#Headers],[Pricing]]&amp;"*")</f>
        <v>0</v>
      </c>
    </row>
    <row r="398" spans="1:13" x14ac:dyDescent="0.25">
      <c r="A398" s="8" t="s">
        <v>2831</v>
      </c>
      <c r="B398" s="8">
        <f>COUNTIF('All Papers'!D:D,"*"&amp;Table1[[#This Row],[Name]]&amp;"*")</f>
        <v>1</v>
      </c>
      <c r="C398" s="8">
        <f>COUNTIFS('All Papers'!$D:$D,"*"&amp;$A398&amp;"*",'All Papers'!$G:$G,"*"&amp;Table1[[#Headers],[Composition]]&amp;"*")</f>
        <v>1</v>
      </c>
      <c r="D398" s="8">
        <f>COUNTIFS('All Papers'!$D:$D,"*"&amp;$A398&amp;"*",'All Papers'!$G:$G,"*"&amp;Table1[[#Headers],[Discovery]]&amp;"*")</f>
        <v>0</v>
      </c>
      <c r="E398" s="8">
        <f>COUNTIFS('All Papers'!$D:$D,"*"&amp;$A398&amp;"*",'All Papers'!$G:$G,"*"&amp;Table1[[#Headers],[Selection]]&amp;"*")</f>
        <v>1</v>
      </c>
      <c r="F398" s="8">
        <f>COUNTIFS('All Papers'!$D:$D,"*"&amp;$A398&amp;"*",'All Papers'!$G:$G,"*"&amp;Table1[[#Headers],[Recommendation]]&amp;"*")</f>
        <v>0</v>
      </c>
      <c r="G398" s="8">
        <f>COUNTIFS('All Papers'!$D:$D,"*"&amp;$A398&amp;"*",'All Papers'!$G:$G,"*"&amp;Table1[[#Headers],[Resource Management-CS]]&amp;"*")</f>
        <v>0</v>
      </c>
      <c r="H398" s="8">
        <f>COUNTIFS('All Papers'!$D:$D,"*"&amp;$A398&amp;"*",'All Papers'!$G:$G,"*"&amp;Table1[[#Headers],[Resource Management-PS]]&amp;"*")</f>
        <v>0</v>
      </c>
      <c r="I398" s="8">
        <f>COUNTIFS('All Papers'!$D:$D,"*"&amp;$A398&amp;"*",'All Papers'!$G:$G,"*"&amp;Table1[[#Headers],[SLA Management]]&amp;"*")</f>
        <v>0</v>
      </c>
      <c r="J398" s="8">
        <f>COUNTIFS('All Papers'!$D:$D,"*"&amp;$A398&amp;"*",'All Papers'!$G:$G,"*"&amp;Table1[[#Headers],[Big Data]]&amp;"*")</f>
        <v>0</v>
      </c>
      <c r="K398" s="8">
        <f>COUNTIFS('All Papers'!$D:$D,"*"&amp;$A398&amp;"*",'All Papers'!$G:$G,"*"&amp;Table1[[#Headers],[Energy Management]]&amp;"*")</f>
        <v>0</v>
      </c>
      <c r="L398" s="8">
        <f>COUNTIFS('All Papers'!$D:$D,"*"&amp;$A398&amp;"*",'All Papers'!$G:$G,"*"&amp;Table1[[#Headers],[Monitoring]]&amp;"*")</f>
        <v>0</v>
      </c>
      <c r="M398" s="8">
        <f>COUNTIFS('All Papers'!$D:$D,"*"&amp;$A398&amp;"*",'All Papers'!$G:$G,"*"&amp;Table1[[#Headers],[Pricing]]&amp;"*")</f>
        <v>0</v>
      </c>
    </row>
    <row r="399" spans="1:13" x14ac:dyDescent="0.25">
      <c r="A399" s="8" t="s">
        <v>2832</v>
      </c>
      <c r="B399" s="8">
        <f>COUNTIF('All Papers'!D:D,"*"&amp;Table1[[#This Row],[Name]]&amp;"*")</f>
        <v>1</v>
      </c>
      <c r="C399" s="8">
        <f>COUNTIFS('All Papers'!$D:$D,"*"&amp;$A399&amp;"*",'All Papers'!$G:$G,"*"&amp;Table1[[#Headers],[Composition]]&amp;"*")</f>
        <v>1</v>
      </c>
      <c r="D399" s="8">
        <f>COUNTIFS('All Papers'!$D:$D,"*"&amp;$A399&amp;"*",'All Papers'!$G:$G,"*"&amp;Table1[[#Headers],[Discovery]]&amp;"*")</f>
        <v>0</v>
      </c>
      <c r="E399" s="8">
        <f>COUNTIFS('All Papers'!$D:$D,"*"&amp;$A399&amp;"*",'All Papers'!$G:$G,"*"&amp;Table1[[#Headers],[Selection]]&amp;"*")</f>
        <v>1</v>
      </c>
      <c r="F399" s="8">
        <f>COUNTIFS('All Papers'!$D:$D,"*"&amp;$A399&amp;"*",'All Papers'!$G:$G,"*"&amp;Table1[[#Headers],[Recommendation]]&amp;"*")</f>
        <v>0</v>
      </c>
      <c r="G399" s="8">
        <f>COUNTIFS('All Papers'!$D:$D,"*"&amp;$A399&amp;"*",'All Papers'!$G:$G,"*"&amp;Table1[[#Headers],[Resource Management-CS]]&amp;"*")</f>
        <v>0</v>
      </c>
      <c r="H399" s="8">
        <f>COUNTIFS('All Papers'!$D:$D,"*"&amp;$A399&amp;"*",'All Papers'!$G:$G,"*"&amp;Table1[[#Headers],[Resource Management-PS]]&amp;"*")</f>
        <v>0</v>
      </c>
      <c r="I399" s="8">
        <f>COUNTIFS('All Papers'!$D:$D,"*"&amp;$A399&amp;"*",'All Papers'!$G:$G,"*"&amp;Table1[[#Headers],[SLA Management]]&amp;"*")</f>
        <v>0</v>
      </c>
      <c r="J399" s="8">
        <f>COUNTIFS('All Papers'!$D:$D,"*"&amp;$A399&amp;"*",'All Papers'!$G:$G,"*"&amp;Table1[[#Headers],[Big Data]]&amp;"*")</f>
        <v>0</v>
      </c>
      <c r="K399" s="8">
        <f>COUNTIFS('All Papers'!$D:$D,"*"&amp;$A399&amp;"*",'All Papers'!$G:$G,"*"&amp;Table1[[#Headers],[Energy Management]]&amp;"*")</f>
        <v>0</v>
      </c>
      <c r="L399" s="8">
        <f>COUNTIFS('All Papers'!$D:$D,"*"&amp;$A399&amp;"*",'All Papers'!$G:$G,"*"&amp;Table1[[#Headers],[Monitoring]]&amp;"*")</f>
        <v>0</v>
      </c>
      <c r="M399" s="8">
        <f>COUNTIFS('All Papers'!$D:$D,"*"&amp;$A399&amp;"*",'All Papers'!$G:$G,"*"&amp;Table1[[#Headers],[Pricing]]&amp;"*")</f>
        <v>0</v>
      </c>
    </row>
    <row r="400" spans="1:13" x14ac:dyDescent="0.25">
      <c r="A400" s="8" t="s">
        <v>2833</v>
      </c>
      <c r="B400" s="8">
        <f>COUNTIF('All Papers'!D:D,"*"&amp;Table1[[#This Row],[Name]]&amp;"*")</f>
        <v>1</v>
      </c>
      <c r="C400" s="8">
        <f>COUNTIFS('All Papers'!$D:$D,"*"&amp;$A400&amp;"*",'All Papers'!$G:$G,"*"&amp;Table1[[#Headers],[Composition]]&amp;"*")</f>
        <v>1</v>
      </c>
      <c r="D400" s="8">
        <f>COUNTIFS('All Papers'!$D:$D,"*"&amp;$A400&amp;"*",'All Papers'!$G:$G,"*"&amp;Table1[[#Headers],[Discovery]]&amp;"*")</f>
        <v>0</v>
      </c>
      <c r="E400" s="8">
        <f>COUNTIFS('All Papers'!$D:$D,"*"&amp;$A400&amp;"*",'All Papers'!$G:$G,"*"&amp;Table1[[#Headers],[Selection]]&amp;"*")</f>
        <v>1</v>
      </c>
      <c r="F400" s="8">
        <f>COUNTIFS('All Papers'!$D:$D,"*"&amp;$A400&amp;"*",'All Papers'!$G:$G,"*"&amp;Table1[[#Headers],[Recommendation]]&amp;"*")</f>
        <v>0</v>
      </c>
      <c r="G400" s="8">
        <f>COUNTIFS('All Papers'!$D:$D,"*"&amp;$A400&amp;"*",'All Papers'!$G:$G,"*"&amp;Table1[[#Headers],[Resource Management-CS]]&amp;"*")</f>
        <v>0</v>
      </c>
      <c r="H400" s="8">
        <f>COUNTIFS('All Papers'!$D:$D,"*"&amp;$A400&amp;"*",'All Papers'!$G:$G,"*"&amp;Table1[[#Headers],[Resource Management-PS]]&amp;"*")</f>
        <v>0</v>
      </c>
      <c r="I400" s="8">
        <f>COUNTIFS('All Papers'!$D:$D,"*"&amp;$A400&amp;"*",'All Papers'!$G:$G,"*"&amp;Table1[[#Headers],[SLA Management]]&amp;"*")</f>
        <v>0</v>
      </c>
      <c r="J400" s="8">
        <f>COUNTIFS('All Papers'!$D:$D,"*"&amp;$A400&amp;"*",'All Papers'!$G:$G,"*"&amp;Table1[[#Headers],[Big Data]]&amp;"*")</f>
        <v>0</v>
      </c>
      <c r="K400" s="8">
        <f>COUNTIFS('All Papers'!$D:$D,"*"&amp;$A400&amp;"*",'All Papers'!$G:$G,"*"&amp;Table1[[#Headers],[Energy Management]]&amp;"*")</f>
        <v>0</v>
      </c>
      <c r="L400" s="8">
        <f>COUNTIFS('All Papers'!$D:$D,"*"&amp;$A400&amp;"*",'All Papers'!$G:$G,"*"&amp;Table1[[#Headers],[Monitoring]]&amp;"*")</f>
        <v>0</v>
      </c>
      <c r="M400" s="8">
        <f>COUNTIFS('All Papers'!$D:$D,"*"&amp;$A400&amp;"*",'All Papers'!$G:$G,"*"&amp;Table1[[#Headers],[Pricing]]&amp;"*")</f>
        <v>0</v>
      </c>
    </row>
    <row r="401" spans="1:13" x14ac:dyDescent="0.25">
      <c r="A401" s="8" t="s">
        <v>2834</v>
      </c>
      <c r="B401" s="8">
        <f>COUNTIF('All Papers'!D:D,"*"&amp;Table1[[#This Row],[Name]]&amp;"*")</f>
        <v>1</v>
      </c>
      <c r="C401" s="8">
        <f>COUNTIFS('All Papers'!$D:$D,"*"&amp;$A401&amp;"*",'All Papers'!$G:$G,"*"&amp;Table1[[#Headers],[Composition]]&amp;"*")</f>
        <v>0</v>
      </c>
      <c r="D401" s="8">
        <f>COUNTIFS('All Papers'!$D:$D,"*"&amp;$A401&amp;"*",'All Papers'!$G:$G,"*"&amp;Table1[[#Headers],[Discovery]]&amp;"*")</f>
        <v>0</v>
      </c>
      <c r="E401" s="8">
        <f>COUNTIFS('All Papers'!$D:$D,"*"&amp;$A401&amp;"*",'All Papers'!$G:$G,"*"&amp;Table1[[#Headers],[Selection]]&amp;"*")</f>
        <v>0</v>
      </c>
      <c r="F401" s="8">
        <f>COUNTIFS('All Papers'!$D:$D,"*"&amp;$A401&amp;"*",'All Papers'!$G:$G,"*"&amp;Table1[[#Headers],[Recommendation]]&amp;"*")</f>
        <v>0</v>
      </c>
      <c r="G401" s="8">
        <f>COUNTIFS('All Papers'!$D:$D,"*"&amp;$A401&amp;"*",'All Papers'!$G:$G,"*"&amp;Table1[[#Headers],[Resource Management-CS]]&amp;"*")</f>
        <v>1</v>
      </c>
      <c r="H401" s="8">
        <f>COUNTIFS('All Papers'!$D:$D,"*"&amp;$A401&amp;"*",'All Papers'!$G:$G,"*"&amp;Table1[[#Headers],[Resource Management-PS]]&amp;"*")</f>
        <v>0</v>
      </c>
      <c r="I401" s="8">
        <f>COUNTIFS('All Papers'!$D:$D,"*"&amp;$A401&amp;"*",'All Papers'!$G:$G,"*"&amp;Table1[[#Headers],[SLA Management]]&amp;"*")</f>
        <v>0</v>
      </c>
      <c r="J401" s="8">
        <f>COUNTIFS('All Papers'!$D:$D,"*"&amp;$A401&amp;"*",'All Papers'!$G:$G,"*"&amp;Table1[[#Headers],[Big Data]]&amp;"*")</f>
        <v>0</v>
      </c>
      <c r="K401" s="8">
        <f>COUNTIFS('All Papers'!$D:$D,"*"&amp;$A401&amp;"*",'All Papers'!$G:$G,"*"&amp;Table1[[#Headers],[Energy Management]]&amp;"*")</f>
        <v>0</v>
      </c>
      <c r="L401" s="8">
        <f>COUNTIFS('All Papers'!$D:$D,"*"&amp;$A401&amp;"*",'All Papers'!$G:$G,"*"&amp;Table1[[#Headers],[Monitoring]]&amp;"*")</f>
        <v>0</v>
      </c>
      <c r="M401" s="8">
        <f>COUNTIFS('All Papers'!$D:$D,"*"&amp;$A401&amp;"*",'All Papers'!$G:$G,"*"&amp;Table1[[#Headers],[Pricing]]&amp;"*")</f>
        <v>0</v>
      </c>
    </row>
    <row r="402" spans="1:13" x14ac:dyDescent="0.25">
      <c r="A402" s="8" t="s">
        <v>2835</v>
      </c>
      <c r="B402" s="8">
        <f>COUNTIF('All Papers'!D:D,"*"&amp;Table1[[#This Row],[Name]]&amp;"*")</f>
        <v>1</v>
      </c>
      <c r="C402" s="8">
        <f>COUNTIFS('All Papers'!$D:$D,"*"&amp;$A402&amp;"*",'All Papers'!$G:$G,"*"&amp;Table1[[#Headers],[Composition]]&amp;"*")</f>
        <v>0</v>
      </c>
      <c r="D402" s="8">
        <f>COUNTIFS('All Papers'!$D:$D,"*"&amp;$A402&amp;"*",'All Papers'!$G:$G,"*"&amp;Table1[[#Headers],[Discovery]]&amp;"*")</f>
        <v>0</v>
      </c>
      <c r="E402" s="8">
        <f>COUNTIFS('All Papers'!$D:$D,"*"&amp;$A402&amp;"*",'All Papers'!$G:$G,"*"&amp;Table1[[#Headers],[Selection]]&amp;"*")</f>
        <v>0</v>
      </c>
      <c r="F402" s="8">
        <f>COUNTIFS('All Papers'!$D:$D,"*"&amp;$A402&amp;"*",'All Papers'!$G:$G,"*"&amp;Table1[[#Headers],[Recommendation]]&amp;"*")</f>
        <v>0</v>
      </c>
      <c r="G402" s="8">
        <f>COUNTIFS('All Papers'!$D:$D,"*"&amp;$A402&amp;"*",'All Papers'!$G:$G,"*"&amp;Table1[[#Headers],[Resource Management-CS]]&amp;"*")</f>
        <v>1</v>
      </c>
      <c r="H402" s="8">
        <f>COUNTIFS('All Papers'!$D:$D,"*"&amp;$A402&amp;"*",'All Papers'!$G:$G,"*"&amp;Table1[[#Headers],[Resource Management-PS]]&amp;"*")</f>
        <v>0</v>
      </c>
      <c r="I402" s="8">
        <f>COUNTIFS('All Papers'!$D:$D,"*"&amp;$A402&amp;"*",'All Papers'!$G:$G,"*"&amp;Table1[[#Headers],[SLA Management]]&amp;"*")</f>
        <v>0</v>
      </c>
      <c r="J402" s="8">
        <f>COUNTIFS('All Papers'!$D:$D,"*"&amp;$A402&amp;"*",'All Papers'!$G:$G,"*"&amp;Table1[[#Headers],[Big Data]]&amp;"*")</f>
        <v>0</v>
      </c>
      <c r="K402" s="8">
        <f>COUNTIFS('All Papers'!$D:$D,"*"&amp;$A402&amp;"*",'All Papers'!$G:$G,"*"&amp;Table1[[#Headers],[Energy Management]]&amp;"*")</f>
        <v>0</v>
      </c>
      <c r="L402" s="8">
        <f>COUNTIFS('All Papers'!$D:$D,"*"&amp;$A402&amp;"*",'All Papers'!$G:$G,"*"&amp;Table1[[#Headers],[Monitoring]]&amp;"*")</f>
        <v>0</v>
      </c>
      <c r="M402" s="8">
        <f>COUNTIFS('All Papers'!$D:$D,"*"&amp;$A402&amp;"*",'All Papers'!$G:$G,"*"&amp;Table1[[#Headers],[Pricing]]&amp;"*")</f>
        <v>0</v>
      </c>
    </row>
    <row r="403" spans="1:13" x14ac:dyDescent="0.25">
      <c r="A403" s="8" t="s">
        <v>2836</v>
      </c>
      <c r="B403" s="8">
        <f>COUNTIF('All Papers'!D:D,"*"&amp;Table1[[#This Row],[Name]]&amp;"*")</f>
        <v>1</v>
      </c>
      <c r="C403" s="8">
        <f>COUNTIFS('All Papers'!$D:$D,"*"&amp;$A403&amp;"*",'All Papers'!$G:$G,"*"&amp;Table1[[#Headers],[Composition]]&amp;"*")</f>
        <v>0</v>
      </c>
      <c r="D403" s="8">
        <f>COUNTIFS('All Papers'!$D:$D,"*"&amp;$A403&amp;"*",'All Papers'!$G:$G,"*"&amp;Table1[[#Headers],[Discovery]]&amp;"*")</f>
        <v>0</v>
      </c>
      <c r="E403" s="8">
        <f>COUNTIFS('All Papers'!$D:$D,"*"&amp;$A403&amp;"*",'All Papers'!$G:$G,"*"&amp;Table1[[#Headers],[Selection]]&amp;"*")</f>
        <v>0</v>
      </c>
      <c r="F403" s="8">
        <f>COUNTIFS('All Papers'!$D:$D,"*"&amp;$A403&amp;"*",'All Papers'!$G:$G,"*"&amp;Table1[[#Headers],[Recommendation]]&amp;"*")</f>
        <v>0</v>
      </c>
      <c r="G403" s="8">
        <f>COUNTIFS('All Papers'!$D:$D,"*"&amp;$A403&amp;"*",'All Papers'!$G:$G,"*"&amp;Table1[[#Headers],[Resource Management-CS]]&amp;"*")</f>
        <v>1</v>
      </c>
      <c r="H403" s="8">
        <f>COUNTIFS('All Papers'!$D:$D,"*"&amp;$A403&amp;"*",'All Papers'!$G:$G,"*"&amp;Table1[[#Headers],[Resource Management-PS]]&amp;"*")</f>
        <v>0</v>
      </c>
      <c r="I403" s="8">
        <f>COUNTIFS('All Papers'!$D:$D,"*"&amp;$A403&amp;"*",'All Papers'!$G:$G,"*"&amp;Table1[[#Headers],[SLA Management]]&amp;"*")</f>
        <v>0</v>
      </c>
      <c r="J403" s="8">
        <f>COUNTIFS('All Papers'!$D:$D,"*"&amp;$A403&amp;"*",'All Papers'!$G:$G,"*"&amp;Table1[[#Headers],[Big Data]]&amp;"*")</f>
        <v>0</v>
      </c>
      <c r="K403" s="8">
        <f>COUNTIFS('All Papers'!$D:$D,"*"&amp;$A403&amp;"*",'All Papers'!$G:$G,"*"&amp;Table1[[#Headers],[Energy Management]]&amp;"*")</f>
        <v>0</v>
      </c>
      <c r="L403" s="8">
        <f>COUNTIFS('All Papers'!$D:$D,"*"&amp;$A403&amp;"*",'All Papers'!$G:$G,"*"&amp;Table1[[#Headers],[Monitoring]]&amp;"*")</f>
        <v>0</v>
      </c>
      <c r="M403" s="8">
        <f>COUNTIFS('All Papers'!$D:$D,"*"&amp;$A403&amp;"*",'All Papers'!$G:$G,"*"&amp;Table1[[#Headers],[Pricing]]&amp;"*")</f>
        <v>0</v>
      </c>
    </row>
    <row r="404" spans="1:13" x14ac:dyDescent="0.25">
      <c r="A404" s="8" t="s">
        <v>2837</v>
      </c>
      <c r="B404" s="8">
        <f>COUNTIF('All Papers'!D:D,"*"&amp;Table1[[#This Row],[Name]]&amp;"*")</f>
        <v>1</v>
      </c>
      <c r="C404" s="8">
        <f>COUNTIFS('All Papers'!$D:$D,"*"&amp;$A404&amp;"*",'All Papers'!$G:$G,"*"&amp;Table1[[#Headers],[Composition]]&amp;"*")</f>
        <v>0</v>
      </c>
      <c r="D404" s="8">
        <f>COUNTIFS('All Papers'!$D:$D,"*"&amp;$A404&amp;"*",'All Papers'!$G:$G,"*"&amp;Table1[[#Headers],[Discovery]]&amp;"*")</f>
        <v>0</v>
      </c>
      <c r="E404" s="8">
        <f>COUNTIFS('All Papers'!$D:$D,"*"&amp;$A404&amp;"*",'All Papers'!$G:$G,"*"&amp;Table1[[#Headers],[Selection]]&amp;"*")</f>
        <v>0</v>
      </c>
      <c r="F404" s="8">
        <f>COUNTIFS('All Papers'!$D:$D,"*"&amp;$A404&amp;"*",'All Papers'!$G:$G,"*"&amp;Table1[[#Headers],[Recommendation]]&amp;"*")</f>
        <v>0</v>
      </c>
      <c r="G404" s="8">
        <f>COUNTIFS('All Papers'!$D:$D,"*"&amp;$A404&amp;"*",'All Papers'!$G:$G,"*"&amp;Table1[[#Headers],[Resource Management-CS]]&amp;"*")</f>
        <v>1</v>
      </c>
      <c r="H404" s="8">
        <f>COUNTIFS('All Papers'!$D:$D,"*"&amp;$A404&amp;"*",'All Papers'!$G:$G,"*"&amp;Table1[[#Headers],[Resource Management-PS]]&amp;"*")</f>
        <v>0</v>
      </c>
      <c r="I404" s="8">
        <f>COUNTIFS('All Papers'!$D:$D,"*"&amp;$A404&amp;"*",'All Papers'!$G:$G,"*"&amp;Table1[[#Headers],[SLA Management]]&amp;"*")</f>
        <v>0</v>
      </c>
      <c r="J404" s="8">
        <f>COUNTIFS('All Papers'!$D:$D,"*"&amp;$A404&amp;"*",'All Papers'!$G:$G,"*"&amp;Table1[[#Headers],[Big Data]]&amp;"*")</f>
        <v>0</v>
      </c>
      <c r="K404" s="8">
        <f>COUNTIFS('All Papers'!$D:$D,"*"&amp;$A404&amp;"*",'All Papers'!$G:$G,"*"&amp;Table1[[#Headers],[Energy Management]]&amp;"*")</f>
        <v>0</v>
      </c>
      <c r="L404" s="8">
        <f>COUNTIFS('All Papers'!$D:$D,"*"&amp;$A404&amp;"*",'All Papers'!$G:$G,"*"&amp;Table1[[#Headers],[Monitoring]]&amp;"*")</f>
        <v>0</v>
      </c>
      <c r="M404" s="8">
        <f>COUNTIFS('All Papers'!$D:$D,"*"&amp;$A404&amp;"*",'All Papers'!$G:$G,"*"&amp;Table1[[#Headers],[Pricing]]&amp;"*")</f>
        <v>0</v>
      </c>
    </row>
    <row r="405" spans="1:13" x14ac:dyDescent="0.25">
      <c r="A405" s="8" t="s">
        <v>2838</v>
      </c>
      <c r="B405" s="8">
        <f>COUNTIF('All Papers'!D:D,"*"&amp;Table1[[#This Row],[Name]]&amp;"*")</f>
        <v>1</v>
      </c>
      <c r="C405" s="8">
        <f>COUNTIFS('All Papers'!$D:$D,"*"&amp;$A405&amp;"*",'All Papers'!$G:$G,"*"&amp;Table1[[#Headers],[Composition]]&amp;"*")</f>
        <v>0</v>
      </c>
      <c r="D405" s="8">
        <f>COUNTIFS('All Papers'!$D:$D,"*"&amp;$A405&amp;"*",'All Papers'!$G:$G,"*"&amp;Table1[[#Headers],[Discovery]]&amp;"*")</f>
        <v>0</v>
      </c>
      <c r="E405" s="8">
        <f>COUNTIFS('All Papers'!$D:$D,"*"&amp;$A405&amp;"*",'All Papers'!$G:$G,"*"&amp;Table1[[#Headers],[Selection]]&amp;"*")</f>
        <v>0</v>
      </c>
      <c r="F405" s="8">
        <f>COUNTIFS('All Papers'!$D:$D,"*"&amp;$A405&amp;"*",'All Papers'!$G:$G,"*"&amp;Table1[[#Headers],[Recommendation]]&amp;"*")</f>
        <v>0</v>
      </c>
      <c r="G405" s="8">
        <f>COUNTIFS('All Papers'!$D:$D,"*"&amp;$A405&amp;"*",'All Papers'!$G:$G,"*"&amp;Table1[[#Headers],[Resource Management-CS]]&amp;"*")</f>
        <v>1</v>
      </c>
      <c r="H405" s="8">
        <f>COUNTIFS('All Papers'!$D:$D,"*"&amp;$A405&amp;"*",'All Papers'!$G:$G,"*"&amp;Table1[[#Headers],[Resource Management-PS]]&amp;"*")</f>
        <v>0</v>
      </c>
      <c r="I405" s="8">
        <f>COUNTIFS('All Papers'!$D:$D,"*"&amp;$A405&amp;"*",'All Papers'!$G:$G,"*"&amp;Table1[[#Headers],[SLA Management]]&amp;"*")</f>
        <v>0</v>
      </c>
      <c r="J405" s="8">
        <f>COUNTIFS('All Papers'!$D:$D,"*"&amp;$A405&amp;"*",'All Papers'!$G:$G,"*"&amp;Table1[[#Headers],[Big Data]]&amp;"*")</f>
        <v>0</v>
      </c>
      <c r="K405" s="8">
        <f>COUNTIFS('All Papers'!$D:$D,"*"&amp;$A405&amp;"*",'All Papers'!$G:$G,"*"&amp;Table1[[#Headers],[Energy Management]]&amp;"*")</f>
        <v>0</v>
      </c>
      <c r="L405" s="8">
        <f>COUNTIFS('All Papers'!$D:$D,"*"&amp;$A405&amp;"*",'All Papers'!$G:$G,"*"&amp;Table1[[#Headers],[Monitoring]]&amp;"*")</f>
        <v>0</v>
      </c>
      <c r="M405" s="8">
        <f>COUNTIFS('All Papers'!$D:$D,"*"&amp;$A405&amp;"*",'All Papers'!$G:$G,"*"&amp;Table1[[#Headers],[Pricing]]&amp;"*")</f>
        <v>0</v>
      </c>
    </row>
    <row r="406" spans="1:13" x14ac:dyDescent="0.25">
      <c r="A406" s="8" t="s">
        <v>2839</v>
      </c>
      <c r="B406" s="8">
        <f>COUNTIF('All Papers'!D:D,"*"&amp;Table1[[#This Row],[Name]]&amp;"*")</f>
        <v>1</v>
      </c>
      <c r="C406" s="8">
        <f>COUNTIFS('All Papers'!$D:$D,"*"&amp;$A406&amp;"*",'All Papers'!$G:$G,"*"&amp;Table1[[#Headers],[Composition]]&amp;"*")</f>
        <v>0</v>
      </c>
      <c r="D406" s="8">
        <f>COUNTIFS('All Papers'!$D:$D,"*"&amp;$A406&amp;"*",'All Papers'!$G:$G,"*"&amp;Table1[[#Headers],[Discovery]]&amp;"*")</f>
        <v>0</v>
      </c>
      <c r="E406" s="8">
        <f>COUNTIFS('All Papers'!$D:$D,"*"&amp;$A406&amp;"*",'All Papers'!$G:$G,"*"&amp;Table1[[#Headers],[Selection]]&amp;"*")</f>
        <v>0</v>
      </c>
      <c r="F406" s="8">
        <f>COUNTIFS('All Papers'!$D:$D,"*"&amp;$A406&amp;"*",'All Papers'!$G:$G,"*"&amp;Table1[[#Headers],[Recommendation]]&amp;"*")</f>
        <v>0</v>
      </c>
      <c r="G406" s="8">
        <f>COUNTIFS('All Papers'!$D:$D,"*"&amp;$A406&amp;"*",'All Papers'!$G:$G,"*"&amp;Table1[[#Headers],[Resource Management-CS]]&amp;"*")</f>
        <v>1</v>
      </c>
      <c r="H406" s="8">
        <f>COUNTIFS('All Papers'!$D:$D,"*"&amp;$A406&amp;"*",'All Papers'!$G:$G,"*"&amp;Table1[[#Headers],[Resource Management-PS]]&amp;"*")</f>
        <v>0</v>
      </c>
      <c r="I406" s="8">
        <f>COUNTIFS('All Papers'!$D:$D,"*"&amp;$A406&amp;"*",'All Papers'!$G:$G,"*"&amp;Table1[[#Headers],[SLA Management]]&amp;"*")</f>
        <v>0</v>
      </c>
      <c r="J406" s="8">
        <f>COUNTIFS('All Papers'!$D:$D,"*"&amp;$A406&amp;"*",'All Papers'!$G:$G,"*"&amp;Table1[[#Headers],[Big Data]]&amp;"*")</f>
        <v>0</v>
      </c>
      <c r="K406" s="8">
        <f>COUNTIFS('All Papers'!$D:$D,"*"&amp;$A406&amp;"*",'All Papers'!$G:$G,"*"&amp;Table1[[#Headers],[Energy Management]]&amp;"*")</f>
        <v>0</v>
      </c>
      <c r="L406" s="8">
        <f>COUNTIFS('All Papers'!$D:$D,"*"&amp;$A406&amp;"*",'All Papers'!$G:$G,"*"&amp;Table1[[#Headers],[Monitoring]]&amp;"*")</f>
        <v>0</v>
      </c>
      <c r="M406" s="8">
        <f>COUNTIFS('All Papers'!$D:$D,"*"&amp;$A406&amp;"*",'All Papers'!$G:$G,"*"&amp;Table1[[#Headers],[Pricing]]&amp;"*")</f>
        <v>0</v>
      </c>
    </row>
    <row r="407" spans="1:13" x14ac:dyDescent="0.25">
      <c r="A407" s="8" t="s">
        <v>2840</v>
      </c>
      <c r="B407" s="8">
        <f>COUNTIF('All Papers'!D:D,"*"&amp;Table1[[#This Row],[Name]]&amp;"*")</f>
        <v>1</v>
      </c>
      <c r="C407" s="8">
        <f>COUNTIFS('All Papers'!$D:$D,"*"&amp;$A407&amp;"*",'All Papers'!$G:$G,"*"&amp;Table1[[#Headers],[Composition]]&amp;"*")</f>
        <v>0</v>
      </c>
      <c r="D407" s="8">
        <f>COUNTIFS('All Papers'!$D:$D,"*"&amp;$A407&amp;"*",'All Papers'!$G:$G,"*"&amp;Table1[[#Headers],[Discovery]]&amp;"*")</f>
        <v>0</v>
      </c>
      <c r="E407" s="8">
        <f>COUNTIFS('All Papers'!$D:$D,"*"&amp;$A407&amp;"*",'All Papers'!$G:$G,"*"&amp;Table1[[#Headers],[Selection]]&amp;"*")</f>
        <v>0</v>
      </c>
      <c r="F407" s="8">
        <f>COUNTIFS('All Papers'!$D:$D,"*"&amp;$A407&amp;"*",'All Papers'!$G:$G,"*"&amp;Table1[[#Headers],[Recommendation]]&amp;"*")</f>
        <v>0</v>
      </c>
      <c r="G407" s="8">
        <f>COUNTIFS('All Papers'!$D:$D,"*"&amp;$A407&amp;"*",'All Papers'!$G:$G,"*"&amp;Table1[[#Headers],[Resource Management-CS]]&amp;"*")</f>
        <v>1</v>
      </c>
      <c r="H407" s="8">
        <f>COUNTIFS('All Papers'!$D:$D,"*"&amp;$A407&amp;"*",'All Papers'!$G:$G,"*"&amp;Table1[[#Headers],[Resource Management-PS]]&amp;"*")</f>
        <v>0</v>
      </c>
      <c r="I407" s="8">
        <f>COUNTIFS('All Papers'!$D:$D,"*"&amp;$A407&amp;"*",'All Papers'!$G:$G,"*"&amp;Table1[[#Headers],[SLA Management]]&amp;"*")</f>
        <v>0</v>
      </c>
      <c r="J407" s="8">
        <f>COUNTIFS('All Papers'!$D:$D,"*"&amp;$A407&amp;"*",'All Papers'!$G:$G,"*"&amp;Table1[[#Headers],[Big Data]]&amp;"*")</f>
        <v>0</v>
      </c>
      <c r="K407" s="8">
        <f>COUNTIFS('All Papers'!$D:$D,"*"&amp;$A407&amp;"*",'All Papers'!$G:$G,"*"&amp;Table1[[#Headers],[Energy Management]]&amp;"*")</f>
        <v>0</v>
      </c>
      <c r="L407" s="8">
        <f>COUNTIFS('All Papers'!$D:$D,"*"&amp;$A407&amp;"*",'All Papers'!$G:$G,"*"&amp;Table1[[#Headers],[Monitoring]]&amp;"*")</f>
        <v>0</v>
      </c>
      <c r="M407" s="8">
        <f>COUNTIFS('All Papers'!$D:$D,"*"&amp;$A407&amp;"*",'All Papers'!$G:$G,"*"&amp;Table1[[#Headers],[Pricing]]&amp;"*")</f>
        <v>0</v>
      </c>
    </row>
    <row r="408" spans="1:13" x14ac:dyDescent="0.25">
      <c r="A408" s="8" t="s">
        <v>2841</v>
      </c>
      <c r="B408" s="8">
        <f>COUNTIF('All Papers'!D:D,"*"&amp;Table1[[#This Row],[Name]]&amp;"*")</f>
        <v>1</v>
      </c>
      <c r="C408" s="8">
        <f>COUNTIFS('All Papers'!$D:$D,"*"&amp;$A408&amp;"*",'All Papers'!$G:$G,"*"&amp;Table1[[#Headers],[Composition]]&amp;"*")</f>
        <v>0</v>
      </c>
      <c r="D408" s="8">
        <f>COUNTIFS('All Papers'!$D:$D,"*"&amp;$A408&amp;"*",'All Papers'!$G:$G,"*"&amp;Table1[[#Headers],[Discovery]]&amp;"*")</f>
        <v>0</v>
      </c>
      <c r="E408" s="8">
        <f>COUNTIFS('All Papers'!$D:$D,"*"&amp;$A408&amp;"*",'All Papers'!$G:$G,"*"&amp;Table1[[#Headers],[Selection]]&amp;"*")</f>
        <v>0</v>
      </c>
      <c r="F408" s="8">
        <f>COUNTIFS('All Papers'!$D:$D,"*"&amp;$A408&amp;"*",'All Papers'!$G:$G,"*"&amp;Table1[[#Headers],[Recommendation]]&amp;"*")</f>
        <v>0</v>
      </c>
      <c r="G408" s="8">
        <f>COUNTIFS('All Papers'!$D:$D,"*"&amp;$A408&amp;"*",'All Papers'!$G:$G,"*"&amp;Table1[[#Headers],[Resource Management-CS]]&amp;"*")</f>
        <v>1</v>
      </c>
      <c r="H408" s="8">
        <f>COUNTIFS('All Papers'!$D:$D,"*"&amp;$A408&amp;"*",'All Papers'!$G:$G,"*"&amp;Table1[[#Headers],[Resource Management-PS]]&amp;"*")</f>
        <v>0</v>
      </c>
      <c r="I408" s="8">
        <f>COUNTIFS('All Papers'!$D:$D,"*"&amp;$A408&amp;"*",'All Papers'!$G:$G,"*"&amp;Table1[[#Headers],[SLA Management]]&amp;"*")</f>
        <v>0</v>
      </c>
      <c r="J408" s="8">
        <f>COUNTIFS('All Papers'!$D:$D,"*"&amp;$A408&amp;"*",'All Papers'!$G:$G,"*"&amp;Table1[[#Headers],[Big Data]]&amp;"*")</f>
        <v>0</v>
      </c>
      <c r="K408" s="8">
        <f>COUNTIFS('All Papers'!$D:$D,"*"&amp;$A408&amp;"*",'All Papers'!$G:$G,"*"&amp;Table1[[#Headers],[Energy Management]]&amp;"*")</f>
        <v>0</v>
      </c>
      <c r="L408" s="8">
        <f>COUNTIFS('All Papers'!$D:$D,"*"&amp;$A408&amp;"*",'All Papers'!$G:$G,"*"&amp;Table1[[#Headers],[Monitoring]]&amp;"*")</f>
        <v>0</v>
      </c>
      <c r="M408" s="8">
        <f>COUNTIFS('All Papers'!$D:$D,"*"&amp;$A408&amp;"*",'All Papers'!$G:$G,"*"&amp;Table1[[#Headers],[Pricing]]&amp;"*")</f>
        <v>1</v>
      </c>
    </row>
    <row r="409" spans="1:13" x14ac:dyDescent="0.25">
      <c r="A409" s="8" t="s">
        <v>2842</v>
      </c>
      <c r="B409" s="8">
        <f>COUNTIF('All Papers'!D:D,"*"&amp;Table1[[#This Row],[Name]]&amp;"*")</f>
        <v>1</v>
      </c>
      <c r="C409" s="8">
        <f>COUNTIFS('All Papers'!$D:$D,"*"&amp;$A409&amp;"*",'All Papers'!$G:$G,"*"&amp;Table1[[#Headers],[Composition]]&amp;"*")</f>
        <v>0</v>
      </c>
      <c r="D409" s="8">
        <f>COUNTIFS('All Papers'!$D:$D,"*"&amp;$A409&amp;"*",'All Papers'!$G:$G,"*"&amp;Table1[[#Headers],[Discovery]]&amp;"*")</f>
        <v>0</v>
      </c>
      <c r="E409" s="8">
        <f>COUNTIFS('All Papers'!$D:$D,"*"&amp;$A409&amp;"*",'All Papers'!$G:$G,"*"&amp;Table1[[#Headers],[Selection]]&amp;"*")</f>
        <v>0</v>
      </c>
      <c r="F409" s="8">
        <f>COUNTIFS('All Papers'!$D:$D,"*"&amp;$A409&amp;"*",'All Papers'!$G:$G,"*"&amp;Table1[[#Headers],[Recommendation]]&amp;"*")</f>
        <v>0</v>
      </c>
      <c r="G409" s="8">
        <f>COUNTIFS('All Papers'!$D:$D,"*"&amp;$A409&amp;"*",'All Papers'!$G:$G,"*"&amp;Table1[[#Headers],[Resource Management-CS]]&amp;"*")</f>
        <v>1</v>
      </c>
      <c r="H409" s="8">
        <f>COUNTIFS('All Papers'!$D:$D,"*"&amp;$A409&amp;"*",'All Papers'!$G:$G,"*"&amp;Table1[[#Headers],[Resource Management-PS]]&amp;"*")</f>
        <v>0</v>
      </c>
      <c r="I409" s="8">
        <f>COUNTIFS('All Papers'!$D:$D,"*"&amp;$A409&amp;"*",'All Papers'!$G:$G,"*"&amp;Table1[[#Headers],[SLA Management]]&amp;"*")</f>
        <v>0</v>
      </c>
      <c r="J409" s="8">
        <f>COUNTIFS('All Papers'!$D:$D,"*"&amp;$A409&amp;"*",'All Papers'!$G:$G,"*"&amp;Table1[[#Headers],[Big Data]]&amp;"*")</f>
        <v>0</v>
      </c>
      <c r="K409" s="8">
        <f>COUNTIFS('All Papers'!$D:$D,"*"&amp;$A409&amp;"*",'All Papers'!$G:$G,"*"&amp;Table1[[#Headers],[Energy Management]]&amp;"*")</f>
        <v>0</v>
      </c>
      <c r="L409" s="8">
        <f>COUNTIFS('All Papers'!$D:$D,"*"&amp;$A409&amp;"*",'All Papers'!$G:$G,"*"&amp;Table1[[#Headers],[Monitoring]]&amp;"*")</f>
        <v>0</v>
      </c>
      <c r="M409" s="8">
        <f>COUNTIFS('All Papers'!$D:$D,"*"&amp;$A409&amp;"*",'All Papers'!$G:$G,"*"&amp;Table1[[#Headers],[Pricing]]&amp;"*")</f>
        <v>1</v>
      </c>
    </row>
    <row r="410" spans="1:13" x14ac:dyDescent="0.25">
      <c r="A410" s="8" t="s">
        <v>2843</v>
      </c>
      <c r="B410" s="8">
        <f>COUNTIF('All Papers'!D:D,"*"&amp;Table1[[#This Row],[Name]]&amp;"*")</f>
        <v>1</v>
      </c>
      <c r="C410" s="8">
        <f>COUNTIFS('All Papers'!$D:$D,"*"&amp;$A410&amp;"*",'All Papers'!$G:$G,"*"&amp;Table1[[#Headers],[Composition]]&amp;"*")</f>
        <v>0</v>
      </c>
      <c r="D410" s="8">
        <f>COUNTIFS('All Papers'!$D:$D,"*"&amp;$A410&amp;"*",'All Papers'!$G:$G,"*"&amp;Table1[[#Headers],[Discovery]]&amp;"*")</f>
        <v>0</v>
      </c>
      <c r="E410" s="8">
        <f>COUNTIFS('All Papers'!$D:$D,"*"&amp;$A410&amp;"*",'All Papers'!$G:$G,"*"&amp;Table1[[#Headers],[Selection]]&amp;"*")</f>
        <v>0</v>
      </c>
      <c r="F410" s="8">
        <f>COUNTIFS('All Papers'!$D:$D,"*"&amp;$A410&amp;"*",'All Papers'!$G:$G,"*"&amp;Table1[[#Headers],[Recommendation]]&amp;"*")</f>
        <v>0</v>
      </c>
      <c r="G410" s="8">
        <f>COUNTIFS('All Papers'!$D:$D,"*"&amp;$A410&amp;"*",'All Papers'!$G:$G,"*"&amp;Table1[[#Headers],[Resource Management-CS]]&amp;"*")</f>
        <v>1</v>
      </c>
      <c r="H410" s="8">
        <f>COUNTIFS('All Papers'!$D:$D,"*"&amp;$A410&amp;"*",'All Papers'!$G:$G,"*"&amp;Table1[[#Headers],[Resource Management-PS]]&amp;"*")</f>
        <v>0</v>
      </c>
      <c r="I410" s="8">
        <f>COUNTIFS('All Papers'!$D:$D,"*"&amp;$A410&amp;"*",'All Papers'!$G:$G,"*"&amp;Table1[[#Headers],[SLA Management]]&amp;"*")</f>
        <v>0</v>
      </c>
      <c r="J410" s="8">
        <f>COUNTIFS('All Papers'!$D:$D,"*"&amp;$A410&amp;"*",'All Papers'!$G:$G,"*"&amp;Table1[[#Headers],[Big Data]]&amp;"*")</f>
        <v>0</v>
      </c>
      <c r="K410" s="8">
        <f>COUNTIFS('All Papers'!$D:$D,"*"&amp;$A410&amp;"*",'All Papers'!$G:$G,"*"&amp;Table1[[#Headers],[Energy Management]]&amp;"*")</f>
        <v>0</v>
      </c>
      <c r="L410" s="8">
        <f>COUNTIFS('All Papers'!$D:$D,"*"&amp;$A410&amp;"*",'All Papers'!$G:$G,"*"&amp;Table1[[#Headers],[Monitoring]]&amp;"*")</f>
        <v>0</v>
      </c>
      <c r="M410" s="8">
        <f>COUNTIFS('All Papers'!$D:$D,"*"&amp;$A410&amp;"*",'All Papers'!$G:$G,"*"&amp;Table1[[#Headers],[Pricing]]&amp;"*")</f>
        <v>1</v>
      </c>
    </row>
    <row r="411" spans="1:13" x14ac:dyDescent="0.25">
      <c r="A411" s="8" t="s">
        <v>2844</v>
      </c>
      <c r="B411" s="8">
        <f>COUNTIF('All Papers'!D:D,"*"&amp;Table1[[#This Row],[Name]]&amp;"*")</f>
        <v>1</v>
      </c>
      <c r="C411" s="8">
        <f>COUNTIFS('All Papers'!$D:$D,"*"&amp;$A411&amp;"*",'All Papers'!$G:$G,"*"&amp;Table1[[#Headers],[Composition]]&amp;"*")</f>
        <v>0</v>
      </c>
      <c r="D411" s="8">
        <f>COUNTIFS('All Papers'!$D:$D,"*"&amp;$A411&amp;"*",'All Papers'!$G:$G,"*"&amp;Table1[[#Headers],[Discovery]]&amp;"*")</f>
        <v>0</v>
      </c>
      <c r="E411" s="8">
        <f>COUNTIFS('All Papers'!$D:$D,"*"&amp;$A411&amp;"*",'All Papers'!$G:$G,"*"&amp;Table1[[#Headers],[Selection]]&amp;"*")</f>
        <v>0</v>
      </c>
      <c r="F411" s="8">
        <f>COUNTIFS('All Papers'!$D:$D,"*"&amp;$A411&amp;"*",'All Papers'!$G:$G,"*"&amp;Table1[[#Headers],[Recommendation]]&amp;"*")</f>
        <v>0</v>
      </c>
      <c r="G411" s="8">
        <f>COUNTIFS('All Papers'!$D:$D,"*"&amp;$A411&amp;"*",'All Papers'!$G:$G,"*"&amp;Table1[[#Headers],[Resource Management-CS]]&amp;"*")</f>
        <v>1</v>
      </c>
      <c r="H411" s="8">
        <f>COUNTIFS('All Papers'!$D:$D,"*"&amp;$A411&amp;"*",'All Papers'!$G:$G,"*"&amp;Table1[[#Headers],[Resource Management-PS]]&amp;"*")</f>
        <v>0</v>
      </c>
      <c r="I411" s="8">
        <f>COUNTIFS('All Papers'!$D:$D,"*"&amp;$A411&amp;"*",'All Papers'!$G:$G,"*"&amp;Table1[[#Headers],[SLA Management]]&amp;"*")</f>
        <v>0</v>
      </c>
      <c r="J411" s="8">
        <f>COUNTIFS('All Papers'!$D:$D,"*"&amp;$A411&amp;"*",'All Papers'!$G:$G,"*"&amp;Table1[[#Headers],[Big Data]]&amp;"*")</f>
        <v>0</v>
      </c>
      <c r="K411" s="8">
        <f>COUNTIFS('All Papers'!$D:$D,"*"&amp;$A411&amp;"*",'All Papers'!$G:$G,"*"&amp;Table1[[#Headers],[Energy Management]]&amp;"*")</f>
        <v>0</v>
      </c>
      <c r="L411" s="8">
        <f>COUNTIFS('All Papers'!$D:$D,"*"&amp;$A411&amp;"*",'All Papers'!$G:$G,"*"&amp;Table1[[#Headers],[Monitoring]]&amp;"*")</f>
        <v>0</v>
      </c>
      <c r="M411" s="8">
        <f>COUNTIFS('All Papers'!$D:$D,"*"&amp;$A411&amp;"*",'All Papers'!$G:$G,"*"&amp;Table1[[#Headers],[Pricing]]&amp;"*")</f>
        <v>1</v>
      </c>
    </row>
    <row r="412" spans="1:13" x14ac:dyDescent="0.25">
      <c r="A412" s="8" t="s">
        <v>2845</v>
      </c>
      <c r="B412" s="8">
        <f>COUNTIF('All Papers'!D:D,"*"&amp;Table1[[#This Row],[Name]]&amp;"*")</f>
        <v>1</v>
      </c>
      <c r="C412" s="8">
        <f>COUNTIFS('All Papers'!$D:$D,"*"&amp;$A412&amp;"*",'All Papers'!$G:$G,"*"&amp;Table1[[#Headers],[Composition]]&amp;"*")</f>
        <v>0</v>
      </c>
      <c r="D412" s="8">
        <f>COUNTIFS('All Papers'!$D:$D,"*"&amp;$A412&amp;"*",'All Papers'!$G:$G,"*"&amp;Table1[[#Headers],[Discovery]]&amp;"*")</f>
        <v>0</v>
      </c>
      <c r="E412" s="8">
        <f>COUNTIFS('All Papers'!$D:$D,"*"&amp;$A412&amp;"*",'All Papers'!$G:$G,"*"&amp;Table1[[#Headers],[Selection]]&amp;"*")</f>
        <v>0</v>
      </c>
      <c r="F412" s="8">
        <f>COUNTIFS('All Papers'!$D:$D,"*"&amp;$A412&amp;"*",'All Papers'!$G:$G,"*"&amp;Table1[[#Headers],[Recommendation]]&amp;"*")</f>
        <v>0</v>
      </c>
      <c r="G412" s="8">
        <f>COUNTIFS('All Papers'!$D:$D,"*"&amp;$A412&amp;"*",'All Papers'!$G:$G,"*"&amp;Table1[[#Headers],[Resource Management-CS]]&amp;"*")</f>
        <v>1</v>
      </c>
      <c r="H412" s="8">
        <f>COUNTIFS('All Papers'!$D:$D,"*"&amp;$A412&amp;"*",'All Papers'!$G:$G,"*"&amp;Table1[[#Headers],[Resource Management-PS]]&amp;"*")</f>
        <v>0</v>
      </c>
      <c r="I412" s="8">
        <f>COUNTIFS('All Papers'!$D:$D,"*"&amp;$A412&amp;"*",'All Papers'!$G:$G,"*"&amp;Table1[[#Headers],[SLA Management]]&amp;"*")</f>
        <v>0</v>
      </c>
      <c r="J412" s="8">
        <f>COUNTIFS('All Papers'!$D:$D,"*"&amp;$A412&amp;"*",'All Papers'!$G:$G,"*"&amp;Table1[[#Headers],[Big Data]]&amp;"*")</f>
        <v>0</v>
      </c>
      <c r="K412" s="8">
        <f>COUNTIFS('All Papers'!$D:$D,"*"&amp;$A412&amp;"*",'All Papers'!$G:$G,"*"&amp;Table1[[#Headers],[Energy Management]]&amp;"*")</f>
        <v>0</v>
      </c>
      <c r="L412" s="8">
        <f>COUNTIFS('All Papers'!$D:$D,"*"&amp;$A412&amp;"*",'All Papers'!$G:$G,"*"&amp;Table1[[#Headers],[Monitoring]]&amp;"*")</f>
        <v>0</v>
      </c>
      <c r="M412" s="8">
        <f>COUNTIFS('All Papers'!$D:$D,"*"&amp;$A412&amp;"*",'All Papers'!$G:$G,"*"&amp;Table1[[#Headers],[Pricing]]&amp;"*")</f>
        <v>1</v>
      </c>
    </row>
    <row r="413" spans="1:13" x14ac:dyDescent="0.25">
      <c r="A413" s="8" t="s">
        <v>2846</v>
      </c>
      <c r="B413" s="8">
        <f>COUNTIF('All Papers'!D:D,"*"&amp;Table1[[#This Row],[Name]]&amp;"*")</f>
        <v>1</v>
      </c>
      <c r="C413" s="8">
        <f>COUNTIFS('All Papers'!$D:$D,"*"&amp;$A413&amp;"*",'All Papers'!$G:$G,"*"&amp;Table1[[#Headers],[Composition]]&amp;"*")</f>
        <v>0</v>
      </c>
      <c r="D413" s="8">
        <f>COUNTIFS('All Papers'!$D:$D,"*"&amp;$A413&amp;"*",'All Papers'!$G:$G,"*"&amp;Table1[[#Headers],[Discovery]]&amp;"*")</f>
        <v>0</v>
      </c>
      <c r="E413" s="8">
        <f>COUNTIFS('All Papers'!$D:$D,"*"&amp;$A413&amp;"*",'All Papers'!$G:$G,"*"&amp;Table1[[#Headers],[Selection]]&amp;"*")</f>
        <v>0</v>
      </c>
      <c r="F413" s="8">
        <f>COUNTIFS('All Papers'!$D:$D,"*"&amp;$A413&amp;"*",'All Papers'!$G:$G,"*"&amp;Table1[[#Headers],[Recommendation]]&amp;"*")</f>
        <v>0</v>
      </c>
      <c r="G413" s="8">
        <f>COUNTIFS('All Papers'!$D:$D,"*"&amp;$A413&amp;"*",'All Papers'!$G:$G,"*"&amp;Table1[[#Headers],[Resource Management-CS]]&amp;"*")</f>
        <v>1</v>
      </c>
      <c r="H413" s="8">
        <f>COUNTIFS('All Papers'!$D:$D,"*"&amp;$A413&amp;"*",'All Papers'!$G:$G,"*"&amp;Table1[[#Headers],[Resource Management-PS]]&amp;"*")</f>
        <v>0</v>
      </c>
      <c r="I413" s="8">
        <f>COUNTIFS('All Papers'!$D:$D,"*"&amp;$A413&amp;"*",'All Papers'!$G:$G,"*"&amp;Table1[[#Headers],[SLA Management]]&amp;"*")</f>
        <v>0</v>
      </c>
      <c r="J413" s="8">
        <f>COUNTIFS('All Papers'!$D:$D,"*"&amp;$A413&amp;"*",'All Papers'!$G:$G,"*"&amp;Table1[[#Headers],[Big Data]]&amp;"*")</f>
        <v>0</v>
      </c>
      <c r="K413" s="8">
        <f>COUNTIFS('All Papers'!$D:$D,"*"&amp;$A413&amp;"*",'All Papers'!$G:$G,"*"&amp;Table1[[#Headers],[Energy Management]]&amp;"*")</f>
        <v>0</v>
      </c>
      <c r="L413" s="8">
        <f>COUNTIFS('All Papers'!$D:$D,"*"&amp;$A413&amp;"*",'All Papers'!$G:$G,"*"&amp;Table1[[#Headers],[Monitoring]]&amp;"*")</f>
        <v>0</v>
      </c>
      <c r="M413" s="8">
        <f>COUNTIFS('All Papers'!$D:$D,"*"&amp;$A413&amp;"*",'All Papers'!$G:$G,"*"&amp;Table1[[#Headers],[Pricing]]&amp;"*")</f>
        <v>1</v>
      </c>
    </row>
    <row r="414" spans="1:13" x14ac:dyDescent="0.25">
      <c r="A414" s="8" t="s">
        <v>2847</v>
      </c>
      <c r="B414" s="8">
        <f>COUNTIF('All Papers'!D:D,"*"&amp;Table1[[#This Row],[Name]]&amp;"*")</f>
        <v>1</v>
      </c>
      <c r="C414" s="8">
        <f>COUNTIFS('All Papers'!$D:$D,"*"&amp;$A414&amp;"*",'All Papers'!$G:$G,"*"&amp;Table1[[#Headers],[Composition]]&amp;"*")</f>
        <v>0</v>
      </c>
      <c r="D414" s="8">
        <f>COUNTIFS('All Papers'!$D:$D,"*"&amp;$A414&amp;"*",'All Papers'!$G:$G,"*"&amp;Table1[[#Headers],[Discovery]]&amp;"*")</f>
        <v>0</v>
      </c>
      <c r="E414" s="8">
        <f>COUNTIFS('All Papers'!$D:$D,"*"&amp;$A414&amp;"*",'All Papers'!$G:$G,"*"&amp;Table1[[#Headers],[Selection]]&amp;"*")</f>
        <v>0</v>
      </c>
      <c r="F414" s="8">
        <f>COUNTIFS('All Papers'!$D:$D,"*"&amp;$A414&amp;"*",'All Papers'!$G:$G,"*"&amp;Table1[[#Headers],[Recommendation]]&amp;"*")</f>
        <v>0</v>
      </c>
      <c r="G414" s="8">
        <f>COUNTIFS('All Papers'!$D:$D,"*"&amp;$A414&amp;"*",'All Papers'!$G:$G,"*"&amp;Table1[[#Headers],[Resource Management-CS]]&amp;"*")</f>
        <v>1</v>
      </c>
      <c r="H414" s="8">
        <f>COUNTIFS('All Papers'!$D:$D,"*"&amp;$A414&amp;"*",'All Papers'!$G:$G,"*"&amp;Table1[[#Headers],[Resource Management-PS]]&amp;"*")</f>
        <v>0</v>
      </c>
      <c r="I414" s="8">
        <f>COUNTIFS('All Papers'!$D:$D,"*"&amp;$A414&amp;"*",'All Papers'!$G:$G,"*"&amp;Table1[[#Headers],[SLA Management]]&amp;"*")</f>
        <v>0</v>
      </c>
      <c r="J414" s="8">
        <f>COUNTIFS('All Papers'!$D:$D,"*"&amp;$A414&amp;"*",'All Papers'!$G:$G,"*"&amp;Table1[[#Headers],[Big Data]]&amp;"*")</f>
        <v>0</v>
      </c>
      <c r="K414" s="8">
        <f>COUNTIFS('All Papers'!$D:$D,"*"&amp;$A414&amp;"*",'All Papers'!$G:$G,"*"&amp;Table1[[#Headers],[Energy Management]]&amp;"*")</f>
        <v>0</v>
      </c>
      <c r="L414" s="8">
        <f>COUNTIFS('All Papers'!$D:$D,"*"&amp;$A414&amp;"*",'All Papers'!$G:$G,"*"&amp;Table1[[#Headers],[Monitoring]]&amp;"*")</f>
        <v>0</v>
      </c>
      <c r="M414" s="8">
        <f>COUNTIFS('All Papers'!$D:$D,"*"&amp;$A414&amp;"*",'All Papers'!$G:$G,"*"&amp;Table1[[#Headers],[Pricing]]&amp;"*")</f>
        <v>1</v>
      </c>
    </row>
    <row r="415" spans="1:13" x14ac:dyDescent="0.25">
      <c r="A415" s="8" t="s">
        <v>2848</v>
      </c>
      <c r="B415" s="8">
        <f>COUNTIF('All Papers'!D:D,"*"&amp;Table1[[#This Row],[Name]]&amp;"*")</f>
        <v>1</v>
      </c>
      <c r="C415" s="8">
        <f>COUNTIFS('All Papers'!$D:$D,"*"&amp;$A415&amp;"*",'All Papers'!$G:$G,"*"&amp;Table1[[#Headers],[Composition]]&amp;"*")</f>
        <v>0</v>
      </c>
      <c r="D415" s="8">
        <f>COUNTIFS('All Papers'!$D:$D,"*"&amp;$A415&amp;"*",'All Papers'!$G:$G,"*"&amp;Table1[[#Headers],[Discovery]]&amp;"*")</f>
        <v>0</v>
      </c>
      <c r="E415" s="8">
        <f>COUNTIFS('All Papers'!$D:$D,"*"&amp;$A415&amp;"*",'All Papers'!$G:$G,"*"&amp;Table1[[#Headers],[Selection]]&amp;"*")</f>
        <v>0</v>
      </c>
      <c r="F415" s="8">
        <f>COUNTIFS('All Papers'!$D:$D,"*"&amp;$A415&amp;"*",'All Papers'!$G:$G,"*"&amp;Table1[[#Headers],[Recommendation]]&amp;"*")</f>
        <v>0</v>
      </c>
      <c r="G415" s="8">
        <f>COUNTIFS('All Papers'!$D:$D,"*"&amp;$A415&amp;"*",'All Papers'!$G:$G,"*"&amp;Table1[[#Headers],[Resource Management-CS]]&amp;"*")</f>
        <v>1</v>
      </c>
      <c r="H415" s="8">
        <f>COUNTIFS('All Papers'!$D:$D,"*"&amp;$A415&amp;"*",'All Papers'!$G:$G,"*"&amp;Table1[[#Headers],[Resource Management-PS]]&amp;"*")</f>
        <v>0</v>
      </c>
      <c r="I415" s="8">
        <f>COUNTIFS('All Papers'!$D:$D,"*"&amp;$A415&amp;"*",'All Papers'!$G:$G,"*"&amp;Table1[[#Headers],[SLA Management]]&amp;"*")</f>
        <v>0</v>
      </c>
      <c r="J415" s="8">
        <f>COUNTIFS('All Papers'!$D:$D,"*"&amp;$A415&amp;"*",'All Papers'!$G:$G,"*"&amp;Table1[[#Headers],[Big Data]]&amp;"*")</f>
        <v>0</v>
      </c>
      <c r="K415" s="8">
        <f>COUNTIFS('All Papers'!$D:$D,"*"&amp;$A415&amp;"*",'All Papers'!$G:$G,"*"&amp;Table1[[#Headers],[Energy Management]]&amp;"*")</f>
        <v>0</v>
      </c>
      <c r="L415" s="8">
        <f>COUNTIFS('All Papers'!$D:$D,"*"&amp;$A415&amp;"*",'All Papers'!$G:$G,"*"&amp;Table1[[#Headers],[Monitoring]]&amp;"*")</f>
        <v>0</v>
      </c>
      <c r="M415" s="8">
        <f>COUNTIFS('All Papers'!$D:$D,"*"&amp;$A415&amp;"*",'All Papers'!$G:$G,"*"&amp;Table1[[#Headers],[Pricing]]&amp;"*")</f>
        <v>1</v>
      </c>
    </row>
    <row r="416" spans="1:13" x14ac:dyDescent="0.25">
      <c r="A416" s="8" t="s">
        <v>2849</v>
      </c>
      <c r="B416" s="8">
        <f>COUNTIF('All Papers'!D:D,"*"&amp;Table1[[#This Row],[Name]]&amp;"*")</f>
        <v>1</v>
      </c>
      <c r="C416" s="8">
        <f>COUNTIFS('All Papers'!$D:$D,"*"&amp;$A416&amp;"*",'All Papers'!$G:$G,"*"&amp;Table1[[#Headers],[Composition]]&amp;"*")</f>
        <v>0</v>
      </c>
      <c r="D416" s="8">
        <f>COUNTIFS('All Papers'!$D:$D,"*"&amp;$A416&amp;"*",'All Papers'!$G:$G,"*"&amp;Table1[[#Headers],[Discovery]]&amp;"*")</f>
        <v>0</v>
      </c>
      <c r="E416" s="8">
        <f>COUNTIFS('All Papers'!$D:$D,"*"&amp;$A416&amp;"*",'All Papers'!$G:$G,"*"&amp;Table1[[#Headers],[Selection]]&amp;"*")</f>
        <v>0</v>
      </c>
      <c r="F416" s="8">
        <f>COUNTIFS('All Papers'!$D:$D,"*"&amp;$A416&amp;"*",'All Papers'!$G:$G,"*"&amp;Table1[[#Headers],[Recommendation]]&amp;"*")</f>
        <v>0</v>
      </c>
      <c r="G416" s="8">
        <f>COUNTIFS('All Papers'!$D:$D,"*"&amp;$A416&amp;"*",'All Papers'!$G:$G,"*"&amp;Table1[[#Headers],[Resource Management-CS]]&amp;"*")</f>
        <v>1</v>
      </c>
      <c r="H416" s="8">
        <f>COUNTIFS('All Papers'!$D:$D,"*"&amp;$A416&amp;"*",'All Papers'!$G:$G,"*"&amp;Table1[[#Headers],[Resource Management-PS]]&amp;"*")</f>
        <v>0</v>
      </c>
      <c r="I416" s="8">
        <f>COUNTIFS('All Papers'!$D:$D,"*"&amp;$A416&amp;"*",'All Papers'!$G:$G,"*"&amp;Table1[[#Headers],[SLA Management]]&amp;"*")</f>
        <v>0</v>
      </c>
      <c r="J416" s="8">
        <f>COUNTIFS('All Papers'!$D:$D,"*"&amp;$A416&amp;"*",'All Papers'!$G:$G,"*"&amp;Table1[[#Headers],[Big Data]]&amp;"*")</f>
        <v>0</v>
      </c>
      <c r="K416" s="8">
        <f>COUNTIFS('All Papers'!$D:$D,"*"&amp;$A416&amp;"*",'All Papers'!$G:$G,"*"&amp;Table1[[#Headers],[Energy Management]]&amp;"*")</f>
        <v>0</v>
      </c>
      <c r="L416" s="8">
        <f>COUNTIFS('All Papers'!$D:$D,"*"&amp;$A416&amp;"*",'All Papers'!$G:$G,"*"&amp;Table1[[#Headers],[Monitoring]]&amp;"*")</f>
        <v>0</v>
      </c>
      <c r="M416" s="8">
        <f>COUNTIFS('All Papers'!$D:$D,"*"&amp;$A416&amp;"*",'All Papers'!$G:$G,"*"&amp;Table1[[#Headers],[Pricing]]&amp;"*")</f>
        <v>1</v>
      </c>
    </row>
    <row r="417" spans="1:13" x14ac:dyDescent="0.25">
      <c r="A417" s="8" t="s">
        <v>2850</v>
      </c>
      <c r="B417" s="8">
        <f>COUNTIF('All Papers'!D:D,"*"&amp;Table1[[#This Row],[Name]]&amp;"*")</f>
        <v>1</v>
      </c>
      <c r="C417" s="8">
        <f>COUNTIFS('All Papers'!$D:$D,"*"&amp;$A417&amp;"*",'All Papers'!$G:$G,"*"&amp;Table1[[#Headers],[Composition]]&amp;"*")</f>
        <v>0</v>
      </c>
      <c r="D417" s="8">
        <f>COUNTIFS('All Papers'!$D:$D,"*"&amp;$A417&amp;"*",'All Papers'!$G:$G,"*"&amp;Table1[[#Headers],[Discovery]]&amp;"*")</f>
        <v>0</v>
      </c>
      <c r="E417" s="8">
        <f>COUNTIFS('All Papers'!$D:$D,"*"&amp;$A417&amp;"*",'All Papers'!$G:$G,"*"&amp;Table1[[#Headers],[Selection]]&amp;"*")</f>
        <v>0</v>
      </c>
      <c r="F417" s="8">
        <f>COUNTIFS('All Papers'!$D:$D,"*"&amp;$A417&amp;"*",'All Papers'!$G:$G,"*"&amp;Table1[[#Headers],[Recommendation]]&amp;"*")</f>
        <v>0</v>
      </c>
      <c r="G417" s="8">
        <f>COUNTIFS('All Papers'!$D:$D,"*"&amp;$A417&amp;"*",'All Papers'!$G:$G,"*"&amp;Table1[[#Headers],[Resource Management-CS]]&amp;"*")</f>
        <v>1</v>
      </c>
      <c r="H417" s="8">
        <f>COUNTIFS('All Papers'!$D:$D,"*"&amp;$A417&amp;"*",'All Papers'!$G:$G,"*"&amp;Table1[[#Headers],[Resource Management-PS]]&amp;"*")</f>
        <v>0</v>
      </c>
      <c r="I417" s="8">
        <f>COUNTIFS('All Papers'!$D:$D,"*"&amp;$A417&amp;"*",'All Papers'!$G:$G,"*"&amp;Table1[[#Headers],[SLA Management]]&amp;"*")</f>
        <v>0</v>
      </c>
      <c r="J417" s="8">
        <f>COUNTIFS('All Papers'!$D:$D,"*"&amp;$A417&amp;"*",'All Papers'!$G:$G,"*"&amp;Table1[[#Headers],[Big Data]]&amp;"*")</f>
        <v>1</v>
      </c>
      <c r="K417" s="8">
        <f>COUNTIFS('All Papers'!$D:$D,"*"&amp;$A417&amp;"*",'All Papers'!$G:$G,"*"&amp;Table1[[#Headers],[Energy Management]]&amp;"*")</f>
        <v>0</v>
      </c>
      <c r="L417" s="8">
        <f>COUNTIFS('All Papers'!$D:$D,"*"&amp;$A417&amp;"*",'All Papers'!$G:$G,"*"&amp;Table1[[#Headers],[Monitoring]]&amp;"*")</f>
        <v>0</v>
      </c>
      <c r="M417" s="8">
        <f>COUNTIFS('All Papers'!$D:$D,"*"&amp;$A417&amp;"*",'All Papers'!$G:$G,"*"&amp;Table1[[#Headers],[Pricing]]&amp;"*")</f>
        <v>1</v>
      </c>
    </row>
    <row r="418" spans="1:13" x14ac:dyDescent="0.25">
      <c r="A418" s="8" t="s">
        <v>2851</v>
      </c>
      <c r="B418" s="8">
        <f>COUNTIF('All Papers'!D:D,"*"&amp;Table1[[#This Row],[Name]]&amp;"*")</f>
        <v>1</v>
      </c>
      <c r="C418" s="8">
        <f>COUNTIFS('All Papers'!$D:$D,"*"&amp;$A418&amp;"*",'All Papers'!$G:$G,"*"&amp;Table1[[#Headers],[Composition]]&amp;"*")</f>
        <v>0</v>
      </c>
      <c r="D418" s="8">
        <f>COUNTIFS('All Papers'!$D:$D,"*"&amp;$A418&amp;"*",'All Papers'!$G:$G,"*"&amp;Table1[[#Headers],[Discovery]]&amp;"*")</f>
        <v>0</v>
      </c>
      <c r="E418" s="8">
        <f>COUNTIFS('All Papers'!$D:$D,"*"&amp;$A418&amp;"*",'All Papers'!$G:$G,"*"&amp;Table1[[#Headers],[Selection]]&amp;"*")</f>
        <v>0</v>
      </c>
      <c r="F418" s="8">
        <f>COUNTIFS('All Papers'!$D:$D,"*"&amp;$A418&amp;"*",'All Papers'!$G:$G,"*"&amp;Table1[[#Headers],[Recommendation]]&amp;"*")</f>
        <v>0</v>
      </c>
      <c r="G418" s="8">
        <f>COUNTIFS('All Papers'!$D:$D,"*"&amp;$A418&amp;"*",'All Papers'!$G:$G,"*"&amp;Table1[[#Headers],[Resource Management-CS]]&amp;"*")</f>
        <v>1</v>
      </c>
      <c r="H418" s="8">
        <f>COUNTIFS('All Papers'!$D:$D,"*"&amp;$A418&amp;"*",'All Papers'!$G:$G,"*"&amp;Table1[[#Headers],[Resource Management-PS]]&amp;"*")</f>
        <v>0</v>
      </c>
      <c r="I418" s="8">
        <f>COUNTIFS('All Papers'!$D:$D,"*"&amp;$A418&amp;"*",'All Papers'!$G:$G,"*"&amp;Table1[[#Headers],[SLA Management]]&amp;"*")</f>
        <v>0</v>
      </c>
      <c r="J418" s="8">
        <f>COUNTIFS('All Papers'!$D:$D,"*"&amp;$A418&amp;"*",'All Papers'!$G:$G,"*"&amp;Table1[[#Headers],[Big Data]]&amp;"*")</f>
        <v>1</v>
      </c>
      <c r="K418" s="8">
        <f>COUNTIFS('All Papers'!$D:$D,"*"&amp;$A418&amp;"*",'All Papers'!$G:$G,"*"&amp;Table1[[#Headers],[Energy Management]]&amp;"*")</f>
        <v>0</v>
      </c>
      <c r="L418" s="8">
        <f>COUNTIFS('All Papers'!$D:$D,"*"&amp;$A418&amp;"*",'All Papers'!$G:$G,"*"&amp;Table1[[#Headers],[Monitoring]]&amp;"*")</f>
        <v>0</v>
      </c>
      <c r="M418" s="8">
        <f>COUNTIFS('All Papers'!$D:$D,"*"&amp;$A418&amp;"*",'All Papers'!$G:$G,"*"&amp;Table1[[#Headers],[Pricing]]&amp;"*")</f>
        <v>1</v>
      </c>
    </row>
    <row r="419" spans="1:13" x14ac:dyDescent="0.25">
      <c r="A419" s="8" t="s">
        <v>2852</v>
      </c>
      <c r="B419" s="8">
        <f>COUNTIF('All Papers'!D:D,"*"&amp;Table1[[#This Row],[Name]]&amp;"*")</f>
        <v>1</v>
      </c>
      <c r="C419" s="8">
        <f>COUNTIFS('All Papers'!$D:$D,"*"&amp;$A419&amp;"*",'All Papers'!$G:$G,"*"&amp;Table1[[#Headers],[Composition]]&amp;"*")</f>
        <v>0</v>
      </c>
      <c r="D419" s="8">
        <f>COUNTIFS('All Papers'!$D:$D,"*"&amp;$A419&amp;"*",'All Papers'!$G:$G,"*"&amp;Table1[[#Headers],[Discovery]]&amp;"*")</f>
        <v>0</v>
      </c>
      <c r="E419" s="8">
        <f>COUNTIFS('All Papers'!$D:$D,"*"&amp;$A419&amp;"*",'All Papers'!$G:$G,"*"&amp;Table1[[#Headers],[Selection]]&amp;"*")</f>
        <v>0</v>
      </c>
      <c r="F419" s="8">
        <f>COUNTIFS('All Papers'!$D:$D,"*"&amp;$A419&amp;"*",'All Papers'!$G:$G,"*"&amp;Table1[[#Headers],[Recommendation]]&amp;"*")</f>
        <v>0</v>
      </c>
      <c r="G419" s="8">
        <f>COUNTIFS('All Papers'!$D:$D,"*"&amp;$A419&amp;"*",'All Papers'!$G:$G,"*"&amp;Table1[[#Headers],[Resource Management-CS]]&amp;"*")</f>
        <v>1</v>
      </c>
      <c r="H419" s="8">
        <f>COUNTIFS('All Papers'!$D:$D,"*"&amp;$A419&amp;"*",'All Papers'!$G:$G,"*"&amp;Table1[[#Headers],[Resource Management-PS]]&amp;"*")</f>
        <v>0</v>
      </c>
      <c r="I419" s="8">
        <f>COUNTIFS('All Papers'!$D:$D,"*"&amp;$A419&amp;"*",'All Papers'!$G:$G,"*"&amp;Table1[[#Headers],[SLA Management]]&amp;"*")</f>
        <v>0</v>
      </c>
      <c r="J419" s="8">
        <f>COUNTIFS('All Papers'!$D:$D,"*"&amp;$A419&amp;"*",'All Papers'!$G:$G,"*"&amp;Table1[[#Headers],[Big Data]]&amp;"*")</f>
        <v>1</v>
      </c>
      <c r="K419" s="8">
        <f>COUNTIFS('All Papers'!$D:$D,"*"&amp;$A419&amp;"*",'All Papers'!$G:$G,"*"&amp;Table1[[#Headers],[Energy Management]]&amp;"*")</f>
        <v>0</v>
      </c>
      <c r="L419" s="8">
        <f>COUNTIFS('All Papers'!$D:$D,"*"&amp;$A419&amp;"*",'All Papers'!$G:$G,"*"&amp;Table1[[#Headers],[Monitoring]]&amp;"*")</f>
        <v>0</v>
      </c>
      <c r="M419" s="8">
        <f>COUNTIFS('All Papers'!$D:$D,"*"&amp;$A419&amp;"*",'All Papers'!$G:$G,"*"&amp;Table1[[#Headers],[Pricing]]&amp;"*")</f>
        <v>1</v>
      </c>
    </row>
    <row r="420" spans="1:13" x14ac:dyDescent="0.25">
      <c r="A420" s="8" t="s">
        <v>2853</v>
      </c>
      <c r="B420" s="8">
        <f>COUNTIF('All Papers'!D:D,"*"&amp;Table1[[#This Row],[Name]]&amp;"*")</f>
        <v>1</v>
      </c>
      <c r="C420" s="8">
        <f>COUNTIFS('All Papers'!$D:$D,"*"&amp;$A420&amp;"*",'All Papers'!$G:$G,"*"&amp;Table1[[#Headers],[Composition]]&amp;"*")</f>
        <v>0</v>
      </c>
      <c r="D420" s="8">
        <f>COUNTIFS('All Papers'!$D:$D,"*"&amp;$A420&amp;"*",'All Papers'!$G:$G,"*"&amp;Table1[[#Headers],[Discovery]]&amp;"*")</f>
        <v>0</v>
      </c>
      <c r="E420" s="8">
        <f>COUNTIFS('All Papers'!$D:$D,"*"&amp;$A420&amp;"*",'All Papers'!$G:$G,"*"&amp;Table1[[#Headers],[Selection]]&amp;"*")</f>
        <v>0</v>
      </c>
      <c r="F420" s="8">
        <f>COUNTIFS('All Papers'!$D:$D,"*"&amp;$A420&amp;"*",'All Papers'!$G:$G,"*"&amp;Table1[[#Headers],[Recommendation]]&amp;"*")</f>
        <v>0</v>
      </c>
      <c r="G420" s="8">
        <f>COUNTIFS('All Papers'!$D:$D,"*"&amp;$A420&amp;"*",'All Papers'!$G:$G,"*"&amp;Table1[[#Headers],[Resource Management-CS]]&amp;"*")</f>
        <v>1</v>
      </c>
      <c r="H420" s="8">
        <f>COUNTIFS('All Papers'!$D:$D,"*"&amp;$A420&amp;"*",'All Papers'!$G:$G,"*"&amp;Table1[[#Headers],[Resource Management-PS]]&amp;"*")</f>
        <v>0</v>
      </c>
      <c r="I420" s="8">
        <f>COUNTIFS('All Papers'!$D:$D,"*"&amp;$A420&amp;"*",'All Papers'!$G:$G,"*"&amp;Table1[[#Headers],[SLA Management]]&amp;"*")</f>
        <v>0</v>
      </c>
      <c r="J420" s="8">
        <f>COUNTIFS('All Papers'!$D:$D,"*"&amp;$A420&amp;"*",'All Papers'!$G:$G,"*"&amp;Table1[[#Headers],[Big Data]]&amp;"*")</f>
        <v>1</v>
      </c>
      <c r="K420" s="8">
        <f>COUNTIFS('All Papers'!$D:$D,"*"&amp;$A420&amp;"*",'All Papers'!$G:$G,"*"&amp;Table1[[#Headers],[Energy Management]]&amp;"*")</f>
        <v>0</v>
      </c>
      <c r="L420" s="8">
        <f>COUNTIFS('All Papers'!$D:$D,"*"&amp;$A420&amp;"*",'All Papers'!$G:$G,"*"&amp;Table1[[#Headers],[Monitoring]]&amp;"*")</f>
        <v>0</v>
      </c>
      <c r="M420" s="8">
        <f>COUNTIFS('All Papers'!$D:$D,"*"&amp;$A420&amp;"*",'All Papers'!$G:$G,"*"&amp;Table1[[#Headers],[Pricing]]&amp;"*")</f>
        <v>1</v>
      </c>
    </row>
    <row r="421" spans="1:13" x14ac:dyDescent="0.25">
      <c r="A421" s="8" t="s">
        <v>2854</v>
      </c>
      <c r="B421" s="8">
        <f>COUNTIF('All Papers'!D:D,"*"&amp;Table1[[#This Row],[Name]]&amp;"*")</f>
        <v>1</v>
      </c>
      <c r="C421" s="8">
        <f>COUNTIFS('All Papers'!$D:$D,"*"&amp;$A421&amp;"*",'All Papers'!$G:$G,"*"&amp;Table1[[#Headers],[Composition]]&amp;"*")</f>
        <v>0</v>
      </c>
      <c r="D421" s="8">
        <f>COUNTIFS('All Papers'!$D:$D,"*"&amp;$A421&amp;"*",'All Papers'!$G:$G,"*"&amp;Table1[[#Headers],[Discovery]]&amp;"*")</f>
        <v>0</v>
      </c>
      <c r="E421" s="8">
        <f>COUNTIFS('All Papers'!$D:$D,"*"&amp;$A421&amp;"*",'All Papers'!$G:$G,"*"&amp;Table1[[#Headers],[Selection]]&amp;"*")</f>
        <v>0</v>
      </c>
      <c r="F421" s="8">
        <f>COUNTIFS('All Papers'!$D:$D,"*"&amp;$A421&amp;"*",'All Papers'!$G:$G,"*"&amp;Table1[[#Headers],[Recommendation]]&amp;"*")</f>
        <v>0</v>
      </c>
      <c r="G421" s="8">
        <f>COUNTIFS('All Papers'!$D:$D,"*"&amp;$A421&amp;"*",'All Papers'!$G:$G,"*"&amp;Table1[[#Headers],[Resource Management-CS]]&amp;"*")</f>
        <v>0</v>
      </c>
      <c r="H421" s="8">
        <f>COUNTIFS('All Papers'!$D:$D,"*"&amp;$A421&amp;"*",'All Papers'!$G:$G,"*"&amp;Table1[[#Headers],[Resource Management-PS]]&amp;"*")</f>
        <v>1</v>
      </c>
      <c r="I421" s="8">
        <f>COUNTIFS('All Papers'!$D:$D,"*"&amp;$A421&amp;"*",'All Papers'!$G:$G,"*"&amp;Table1[[#Headers],[SLA Management]]&amp;"*")</f>
        <v>0</v>
      </c>
      <c r="J421" s="8">
        <f>COUNTIFS('All Papers'!$D:$D,"*"&amp;$A421&amp;"*",'All Papers'!$G:$G,"*"&amp;Table1[[#Headers],[Big Data]]&amp;"*")</f>
        <v>0</v>
      </c>
      <c r="K421" s="8">
        <f>COUNTIFS('All Papers'!$D:$D,"*"&amp;$A421&amp;"*",'All Papers'!$G:$G,"*"&amp;Table1[[#Headers],[Energy Management]]&amp;"*")</f>
        <v>0</v>
      </c>
      <c r="L421" s="8">
        <f>COUNTIFS('All Papers'!$D:$D,"*"&amp;$A421&amp;"*",'All Papers'!$G:$G,"*"&amp;Table1[[#Headers],[Monitoring]]&amp;"*")</f>
        <v>0</v>
      </c>
      <c r="M421" s="8">
        <f>COUNTIFS('All Papers'!$D:$D,"*"&amp;$A421&amp;"*",'All Papers'!$G:$G,"*"&amp;Table1[[#Headers],[Pricing]]&amp;"*")</f>
        <v>0</v>
      </c>
    </row>
    <row r="422" spans="1:13" x14ac:dyDescent="0.25">
      <c r="A422" s="8" t="s">
        <v>2855</v>
      </c>
      <c r="B422" s="8">
        <f>COUNTIF('All Papers'!D:D,"*"&amp;Table1[[#This Row],[Name]]&amp;"*")</f>
        <v>1</v>
      </c>
      <c r="C422" s="8">
        <f>COUNTIFS('All Papers'!$D:$D,"*"&amp;$A422&amp;"*",'All Papers'!$G:$G,"*"&amp;Table1[[#Headers],[Composition]]&amp;"*")</f>
        <v>0</v>
      </c>
      <c r="D422" s="8">
        <f>COUNTIFS('All Papers'!$D:$D,"*"&amp;$A422&amp;"*",'All Papers'!$G:$G,"*"&amp;Table1[[#Headers],[Discovery]]&amp;"*")</f>
        <v>0</v>
      </c>
      <c r="E422" s="8">
        <f>COUNTIFS('All Papers'!$D:$D,"*"&amp;$A422&amp;"*",'All Papers'!$G:$G,"*"&amp;Table1[[#Headers],[Selection]]&amp;"*")</f>
        <v>0</v>
      </c>
      <c r="F422" s="8">
        <f>COUNTIFS('All Papers'!$D:$D,"*"&amp;$A422&amp;"*",'All Papers'!$G:$G,"*"&amp;Table1[[#Headers],[Recommendation]]&amp;"*")</f>
        <v>0</v>
      </c>
      <c r="G422" s="8">
        <f>COUNTIFS('All Papers'!$D:$D,"*"&amp;$A422&amp;"*",'All Papers'!$G:$G,"*"&amp;Table1[[#Headers],[Resource Management-CS]]&amp;"*")</f>
        <v>0</v>
      </c>
      <c r="H422" s="8">
        <f>COUNTIFS('All Papers'!$D:$D,"*"&amp;$A422&amp;"*",'All Papers'!$G:$G,"*"&amp;Table1[[#Headers],[Resource Management-PS]]&amp;"*")</f>
        <v>1</v>
      </c>
      <c r="I422" s="8">
        <f>COUNTIFS('All Papers'!$D:$D,"*"&amp;$A422&amp;"*",'All Papers'!$G:$G,"*"&amp;Table1[[#Headers],[SLA Management]]&amp;"*")</f>
        <v>0</v>
      </c>
      <c r="J422" s="8">
        <f>COUNTIFS('All Papers'!$D:$D,"*"&amp;$A422&amp;"*",'All Papers'!$G:$G,"*"&amp;Table1[[#Headers],[Big Data]]&amp;"*")</f>
        <v>0</v>
      </c>
      <c r="K422" s="8">
        <f>COUNTIFS('All Papers'!$D:$D,"*"&amp;$A422&amp;"*",'All Papers'!$G:$G,"*"&amp;Table1[[#Headers],[Energy Management]]&amp;"*")</f>
        <v>0</v>
      </c>
      <c r="L422" s="8">
        <f>COUNTIFS('All Papers'!$D:$D,"*"&amp;$A422&amp;"*",'All Papers'!$G:$G,"*"&amp;Table1[[#Headers],[Monitoring]]&amp;"*")</f>
        <v>0</v>
      </c>
      <c r="M422" s="8">
        <f>COUNTIFS('All Papers'!$D:$D,"*"&amp;$A422&amp;"*",'All Papers'!$G:$G,"*"&amp;Table1[[#Headers],[Pricing]]&amp;"*")</f>
        <v>0</v>
      </c>
    </row>
    <row r="423" spans="1:13" x14ac:dyDescent="0.25">
      <c r="A423" s="8" t="s">
        <v>2856</v>
      </c>
      <c r="B423" s="8">
        <f>COUNTIF('All Papers'!D:D,"*"&amp;Table1[[#This Row],[Name]]&amp;"*")</f>
        <v>1</v>
      </c>
      <c r="C423" s="8">
        <f>COUNTIFS('All Papers'!$D:$D,"*"&amp;$A423&amp;"*",'All Papers'!$G:$G,"*"&amp;Table1[[#Headers],[Composition]]&amp;"*")</f>
        <v>0</v>
      </c>
      <c r="D423" s="8">
        <f>COUNTIFS('All Papers'!$D:$D,"*"&amp;$A423&amp;"*",'All Papers'!$G:$G,"*"&amp;Table1[[#Headers],[Discovery]]&amp;"*")</f>
        <v>0</v>
      </c>
      <c r="E423" s="8">
        <f>COUNTIFS('All Papers'!$D:$D,"*"&amp;$A423&amp;"*",'All Papers'!$G:$G,"*"&amp;Table1[[#Headers],[Selection]]&amp;"*")</f>
        <v>0</v>
      </c>
      <c r="F423" s="8">
        <f>COUNTIFS('All Papers'!$D:$D,"*"&amp;$A423&amp;"*",'All Papers'!$G:$G,"*"&amp;Table1[[#Headers],[Recommendation]]&amp;"*")</f>
        <v>0</v>
      </c>
      <c r="G423" s="8">
        <f>COUNTIFS('All Papers'!$D:$D,"*"&amp;$A423&amp;"*",'All Papers'!$G:$G,"*"&amp;Table1[[#Headers],[Resource Management-CS]]&amp;"*")</f>
        <v>0</v>
      </c>
      <c r="H423" s="8">
        <f>COUNTIFS('All Papers'!$D:$D,"*"&amp;$A423&amp;"*",'All Papers'!$G:$G,"*"&amp;Table1[[#Headers],[Resource Management-PS]]&amp;"*")</f>
        <v>1</v>
      </c>
      <c r="I423" s="8">
        <f>COUNTIFS('All Papers'!$D:$D,"*"&amp;$A423&amp;"*",'All Papers'!$G:$G,"*"&amp;Table1[[#Headers],[SLA Management]]&amp;"*")</f>
        <v>0</v>
      </c>
      <c r="J423" s="8">
        <f>COUNTIFS('All Papers'!$D:$D,"*"&amp;$A423&amp;"*",'All Papers'!$G:$G,"*"&amp;Table1[[#Headers],[Big Data]]&amp;"*")</f>
        <v>0</v>
      </c>
      <c r="K423" s="8">
        <f>COUNTIFS('All Papers'!$D:$D,"*"&amp;$A423&amp;"*",'All Papers'!$G:$G,"*"&amp;Table1[[#Headers],[Energy Management]]&amp;"*")</f>
        <v>0</v>
      </c>
      <c r="L423" s="8">
        <f>COUNTIFS('All Papers'!$D:$D,"*"&amp;$A423&amp;"*",'All Papers'!$G:$G,"*"&amp;Table1[[#Headers],[Monitoring]]&amp;"*")</f>
        <v>0</v>
      </c>
      <c r="M423" s="8">
        <f>COUNTIFS('All Papers'!$D:$D,"*"&amp;$A423&amp;"*",'All Papers'!$G:$G,"*"&amp;Table1[[#Headers],[Pricing]]&amp;"*")</f>
        <v>0</v>
      </c>
    </row>
    <row r="424" spans="1:13" x14ac:dyDescent="0.25">
      <c r="A424" s="8" t="s">
        <v>2857</v>
      </c>
      <c r="B424" s="8">
        <f>COUNTIF('All Papers'!D:D,"*"&amp;Table1[[#This Row],[Name]]&amp;"*")</f>
        <v>1</v>
      </c>
      <c r="C424" s="8">
        <f>COUNTIFS('All Papers'!$D:$D,"*"&amp;$A424&amp;"*",'All Papers'!$G:$G,"*"&amp;Table1[[#Headers],[Composition]]&amp;"*")</f>
        <v>0</v>
      </c>
      <c r="D424" s="8">
        <f>COUNTIFS('All Papers'!$D:$D,"*"&amp;$A424&amp;"*",'All Papers'!$G:$G,"*"&amp;Table1[[#Headers],[Discovery]]&amp;"*")</f>
        <v>0</v>
      </c>
      <c r="E424" s="8">
        <f>COUNTIFS('All Papers'!$D:$D,"*"&amp;$A424&amp;"*",'All Papers'!$G:$G,"*"&amp;Table1[[#Headers],[Selection]]&amp;"*")</f>
        <v>0</v>
      </c>
      <c r="F424" s="8">
        <f>COUNTIFS('All Papers'!$D:$D,"*"&amp;$A424&amp;"*",'All Papers'!$G:$G,"*"&amp;Table1[[#Headers],[Recommendation]]&amp;"*")</f>
        <v>0</v>
      </c>
      <c r="G424" s="8">
        <f>COUNTIFS('All Papers'!$D:$D,"*"&amp;$A424&amp;"*",'All Papers'!$G:$G,"*"&amp;Table1[[#Headers],[Resource Management-CS]]&amp;"*")</f>
        <v>0</v>
      </c>
      <c r="H424" s="8">
        <f>COUNTIFS('All Papers'!$D:$D,"*"&amp;$A424&amp;"*",'All Papers'!$G:$G,"*"&amp;Table1[[#Headers],[Resource Management-PS]]&amp;"*")</f>
        <v>1</v>
      </c>
      <c r="I424" s="8">
        <f>COUNTIFS('All Papers'!$D:$D,"*"&amp;$A424&amp;"*",'All Papers'!$G:$G,"*"&amp;Table1[[#Headers],[SLA Management]]&amp;"*")</f>
        <v>0</v>
      </c>
      <c r="J424" s="8">
        <f>COUNTIFS('All Papers'!$D:$D,"*"&amp;$A424&amp;"*",'All Papers'!$G:$G,"*"&amp;Table1[[#Headers],[Big Data]]&amp;"*")</f>
        <v>0</v>
      </c>
      <c r="K424" s="8">
        <f>COUNTIFS('All Papers'!$D:$D,"*"&amp;$A424&amp;"*",'All Papers'!$G:$G,"*"&amp;Table1[[#Headers],[Energy Management]]&amp;"*")</f>
        <v>0</v>
      </c>
      <c r="L424" s="8">
        <f>COUNTIFS('All Papers'!$D:$D,"*"&amp;$A424&amp;"*",'All Papers'!$G:$G,"*"&amp;Table1[[#Headers],[Monitoring]]&amp;"*")</f>
        <v>0</v>
      </c>
      <c r="M424" s="8">
        <f>COUNTIFS('All Papers'!$D:$D,"*"&amp;$A424&amp;"*",'All Papers'!$G:$G,"*"&amp;Table1[[#Headers],[Pricing]]&amp;"*")</f>
        <v>0</v>
      </c>
    </row>
    <row r="425" spans="1:13" x14ac:dyDescent="0.25">
      <c r="A425" s="8" t="s">
        <v>2858</v>
      </c>
      <c r="B425" s="8">
        <f>COUNTIF('All Papers'!D:D,"*"&amp;Table1[[#This Row],[Name]]&amp;"*")</f>
        <v>1</v>
      </c>
      <c r="C425" s="8">
        <f>COUNTIFS('All Papers'!$D:$D,"*"&amp;$A425&amp;"*",'All Papers'!$G:$G,"*"&amp;Table1[[#Headers],[Composition]]&amp;"*")</f>
        <v>1</v>
      </c>
      <c r="D425" s="8">
        <f>COUNTIFS('All Papers'!$D:$D,"*"&amp;$A425&amp;"*",'All Papers'!$G:$G,"*"&amp;Table1[[#Headers],[Discovery]]&amp;"*")</f>
        <v>0</v>
      </c>
      <c r="E425" s="8">
        <f>COUNTIFS('All Papers'!$D:$D,"*"&amp;$A425&amp;"*",'All Papers'!$G:$G,"*"&amp;Table1[[#Headers],[Selection]]&amp;"*")</f>
        <v>1</v>
      </c>
      <c r="F425" s="8">
        <f>COUNTIFS('All Papers'!$D:$D,"*"&amp;$A425&amp;"*",'All Papers'!$G:$G,"*"&amp;Table1[[#Headers],[Recommendation]]&amp;"*")</f>
        <v>0</v>
      </c>
      <c r="G425" s="8">
        <f>COUNTIFS('All Papers'!$D:$D,"*"&amp;$A425&amp;"*",'All Papers'!$G:$G,"*"&amp;Table1[[#Headers],[Resource Management-CS]]&amp;"*")</f>
        <v>0</v>
      </c>
      <c r="H425" s="8">
        <f>COUNTIFS('All Papers'!$D:$D,"*"&amp;$A425&amp;"*",'All Papers'!$G:$G,"*"&amp;Table1[[#Headers],[Resource Management-PS]]&amp;"*")</f>
        <v>0</v>
      </c>
      <c r="I425" s="8">
        <f>COUNTIFS('All Papers'!$D:$D,"*"&amp;$A425&amp;"*",'All Papers'!$G:$G,"*"&amp;Table1[[#Headers],[SLA Management]]&amp;"*")</f>
        <v>0</v>
      </c>
      <c r="J425" s="8">
        <f>COUNTIFS('All Papers'!$D:$D,"*"&amp;$A425&amp;"*",'All Papers'!$G:$G,"*"&amp;Table1[[#Headers],[Big Data]]&amp;"*")</f>
        <v>0</v>
      </c>
      <c r="K425" s="8">
        <f>COUNTIFS('All Papers'!$D:$D,"*"&amp;$A425&amp;"*",'All Papers'!$G:$G,"*"&amp;Table1[[#Headers],[Energy Management]]&amp;"*")</f>
        <v>0</v>
      </c>
      <c r="L425" s="8">
        <f>COUNTIFS('All Papers'!$D:$D,"*"&amp;$A425&amp;"*",'All Papers'!$G:$G,"*"&amp;Table1[[#Headers],[Monitoring]]&amp;"*")</f>
        <v>0</v>
      </c>
      <c r="M425" s="8">
        <f>COUNTIFS('All Papers'!$D:$D,"*"&amp;$A425&amp;"*",'All Papers'!$G:$G,"*"&amp;Table1[[#Headers],[Pricing]]&amp;"*")</f>
        <v>0</v>
      </c>
    </row>
    <row r="426" spans="1:13" x14ac:dyDescent="0.25">
      <c r="A426" s="8" t="s">
        <v>2859</v>
      </c>
      <c r="B426" s="8">
        <f>COUNTIF('All Papers'!D:D,"*"&amp;Table1[[#This Row],[Name]]&amp;"*")</f>
        <v>1</v>
      </c>
      <c r="C426" s="8">
        <f>COUNTIFS('All Papers'!$D:$D,"*"&amp;$A426&amp;"*",'All Papers'!$G:$G,"*"&amp;Table1[[#Headers],[Composition]]&amp;"*")</f>
        <v>1</v>
      </c>
      <c r="D426" s="8">
        <f>COUNTIFS('All Papers'!$D:$D,"*"&amp;$A426&amp;"*",'All Papers'!$G:$G,"*"&amp;Table1[[#Headers],[Discovery]]&amp;"*")</f>
        <v>0</v>
      </c>
      <c r="E426" s="8">
        <f>COUNTIFS('All Papers'!$D:$D,"*"&amp;$A426&amp;"*",'All Papers'!$G:$G,"*"&amp;Table1[[#Headers],[Selection]]&amp;"*")</f>
        <v>1</v>
      </c>
      <c r="F426" s="8">
        <f>COUNTIFS('All Papers'!$D:$D,"*"&amp;$A426&amp;"*",'All Papers'!$G:$G,"*"&amp;Table1[[#Headers],[Recommendation]]&amp;"*")</f>
        <v>0</v>
      </c>
      <c r="G426" s="8">
        <f>COUNTIFS('All Papers'!$D:$D,"*"&amp;$A426&amp;"*",'All Papers'!$G:$G,"*"&amp;Table1[[#Headers],[Resource Management-CS]]&amp;"*")</f>
        <v>0</v>
      </c>
      <c r="H426" s="8">
        <f>COUNTIFS('All Papers'!$D:$D,"*"&amp;$A426&amp;"*",'All Papers'!$G:$G,"*"&amp;Table1[[#Headers],[Resource Management-PS]]&amp;"*")</f>
        <v>0</v>
      </c>
      <c r="I426" s="8">
        <f>COUNTIFS('All Papers'!$D:$D,"*"&amp;$A426&amp;"*",'All Papers'!$G:$G,"*"&amp;Table1[[#Headers],[SLA Management]]&amp;"*")</f>
        <v>0</v>
      </c>
      <c r="J426" s="8">
        <f>COUNTIFS('All Papers'!$D:$D,"*"&amp;$A426&amp;"*",'All Papers'!$G:$G,"*"&amp;Table1[[#Headers],[Big Data]]&amp;"*")</f>
        <v>0</v>
      </c>
      <c r="K426" s="8">
        <f>COUNTIFS('All Papers'!$D:$D,"*"&amp;$A426&amp;"*",'All Papers'!$G:$G,"*"&amp;Table1[[#Headers],[Energy Management]]&amp;"*")</f>
        <v>0</v>
      </c>
      <c r="L426" s="8">
        <f>COUNTIFS('All Papers'!$D:$D,"*"&amp;$A426&amp;"*",'All Papers'!$G:$G,"*"&amp;Table1[[#Headers],[Monitoring]]&amp;"*")</f>
        <v>0</v>
      </c>
      <c r="M426" s="8">
        <f>COUNTIFS('All Papers'!$D:$D,"*"&amp;$A426&amp;"*",'All Papers'!$G:$G,"*"&amp;Table1[[#Headers],[Pricing]]&amp;"*")</f>
        <v>0</v>
      </c>
    </row>
    <row r="427" spans="1:13" x14ac:dyDescent="0.25">
      <c r="A427" s="8" t="s">
        <v>2860</v>
      </c>
      <c r="B427" s="8">
        <f>COUNTIF('All Papers'!D:D,"*"&amp;Table1[[#This Row],[Name]]&amp;"*")</f>
        <v>1</v>
      </c>
      <c r="C427" s="8">
        <f>COUNTIFS('All Papers'!$D:$D,"*"&amp;$A427&amp;"*",'All Papers'!$G:$G,"*"&amp;Table1[[#Headers],[Composition]]&amp;"*")</f>
        <v>1</v>
      </c>
      <c r="D427" s="8">
        <f>COUNTIFS('All Papers'!$D:$D,"*"&amp;$A427&amp;"*",'All Papers'!$G:$G,"*"&amp;Table1[[#Headers],[Discovery]]&amp;"*")</f>
        <v>0</v>
      </c>
      <c r="E427" s="8">
        <f>COUNTIFS('All Papers'!$D:$D,"*"&amp;$A427&amp;"*",'All Papers'!$G:$G,"*"&amp;Table1[[#Headers],[Selection]]&amp;"*")</f>
        <v>1</v>
      </c>
      <c r="F427" s="8">
        <f>COUNTIFS('All Papers'!$D:$D,"*"&amp;$A427&amp;"*",'All Papers'!$G:$G,"*"&amp;Table1[[#Headers],[Recommendation]]&amp;"*")</f>
        <v>0</v>
      </c>
      <c r="G427" s="8">
        <f>COUNTIFS('All Papers'!$D:$D,"*"&amp;$A427&amp;"*",'All Papers'!$G:$G,"*"&amp;Table1[[#Headers],[Resource Management-CS]]&amp;"*")</f>
        <v>0</v>
      </c>
      <c r="H427" s="8">
        <f>COUNTIFS('All Papers'!$D:$D,"*"&amp;$A427&amp;"*",'All Papers'!$G:$G,"*"&amp;Table1[[#Headers],[Resource Management-PS]]&amp;"*")</f>
        <v>0</v>
      </c>
      <c r="I427" s="8">
        <f>COUNTIFS('All Papers'!$D:$D,"*"&amp;$A427&amp;"*",'All Papers'!$G:$G,"*"&amp;Table1[[#Headers],[SLA Management]]&amp;"*")</f>
        <v>0</v>
      </c>
      <c r="J427" s="8">
        <f>COUNTIFS('All Papers'!$D:$D,"*"&amp;$A427&amp;"*",'All Papers'!$G:$G,"*"&amp;Table1[[#Headers],[Big Data]]&amp;"*")</f>
        <v>0</v>
      </c>
      <c r="K427" s="8">
        <f>COUNTIFS('All Papers'!$D:$D,"*"&amp;$A427&amp;"*",'All Papers'!$G:$G,"*"&amp;Table1[[#Headers],[Energy Management]]&amp;"*")</f>
        <v>0</v>
      </c>
      <c r="L427" s="8">
        <f>COUNTIFS('All Papers'!$D:$D,"*"&amp;$A427&amp;"*",'All Papers'!$G:$G,"*"&amp;Table1[[#Headers],[Monitoring]]&amp;"*")</f>
        <v>0</v>
      </c>
      <c r="M427" s="8">
        <f>COUNTIFS('All Papers'!$D:$D,"*"&amp;$A427&amp;"*",'All Papers'!$G:$G,"*"&amp;Table1[[#Headers],[Pricing]]&amp;"*")</f>
        <v>0</v>
      </c>
    </row>
    <row r="428" spans="1:13" x14ac:dyDescent="0.25">
      <c r="A428" s="8" t="s">
        <v>2861</v>
      </c>
      <c r="B428" s="8">
        <f>COUNTIF('All Papers'!D:D,"*"&amp;Table1[[#This Row],[Name]]&amp;"*")</f>
        <v>1</v>
      </c>
      <c r="C428" s="8">
        <f>COUNTIFS('All Papers'!$D:$D,"*"&amp;$A428&amp;"*",'All Papers'!$G:$G,"*"&amp;Table1[[#Headers],[Composition]]&amp;"*")</f>
        <v>1</v>
      </c>
      <c r="D428" s="8">
        <f>COUNTIFS('All Papers'!$D:$D,"*"&amp;$A428&amp;"*",'All Papers'!$G:$G,"*"&amp;Table1[[#Headers],[Discovery]]&amp;"*")</f>
        <v>0</v>
      </c>
      <c r="E428" s="8">
        <f>COUNTIFS('All Papers'!$D:$D,"*"&amp;$A428&amp;"*",'All Papers'!$G:$G,"*"&amp;Table1[[#Headers],[Selection]]&amp;"*")</f>
        <v>1</v>
      </c>
      <c r="F428" s="8">
        <f>COUNTIFS('All Papers'!$D:$D,"*"&amp;$A428&amp;"*",'All Papers'!$G:$G,"*"&amp;Table1[[#Headers],[Recommendation]]&amp;"*")</f>
        <v>0</v>
      </c>
      <c r="G428" s="8">
        <f>COUNTIFS('All Papers'!$D:$D,"*"&amp;$A428&amp;"*",'All Papers'!$G:$G,"*"&amp;Table1[[#Headers],[Resource Management-CS]]&amp;"*")</f>
        <v>0</v>
      </c>
      <c r="H428" s="8">
        <f>COUNTIFS('All Papers'!$D:$D,"*"&amp;$A428&amp;"*",'All Papers'!$G:$G,"*"&amp;Table1[[#Headers],[Resource Management-PS]]&amp;"*")</f>
        <v>0</v>
      </c>
      <c r="I428" s="8">
        <f>COUNTIFS('All Papers'!$D:$D,"*"&amp;$A428&amp;"*",'All Papers'!$G:$G,"*"&amp;Table1[[#Headers],[SLA Management]]&amp;"*")</f>
        <v>0</v>
      </c>
      <c r="J428" s="8">
        <f>COUNTIFS('All Papers'!$D:$D,"*"&amp;$A428&amp;"*",'All Papers'!$G:$G,"*"&amp;Table1[[#Headers],[Big Data]]&amp;"*")</f>
        <v>0</v>
      </c>
      <c r="K428" s="8">
        <f>COUNTIFS('All Papers'!$D:$D,"*"&amp;$A428&amp;"*",'All Papers'!$G:$G,"*"&amp;Table1[[#Headers],[Energy Management]]&amp;"*")</f>
        <v>0</v>
      </c>
      <c r="L428" s="8">
        <f>COUNTIFS('All Papers'!$D:$D,"*"&amp;$A428&amp;"*",'All Papers'!$G:$G,"*"&amp;Table1[[#Headers],[Monitoring]]&amp;"*")</f>
        <v>0</v>
      </c>
      <c r="M428" s="8">
        <f>COUNTIFS('All Papers'!$D:$D,"*"&amp;$A428&amp;"*",'All Papers'!$G:$G,"*"&amp;Table1[[#Headers],[Pricing]]&amp;"*")</f>
        <v>0</v>
      </c>
    </row>
    <row r="429" spans="1:13" x14ac:dyDescent="0.25">
      <c r="A429" s="8" t="s">
        <v>2862</v>
      </c>
      <c r="B429" s="8">
        <f>COUNTIF('All Papers'!D:D,"*"&amp;Table1[[#This Row],[Name]]&amp;"*")</f>
        <v>1</v>
      </c>
      <c r="C429" s="8">
        <f>COUNTIFS('All Papers'!$D:$D,"*"&amp;$A429&amp;"*",'All Papers'!$G:$G,"*"&amp;Table1[[#Headers],[Composition]]&amp;"*")</f>
        <v>0</v>
      </c>
      <c r="D429" s="8">
        <f>COUNTIFS('All Papers'!$D:$D,"*"&amp;$A429&amp;"*",'All Papers'!$G:$G,"*"&amp;Table1[[#Headers],[Discovery]]&amp;"*")</f>
        <v>0</v>
      </c>
      <c r="E429" s="8">
        <f>COUNTIFS('All Papers'!$D:$D,"*"&amp;$A429&amp;"*",'All Papers'!$G:$G,"*"&amp;Table1[[#Headers],[Selection]]&amp;"*")</f>
        <v>0</v>
      </c>
      <c r="F429" s="8">
        <f>COUNTIFS('All Papers'!$D:$D,"*"&amp;$A429&amp;"*",'All Papers'!$G:$G,"*"&amp;Table1[[#Headers],[Recommendation]]&amp;"*")</f>
        <v>0</v>
      </c>
      <c r="G429" s="8">
        <f>COUNTIFS('All Papers'!$D:$D,"*"&amp;$A429&amp;"*",'All Papers'!$G:$G,"*"&amp;Table1[[#Headers],[Resource Management-CS]]&amp;"*")</f>
        <v>1</v>
      </c>
      <c r="H429" s="8">
        <f>COUNTIFS('All Papers'!$D:$D,"*"&amp;$A429&amp;"*",'All Papers'!$G:$G,"*"&amp;Table1[[#Headers],[Resource Management-PS]]&amp;"*")</f>
        <v>0</v>
      </c>
      <c r="I429" s="8">
        <f>COUNTIFS('All Papers'!$D:$D,"*"&amp;$A429&amp;"*",'All Papers'!$G:$G,"*"&amp;Table1[[#Headers],[SLA Management]]&amp;"*")</f>
        <v>0</v>
      </c>
      <c r="J429" s="8">
        <f>COUNTIFS('All Papers'!$D:$D,"*"&amp;$A429&amp;"*",'All Papers'!$G:$G,"*"&amp;Table1[[#Headers],[Big Data]]&amp;"*")</f>
        <v>0</v>
      </c>
      <c r="K429" s="8">
        <f>COUNTIFS('All Papers'!$D:$D,"*"&amp;$A429&amp;"*",'All Papers'!$G:$G,"*"&amp;Table1[[#Headers],[Energy Management]]&amp;"*")</f>
        <v>0</v>
      </c>
      <c r="L429" s="8">
        <f>COUNTIFS('All Papers'!$D:$D,"*"&amp;$A429&amp;"*",'All Papers'!$G:$G,"*"&amp;Table1[[#Headers],[Monitoring]]&amp;"*")</f>
        <v>0</v>
      </c>
      <c r="M429" s="8">
        <f>COUNTIFS('All Papers'!$D:$D,"*"&amp;$A429&amp;"*",'All Papers'!$G:$G,"*"&amp;Table1[[#Headers],[Pricing]]&amp;"*")</f>
        <v>0</v>
      </c>
    </row>
    <row r="430" spans="1:13" x14ac:dyDescent="0.25">
      <c r="A430" s="8" t="s">
        <v>2863</v>
      </c>
      <c r="B430" s="8">
        <f>COUNTIF('All Papers'!D:D,"*"&amp;Table1[[#This Row],[Name]]&amp;"*")</f>
        <v>1</v>
      </c>
      <c r="C430" s="8">
        <f>COUNTIFS('All Papers'!$D:$D,"*"&amp;$A430&amp;"*",'All Papers'!$G:$G,"*"&amp;Table1[[#Headers],[Composition]]&amp;"*")</f>
        <v>0</v>
      </c>
      <c r="D430" s="8">
        <f>COUNTIFS('All Papers'!$D:$D,"*"&amp;$A430&amp;"*",'All Papers'!$G:$G,"*"&amp;Table1[[#Headers],[Discovery]]&amp;"*")</f>
        <v>0</v>
      </c>
      <c r="E430" s="8">
        <f>COUNTIFS('All Papers'!$D:$D,"*"&amp;$A430&amp;"*",'All Papers'!$G:$G,"*"&amp;Table1[[#Headers],[Selection]]&amp;"*")</f>
        <v>0</v>
      </c>
      <c r="F430" s="8">
        <f>COUNTIFS('All Papers'!$D:$D,"*"&amp;$A430&amp;"*",'All Papers'!$G:$G,"*"&amp;Table1[[#Headers],[Recommendation]]&amp;"*")</f>
        <v>0</v>
      </c>
      <c r="G430" s="8">
        <f>COUNTIFS('All Papers'!$D:$D,"*"&amp;$A430&amp;"*",'All Papers'!$G:$G,"*"&amp;Table1[[#Headers],[Resource Management-CS]]&amp;"*")</f>
        <v>1</v>
      </c>
      <c r="H430" s="8">
        <f>COUNTIFS('All Papers'!$D:$D,"*"&amp;$A430&amp;"*",'All Papers'!$G:$G,"*"&amp;Table1[[#Headers],[Resource Management-PS]]&amp;"*")</f>
        <v>0</v>
      </c>
      <c r="I430" s="8">
        <f>COUNTIFS('All Papers'!$D:$D,"*"&amp;$A430&amp;"*",'All Papers'!$G:$G,"*"&amp;Table1[[#Headers],[SLA Management]]&amp;"*")</f>
        <v>0</v>
      </c>
      <c r="J430" s="8">
        <f>COUNTIFS('All Papers'!$D:$D,"*"&amp;$A430&amp;"*",'All Papers'!$G:$G,"*"&amp;Table1[[#Headers],[Big Data]]&amp;"*")</f>
        <v>0</v>
      </c>
      <c r="K430" s="8">
        <f>COUNTIFS('All Papers'!$D:$D,"*"&amp;$A430&amp;"*",'All Papers'!$G:$G,"*"&amp;Table1[[#Headers],[Energy Management]]&amp;"*")</f>
        <v>0</v>
      </c>
      <c r="L430" s="8">
        <f>COUNTIFS('All Papers'!$D:$D,"*"&amp;$A430&amp;"*",'All Papers'!$G:$G,"*"&amp;Table1[[#Headers],[Monitoring]]&amp;"*")</f>
        <v>0</v>
      </c>
      <c r="M430" s="8">
        <f>COUNTIFS('All Papers'!$D:$D,"*"&amp;$A430&amp;"*",'All Papers'!$G:$G,"*"&amp;Table1[[#Headers],[Pricing]]&amp;"*")</f>
        <v>0</v>
      </c>
    </row>
    <row r="431" spans="1:13" x14ac:dyDescent="0.25">
      <c r="A431" s="8" t="s">
        <v>2864</v>
      </c>
      <c r="B431" s="8">
        <f>COUNTIF('All Papers'!D:D,"*"&amp;Table1[[#This Row],[Name]]&amp;"*")</f>
        <v>1</v>
      </c>
      <c r="C431" s="8">
        <f>COUNTIFS('All Papers'!$D:$D,"*"&amp;$A431&amp;"*",'All Papers'!$G:$G,"*"&amp;Table1[[#Headers],[Composition]]&amp;"*")</f>
        <v>0</v>
      </c>
      <c r="D431" s="8">
        <f>COUNTIFS('All Papers'!$D:$D,"*"&amp;$A431&amp;"*",'All Papers'!$G:$G,"*"&amp;Table1[[#Headers],[Discovery]]&amp;"*")</f>
        <v>0</v>
      </c>
      <c r="E431" s="8">
        <f>COUNTIFS('All Papers'!$D:$D,"*"&amp;$A431&amp;"*",'All Papers'!$G:$G,"*"&amp;Table1[[#Headers],[Selection]]&amp;"*")</f>
        <v>0</v>
      </c>
      <c r="F431" s="8">
        <f>COUNTIFS('All Papers'!$D:$D,"*"&amp;$A431&amp;"*",'All Papers'!$G:$G,"*"&amp;Table1[[#Headers],[Recommendation]]&amp;"*")</f>
        <v>0</v>
      </c>
      <c r="G431" s="8">
        <f>COUNTIFS('All Papers'!$D:$D,"*"&amp;$A431&amp;"*",'All Papers'!$G:$G,"*"&amp;Table1[[#Headers],[Resource Management-CS]]&amp;"*")</f>
        <v>1</v>
      </c>
      <c r="H431" s="8">
        <f>COUNTIFS('All Papers'!$D:$D,"*"&amp;$A431&amp;"*",'All Papers'!$G:$G,"*"&amp;Table1[[#Headers],[Resource Management-PS]]&amp;"*")</f>
        <v>0</v>
      </c>
      <c r="I431" s="8">
        <f>COUNTIFS('All Papers'!$D:$D,"*"&amp;$A431&amp;"*",'All Papers'!$G:$G,"*"&amp;Table1[[#Headers],[SLA Management]]&amp;"*")</f>
        <v>0</v>
      </c>
      <c r="J431" s="8">
        <f>COUNTIFS('All Papers'!$D:$D,"*"&amp;$A431&amp;"*",'All Papers'!$G:$G,"*"&amp;Table1[[#Headers],[Big Data]]&amp;"*")</f>
        <v>0</v>
      </c>
      <c r="K431" s="8">
        <f>COUNTIFS('All Papers'!$D:$D,"*"&amp;$A431&amp;"*",'All Papers'!$G:$G,"*"&amp;Table1[[#Headers],[Energy Management]]&amp;"*")</f>
        <v>0</v>
      </c>
      <c r="L431" s="8">
        <f>COUNTIFS('All Papers'!$D:$D,"*"&amp;$A431&amp;"*",'All Papers'!$G:$G,"*"&amp;Table1[[#Headers],[Monitoring]]&amp;"*")</f>
        <v>0</v>
      </c>
      <c r="M431" s="8">
        <f>COUNTIFS('All Papers'!$D:$D,"*"&amp;$A431&amp;"*",'All Papers'!$G:$G,"*"&amp;Table1[[#Headers],[Pricing]]&amp;"*")</f>
        <v>0</v>
      </c>
    </row>
    <row r="432" spans="1:13" x14ac:dyDescent="0.25">
      <c r="A432" s="8" t="s">
        <v>2865</v>
      </c>
      <c r="B432" s="8">
        <f>COUNTIF('All Papers'!D:D,"*"&amp;Table1[[#This Row],[Name]]&amp;"*")</f>
        <v>1</v>
      </c>
      <c r="C432" s="8">
        <f>COUNTIFS('All Papers'!$D:$D,"*"&amp;$A432&amp;"*",'All Papers'!$G:$G,"*"&amp;Table1[[#Headers],[Composition]]&amp;"*")</f>
        <v>0</v>
      </c>
      <c r="D432" s="8">
        <f>COUNTIFS('All Papers'!$D:$D,"*"&amp;$A432&amp;"*",'All Papers'!$G:$G,"*"&amp;Table1[[#Headers],[Discovery]]&amp;"*")</f>
        <v>0</v>
      </c>
      <c r="E432" s="8">
        <f>COUNTIFS('All Papers'!$D:$D,"*"&amp;$A432&amp;"*",'All Papers'!$G:$G,"*"&amp;Table1[[#Headers],[Selection]]&amp;"*")</f>
        <v>0</v>
      </c>
      <c r="F432" s="8">
        <f>COUNTIFS('All Papers'!$D:$D,"*"&amp;$A432&amp;"*",'All Papers'!$G:$G,"*"&amp;Table1[[#Headers],[Recommendation]]&amp;"*")</f>
        <v>0</v>
      </c>
      <c r="G432" s="8">
        <f>COUNTIFS('All Papers'!$D:$D,"*"&amp;$A432&amp;"*",'All Papers'!$G:$G,"*"&amp;Table1[[#Headers],[Resource Management-CS]]&amp;"*")</f>
        <v>1</v>
      </c>
      <c r="H432" s="8">
        <f>COUNTIFS('All Papers'!$D:$D,"*"&amp;$A432&amp;"*",'All Papers'!$G:$G,"*"&amp;Table1[[#Headers],[Resource Management-PS]]&amp;"*")</f>
        <v>0</v>
      </c>
      <c r="I432" s="8">
        <f>COUNTIFS('All Papers'!$D:$D,"*"&amp;$A432&amp;"*",'All Papers'!$G:$G,"*"&amp;Table1[[#Headers],[SLA Management]]&amp;"*")</f>
        <v>0</v>
      </c>
      <c r="J432" s="8">
        <f>COUNTIFS('All Papers'!$D:$D,"*"&amp;$A432&amp;"*",'All Papers'!$G:$G,"*"&amp;Table1[[#Headers],[Big Data]]&amp;"*")</f>
        <v>0</v>
      </c>
      <c r="K432" s="8">
        <f>COUNTIFS('All Papers'!$D:$D,"*"&amp;$A432&amp;"*",'All Papers'!$G:$G,"*"&amp;Table1[[#Headers],[Energy Management]]&amp;"*")</f>
        <v>0</v>
      </c>
      <c r="L432" s="8">
        <f>COUNTIFS('All Papers'!$D:$D,"*"&amp;$A432&amp;"*",'All Papers'!$G:$G,"*"&amp;Table1[[#Headers],[Monitoring]]&amp;"*")</f>
        <v>0</v>
      </c>
      <c r="M432" s="8">
        <f>COUNTIFS('All Papers'!$D:$D,"*"&amp;$A432&amp;"*",'All Papers'!$G:$G,"*"&amp;Table1[[#Headers],[Pricing]]&amp;"*")</f>
        <v>0</v>
      </c>
    </row>
    <row r="433" spans="1:13" x14ac:dyDescent="0.25">
      <c r="A433" s="8" t="s">
        <v>2866</v>
      </c>
      <c r="B433" s="8">
        <f>COUNTIF('All Papers'!D:D,"*"&amp;Table1[[#This Row],[Name]]&amp;"*")</f>
        <v>1</v>
      </c>
      <c r="C433" s="8">
        <f>COUNTIFS('All Papers'!$D:$D,"*"&amp;$A433&amp;"*",'All Papers'!$G:$G,"*"&amp;Table1[[#Headers],[Composition]]&amp;"*")</f>
        <v>0</v>
      </c>
      <c r="D433" s="8">
        <f>COUNTIFS('All Papers'!$D:$D,"*"&amp;$A433&amp;"*",'All Papers'!$G:$G,"*"&amp;Table1[[#Headers],[Discovery]]&amp;"*")</f>
        <v>0</v>
      </c>
      <c r="E433" s="8">
        <f>COUNTIFS('All Papers'!$D:$D,"*"&amp;$A433&amp;"*",'All Papers'!$G:$G,"*"&amp;Table1[[#Headers],[Selection]]&amp;"*")</f>
        <v>0</v>
      </c>
      <c r="F433" s="8">
        <f>COUNTIFS('All Papers'!$D:$D,"*"&amp;$A433&amp;"*",'All Papers'!$G:$G,"*"&amp;Table1[[#Headers],[Recommendation]]&amp;"*")</f>
        <v>0</v>
      </c>
      <c r="G433" s="8">
        <f>COUNTIFS('All Papers'!$D:$D,"*"&amp;$A433&amp;"*",'All Papers'!$G:$G,"*"&amp;Table1[[#Headers],[Resource Management-CS]]&amp;"*")</f>
        <v>1</v>
      </c>
      <c r="H433" s="8">
        <f>COUNTIFS('All Papers'!$D:$D,"*"&amp;$A433&amp;"*",'All Papers'!$G:$G,"*"&amp;Table1[[#Headers],[Resource Management-PS]]&amp;"*")</f>
        <v>0</v>
      </c>
      <c r="I433" s="8">
        <f>COUNTIFS('All Papers'!$D:$D,"*"&amp;$A433&amp;"*",'All Papers'!$G:$G,"*"&amp;Table1[[#Headers],[SLA Management]]&amp;"*")</f>
        <v>0</v>
      </c>
      <c r="J433" s="8">
        <f>COUNTIFS('All Papers'!$D:$D,"*"&amp;$A433&amp;"*",'All Papers'!$G:$G,"*"&amp;Table1[[#Headers],[Big Data]]&amp;"*")</f>
        <v>0</v>
      </c>
      <c r="K433" s="8">
        <f>COUNTIFS('All Papers'!$D:$D,"*"&amp;$A433&amp;"*",'All Papers'!$G:$G,"*"&amp;Table1[[#Headers],[Energy Management]]&amp;"*")</f>
        <v>0</v>
      </c>
      <c r="L433" s="8">
        <f>COUNTIFS('All Papers'!$D:$D,"*"&amp;$A433&amp;"*",'All Papers'!$G:$G,"*"&amp;Table1[[#Headers],[Monitoring]]&amp;"*")</f>
        <v>0</v>
      </c>
      <c r="M433" s="8">
        <f>COUNTIFS('All Papers'!$D:$D,"*"&amp;$A433&amp;"*",'All Papers'!$G:$G,"*"&amp;Table1[[#Headers],[Pricing]]&amp;"*")</f>
        <v>0</v>
      </c>
    </row>
    <row r="434" spans="1:13" x14ac:dyDescent="0.25">
      <c r="A434" s="8" t="s">
        <v>2867</v>
      </c>
      <c r="B434" s="8">
        <f>COUNTIF('All Papers'!D:D,"*"&amp;Table1[[#This Row],[Name]]&amp;"*")</f>
        <v>1</v>
      </c>
      <c r="C434" s="8">
        <f>COUNTIFS('All Papers'!$D:$D,"*"&amp;$A434&amp;"*",'All Papers'!$G:$G,"*"&amp;Table1[[#Headers],[Composition]]&amp;"*")</f>
        <v>0</v>
      </c>
      <c r="D434" s="8">
        <f>COUNTIFS('All Papers'!$D:$D,"*"&amp;$A434&amp;"*",'All Papers'!$G:$G,"*"&amp;Table1[[#Headers],[Discovery]]&amp;"*")</f>
        <v>0</v>
      </c>
      <c r="E434" s="8">
        <f>COUNTIFS('All Papers'!$D:$D,"*"&amp;$A434&amp;"*",'All Papers'!$G:$G,"*"&amp;Table1[[#Headers],[Selection]]&amp;"*")</f>
        <v>0</v>
      </c>
      <c r="F434" s="8">
        <f>COUNTIFS('All Papers'!$D:$D,"*"&amp;$A434&amp;"*",'All Papers'!$G:$G,"*"&amp;Table1[[#Headers],[Recommendation]]&amp;"*")</f>
        <v>0</v>
      </c>
      <c r="G434" s="8">
        <f>COUNTIFS('All Papers'!$D:$D,"*"&amp;$A434&amp;"*",'All Papers'!$G:$G,"*"&amp;Table1[[#Headers],[Resource Management-CS]]&amp;"*")</f>
        <v>1</v>
      </c>
      <c r="H434" s="8">
        <f>COUNTIFS('All Papers'!$D:$D,"*"&amp;$A434&amp;"*",'All Papers'!$G:$G,"*"&amp;Table1[[#Headers],[Resource Management-PS]]&amp;"*")</f>
        <v>0</v>
      </c>
      <c r="I434" s="8">
        <f>COUNTIFS('All Papers'!$D:$D,"*"&amp;$A434&amp;"*",'All Papers'!$G:$G,"*"&amp;Table1[[#Headers],[SLA Management]]&amp;"*")</f>
        <v>0</v>
      </c>
      <c r="J434" s="8">
        <f>COUNTIFS('All Papers'!$D:$D,"*"&amp;$A434&amp;"*",'All Papers'!$G:$G,"*"&amp;Table1[[#Headers],[Big Data]]&amp;"*")</f>
        <v>0</v>
      </c>
      <c r="K434" s="8">
        <f>COUNTIFS('All Papers'!$D:$D,"*"&amp;$A434&amp;"*",'All Papers'!$G:$G,"*"&amp;Table1[[#Headers],[Energy Management]]&amp;"*")</f>
        <v>0</v>
      </c>
      <c r="L434" s="8">
        <f>COUNTIFS('All Papers'!$D:$D,"*"&amp;$A434&amp;"*",'All Papers'!$G:$G,"*"&amp;Table1[[#Headers],[Monitoring]]&amp;"*")</f>
        <v>0</v>
      </c>
      <c r="M434" s="8">
        <f>COUNTIFS('All Papers'!$D:$D,"*"&amp;$A434&amp;"*",'All Papers'!$G:$G,"*"&amp;Table1[[#Headers],[Pricing]]&amp;"*")</f>
        <v>0</v>
      </c>
    </row>
    <row r="435" spans="1:13" x14ac:dyDescent="0.25">
      <c r="A435" s="8" t="s">
        <v>2868</v>
      </c>
      <c r="B435" s="8">
        <f>COUNTIF('All Papers'!D:D,"*"&amp;Table1[[#This Row],[Name]]&amp;"*")</f>
        <v>1</v>
      </c>
      <c r="C435" s="8">
        <f>COUNTIFS('All Papers'!$D:$D,"*"&amp;$A435&amp;"*",'All Papers'!$G:$G,"*"&amp;Table1[[#Headers],[Composition]]&amp;"*")</f>
        <v>0</v>
      </c>
      <c r="D435" s="8">
        <f>COUNTIFS('All Papers'!$D:$D,"*"&amp;$A435&amp;"*",'All Papers'!$G:$G,"*"&amp;Table1[[#Headers],[Discovery]]&amp;"*")</f>
        <v>0</v>
      </c>
      <c r="E435" s="8">
        <f>COUNTIFS('All Papers'!$D:$D,"*"&amp;$A435&amp;"*",'All Papers'!$G:$G,"*"&amp;Table1[[#Headers],[Selection]]&amp;"*")</f>
        <v>0</v>
      </c>
      <c r="F435" s="8">
        <f>COUNTIFS('All Papers'!$D:$D,"*"&amp;$A435&amp;"*",'All Papers'!$G:$G,"*"&amp;Table1[[#Headers],[Recommendation]]&amp;"*")</f>
        <v>0</v>
      </c>
      <c r="G435" s="8">
        <f>COUNTIFS('All Papers'!$D:$D,"*"&amp;$A435&amp;"*",'All Papers'!$G:$G,"*"&amp;Table1[[#Headers],[Resource Management-CS]]&amp;"*")</f>
        <v>0</v>
      </c>
      <c r="H435" s="8">
        <f>COUNTIFS('All Papers'!$D:$D,"*"&amp;$A435&amp;"*",'All Papers'!$G:$G,"*"&amp;Table1[[#Headers],[Resource Management-PS]]&amp;"*")</f>
        <v>1</v>
      </c>
      <c r="I435" s="8">
        <f>COUNTIFS('All Papers'!$D:$D,"*"&amp;$A435&amp;"*",'All Papers'!$G:$G,"*"&amp;Table1[[#Headers],[SLA Management]]&amp;"*")</f>
        <v>0</v>
      </c>
      <c r="J435" s="8">
        <f>COUNTIFS('All Papers'!$D:$D,"*"&amp;$A435&amp;"*",'All Papers'!$G:$G,"*"&amp;Table1[[#Headers],[Big Data]]&amp;"*")</f>
        <v>0</v>
      </c>
      <c r="K435" s="8">
        <f>COUNTIFS('All Papers'!$D:$D,"*"&amp;$A435&amp;"*",'All Papers'!$G:$G,"*"&amp;Table1[[#Headers],[Energy Management]]&amp;"*")</f>
        <v>0</v>
      </c>
      <c r="L435" s="8">
        <f>COUNTIFS('All Papers'!$D:$D,"*"&amp;$A435&amp;"*",'All Papers'!$G:$G,"*"&amp;Table1[[#Headers],[Monitoring]]&amp;"*")</f>
        <v>0</v>
      </c>
      <c r="M435" s="8">
        <f>COUNTIFS('All Papers'!$D:$D,"*"&amp;$A435&amp;"*",'All Papers'!$G:$G,"*"&amp;Table1[[#Headers],[Pricing]]&amp;"*")</f>
        <v>1</v>
      </c>
    </row>
    <row r="436" spans="1:13" x14ac:dyDescent="0.25">
      <c r="A436" s="8" t="s">
        <v>2869</v>
      </c>
      <c r="B436" s="8">
        <f>COUNTIF('All Papers'!D:D,"*"&amp;Table1[[#This Row],[Name]]&amp;"*")</f>
        <v>1</v>
      </c>
      <c r="C436" s="8">
        <f>COUNTIFS('All Papers'!$D:$D,"*"&amp;$A436&amp;"*",'All Papers'!$G:$G,"*"&amp;Table1[[#Headers],[Composition]]&amp;"*")</f>
        <v>0</v>
      </c>
      <c r="D436" s="8">
        <f>COUNTIFS('All Papers'!$D:$D,"*"&amp;$A436&amp;"*",'All Papers'!$G:$G,"*"&amp;Table1[[#Headers],[Discovery]]&amp;"*")</f>
        <v>0</v>
      </c>
      <c r="E436" s="8">
        <f>COUNTIFS('All Papers'!$D:$D,"*"&amp;$A436&amp;"*",'All Papers'!$G:$G,"*"&amp;Table1[[#Headers],[Selection]]&amp;"*")</f>
        <v>0</v>
      </c>
      <c r="F436" s="8">
        <f>COUNTIFS('All Papers'!$D:$D,"*"&amp;$A436&amp;"*",'All Papers'!$G:$G,"*"&amp;Table1[[#Headers],[Recommendation]]&amp;"*")</f>
        <v>0</v>
      </c>
      <c r="G436" s="8">
        <f>COUNTIFS('All Papers'!$D:$D,"*"&amp;$A436&amp;"*",'All Papers'!$G:$G,"*"&amp;Table1[[#Headers],[Resource Management-CS]]&amp;"*")</f>
        <v>0</v>
      </c>
      <c r="H436" s="8">
        <f>COUNTIFS('All Papers'!$D:$D,"*"&amp;$A436&amp;"*",'All Papers'!$G:$G,"*"&amp;Table1[[#Headers],[Resource Management-PS]]&amp;"*")</f>
        <v>1</v>
      </c>
      <c r="I436" s="8">
        <f>COUNTIFS('All Papers'!$D:$D,"*"&amp;$A436&amp;"*",'All Papers'!$G:$G,"*"&amp;Table1[[#Headers],[SLA Management]]&amp;"*")</f>
        <v>0</v>
      </c>
      <c r="J436" s="8">
        <f>COUNTIFS('All Papers'!$D:$D,"*"&amp;$A436&amp;"*",'All Papers'!$G:$G,"*"&amp;Table1[[#Headers],[Big Data]]&amp;"*")</f>
        <v>0</v>
      </c>
      <c r="K436" s="8">
        <f>COUNTIFS('All Papers'!$D:$D,"*"&amp;$A436&amp;"*",'All Papers'!$G:$G,"*"&amp;Table1[[#Headers],[Energy Management]]&amp;"*")</f>
        <v>0</v>
      </c>
      <c r="L436" s="8">
        <f>COUNTIFS('All Papers'!$D:$D,"*"&amp;$A436&amp;"*",'All Papers'!$G:$G,"*"&amp;Table1[[#Headers],[Monitoring]]&amp;"*")</f>
        <v>0</v>
      </c>
      <c r="M436" s="8">
        <f>COUNTIFS('All Papers'!$D:$D,"*"&amp;$A436&amp;"*",'All Papers'!$G:$G,"*"&amp;Table1[[#Headers],[Pricing]]&amp;"*")</f>
        <v>1</v>
      </c>
    </row>
    <row r="437" spans="1:13" x14ac:dyDescent="0.25">
      <c r="A437" s="8" t="s">
        <v>2870</v>
      </c>
      <c r="B437" s="8">
        <f>COUNTIF('All Papers'!D:D,"*"&amp;Table1[[#This Row],[Name]]&amp;"*")</f>
        <v>1</v>
      </c>
      <c r="C437" s="8">
        <f>COUNTIFS('All Papers'!$D:$D,"*"&amp;$A437&amp;"*",'All Papers'!$G:$G,"*"&amp;Table1[[#Headers],[Composition]]&amp;"*")</f>
        <v>0</v>
      </c>
      <c r="D437" s="8">
        <f>COUNTIFS('All Papers'!$D:$D,"*"&amp;$A437&amp;"*",'All Papers'!$G:$G,"*"&amp;Table1[[#Headers],[Discovery]]&amp;"*")</f>
        <v>0</v>
      </c>
      <c r="E437" s="8">
        <f>COUNTIFS('All Papers'!$D:$D,"*"&amp;$A437&amp;"*",'All Papers'!$G:$G,"*"&amp;Table1[[#Headers],[Selection]]&amp;"*")</f>
        <v>0</v>
      </c>
      <c r="F437" s="8">
        <f>COUNTIFS('All Papers'!$D:$D,"*"&amp;$A437&amp;"*",'All Papers'!$G:$G,"*"&amp;Table1[[#Headers],[Recommendation]]&amp;"*")</f>
        <v>0</v>
      </c>
      <c r="G437" s="8">
        <f>COUNTIFS('All Papers'!$D:$D,"*"&amp;$A437&amp;"*",'All Papers'!$G:$G,"*"&amp;Table1[[#Headers],[Resource Management-CS]]&amp;"*")</f>
        <v>0</v>
      </c>
      <c r="H437" s="8">
        <f>COUNTIFS('All Papers'!$D:$D,"*"&amp;$A437&amp;"*",'All Papers'!$G:$G,"*"&amp;Table1[[#Headers],[Resource Management-PS]]&amp;"*")</f>
        <v>1</v>
      </c>
      <c r="I437" s="8">
        <f>COUNTIFS('All Papers'!$D:$D,"*"&amp;$A437&amp;"*",'All Papers'!$G:$G,"*"&amp;Table1[[#Headers],[SLA Management]]&amp;"*")</f>
        <v>0</v>
      </c>
      <c r="J437" s="8">
        <f>COUNTIFS('All Papers'!$D:$D,"*"&amp;$A437&amp;"*",'All Papers'!$G:$G,"*"&amp;Table1[[#Headers],[Big Data]]&amp;"*")</f>
        <v>0</v>
      </c>
      <c r="K437" s="8">
        <f>COUNTIFS('All Papers'!$D:$D,"*"&amp;$A437&amp;"*",'All Papers'!$G:$G,"*"&amp;Table1[[#Headers],[Energy Management]]&amp;"*")</f>
        <v>0</v>
      </c>
      <c r="L437" s="8">
        <f>COUNTIFS('All Papers'!$D:$D,"*"&amp;$A437&amp;"*",'All Papers'!$G:$G,"*"&amp;Table1[[#Headers],[Monitoring]]&amp;"*")</f>
        <v>0</v>
      </c>
      <c r="M437" s="8">
        <f>COUNTIFS('All Papers'!$D:$D,"*"&amp;$A437&amp;"*",'All Papers'!$G:$G,"*"&amp;Table1[[#Headers],[Pricing]]&amp;"*")</f>
        <v>1</v>
      </c>
    </row>
    <row r="438" spans="1:13" x14ac:dyDescent="0.25">
      <c r="A438" s="8" t="s">
        <v>2871</v>
      </c>
      <c r="B438" s="8">
        <f>COUNTIF('All Papers'!D:D,"*"&amp;Table1[[#This Row],[Name]]&amp;"*")</f>
        <v>1</v>
      </c>
      <c r="C438" s="8">
        <f>COUNTIFS('All Papers'!$D:$D,"*"&amp;$A438&amp;"*",'All Papers'!$G:$G,"*"&amp;Table1[[#Headers],[Composition]]&amp;"*")</f>
        <v>0</v>
      </c>
      <c r="D438" s="8">
        <f>COUNTIFS('All Papers'!$D:$D,"*"&amp;$A438&amp;"*",'All Papers'!$G:$G,"*"&amp;Table1[[#Headers],[Discovery]]&amp;"*")</f>
        <v>0</v>
      </c>
      <c r="E438" s="8">
        <f>COUNTIFS('All Papers'!$D:$D,"*"&amp;$A438&amp;"*",'All Papers'!$G:$G,"*"&amp;Table1[[#Headers],[Selection]]&amp;"*")</f>
        <v>0</v>
      </c>
      <c r="F438" s="8">
        <f>COUNTIFS('All Papers'!$D:$D,"*"&amp;$A438&amp;"*",'All Papers'!$G:$G,"*"&amp;Table1[[#Headers],[Recommendation]]&amp;"*")</f>
        <v>0</v>
      </c>
      <c r="G438" s="8">
        <f>COUNTIFS('All Papers'!$D:$D,"*"&amp;$A438&amp;"*",'All Papers'!$G:$G,"*"&amp;Table1[[#Headers],[Resource Management-CS]]&amp;"*")</f>
        <v>0</v>
      </c>
      <c r="H438" s="8">
        <f>COUNTIFS('All Papers'!$D:$D,"*"&amp;$A438&amp;"*",'All Papers'!$G:$G,"*"&amp;Table1[[#Headers],[Resource Management-PS]]&amp;"*")</f>
        <v>1</v>
      </c>
      <c r="I438" s="8">
        <f>COUNTIFS('All Papers'!$D:$D,"*"&amp;$A438&amp;"*",'All Papers'!$G:$G,"*"&amp;Table1[[#Headers],[SLA Management]]&amp;"*")</f>
        <v>0</v>
      </c>
      <c r="J438" s="8">
        <f>COUNTIFS('All Papers'!$D:$D,"*"&amp;$A438&amp;"*",'All Papers'!$G:$G,"*"&amp;Table1[[#Headers],[Big Data]]&amp;"*")</f>
        <v>0</v>
      </c>
      <c r="K438" s="8">
        <f>COUNTIFS('All Papers'!$D:$D,"*"&amp;$A438&amp;"*",'All Papers'!$G:$G,"*"&amp;Table1[[#Headers],[Energy Management]]&amp;"*")</f>
        <v>0</v>
      </c>
      <c r="L438" s="8">
        <f>COUNTIFS('All Papers'!$D:$D,"*"&amp;$A438&amp;"*",'All Papers'!$G:$G,"*"&amp;Table1[[#Headers],[Monitoring]]&amp;"*")</f>
        <v>0</v>
      </c>
      <c r="M438" s="8">
        <f>COUNTIFS('All Papers'!$D:$D,"*"&amp;$A438&amp;"*",'All Papers'!$G:$G,"*"&amp;Table1[[#Headers],[Pricing]]&amp;"*")</f>
        <v>1</v>
      </c>
    </row>
    <row r="439" spans="1:13" x14ac:dyDescent="0.25">
      <c r="A439" s="8" t="s">
        <v>2872</v>
      </c>
      <c r="B439" s="8">
        <f>COUNTIF('All Papers'!D:D,"*"&amp;Table1[[#This Row],[Name]]&amp;"*")</f>
        <v>1</v>
      </c>
      <c r="C439" s="8">
        <f>COUNTIFS('All Papers'!$D:$D,"*"&amp;$A439&amp;"*",'All Papers'!$G:$G,"*"&amp;Table1[[#Headers],[Composition]]&amp;"*")</f>
        <v>0</v>
      </c>
      <c r="D439" s="8">
        <f>COUNTIFS('All Papers'!$D:$D,"*"&amp;$A439&amp;"*",'All Papers'!$G:$G,"*"&amp;Table1[[#Headers],[Discovery]]&amp;"*")</f>
        <v>0</v>
      </c>
      <c r="E439" s="8">
        <f>COUNTIFS('All Papers'!$D:$D,"*"&amp;$A439&amp;"*",'All Papers'!$G:$G,"*"&amp;Table1[[#Headers],[Selection]]&amp;"*")</f>
        <v>0</v>
      </c>
      <c r="F439" s="8">
        <f>COUNTIFS('All Papers'!$D:$D,"*"&amp;$A439&amp;"*",'All Papers'!$G:$G,"*"&amp;Table1[[#Headers],[Recommendation]]&amp;"*")</f>
        <v>0</v>
      </c>
      <c r="G439" s="8">
        <f>COUNTIFS('All Papers'!$D:$D,"*"&amp;$A439&amp;"*",'All Papers'!$G:$G,"*"&amp;Table1[[#Headers],[Resource Management-CS]]&amp;"*")</f>
        <v>0</v>
      </c>
      <c r="H439" s="8">
        <f>COUNTIFS('All Papers'!$D:$D,"*"&amp;$A439&amp;"*",'All Papers'!$G:$G,"*"&amp;Table1[[#Headers],[Resource Management-PS]]&amp;"*")</f>
        <v>1</v>
      </c>
      <c r="I439" s="8">
        <f>COUNTIFS('All Papers'!$D:$D,"*"&amp;$A439&amp;"*",'All Papers'!$G:$G,"*"&amp;Table1[[#Headers],[SLA Management]]&amp;"*")</f>
        <v>0</v>
      </c>
      <c r="J439" s="8">
        <f>COUNTIFS('All Papers'!$D:$D,"*"&amp;$A439&amp;"*",'All Papers'!$G:$G,"*"&amp;Table1[[#Headers],[Big Data]]&amp;"*")</f>
        <v>0</v>
      </c>
      <c r="K439" s="8">
        <f>COUNTIFS('All Papers'!$D:$D,"*"&amp;$A439&amp;"*",'All Papers'!$G:$G,"*"&amp;Table1[[#Headers],[Energy Management]]&amp;"*")</f>
        <v>0</v>
      </c>
      <c r="L439" s="8">
        <f>COUNTIFS('All Papers'!$D:$D,"*"&amp;$A439&amp;"*",'All Papers'!$G:$G,"*"&amp;Table1[[#Headers],[Monitoring]]&amp;"*")</f>
        <v>0</v>
      </c>
      <c r="M439" s="8">
        <f>COUNTIFS('All Papers'!$D:$D,"*"&amp;$A439&amp;"*",'All Papers'!$G:$G,"*"&amp;Table1[[#Headers],[Pricing]]&amp;"*")</f>
        <v>1</v>
      </c>
    </row>
    <row r="440" spans="1:13" x14ac:dyDescent="0.25">
      <c r="A440" s="8" t="s">
        <v>2873</v>
      </c>
      <c r="B440" s="8">
        <f>COUNTIF('All Papers'!D:D,"*"&amp;Table1[[#This Row],[Name]]&amp;"*")</f>
        <v>1</v>
      </c>
      <c r="C440" s="8">
        <f>COUNTIFS('All Papers'!$D:$D,"*"&amp;$A440&amp;"*",'All Papers'!$G:$G,"*"&amp;Table1[[#Headers],[Composition]]&amp;"*")</f>
        <v>0</v>
      </c>
      <c r="D440" s="8">
        <f>COUNTIFS('All Papers'!$D:$D,"*"&amp;$A440&amp;"*",'All Papers'!$G:$G,"*"&amp;Table1[[#Headers],[Discovery]]&amp;"*")</f>
        <v>0</v>
      </c>
      <c r="E440" s="8">
        <f>COUNTIFS('All Papers'!$D:$D,"*"&amp;$A440&amp;"*",'All Papers'!$G:$G,"*"&amp;Table1[[#Headers],[Selection]]&amp;"*")</f>
        <v>0</v>
      </c>
      <c r="F440" s="8">
        <f>COUNTIFS('All Papers'!$D:$D,"*"&amp;$A440&amp;"*",'All Papers'!$G:$G,"*"&amp;Table1[[#Headers],[Recommendation]]&amp;"*")</f>
        <v>0</v>
      </c>
      <c r="G440" s="8">
        <f>COUNTIFS('All Papers'!$D:$D,"*"&amp;$A440&amp;"*",'All Papers'!$G:$G,"*"&amp;Table1[[#Headers],[Resource Management-CS]]&amp;"*")</f>
        <v>1</v>
      </c>
      <c r="H440" s="8">
        <f>COUNTIFS('All Papers'!$D:$D,"*"&amp;$A440&amp;"*",'All Papers'!$G:$G,"*"&amp;Table1[[#Headers],[Resource Management-PS]]&amp;"*")</f>
        <v>0</v>
      </c>
      <c r="I440" s="8">
        <f>COUNTIFS('All Papers'!$D:$D,"*"&amp;$A440&amp;"*",'All Papers'!$G:$G,"*"&amp;Table1[[#Headers],[SLA Management]]&amp;"*")</f>
        <v>0</v>
      </c>
      <c r="J440" s="8">
        <f>COUNTIFS('All Papers'!$D:$D,"*"&amp;$A440&amp;"*",'All Papers'!$G:$G,"*"&amp;Table1[[#Headers],[Big Data]]&amp;"*")</f>
        <v>0</v>
      </c>
      <c r="K440" s="8">
        <f>COUNTIFS('All Papers'!$D:$D,"*"&amp;$A440&amp;"*",'All Papers'!$G:$G,"*"&amp;Table1[[#Headers],[Energy Management]]&amp;"*")</f>
        <v>0</v>
      </c>
      <c r="L440" s="8">
        <f>COUNTIFS('All Papers'!$D:$D,"*"&amp;$A440&amp;"*",'All Papers'!$G:$G,"*"&amp;Table1[[#Headers],[Monitoring]]&amp;"*")</f>
        <v>0</v>
      </c>
      <c r="M440" s="8">
        <f>COUNTIFS('All Papers'!$D:$D,"*"&amp;$A440&amp;"*",'All Papers'!$G:$G,"*"&amp;Table1[[#Headers],[Pricing]]&amp;"*")</f>
        <v>0</v>
      </c>
    </row>
    <row r="441" spans="1:13" x14ac:dyDescent="0.25">
      <c r="A441" s="8" t="s">
        <v>2874</v>
      </c>
      <c r="B441" s="8">
        <f>COUNTIF('All Papers'!D:D,"*"&amp;Table1[[#This Row],[Name]]&amp;"*")</f>
        <v>1</v>
      </c>
      <c r="C441" s="8">
        <f>COUNTIFS('All Papers'!$D:$D,"*"&amp;$A441&amp;"*",'All Papers'!$G:$G,"*"&amp;Table1[[#Headers],[Composition]]&amp;"*")</f>
        <v>0</v>
      </c>
      <c r="D441" s="8">
        <f>COUNTIFS('All Papers'!$D:$D,"*"&amp;$A441&amp;"*",'All Papers'!$G:$G,"*"&amp;Table1[[#Headers],[Discovery]]&amp;"*")</f>
        <v>0</v>
      </c>
      <c r="E441" s="8">
        <f>COUNTIFS('All Papers'!$D:$D,"*"&amp;$A441&amp;"*",'All Papers'!$G:$G,"*"&amp;Table1[[#Headers],[Selection]]&amp;"*")</f>
        <v>0</v>
      </c>
      <c r="F441" s="8">
        <f>COUNTIFS('All Papers'!$D:$D,"*"&amp;$A441&amp;"*",'All Papers'!$G:$G,"*"&amp;Table1[[#Headers],[Recommendation]]&amp;"*")</f>
        <v>0</v>
      </c>
      <c r="G441" s="8">
        <f>COUNTIFS('All Papers'!$D:$D,"*"&amp;$A441&amp;"*",'All Papers'!$G:$G,"*"&amp;Table1[[#Headers],[Resource Management-CS]]&amp;"*")</f>
        <v>1</v>
      </c>
      <c r="H441" s="8">
        <f>COUNTIFS('All Papers'!$D:$D,"*"&amp;$A441&amp;"*",'All Papers'!$G:$G,"*"&amp;Table1[[#Headers],[Resource Management-PS]]&amp;"*")</f>
        <v>0</v>
      </c>
      <c r="I441" s="8">
        <f>COUNTIFS('All Papers'!$D:$D,"*"&amp;$A441&amp;"*",'All Papers'!$G:$G,"*"&amp;Table1[[#Headers],[SLA Management]]&amp;"*")</f>
        <v>0</v>
      </c>
      <c r="J441" s="8">
        <f>COUNTIFS('All Papers'!$D:$D,"*"&amp;$A441&amp;"*",'All Papers'!$G:$G,"*"&amp;Table1[[#Headers],[Big Data]]&amp;"*")</f>
        <v>1</v>
      </c>
      <c r="K441" s="8">
        <f>COUNTIFS('All Papers'!$D:$D,"*"&amp;$A441&amp;"*",'All Papers'!$G:$G,"*"&amp;Table1[[#Headers],[Energy Management]]&amp;"*")</f>
        <v>0</v>
      </c>
      <c r="L441" s="8">
        <f>COUNTIFS('All Papers'!$D:$D,"*"&amp;$A441&amp;"*",'All Papers'!$G:$G,"*"&amp;Table1[[#Headers],[Monitoring]]&amp;"*")</f>
        <v>0</v>
      </c>
      <c r="M441" s="8">
        <f>COUNTIFS('All Papers'!$D:$D,"*"&amp;$A441&amp;"*",'All Papers'!$G:$G,"*"&amp;Table1[[#Headers],[Pricing]]&amp;"*")</f>
        <v>0</v>
      </c>
    </row>
    <row r="442" spans="1:13" x14ac:dyDescent="0.25">
      <c r="A442" s="8" t="s">
        <v>2875</v>
      </c>
      <c r="B442" s="8">
        <f>COUNTIF('All Papers'!D:D,"*"&amp;Table1[[#This Row],[Name]]&amp;"*")</f>
        <v>1</v>
      </c>
      <c r="C442" s="8">
        <f>COUNTIFS('All Papers'!$D:$D,"*"&amp;$A442&amp;"*",'All Papers'!$G:$G,"*"&amp;Table1[[#Headers],[Composition]]&amp;"*")</f>
        <v>0</v>
      </c>
      <c r="D442" s="8">
        <f>COUNTIFS('All Papers'!$D:$D,"*"&amp;$A442&amp;"*",'All Papers'!$G:$G,"*"&amp;Table1[[#Headers],[Discovery]]&amp;"*")</f>
        <v>0</v>
      </c>
      <c r="E442" s="8">
        <f>COUNTIFS('All Papers'!$D:$D,"*"&amp;$A442&amp;"*",'All Papers'!$G:$G,"*"&amp;Table1[[#Headers],[Selection]]&amp;"*")</f>
        <v>0</v>
      </c>
      <c r="F442" s="8">
        <f>COUNTIFS('All Papers'!$D:$D,"*"&amp;$A442&amp;"*",'All Papers'!$G:$G,"*"&amp;Table1[[#Headers],[Recommendation]]&amp;"*")</f>
        <v>0</v>
      </c>
      <c r="G442" s="8">
        <f>COUNTIFS('All Papers'!$D:$D,"*"&amp;$A442&amp;"*",'All Papers'!$G:$G,"*"&amp;Table1[[#Headers],[Resource Management-CS]]&amp;"*")</f>
        <v>0</v>
      </c>
      <c r="H442" s="8">
        <f>COUNTIFS('All Papers'!$D:$D,"*"&amp;$A442&amp;"*",'All Papers'!$G:$G,"*"&amp;Table1[[#Headers],[Resource Management-PS]]&amp;"*")</f>
        <v>1</v>
      </c>
      <c r="I442" s="8">
        <f>COUNTIFS('All Papers'!$D:$D,"*"&amp;$A442&amp;"*",'All Papers'!$G:$G,"*"&amp;Table1[[#Headers],[SLA Management]]&amp;"*")</f>
        <v>0</v>
      </c>
      <c r="J442" s="8">
        <f>COUNTIFS('All Papers'!$D:$D,"*"&amp;$A442&amp;"*",'All Papers'!$G:$G,"*"&amp;Table1[[#Headers],[Big Data]]&amp;"*")</f>
        <v>0</v>
      </c>
      <c r="K442" s="8">
        <f>COUNTIFS('All Papers'!$D:$D,"*"&amp;$A442&amp;"*",'All Papers'!$G:$G,"*"&amp;Table1[[#Headers],[Energy Management]]&amp;"*")</f>
        <v>0</v>
      </c>
      <c r="L442" s="8">
        <f>COUNTIFS('All Papers'!$D:$D,"*"&amp;$A442&amp;"*",'All Papers'!$G:$G,"*"&amp;Table1[[#Headers],[Monitoring]]&amp;"*")</f>
        <v>0</v>
      </c>
      <c r="M442" s="8">
        <f>COUNTIFS('All Papers'!$D:$D,"*"&amp;$A442&amp;"*",'All Papers'!$G:$G,"*"&amp;Table1[[#Headers],[Pricing]]&amp;"*")</f>
        <v>1</v>
      </c>
    </row>
    <row r="443" spans="1:13" x14ac:dyDescent="0.25">
      <c r="A443" s="8" t="s">
        <v>2876</v>
      </c>
      <c r="B443" s="8">
        <f>COUNTIF('All Papers'!D:D,"*"&amp;Table1[[#This Row],[Name]]&amp;"*")</f>
        <v>1</v>
      </c>
      <c r="C443" s="8">
        <f>COUNTIFS('All Papers'!$D:$D,"*"&amp;$A443&amp;"*",'All Papers'!$G:$G,"*"&amp;Table1[[#Headers],[Composition]]&amp;"*")</f>
        <v>0</v>
      </c>
      <c r="D443" s="8">
        <f>COUNTIFS('All Papers'!$D:$D,"*"&amp;$A443&amp;"*",'All Papers'!$G:$G,"*"&amp;Table1[[#Headers],[Discovery]]&amp;"*")</f>
        <v>0</v>
      </c>
      <c r="E443" s="8">
        <f>COUNTIFS('All Papers'!$D:$D,"*"&amp;$A443&amp;"*",'All Papers'!$G:$G,"*"&amp;Table1[[#Headers],[Selection]]&amp;"*")</f>
        <v>0</v>
      </c>
      <c r="F443" s="8">
        <f>COUNTIFS('All Papers'!$D:$D,"*"&amp;$A443&amp;"*",'All Papers'!$G:$G,"*"&amp;Table1[[#Headers],[Recommendation]]&amp;"*")</f>
        <v>0</v>
      </c>
      <c r="G443" s="8">
        <f>COUNTIFS('All Papers'!$D:$D,"*"&amp;$A443&amp;"*",'All Papers'!$G:$G,"*"&amp;Table1[[#Headers],[Resource Management-CS]]&amp;"*")</f>
        <v>0</v>
      </c>
      <c r="H443" s="8">
        <f>COUNTIFS('All Papers'!$D:$D,"*"&amp;$A443&amp;"*",'All Papers'!$G:$G,"*"&amp;Table1[[#Headers],[Resource Management-PS]]&amp;"*")</f>
        <v>1</v>
      </c>
      <c r="I443" s="8">
        <f>COUNTIFS('All Papers'!$D:$D,"*"&amp;$A443&amp;"*",'All Papers'!$G:$G,"*"&amp;Table1[[#Headers],[SLA Management]]&amp;"*")</f>
        <v>0</v>
      </c>
      <c r="J443" s="8">
        <f>COUNTIFS('All Papers'!$D:$D,"*"&amp;$A443&amp;"*",'All Papers'!$G:$G,"*"&amp;Table1[[#Headers],[Big Data]]&amp;"*")</f>
        <v>0</v>
      </c>
      <c r="K443" s="8">
        <f>COUNTIFS('All Papers'!$D:$D,"*"&amp;$A443&amp;"*",'All Papers'!$G:$G,"*"&amp;Table1[[#Headers],[Energy Management]]&amp;"*")</f>
        <v>0</v>
      </c>
      <c r="L443" s="8">
        <f>COUNTIFS('All Papers'!$D:$D,"*"&amp;$A443&amp;"*",'All Papers'!$G:$G,"*"&amp;Table1[[#Headers],[Monitoring]]&amp;"*")</f>
        <v>0</v>
      </c>
      <c r="M443" s="8">
        <f>COUNTIFS('All Papers'!$D:$D,"*"&amp;$A443&amp;"*",'All Papers'!$G:$G,"*"&amp;Table1[[#Headers],[Pricing]]&amp;"*")</f>
        <v>1</v>
      </c>
    </row>
    <row r="444" spans="1:13" x14ac:dyDescent="0.25">
      <c r="A444" s="8" t="s">
        <v>2877</v>
      </c>
      <c r="B444" s="8">
        <f>COUNTIF('All Papers'!D:D,"*"&amp;Table1[[#This Row],[Name]]&amp;"*")</f>
        <v>1</v>
      </c>
      <c r="C444" s="8">
        <f>COUNTIFS('All Papers'!$D:$D,"*"&amp;$A444&amp;"*",'All Papers'!$G:$G,"*"&amp;Table1[[#Headers],[Composition]]&amp;"*")</f>
        <v>0</v>
      </c>
      <c r="D444" s="8">
        <f>COUNTIFS('All Papers'!$D:$D,"*"&amp;$A444&amp;"*",'All Papers'!$G:$G,"*"&amp;Table1[[#Headers],[Discovery]]&amp;"*")</f>
        <v>0</v>
      </c>
      <c r="E444" s="8">
        <f>COUNTIFS('All Papers'!$D:$D,"*"&amp;$A444&amp;"*",'All Papers'!$G:$G,"*"&amp;Table1[[#Headers],[Selection]]&amp;"*")</f>
        <v>0</v>
      </c>
      <c r="F444" s="8">
        <f>COUNTIFS('All Papers'!$D:$D,"*"&amp;$A444&amp;"*",'All Papers'!$G:$G,"*"&amp;Table1[[#Headers],[Recommendation]]&amp;"*")</f>
        <v>0</v>
      </c>
      <c r="G444" s="8">
        <f>COUNTIFS('All Papers'!$D:$D,"*"&amp;$A444&amp;"*",'All Papers'!$G:$G,"*"&amp;Table1[[#Headers],[Resource Management-CS]]&amp;"*")</f>
        <v>0</v>
      </c>
      <c r="H444" s="8">
        <f>COUNTIFS('All Papers'!$D:$D,"*"&amp;$A444&amp;"*",'All Papers'!$G:$G,"*"&amp;Table1[[#Headers],[Resource Management-PS]]&amp;"*")</f>
        <v>0</v>
      </c>
      <c r="I444" s="8">
        <f>COUNTIFS('All Papers'!$D:$D,"*"&amp;$A444&amp;"*",'All Papers'!$G:$G,"*"&amp;Table1[[#Headers],[SLA Management]]&amp;"*")</f>
        <v>0</v>
      </c>
      <c r="J444" s="8">
        <f>COUNTIFS('All Papers'!$D:$D,"*"&amp;$A444&amp;"*",'All Papers'!$G:$G,"*"&amp;Table1[[#Headers],[Big Data]]&amp;"*")</f>
        <v>0</v>
      </c>
      <c r="K444" s="8">
        <f>COUNTIFS('All Papers'!$D:$D,"*"&amp;$A444&amp;"*",'All Papers'!$G:$G,"*"&amp;Table1[[#Headers],[Energy Management]]&amp;"*")</f>
        <v>0</v>
      </c>
      <c r="L444" s="8">
        <f>COUNTIFS('All Papers'!$D:$D,"*"&amp;$A444&amp;"*",'All Papers'!$G:$G,"*"&amp;Table1[[#Headers],[Monitoring]]&amp;"*")</f>
        <v>0</v>
      </c>
      <c r="M444" s="8">
        <f>COUNTIFS('All Papers'!$D:$D,"*"&amp;$A444&amp;"*",'All Papers'!$G:$G,"*"&amp;Table1[[#Headers],[Pricing]]&amp;"*")</f>
        <v>1</v>
      </c>
    </row>
    <row r="445" spans="1:13" x14ac:dyDescent="0.25">
      <c r="A445" s="8" t="s">
        <v>2878</v>
      </c>
      <c r="B445" s="8">
        <f>COUNTIF('All Papers'!D:D,"*"&amp;Table1[[#This Row],[Name]]&amp;"*")</f>
        <v>1</v>
      </c>
      <c r="C445" s="8">
        <f>COUNTIFS('All Papers'!$D:$D,"*"&amp;$A445&amp;"*",'All Papers'!$G:$G,"*"&amp;Table1[[#Headers],[Composition]]&amp;"*")</f>
        <v>0</v>
      </c>
      <c r="D445" s="8">
        <f>COUNTIFS('All Papers'!$D:$D,"*"&amp;$A445&amp;"*",'All Papers'!$G:$G,"*"&amp;Table1[[#Headers],[Discovery]]&amp;"*")</f>
        <v>0</v>
      </c>
      <c r="E445" s="8">
        <f>COUNTIFS('All Papers'!$D:$D,"*"&amp;$A445&amp;"*",'All Papers'!$G:$G,"*"&amp;Table1[[#Headers],[Selection]]&amp;"*")</f>
        <v>0</v>
      </c>
      <c r="F445" s="8">
        <f>COUNTIFS('All Papers'!$D:$D,"*"&amp;$A445&amp;"*",'All Papers'!$G:$G,"*"&amp;Table1[[#Headers],[Recommendation]]&amp;"*")</f>
        <v>0</v>
      </c>
      <c r="G445" s="8">
        <f>COUNTIFS('All Papers'!$D:$D,"*"&amp;$A445&amp;"*",'All Papers'!$G:$G,"*"&amp;Table1[[#Headers],[Resource Management-CS]]&amp;"*")</f>
        <v>0</v>
      </c>
      <c r="H445" s="8">
        <f>COUNTIFS('All Papers'!$D:$D,"*"&amp;$A445&amp;"*",'All Papers'!$G:$G,"*"&amp;Table1[[#Headers],[Resource Management-PS]]&amp;"*")</f>
        <v>0</v>
      </c>
      <c r="I445" s="8">
        <f>COUNTIFS('All Papers'!$D:$D,"*"&amp;$A445&amp;"*",'All Papers'!$G:$G,"*"&amp;Table1[[#Headers],[SLA Management]]&amp;"*")</f>
        <v>0</v>
      </c>
      <c r="J445" s="8">
        <f>COUNTIFS('All Papers'!$D:$D,"*"&amp;$A445&amp;"*",'All Papers'!$G:$G,"*"&amp;Table1[[#Headers],[Big Data]]&amp;"*")</f>
        <v>0</v>
      </c>
      <c r="K445" s="8">
        <f>COUNTIFS('All Papers'!$D:$D,"*"&amp;$A445&amp;"*",'All Papers'!$G:$G,"*"&amp;Table1[[#Headers],[Energy Management]]&amp;"*")</f>
        <v>0</v>
      </c>
      <c r="L445" s="8">
        <f>COUNTIFS('All Papers'!$D:$D,"*"&amp;$A445&amp;"*",'All Papers'!$G:$G,"*"&amp;Table1[[#Headers],[Monitoring]]&amp;"*")</f>
        <v>0</v>
      </c>
      <c r="M445" s="8">
        <f>COUNTIFS('All Papers'!$D:$D,"*"&amp;$A445&amp;"*",'All Papers'!$G:$G,"*"&amp;Table1[[#Headers],[Pricing]]&amp;"*")</f>
        <v>1</v>
      </c>
    </row>
    <row r="446" spans="1:13" x14ac:dyDescent="0.25">
      <c r="A446" s="8" t="s">
        <v>2879</v>
      </c>
      <c r="B446" s="8">
        <f>COUNTIF('All Papers'!D:D,"*"&amp;Table1[[#This Row],[Name]]&amp;"*")</f>
        <v>1</v>
      </c>
      <c r="C446" s="8">
        <f>COUNTIFS('All Papers'!$D:$D,"*"&amp;$A446&amp;"*",'All Papers'!$G:$G,"*"&amp;Table1[[#Headers],[Composition]]&amp;"*")</f>
        <v>0</v>
      </c>
      <c r="D446" s="8">
        <f>COUNTIFS('All Papers'!$D:$D,"*"&amp;$A446&amp;"*",'All Papers'!$G:$G,"*"&amp;Table1[[#Headers],[Discovery]]&amp;"*")</f>
        <v>0</v>
      </c>
      <c r="E446" s="8">
        <f>COUNTIFS('All Papers'!$D:$D,"*"&amp;$A446&amp;"*",'All Papers'!$G:$G,"*"&amp;Table1[[#Headers],[Selection]]&amp;"*")</f>
        <v>0</v>
      </c>
      <c r="F446" s="8">
        <f>COUNTIFS('All Papers'!$D:$D,"*"&amp;$A446&amp;"*",'All Papers'!$G:$G,"*"&amp;Table1[[#Headers],[Recommendation]]&amp;"*")</f>
        <v>0</v>
      </c>
      <c r="G446" s="8">
        <f>COUNTIFS('All Papers'!$D:$D,"*"&amp;$A446&amp;"*",'All Papers'!$G:$G,"*"&amp;Table1[[#Headers],[Resource Management-CS]]&amp;"*")</f>
        <v>1</v>
      </c>
      <c r="H446" s="8">
        <f>COUNTIFS('All Papers'!$D:$D,"*"&amp;$A446&amp;"*",'All Papers'!$G:$G,"*"&amp;Table1[[#Headers],[Resource Management-PS]]&amp;"*")</f>
        <v>0</v>
      </c>
      <c r="I446" s="8">
        <f>COUNTIFS('All Papers'!$D:$D,"*"&amp;$A446&amp;"*",'All Papers'!$G:$G,"*"&amp;Table1[[#Headers],[SLA Management]]&amp;"*")</f>
        <v>0</v>
      </c>
      <c r="J446" s="8">
        <f>COUNTIFS('All Papers'!$D:$D,"*"&amp;$A446&amp;"*",'All Papers'!$G:$G,"*"&amp;Table1[[#Headers],[Big Data]]&amp;"*")</f>
        <v>0</v>
      </c>
      <c r="K446" s="8">
        <f>COUNTIFS('All Papers'!$D:$D,"*"&amp;$A446&amp;"*",'All Papers'!$G:$G,"*"&amp;Table1[[#Headers],[Energy Management]]&amp;"*")</f>
        <v>0</v>
      </c>
      <c r="L446" s="8">
        <f>COUNTIFS('All Papers'!$D:$D,"*"&amp;$A446&amp;"*",'All Papers'!$G:$G,"*"&amp;Table1[[#Headers],[Monitoring]]&amp;"*")</f>
        <v>0</v>
      </c>
      <c r="M446" s="8">
        <f>COUNTIFS('All Papers'!$D:$D,"*"&amp;$A446&amp;"*",'All Papers'!$G:$G,"*"&amp;Table1[[#Headers],[Pricing]]&amp;"*")</f>
        <v>0</v>
      </c>
    </row>
    <row r="447" spans="1:13" x14ac:dyDescent="0.25">
      <c r="A447" s="8" t="s">
        <v>2880</v>
      </c>
      <c r="B447" s="8">
        <f>COUNTIF('All Papers'!D:D,"*"&amp;Table1[[#This Row],[Name]]&amp;"*")</f>
        <v>1</v>
      </c>
      <c r="C447" s="8">
        <f>COUNTIFS('All Papers'!$D:$D,"*"&amp;$A447&amp;"*",'All Papers'!$G:$G,"*"&amp;Table1[[#Headers],[Composition]]&amp;"*")</f>
        <v>0</v>
      </c>
      <c r="D447" s="8">
        <f>COUNTIFS('All Papers'!$D:$D,"*"&amp;$A447&amp;"*",'All Papers'!$G:$G,"*"&amp;Table1[[#Headers],[Discovery]]&amp;"*")</f>
        <v>0</v>
      </c>
      <c r="E447" s="8">
        <f>COUNTIFS('All Papers'!$D:$D,"*"&amp;$A447&amp;"*",'All Papers'!$G:$G,"*"&amp;Table1[[#Headers],[Selection]]&amp;"*")</f>
        <v>0</v>
      </c>
      <c r="F447" s="8">
        <f>COUNTIFS('All Papers'!$D:$D,"*"&amp;$A447&amp;"*",'All Papers'!$G:$G,"*"&amp;Table1[[#Headers],[Recommendation]]&amp;"*")</f>
        <v>0</v>
      </c>
      <c r="G447" s="8">
        <f>COUNTIFS('All Papers'!$D:$D,"*"&amp;$A447&amp;"*",'All Papers'!$G:$G,"*"&amp;Table1[[#Headers],[Resource Management-CS]]&amp;"*")</f>
        <v>1</v>
      </c>
      <c r="H447" s="8">
        <f>COUNTIFS('All Papers'!$D:$D,"*"&amp;$A447&amp;"*",'All Papers'!$G:$G,"*"&amp;Table1[[#Headers],[Resource Management-PS]]&amp;"*")</f>
        <v>0</v>
      </c>
      <c r="I447" s="8">
        <f>COUNTIFS('All Papers'!$D:$D,"*"&amp;$A447&amp;"*",'All Papers'!$G:$G,"*"&amp;Table1[[#Headers],[SLA Management]]&amp;"*")</f>
        <v>0</v>
      </c>
      <c r="J447" s="8">
        <f>COUNTIFS('All Papers'!$D:$D,"*"&amp;$A447&amp;"*",'All Papers'!$G:$G,"*"&amp;Table1[[#Headers],[Big Data]]&amp;"*")</f>
        <v>0</v>
      </c>
      <c r="K447" s="8">
        <f>COUNTIFS('All Papers'!$D:$D,"*"&amp;$A447&amp;"*",'All Papers'!$G:$G,"*"&amp;Table1[[#Headers],[Energy Management]]&amp;"*")</f>
        <v>0</v>
      </c>
      <c r="L447" s="8">
        <f>COUNTIFS('All Papers'!$D:$D,"*"&amp;$A447&amp;"*",'All Papers'!$G:$G,"*"&amp;Table1[[#Headers],[Monitoring]]&amp;"*")</f>
        <v>0</v>
      </c>
      <c r="M447" s="8">
        <f>COUNTIFS('All Papers'!$D:$D,"*"&amp;$A447&amp;"*",'All Papers'!$G:$G,"*"&amp;Table1[[#Headers],[Pricing]]&amp;"*")</f>
        <v>0</v>
      </c>
    </row>
    <row r="448" spans="1:13" x14ac:dyDescent="0.25">
      <c r="A448" s="8" t="s">
        <v>2881</v>
      </c>
      <c r="B448" s="8">
        <f>COUNTIF('All Papers'!D:D,"*"&amp;Table1[[#This Row],[Name]]&amp;"*")</f>
        <v>1</v>
      </c>
      <c r="C448" s="8">
        <f>COUNTIFS('All Papers'!$D:$D,"*"&amp;$A448&amp;"*",'All Papers'!$G:$G,"*"&amp;Table1[[#Headers],[Composition]]&amp;"*")</f>
        <v>0</v>
      </c>
      <c r="D448" s="8">
        <f>COUNTIFS('All Papers'!$D:$D,"*"&amp;$A448&amp;"*",'All Papers'!$G:$G,"*"&amp;Table1[[#Headers],[Discovery]]&amp;"*")</f>
        <v>0</v>
      </c>
      <c r="E448" s="8">
        <f>COUNTIFS('All Papers'!$D:$D,"*"&amp;$A448&amp;"*",'All Papers'!$G:$G,"*"&amp;Table1[[#Headers],[Selection]]&amp;"*")</f>
        <v>0</v>
      </c>
      <c r="F448" s="8">
        <f>COUNTIFS('All Papers'!$D:$D,"*"&amp;$A448&amp;"*",'All Papers'!$G:$G,"*"&amp;Table1[[#Headers],[Recommendation]]&amp;"*")</f>
        <v>0</v>
      </c>
      <c r="G448" s="8">
        <f>COUNTIFS('All Papers'!$D:$D,"*"&amp;$A448&amp;"*",'All Papers'!$G:$G,"*"&amp;Table1[[#Headers],[Resource Management-CS]]&amp;"*")</f>
        <v>1</v>
      </c>
      <c r="H448" s="8">
        <f>COUNTIFS('All Papers'!$D:$D,"*"&amp;$A448&amp;"*",'All Papers'!$G:$G,"*"&amp;Table1[[#Headers],[Resource Management-PS]]&amp;"*")</f>
        <v>0</v>
      </c>
      <c r="I448" s="8">
        <f>COUNTIFS('All Papers'!$D:$D,"*"&amp;$A448&amp;"*",'All Papers'!$G:$G,"*"&amp;Table1[[#Headers],[SLA Management]]&amp;"*")</f>
        <v>0</v>
      </c>
      <c r="J448" s="8">
        <f>COUNTIFS('All Papers'!$D:$D,"*"&amp;$A448&amp;"*",'All Papers'!$G:$G,"*"&amp;Table1[[#Headers],[Big Data]]&amp;"*")</f>
        <v>0</v>
      </c>
      <c r="K448" s="8">
        <f>COUNTIFS('All Papers'!$D:$D,"*"&amp;$A448&amp;"*",'All Papers'!$G:$G,"*"&amp;Table1[[#Headers],[Energy Management]]&amp;"*")</f>
        <v>0</v>
      </c>
      <c r="L448" s="8">
        <f>COUNTIFS('All Papers'!$D:$D,"*"&amp;$A448&amp;"*",'All Papers'!$G:$G,"*"&amp;Table1[[#Headers],[Monitoring]]&amp;"*")</f>
        <v>0</v>
      </c>
      <c r="M448" s="8">
        <f>COUNTIFS('All Papers'!$D:$D,"*"&amp;$A448&amp;"*",'All Papers'!$G:$G,"*"&amp;Table1[[#Headers],[Pricing]]&amp;"*")</f>
        <v>0</v>
      </c>
    </row>
    <row r="449" spans="1:13" x14ac:dyDescent="0.25">
      <c r="A449" s="8" t="s">
        <v>2882</v>
      </c>
      <c r="B449" s="8">
        <f>COUNTIF('All Papers'!D:D,"*"&amp;Table1[[#This Row],[Name]]&amp;"*")</f>
        <v>1</v>
      </c>
      <c r="C449" s="8">
        <f>COUNTIFS('All Papers'!$D:$D,"*"&amp;$A449&amp;"*",'All Papers'!$G:$G,"*"&amp;Table1[[#Headers],[Composition]]&amp;"*")</f>
        <v>0</v>
      </c>
      <c r="D449" s="8">
        <f>COUNTIFS('All Papers'!$D:$D,"*"&amp;$A449&amp;"*",'All Papers'!$G:$G,"*"&amp;Table1[[#Headers],[Discovery]]&amp;"*")</f>
        <v>0</v>
      </c>
      <c r="E449" s="8">
        <f>COUNTIFS('All Papers'!$D:$D,"*"&amp;$A449&amp;"*",'All Papers'!$G:$G,"*"&amp;Table1[[#Headers],[Selection]]&amp;"*")</f>
        <v>0</v>
      </c>
      <c r="F449" s="8">
        <f>COUNTIFS('All Papers'!$D:$D,"*"&amp;$A449&amp;"*",'All Papers'!$G:$G,"*"&amp;Table1[[#Headers],[Recommendation]]&amp;"*")</f>
        <v>0</v>
      </c>
      <c r="G449" s="8">
        <f>COUNTIFS('All Papers'!$D:$D,"*"&amp;$A449&amp;"*",'All Papers'!$G:$G,"*"&amp;Table1[[#Headers],[Resource Management-CS]]&amp;"*")</f>
        <v>1</v>
      </c>
      <c r="H449" s="8">
        <f>COUNTIFS('All Papers'!$D:$D,"*"&amp;$A449&amp;"*",'All Papers'!$G:$G,"*"&amp;Table1[[#Headers],[Resource Management-PS]]&amp;"*")</f>
        <v>0</v>
      </c>
      <c r="I449" s="8">
        <f>COUNTIFS('All Papers'!$D:$D,"*"&amp;$A449&amp;"*",'All Papers'!$G:$G,"*"&amp;Table1[[#Headers],[SLA Management]]&amp;"*")</f>
        <v>0</v>
      </c>
      <c r="J449" s="8">
        <f>COUNTIFS('All Papers'!$D:$D,"*"&amp;$A449&amp;"*",'All Papers'!$G:$G,"*"&amp;Table1[[#Headers],[Big Data]]&amp;"*")</f>
        <v>0</v>
      </c>
      <c r="K449" s="8">
        <f>COUNTIFS('All Papers'!$D:$D,"*"&amp;$A449&amp;"*",'All Papers'!$G:$G,"*"&amp;Table1[[#Headers],[Energy Management]]&amp;"*")</f>
        <v>0</v>
      </c>
      <c r="L449" s="8">
        <f>COUNTIFS('All Papers'!$D:$D,"*"&amp;$A449&amp;"*",'All Papers'!$G:$G,"*"&amp;Table1[[#Headers],[Monitoring]]&amp;"*")</f>
        <v>0</v>
      </c>
      <c r="M449" s="8">
        <f>COUNTIFS('All Papers'!$D:$D,"*"&amp;$A449&amp;"*",'All Papers'!$G:$G,"*"&amp;Table1[[#Headers],[Pricing]]&amp;"*")</f>
        <v>0</v>
      </c>
    </row>
    <row r="450" spans="1:13" x14ac:dyDescent="0.25">
      <c r="A450" s="8" t="s">
        <v>2883</v>
      </c>
      <c r="B450" s="8">
        <f>COUNTIF('All Papers'!D:D,"*"&amp;Table1[[#This Row],[Name]]&amp;"*")</f>
        <v>1</v>
      </c>
      <c r="C450" s="8">
        <f>COUNTIFS('All Papers'!$D:$D,"*"&amp;$A450&amp;"*",'All Papers'!$G:$G,"*"&amp;Table1[[#Headers],[Composition]]&amp;"*")</f>
        <v>0</v>
      </c>
      <c r="D450" s="8">
        <f>COUNTIFS('All Papers'!$D:$D,"*"&amp;$A450&amp;"*",'All Papers'!$G:$G,"*"&amp;Table1[[#Headers],[Discovery]]&amp;"*")</f>
        <v>0</v>
      </c>
      <c r="E450" s="8">
        <f>COUNTIFS('All Papers'!$D:$D,"*"&amp;$A450&amp;"*",'All Papers'!$G:$G,"*"&amp;Table1[[#Headers],[Selection]]&amp;"*")</f>
        <v>0</v>
      </c>
      <c r="F450" s="8">
        <f>COUNTIFS('All Papers'!$D:$D,"*"&amp;$A450&amp;"*",'All Papers'!$G:$G,"*"&amp;Table1[[#Headers],[Recommendation]]&amp;"*")</f>
        <v>0</v>
      </c>
      <c r="G450" s="8">
        <f>COUNTIFS('All Papers'!$D:$D,"*"&amp;$A450&amp;"*",'All Papers'!$G:$G,"*"&amp;Table1[[#Headers],[Resource Management-CS]]&amp;"*")</f>
        <v>1</v>
      </c>
      <c r="H450" s="8">
        <f>COUNTIFS('All Papers'!$D:$D,"*"&amp;$A450&amp;"*",'All Papers'!$G:$G,"*"&amp;Table1[[#Headers],[Resource Management-PS]]&amp;"*")</f>
        <v>0</v>
      </c>
      <c r="I450" s="8">
        <f>COUNTIFS('All Papers'!$D:$D,"*"&amp;$A450&amp;"*",'All Papers'!$G:$G,"*"&amp;Table1[[#Headers],[SLA Management]]&amp;"*")</f>
        <v>0</v>
      </c>
      <c r="J450" s="8">
        <f>COUNTIFS('All Papers'!$D:$D,"*"&amp;$A450&amp;"*",'All Papers'!$G:$G,"*"&amp;Table1[[#Headers],[Big Data]]&amp;"*")</f>
        <v>0</v>
      </c>
      <c r="K450" s="8">
        <f>COUNTIFS('All Papers'!$D:$D,"*"&amp;$A450&amp;"*",'All Papers'!$G:$G,"*"&amp;Table1[[#Headers],[Energy Management]]&amp;"*")</f>
        <v>0</v>
      </c>
      <c r="L450" s="8">
        <f>COUNTIFS('All Papers'!$D:$D,"*"&amp;$A450&amp;"*",'All Papers'!$G:$G,"*"&amp;Table1[[#Headers],[Monitoring]]&amp;"*")</f>
        <v>0</v>
      </c>
      <c r="M450" s="8">
        <f>COUNTIFS('All Papers'!$D:$D,"*"&amp;$A450&amp;"*",'All Papers'!$G:$G,"*"&amp;Table1[[#Headers],[Pricing]]&amp;"*")</f>
        <v>1</v>
      </c>
    </row>
    <row r="451" spans="1:13" x14ac:dyDescent="0.25">
      <c r="A451" s="8" t="s">
        <v>2884</v>
      </c>
      <c r="B451" s="8">
        <f>COUNTIF('All Papers'!D:D,"*"&amp;Table1[[#This Row],[Name]]&amp;"*")</f>
        <v>1</v>
      </c>
      <c r="C451" s="8">
        <f>COUNTIFS('All Papers'!$D:$D,"*"&amp;$A451&amp;"*",'All Papers'!$G:$G,"*"&amp;Table1[[#Headers],[Composition]]&amp;"*")</f>
        <v>0</v>
      </c>
      <c r="D451" s="8">
        <f>COUNTIFS('All Papers'!$D:$D,"*"&amp;$A451&amp;"*",'All Papers'!$G:$G,"*"&amp;Table1[[#Headers],[Discovery]]&amp;"*")</f>
        <v>0</v>
      </c>
      <c r="E451" s="8">
        <f>COUNTIFS('All Papers'!$D:$D,"*"&amp;$A451&amp;"*",'All Papers'!$G:$G,"*"&amp;Table1[[#Headers],[Selection]]&amp;"*")</f>
        <v>0</v>
      </c>
      <c r="F451" s="8">
        <f>COUNTIFS('All Papers'!$D:$D,"*"&amp;$A451&amp;"*",'All Papers'!$G:$G,"*"&amp;Table1[[#Headers],[Recommendation]]&amp;"*")</f>
        <v>0</v>
      </c>
      <c r="G451" s="8">
        <f>COUNTIFS('All Papers'!$D:$D,"*"&amp;$A451&amp;"*",'All Papers'!$G:$G,"*"&amp;Table1[[#Headers],[Resource Management-CS]]&amp;"*")</f>
        <v>1</v>
      </c>
      <c r="H451" s="8">
        <f>COUNTIFS('All Papers'!$D:$D,"*"&amp;$A451&amp;"*",'All Papers'!$G:$G,"*"&amp;Table1[[#Headers],[Resource Management-PS]]&amp;"*")</f>
        <v>0</v>
      </c>
      <c r="I451" s="8">
        <f>COUNTIFS('All Papers'!$D:$D,"*"&amp;$A451&amp;"*",'All Papers'!$G:$G,"*"&amp;Table1[[#Headers],[SLA Management]]&amp;"*")</f>
        <v>0</v>
      </c>
      <c r="J451" s="8">
        <f>COUNTIFS('All Papers'!$D:$D,"*"&amp;$A451&amp;"*",'All Papers'!$G:$G,"*"&amp;Table1[[#Headers],[Big Data]]&amp;"*")</f>
        <v>0</v>
      </c>
      <c r="K451" s="8">
        <f>COUNTIFS('All Papers'!$D:$D,"*"&amp;$A451&amp;"*",'All Papers'!$G:$G,"*"&amp;Table1[[#Headers],[Energy Management]]&amp;"*")</f>
        <v>0</v>
      </c>
      <c r="L451" s="8">
        <f>COUNTIFS('All Papers'!$D:$D,"*"&amp;$A451&amp;"*",'All Papers'!$G:$G,"*"&amp;Table1[[#Headers],[Monitoring]]&amp;"*")</f>
        <v>0</v>
      </c>
      <c r="M451" s="8">
        <f>COUNTIFS('All Papers'!$D:$D,"*"&amp;$A451&amp;"*",'All Papers'!$G:$G,"*"&amp;Table1[[#Headers],[Pricing]]&amp;"*")</f>
        <v>1</v>
      </c>
    </row>
    <row r="452" spans="1:13" x14ac:dyDescent="0.25">
      <c r="A452" s="8" t="s">
        <v>2885</v>
      </c>
      <c r="B452" s="8">
        <f>COUNTIF('All Papers'!D:D,"*"&amp;Table1[[#This Row],[Name]]&amp;"*")</f>
        <v>1</v>
      </c>
      <c r="C452" s="8">
        <f>COUNTIFS('All Papers'!$D:$D,"*"&amp;$A452&amp;"*",'All Papers'!$G:$G,"*"&amp;Table1[[#Headers],[Composition]]&amp;"*")</f>
        <v>0</v>
      </c>
      <c r="D452" s="8">
        <f>COUNTIFS('All Papers'!$D:$D,"*"&amp;$A452&amp;"*",'All Papers'!$G:$G,"*"&amp;Table1[[#Headers],[Discovery]]&amp;"*")</f>
        <v>0</v>
      </c>
      <c r="E452" s="8">
        <f>COUNTIFS('All Papers'!$D:$D,"*"&amp;$A452&amp;"*",'All Papers'!$G:$G,"*"&amp;Table1[[#Headers],[Selection]]&amp;"*")</f>
        <v>0</v>
      </c>
      <c r="F452" s="8">
        <f>COUNTIFS('All Papers'!$D:$D,"*"&amp;$A452&amp;"*",'All Papers'!$G:$G,"*"&amp;Table1[[#Headers],[Recommendation]]&amp;"*")</f>
        <v>0</v>
      </c>
      <c r="G452" s="8">
        <f>COUNTIFS('All Papers'!$D:$D,"*"&amp;$A452&amp;"*",'All Papers'!$G:$G,"*"&amp;Table1[[#Headers],[Resource Management-CS]]&amp;"*")</f>
        <v>1</v>
      </c>
      <c r="H452" s="8">
        <f>COUNTIFS('All Papers'!$D:$D,"*"&amp;$A452&amp;"*",'All Papers'!$G:$G,"*"&amp;Table1[[#Headers],[Resource Management-PS]]&amp;"*")</f>
        <v>0</v>
      </c>
      <c r="I452" s="8">
        <f>COUNTIFS('All Papers'!$D:$D,"*"&amp;$A452&amp;"*",'All Papers'!$G:$G,"*"&amp;Table1[[#Headers],[SLA Management]]&amp;"*")</f>
        <v>0</v>
      </c>
      <c r="J452" s="8">
        <f>COUNTIFS('All Papers'!$D:$D,"*"&amp;$A452&amp;"*",'All Papers'!$G:$G,"*"&amp;Table1[[#Headers],[Big Data]]&amp;"*")</f>
        <v>0</v>
      </c>
      <c r="K452" s="8">
        <f>COUNTIFS('All Papers'!$D:$D,"*"&amp;$A452&amp;"*",'All Papers'!$G:$G,"*"&amp;Table1[[#Headers],[Energy Management]]&amp;"*")</f>
        <v>0</v>
      </c>
      <c r="L452" s="8">
        <f>COUNTIFS('All Papers'!$D:$D,"*"&amp;$A452&amp;"*",'All Papers'!$G:$G,"*"&amp;Table1[[#Headers],[Monitoring]]&amp;"*")</f>
        <v>0</v>
      </c>
      <c r="M452" s="8">
        <f>COUNTIFS('All Papers'!$D:$D,"*"&amp;$A452&amp;"*",'All Papers'!$G:$G,"*"&amp;Table1[[#Headers],[Pricing]]&amp;"*")</f>
        <v>1</v>
      </c>
    </row>
    <row r="453" spans="1:13" x14ac:dyDescent="0.25">
      <c r="A453" s="8" t="s">
        <v>2886</v>
      </c>
      <c r="B453" s="8">
        <f>COUNTIF('All Papers'!D:D,"*"&amp;Table1[[#This Row],[Name]]&amp;"*")</f>
        <v>1</v>
      </c>
      <c r="C453" s="8">
        <f>COUNTIFS('All Papers'!$D:$D,"*"&amp;$A453&amp;"*",'All Papers'!$G:$G,"*"&amp;Table1[[#Headers],[Composition]]&amp;"*")</f>
        <v>0</v>
      </c>
      <c r="D453" s="8">
        <f>COUNTIFS('All Papers'!$D:$D,"*"&amp;$A453&amp;"*",'All Papers'!$G:$G,"*"&amp;Table1[[#Headers],[Discovery]]&amp;"*")</f>
        <v>0</v>
      </c>
      <c r="E453" s="8">
        <f>COUNTIFS('All Papers'!$D:$D,"*"&amp;$A453&amp;"*",'All Papers'!$G:$G,"*"&amp;Table1[[#Headers],[Selection]]&amp;"*")</f>
        <v>0</v>
      </c>
      <c r="F453" s="8">
        <f>COUNTIFS('All Papers'!$D:$D,"*"&amp;$A453&amp;"*",'All Papers'!$G:$G,"*"&amp;Table1[[#Headers],[Recommendation]]&amp;"*")</f>
        <v>0</v>
      </c>
      <c r="G453" s="8">
        <f>COUNTIFS('All Papers'!$D:$D,"*"&amp;$A453&amp;"*",'All Papers'!$G:$G,"*"&amp;Table1[[#Headers],[Resource Management-CS]]&amp;"*")</f>
        <v>1</v>
      </c>
      <c r="H453" s="8">
        <f>COUNTIFS('All Papers'!$D:$D,"*"&amp;$A453&amp;"*",'All Papers'!$G:$G,"*"&amp;Table1[[#Headers],[Resource Management-PS]]&amp;"*")</f>
        <v>0</v>
      </c>
      <c r="I453" s="8">
        <f>COUNTIFS('All Papers'!$D:$D,"*"&amp;$A453&amp;"*",'All Papers'!$G:$G,"*"&amp;Table1[[#Headers],[SLA Management]]&amp;"*")</f>
        <v>0</v>
      </c>
      <c r="J453" s="8">
        <f>COUNTIFS('All Papers'!$D:$D,"*"&amp;$A453&amp;"*",'All Papers'!$G:$G,"*"&amp;Table1[[#Headers],[Big Data]]&amp;"*")</f>
        <v>0</v>
      </c>
      <c r="K453" s="8">
        <f>COUNTIFS('All Papers'!$D:$D,"*"&amp;$A453&amp;"*",'All Papers'!$G:$G,"*"&amp;Table1[[#Headers],[Energy Management]]&amp;"*")</f>
        <v>0</v>
      </c>
      <c r="L453" s="8">
        <f>COUNTIFS('All Papers'!$D:$D,"*"&amp;$A453&amp;"*",'All Papers'!$G:$G,"*"&amp;Table1[[#Headers],[Monitoring]]&amp;"*")</f>
        <v>0</v>
      </c>
      <c r="M453" s="8">
        <f>COUNTIFS('All Papers'!$D:$D,"*"&amp;$A453&amp;"*",'All Papers'!$G:$G,"*"&amp;Table1[[#Headers],[Pricing]]&amp;"*")</f>
        <v>1</v>
      </c>
    </row>
    <row r="454" spans="1:13" x14ac:dyDescent="0.25">
      <c r="A454" s="8" t="s">
        <v>2887</v>
      </c>
      <c r="B454" s="8">
        <f>COUNTIF('All Papers'!D:D,"*"&amp;Table1[[#This Row],[Name]]&amp;"*")</f>
        <v>1</v>
      </c>
      <c r="C454" s="8">
        <f>COUNTIFS('All Papers'!$D:$D,"*"&amp;$A454&amp;"*",'All Papers'!$G:$G,"*"&amp;Table1[[#Headers],[Composition]]&amp;"*")</f>
        <v>0</v>
      </c>
      <c r="D454" s="8">
        <f>COUNTIFS('All Papers'!$D:$D,"*"&amp;$A454&amp;"*",'All Papers'!$G:$G,"*"&amp;Table1[[#Headers],[Discovery]]&amp;"*")</f>
        <v>0</v>
      </c>
      <c r="E454" s="8">
        <f>COUNTIFS('All Papers'!$D:$D,"*"&amp;$A454&amp;"*",'All Papers'!$G:$G,"*"&amp;Table1[[#Headers],[Selection]]&amp;"*")</f>
        <v>0</v>
      </c>
      <c r="F454" s="8">
        <f>COUNTIFS('All Papers'!$D:$D,"*"&amp;$A454&amp;"*",'All Papers'!$G:$G,"*"&amp;Table1[[#Headers],[Recommendation]]&amp;"*")</f>
        <v>0</v>
      </c>
      <c r="G454" s="8">
        <f>COUNTIFS('All Papers'!$D:$D,"*"&amp;$A454&amp;"*",'All Papers'!$G:$G,"*"&amp;Table1[[#Headers],[Resource Management-CS]]&amp;"*")</f>
        <v>0</v>
      </c>
      <c r="H454" s="8">
        <f>COUNTIFS('All Papers'!$D:$D,"*"&amp;$A454&amp;"*",'All Papers'!$G:$G,"*"&amp;Table1[[#Headers],[Resource Management-PS]]&amp;"*")</f>
        <v>1</v>
      </c>
      <c r="I454" s="8">
        <f>COUNTIFS('All Papers'!$D:$D,"*"&amp;$A454&amp;"*",'All Papers'!$G:$G,"*"&amp;Table1[[#Headers],[SLA Management]]&amp;"*")</f>
        <v>0</v>
      </c>
      <c r="J454" s="8">
        <f>COUNTIFS('All Papers'!$D:$D,"*"&amp;$A454&amp;"*",'All Papers'!$G:$G,"*"&amp;Table1[[#Headers],[Big Data]]&amp;"*")</f>
        <v>0</v>
      </c>
      <c r="K454" s="8">
        <f>COUNTIFS('All Papers'!$D:$D,"*"&amp;$A454&amp;"*",'All Papers'!$G:$G,"*"&amp;Table1[[#Headers],[Energy Management]]&amp;"*")</f>
        <v>0</v>
      </c>
      <c r="L454" s="8">
        <f>COUNTIFS('All Papers'!$D:$D,"*"&amp;$A454&amp;"*",'All Papers'!$G:$G,"*"&amp;Table1[[#Headers],[Monitoring]]&amp;"*")</f>
        <v>0</v>
      </c>
      <c r="M454" s="8">
        <f>COUNTIFS('All Papers'!$D:$D,"*"&amp;$A454&amp;"*",'All Papers'!$G:$G,"*"&amp;Table1[[#Headers],[Pricing]]&amp;"*")</f>
        <v>1</v>
      </c>
    </row>
    <row r="455" spans="1:13" x14ac:dyDescent="0.25">
      <c r="A455" s="8" t="s">
        <v>2888</v>
      </c>
      <c r="B455" s="8">
        <f>COUNTIF('All Papers'!D:D,"*"&amp;Table1[[#This Row],[Name]]&amp;"*")</f>
        <v>1</v>
      </c>
      <c r="C455" s="8">
        <f>COUNTIFS('All Papers'!$D:$D,"*"&amp;$A455&amp;"*",'All Papers'!$G:$G,"*"&amp;Table1[[#Headers],[Composition]]&amp;"*")</f>
        <v>0</v>
      </c>
      <c r="D455" s="8">
        <f>COUNTIFS('All Papers'!$D:$D,"*"&amp;$A455&amp;"*",'All Papers'!$G:$G,"*"&amp;Table1[[#Headers],[Discovery]]&amp;"*")</f>
        <v>0</v>
      </c>
      <c r="E455" s="8">
        <f>COUNTIFS('All Papers'!$D:$D,"*"&amp;$A455&amp;"*",'All Papers'!$G:$G,"*"&amp;Table1[[#Headers],[Selection]]&amp;"*")</f>
        <v>0</v>
      </c>
      <c r="F455" s="8">
        <f>COUNTIFS('All Papers'!$D:$D,"*"&amp;$A455&amp;"*",'All Papers'!$G:$G,"*"&amp;Table1[[#Headers],[Recommendation]]&amp;"*")</f>
        <v>0</v>
      </c>
      <c r="G455" s="8">
        <f>COUNTIFS('All Papers'!$D:$D,"*"&amp;$A455&amp;"*",'All Papers'!$G:$G,"*"&amp;Table1[[#Headers],[Resource Management-CS]]&amp;"*")</f>
        <v>0</v>
      </c>
      <c r="H455" s="8">
        <f>COUNTIFS('All Papers'!$D:$D,"*"&amp;$A455&amp;"*",'All Papers'!$G:$G,"*"&amp;Table1[[#Headers],[Resource Management-PS]]&amp;"*")</f>
        <v>1</v>
      </c>
      <c r="I455" s="8">
        <f>COUNTIFS('All Papers'!$D:$D,"*"&amp;$A455&amp;"*",'All Papers'!$G:$G,"*"&amp;Table1[[#Headers],[SLA Management]]&amp;"*")</f>
        <v>0</v>
      </c>
      <c r="J455" s="8">
        <f>COUNTIFS('All Papers'!$D:$D,"*"&amp;$A455&amp;"*",'All Papers'!$G:$G,"*"&amp;Table1[[#Headers],[Big Data]]&amp;"*")</f>
        <v>0</v>
      </c>
      <c r="K455" s="8">
        <f>COUNTIFS('All Papers'!$D:$D,"*"&amp;$A455&amp;"*",'All Papers'!$G:$G,"*"&amp;Table1[[#Headers],[Energy Management]]&amp;"*")</f>
        <v>0</v>
      </c>
      <c r="L455" s="8">
        <f>COUNTIFS('All Papers'!$D:$D,"*"&amp;$A455&amp;"*",'All Papers'!$G:$G,"*"&amp;Table1[[#Headers],[Monitoring]]&amp;"*")</f>
        <v>0</v>
      </c>
      <c r="M455" s="8">
        <f>COUNTIFS('All Papers'!$D:$D,"*"&amp;$A455&amp;"*",'All Papers'!$G:$G,"*"&amp;Table1[[#Headers],[Pricing]]&amp;"*")</f>
        <v>1</v>
      </c>
    </row>
    <row r="456" spans="1:13" x14ac:dyDescent="0.25">
      <c r="A456" s="8" t="s">
        <v>2889</v>
      </c>
      <c r="B456" s="8">
        <f>COUNTIF('All Papers'!D:D,"*"&amp;Table1[[#This Row],[Name]]&amp;"*")</f>
        <v>1</v>
      </c>
      <c r="C456" s="8">
        <f>COUNTIFS('All Papers'!$D:$D,"*"&amp;$A456&amp;"*",'All Papers'!$G:$G,"*"&amp;Table1[[#Headers],[Composition]]&amp;"*")</f>
        <v>0</v>
      </c>
      <c r="D456" s="8">
        <f>COUNTIFS('All Papers'!$D:$D,"*"&amp;$A456&amp;"*",'All Papers'!$G:$G,"*"&amp;Table1[[#Headers],[Discovery]]&amp;"*")</f>
        <v>0</v>
      </c>
      <c r="E456" s="8">
        <f>COUNTIFS('All Papers'!$D:$D,"*"&amp;$A456&amp;"*",'All Papers'!$G:$G,"*"&amp;Table1[[#Headers],[Selection]]&amp;"*")</f>
        <v>0</v>
      </c>
      <c r="F456" s="8">
        <f>COUNTIFS('All Papers'!$D:$D,"*"&amp;$A456&amp;"*",'All Papers'!$G:$G,"*"&amp;Table1[[#Headers],[Recommendation]]&amp;"*")</f>
        <v>0</v>
      </c>
      <c r="G456" s="8">
        <f>COUNTIFS('All Papers'!$D:$D,"*"&amp;$A456&amp;"*",'All Papers'!$G:$G,"*"&amp;Table1[[#Headers],[Resource Management-CS]]&amp;"*")</f>
        <v>1</v>
      </c>
      <c r="H456" s="8">
        <f>COUNTIFS('All Papers'!$D:$D,"*"&amp;$A456&amp;"*",'All Papers'!$G:$G,"*"&amp;Table1[[#Headers],[Resource Management-PS]]&amp;"*")</f>
        <v>0</v>
      </c>
      <c r="I456" s="8">
        <f>COUNTIFS('All Papers'!$D:$D,"*"&amp;$A456&amp;"*",'All Papers'!$G:$G,"*"&amp;Table1[[#Headers],[SLA Management]]&amp;"*")</f>
        <v>0</v>
      </c>
      <c r="J456" s="8">
        <f>COUNTIFS('All Papers'!$D:$D,"*"&amp;$A456&amp;"*",'All Papers'!$G:$G,"*"&amp;Table1[[#Headers],[Big Data]]&amp;"*")</f>
        <v>0</v>
      </c>
      <c r="K456" s="8">
        <f>COUNTIFS('All Papers'!$D:$D,"*"&amp;$A456&amp;"*",'All Papers'!$G:$G,"*"&amp;Table1[[#Headers],[Energy Management]]&amp;"*")</f>
        <v>0</v>
      </c>
      <c r="L456" s="8">
        <f>COUNTIFS('All Papers'!$D:$D,"*"&amp;$A456&amp;"*",'All Papers'!$G:$G,"*"&amp;Table1[[#Headers],[Monitoring]]&amp;"*")</f>
        <v>0</v>
      </c>
      <c r="M456" s="8">
        <f>COUNTIFS('All Papers'!$D:$D,"*"&amp;$A456&amp;"*",'All Papers'!$G:$G,"*"&amp;Table1[[#Headers],[Pricing]]&amp;"*")</f>
        <v>0</v>
      </c>
    </row>
    <row r="457" spans="1:13" x14ac:dyDescent="0.25">
      <c r="A457" s="8" t="s">
        <v>2890</v>
      </c>
      <c r="B457" s="8">
        <f>COUNTIF('All Papers'!D:D,"*"&amp;Table1[[#This Row],[Name]]&amp;"*")</f>
        <v>1</v>
      </c>
      <c r="C457" s="8">
        <f>COUNTIFS('All Papers'!$D:$D,"*"&amp;$A457&amp;"*",'All Papers'!$G:$G,"*"&amp;Table1[[#Headers],[Composition]]&amp;"*")</f>
        <v>0</v>
      </c>
      <c r="D457" s="8">
        <f>COUNTIFS('All Papers'!$D:$D,"*"&amp;$A457&amp;"*",'All Papers'!$G:$G,"*"&amp;Table1[[#Headers],[Discovery]]&amp;"*")</f>
        <v>0</v>
      </c>
      <c r="E457" s="8">
        <f>COUNTIFS('All Papers'!$D:$D,"*"&amp;$A457&amp;"*",'All Papers'!$G:$G,"*"&amp;Table1[[#Headers],[Selection]]&amp;"*")</f>
        <v>0</v>
      </c>
      <c r="F457" s="8">
        <f>COUNTIFS('All Papers'!$D:$D,"*"&amp;$A457&amp;"*",'All Papers'!$G:$G,"*"&amp;Table1[[#Headers],[Recommendation]]&amp;"*")</f>
        <v>0</v>
      </c>
      <c r="G457" s="8">
        <f>COUNTIFS('All Papers'!$D:$D,"*"&amp;$A457&amp;"*",'All Papers'!$G:$G,"*"&amp;Table1[[#Headers],[Resource Management-CS]]&amp;"*")</f>
        <v>1</v>
      </c>
      <c r="H457" s="8">
        <f>COUNTIFS('All Papers'!$D:$D,"*"&amp;$A457&amp;"*",'All Papers'!$G:$G,"*"&amp;Table1[[#Headers],[Resource Management-PS]]&amp;"*")</f>
        <v>0</v>
      </c>
      <c r="I457" s="8">
        <f>COUNTIFS('All Papers'!$D:$D,"*"&amp;$A457&amp;"*",'All Papers'!$G:$G,"*"&amp;Table1[[#Headers],[SLA Management]]&amp;"*")</f>
        <v>0</v>
      </c>
      <c r="J457" s="8">
        <f>COUNTIFS('All Papers'!$D:$D,"*"&amp;$A457&amp;"*",'All Papers'!$G:$G,"*"&amp;Table1[[#Headers],[Big Data]]&amp;"*")</f>
        <v>0</v>
      </c>
      <c r="K457" s="8">
        <f>COUNTIFS('All Papers'!$D:$D,"*"&amp;$A457&amp;"*",'All Papers'!$G:$G,"*"&amp;Table1[[#Headers],[Energy Management]]&amp;"*")</f>
        <v>0</v>
      </c>
      <c r="L457" s="8">
        <f>COUNTIFS('All Papers'!$D:$D,"*"&amp;$A457&amp;"*",'All Papers'!$G:$G,"*"&amp;Table1[[#Headers],[Monitoring]]&amp;"*")</f>
        <v>0</v>
      </c>
      <c r="M457" s="8">
        <f>COUNTIFS('All Papers'!$D:$D,"*"&amp;$A457&amp;"*",'All Papers'!$G:$G,"*"&amp;Table1[[#Headers],[Pricing]]&amp;"*")</f>
        <v>0</v>
      </c>
    </row>
    <row r="458" spans="1:13" x14ac:dyDescent="0.25">
      <c r="A458" s="8" t="s">
        <v>2891</v>
      </c>
      <c r="B458" s="8">
        <f>COUNTIF('All Papers'!D:D,"*"&amp;Table1[[#This Row],[Name]]&amp;"*")</f>
        <v>1</v>
      </c>
      <c r="C458" s="8">
        <f>COUNTIFS('All Papers'!$D:$D,"*"&amp;$A458&amp;"*",'All Papers'!$G:$G,"*"&amp;Table1[[#Headers],[Composition]]&amp;"*")</f>
        <v>0</v>
      </c>
      <c r="D458" s="8">
        <f>COUNTIFS('All Papers'!$D:$D,"*"&amp;$A458&amp;"*",'All Papers'!$G:$G,"*"&amp;Table1[[#Headers],[Discovery]]&amp;"*")</f>
        <v>0</v>
      </c>
      <c r="E458" s="8">
        <f>COUNTIFS('All Papers'!$D:$D,"*"&amp;$A458&amp;"*",'All Papers'!$G:$G,"*"&amp;Table1[[#Headers],[Selection]]&amp;"*")</f>
        <v>0</v>
      </c>
      <c r="F458" s="8">
        <f>COUNTIFS('All Papers'!$D:$D,"*"&amp;$A458&amp;"*",'All Papers'!$G:$G,"*"&amp;Table1[[#Headers],[Recommendation]]&amp;"*")</f>
        <v>0</v>
      </c>
      <c r="G458" s="8">
        <f>COUNTIFS('All Papers'!$D:$D,"*"&amp;$A458&amp;"*",'All Papers'!$G:$G,"*"&amp;Table1[[#Headers],[Resource Management-CS]]&amp;"*")</f>
        <v>1</v>
      </c>
      <c r="H458" s="8">
        <f>COUNTIFS('All Papers'!$D:$D,"*"&amp;$A458&amp;"*",'All Papers'!$G:$G,"*"&amp;Table1[[#Headers],[Resource Management-PS]]&amp;"*")</f>
        <v>0</v>
      </c>
      <c r="I458" s="8">
        <f>COUNTIFS('All Papers'!$D:$D,"*"&amp;$A458&amp;"*",'All Papers'!$G:$G,"*"&amp;Table1[[#Headers],[SLA Management]]&amp;"*")</f>
        <v>0</v>
      </c>
      <c r="J458" s="8">
        <f>COUNTIFS('All Papers'!$D:$D,"*"&amp;$A458&amp;"*",'All Papers'!$G:$G,"*"&amp;Table1[[#Headers],[Big Data]]&amp;"*")</f>
        <v>0</v>
      </c>
      <c r="K458" s="8">
        <f>COUNTIFS('All Papers'!$D:$D,"*"&amp;$A458&amp;"*",'All Papers'!$G:$G,"*"&amp;Table1[[#Headers],[Energy Management]]&amp;"*")</f>
        <v>0</v>
      </c>
      <c r="L458" s="8">
        <f>COUNTIFS('All Papers'!$D:$D,"*"&amp;$A458&amp;"*",'All Papers'!$G:$G,"*"&amp;Table1[[#Headers],[Monitoring]]&amp;"*")</f>
        <v>0</v>
      </c>
      <c r="M458" s="8">
        <f>COUNTIFS('All Papers'!$D:$D,"*"&amp;$A458&amp;"*",'All Papers'!$G:$G,"*"&amp;Table1[[#Headers],[Pricing]]&amp;"*")</f>
        <v>0</v>
      </c>
    </row>
    <row r="459" spans="1:13" x14ac:dyDescent="0.25">
      <c r="A459" s="8" t="s">
        <v>2892</v>
      </c>
      <c r="B459" s="8">
        <f>COUNTIF('All Papers'!D:D,"*"&amp;Table1[[#This Row],[Name]]&amp;"*")</f>
        <v>1</v>
      </c>
      <c r="C459" s="8">
        <f>COUNTIFS('All Papers'!$D:$D,"*"&amp;$A459&amp;"*",'All Papers'!$G:$G,"*"&amp;Table1[[#Headers],[Composition]]&amp;"*")</f>
        <v>0</v>
      </c>
      <c r="D459" s="8">
        <f>COUNTIFS('All Papers'!$D:$D,"*"&amp;$A459&amp;"*",'All Papers'!$G:$G,"*"&amp;Table1[[#Headers],[Discovery]]&amp;"*")</f>
        <v>0</v>
      </c>
      <c r="E459" s="8">
        <f>COUNTIFS('All Papers'!$D:$D,"*"&amp;$A459&amp;"*",'All Papers'!$G:$G,"*"&amp;Table1[[#Headers],[Selection]]&amp;"*")</f>
        <v>0</v>
      </c>
      <c r="F459" s="8">
        <f>COUNTIFS('All Papers'!$D:$D,"*"&amp;$A459&amp;"*",'All Papers'!$G:$G,"*"&amp;Table1[[#Headers],[Recommendation]]&amp;"*")</f>
        <v>0</v>
      </c>
      <c r="G459" s="8">
        <f>COUNTIFS('All Papers'!$D:$D,"*"&amp;$A459&amp;"*",'All Papers'!$G:$G,"*"&amp;Table1[[#Headers],[Resource Management-CS]]&amp;"*")</f>
        <v>1</v>
      </c>
      <c r="H459" s="8">
        <f>COUNTIFS('All Papers'!$D:$D,"*"&amp;$A459&amp;"*",'All Papers'!$G:$G,"*"&amp;Table1[[#Headers],[Resource Management-PS]]&amp;"*")</f>
        <v>0</v>
      </c>
      <c r="I459" s="8">
        <f>COUNTIFS('All Papers'!$D:$D,"*"&amp;$A459&amp;"*",'All Papers'!$G:$G,"*"&amp;Table1[[#Headers],[SLA Management]]&amp;"*")</f>
        <v>0</v>
      </c>
      <c r="J459" s="8">
        <f>COUNTIFS('All Papers'!$D:$D,"*"&amp;$A459&amp;"*",'All Papers'!$G:$G,"*"&amp;Table1[[#Headers],[Big Data]]&amp;"*")</f>
        <v>0</v>
      </c>
      <c r="K459" s="8">
        <f>COUNTIFS('All Papers'!$D:$D,"*"&amp;$A459&amp;"*",'All Papers'!$G:$G,"*"&amp;Table1[[#Headers],[Energy Management]]&amp;"*")</f>
        <v>0</v>
      </c>
      <c r="L459" s="8">
        <f>COUNTIFS('All Papers'!$D:$D,"*"&amp;$A459&amp;"*",'All Papers'!$G:$G,"*"&amp;Table1[[#Headers],[Monitoring]]&amp;"*")</f>
        <v>0</v>
      </c>
      <c r="M459" s="8">
        <f>COUNTIFS('All Papers'!$D:$D,"*"&amp;$A459&amp;"*",'All Papers'!$G:$G,"*"&amp;Table1[[#Headers],[Pricing]]&amp;"*")</f>
        <v>0</v>
      </c>
    </row>
    <row r="460" spans="1:13" x14ac:dyDescent="0.25">
      <c r="A460" s="8" t="s">
        <v>2893</v>
      </c>
      <c r="B460" s="8">
        <f>COUNTIF('All Papers'!D:D,"*"&amp;Table1[[#This Row],[Name]]&amp;"*")</f>
        <v>1</v>
      </c>
      <c r="C460" s="8">
        <f>COUNTIFS('All Papers'!$D:$D,"*"&amp;$A460&amp;"*",'All Papers'!$G:$G,"*"&amp;Table1[[#Headers],[Composition]]&amp;"*")</f>
        <v>0</v>
      </c>
      <c r="D460" s="8">
        <f>COUNTIFS('All Papers'!$D:$D,"*"&amp;$A460&amp;"*",'All Papers'!$G:$G,"*"&amp;Table1[[#Headers],[Discovery]]&amp;"*")</f>
        <v>0</v>
      </c>
      <c r="E460" s="8">
        <f>COUNTIFS('All Papers'!$D:$D,"*"&amp;$A460&amp;"*",'All Papers'!$G:$G,"*"&amp;Table1[[#Headers],[Selection]]&amp;"*")</f>
        <v>0</v>
      </c>
      <c r="F460" s="8">
        <f>COUNTIFS('All Papers'!$D:$D,"*"&amp;$A460&amp;"*",'All Papers'!$G:$G,"*"&amp;Table1[[#Headers],[Recommendation]]&amp;"*")</f>
        <v>0</v>
      </c>
      <c r="G460" s="8">
        <f>COUNTIFS('All Papers'!$D:$D,"*"&amp;$A460&amp;"*",'All Papers'!$G:$G,"*"&amp;Table1[[#Headers],[Resource Management-CS]]&amp;"*")</f>
        <v>1</v>
      </c>
      <c r="H460" s="8">
        <f>COUNTIFS('All Papers'!$D:$D,"*"&amp;$A460&amp;"*",'All Papers'!$G:$G,"*"&amp;Table1[[#Headers],[Resource Management-PS]]&amp;"*")</f>
        <v>0</v>
      </c>
      <c r="I460" s="8">
        <f>COUNTIFS('All Papers'!$D:$D,"*"&amp;$A460&amp;"*",'All Papers'!$G:$G,"*"&amp;Table1[[#Headers],[SLA Management]]&amp;"*")</f>
        <v>0</v>
      </c>
      <c r="J460" s="8">
        <f>COUNTIFS('All Papers'!$D:$D,"*"&amp;$A460&amp;"*",'All Papers'!$G:$G,"*"&amp;Table1[[#Headers],[Big Data]]&amp;"*")</f>
        <v>0</v>
      </c>
      <c r="K460" s="8">
        <f>COUNTIFS('All Papers'!$D:$D,"*"&amp;$A460&amp;"*",'All Papers'!$G:$G,"*"&amp;Table1[[#Headers],[Energy Management]]&amp;"*")</f>
        <v>0</v>
      </c>
      <c r="L460" s="8">
        <f>COUNTIFS('All Papers'!$D:$D,"*"&amp;$A460&amp;"*",'All Papers'!$G:$G,"*"&amp;Table1[[#Headers],[Monitoring]]&amp;"*")</f>
        <v>0</v>
      </c>
      <c r="M460" s="8">
        <f>COUNTIFS('All Papers'!$D:$D,"*"&amp;$A460&amp;"*",'All Papers'!$G:$G,"*"&amp;Table1[[#Headers],[Pricing]]&amp;"*")</f>
        <v>0</v>
      </c>
    </row>
    <row r="461" spans="1:13" x14ac:dyDescent="0.25">
      <c r="A461" s="8" t="s">
        <v>2894</v>
      </c>
      <c r="B461" s="8">
        <f>COUNTIF('All Papers'!D:D,"*"&amp;Table1[[#This Row],[Name]]&amp;"*")</f>
        <v>1</v>
      </c>
      <c r="C461" s="8">
        <f>COUNTIFS('All Papers'!$D:$D,"*"&amp;$A461&amp;"*",'All Papers'!$G:$G,"*"&amp;Table1[[#Headers],[Composition]]&amp;"*")</f>
        <v>0</v>
      </c>
      <c r="D461" s="8">
        <f>COUNTIFS('All Papers'!$D:$D,"*"&amp;$A461&amp;"*",'All Papers'!$G:$G,"*"&amp;Table1[[#Headers],[Discovery]]&amp;"*")</f>
        <v>0</v>
      </c>
      <c r="E461" s="8">
        <f>COUNTIFS('All Papers'!$D:$D,"*"&amp;$A461&amp;"*",'All Papers'!$G:$G,"*"&amp;Table1[[#Headers],[Selection]]&amp;"*")</f>
        <v>0</v>
      </c>
      <c r="F461" s="8">
        <f>COUNTIFS('All Papers'!$D:$D,"*"&amp;$A461&amp;"*",'All Papers'!$G:$G,"*"&amp;Table1[[#Headers],[Recommendation]]&amp;"*")</f>
        <v>0</v>
      </c>
      <c r="G461" s="8">
        <f>COUNTIFS('All Papers'!$D:$D,"*"&amp;$A461&amp;"*",'All Papers'!$G:$G,"*"&amp;Table1[[#Headers],[Resource Management-CS]]&amp;"*")</f>
        <v>0</v>
      </c>
      <c r="H461" s="8">
        <f>COUNTIFS('All Papers'!$D:$D,"*"&amp;$A461&amp;"*",'All Papers'!$G:$G,"*"&amp;Table1[[#Headers],[Resource Management-PS]]&amp;"*")</f>
        <v>1</v>
      </c>
      <c r="I461" s="8">
        <f>COUNTIFS('All Papers'!$D:$D,"*"&amp;$A461&amp;"*",'All Papers'!$G:$G,"*"&amp;Table1[[#Headers],[SLA Management]]&amp;"*")</f>
        <v>0</v>
      </c>
      <c r="J461" s="8">
        <f>COUNTIFS('All Papers'!$D:$D,"*"&amp;$A461&amp;"*",'All Papers'!$G:$G,"*"&amp;Table1[[#Headers],[Big Data]]&amp;"*")</f>
        <v>0</v>
      </c>
      <c r="K461" s="8">
        <f>COUNTIFS('All Papers'!$D:$D,"*"&amp;$A461&amp;"*",'All Papers'!$G:$G,"*"&amp;Table1[[#Headers],[Energy Management]]&amp;"*")</f>
        <v>0</v>
      </c>
      <c r="L461" s="8">
        <f>COUNTIFS('All Papers'!$D:$D,"*"&amp;$A461&amp;"*",'All Papers'!$G:$G,"*"&amp;Table1[[#Headers],[Monitoring]]&amp;"*")</f>
        <v>0</v>
      </c>
      <c r="M461" s="8">
        <f>COUNTIFS('All Papers'!$D:$D,"*"&amp;$A461&amp;"*",'All Papers'!$G:$G,"*"&amp;Table1[[#Headers],[Pricing]]&amp;"*")</f>
        <v>0</v>
      </c>
    </row>
    <row r="462" spans="1:13" x14ac:dyDescent="0.25">
      <c r="A462" s="8" t="s">
        <v>2895</v>
      </c>
      <c r="B462" s="8">
        <f>COUNTIF('All Papers'!D:D,"*"&amp;Table1[[#This Row],[Name]]&amp;"*")</f>
        <v>1</v>
      </c>
      <c r="C462" s="8">
        <f>COUNTIFS('All Papers'!$D:$D,"*"&amp;$A462&amp;"*",'All Papers'!$G:$G,"*"&amp;Table1[[#Headers],[Composition]]&amp;"*")</f>
        <v>0</v>
      </c>
      <c r="D462" s="8">
        <f>COUNTIFS('All Papers'!$D:$D,"*"&amp;$A462&amp;"*",'All Papers'!$G:$G,"*"&amp;Table1[[#Headers],[Discovery]]&amp;"*")</f>
        <v>0</v>
      </c>
      <c r="E462" s="8">
        <f>COUNTIFS('All Papers'!$D:$D,"*"&amp;$A462&amp;"*",'All Papers'!$G:$G,"*"&amp;Table1[[#Headers],[Selection]]&amp;"*")</f>
        <v>0</v>
      </c>
      <c r="F462" s="8">
        <f>COUNTIFS('All Papers'!$D:$D,"*"&amp;$A462&amp;"*",'All Papers'!$G:$G,"*"&amp;Table1[[#Headers],[Recommendation]]&amp;"*")</f>
        <v>0</v>
      </c>
      <c r="G462" s="8">
        <f>COUNTIFS('All Papers'!$D:$D,"*"&amp;$A462&amp;"*",'All Papers'!$G:$G,"*"&amp;Table1[[#Headers],[Resource Management-CS]]&amp;"*")</f>
        <v>0</v>
      </c>
      <c r="H462" s="8">
        <f>COUNTIFS('All Papers'!$D:$D,"*"&amp;$A462&amp;"*",'All Papers'!$G:$G,"*"&amp;Table1[[#Headers],[Resource Management-PS]]&amp;"*")</f>
        <v>1</v>
      </c>
      <c r="I462" s="8">
        <f>COUNTIFS('All Papers'!$D:$D,"*"&amp;$A462&amp;"*",'All Papers'!$G:$G,"*"&amp;Table1[[#Headers],[SLA Management]]&amp;"*")</f>
        <v>0</v>
      </c>
      <c r="J462" s="8">
        <f>COUNTIFS('All Papers'!$D:$D,"*"&amp;$A462&amp;"*",'All Papers'!$G:$G,"*"&amp;Table1[[#Headers],[Big Data]]&amp;"*")</f>
        <v>0</v>
      </c>
      <c r="K462" s="8">
        <f>COUNTIFS('All Papers'!$D:$D,"*"&amp;$A462&amp;"*",'All Papers'!$G:$G,"*"&amp;Table1[[#Headers],[Energy Management]]&amp;"*")</f>
        <v>0</v>
      </c>
      <c r="L462" s="8">
        <f>COUNTIFS('All Papers'!$D:$D,"*"&amp;$A462&amp;"*",'All Papers'!$G:$G,"*"&amp;Table1[[#Headers],[Monitoring]]&amp;"*")</f>
        <v>0</v>
      </c>
      <c r="M462" s="8">
        <f>COUNTIFS('All Papers'!$D:$D,"*"&amp;$A462&amp;"*",'All Papers'!$G:$G,"*"&amp;Table1[[#Headers],[Pricing]]&amp;"*")</f>
        <v>0</v>
      </c>
    </row>
    <row r="463" spans="1:13" x14ac:dyDescent="0.25">
      <c r="A463" s="8" t="s">
        <v>2896</v>
      </c>
      <c r="B463" s="8">
        <f>COUNTIF('All Papers'!D:D,"*"&amp;Table1[[#This Row],[Name]]&amp;"*")</f>
        <v>1</v>
      </c>
      <c r="C463" s="8">
        <f>COUNTIFS('All Papers'!$D:$D,"*"&amp;$A463&amp;"*",'All Papers'!$G:$G,"*"&amp;Table1[[#Headers],[Composition]]&amp;"*")</f>
        <v>0</v>
      </c>
      <c r="D463" s="8">
        <f>COUNTIFS('All Papers'!$D:$D,"*"&amp;$A463&amp;"*",'All Papers'!$G:$G,"*"&amp;Table1[[#Headers],[Discovery]]&amp;"*")</f>
        <v>0</v>
      </c>
      <c r="E463" s="8">
        <f>COUNTIFS('All Papers'!$D:$D,"*"&amp;$A463&amp;"*",'All Papers'!$G:$G,"*"&amp;Table1[[#Headers],[Selection]]&amp;"*")</f>
        <v>0</v>
      </c>
      <c r="F463" s="8">
        <f>COUNTIFS('All Papers'!$D:$D,"*"&amp;$A463&amp;"*",'All Papers'!$G:$G,"*"&amp;Table1[[#Headers],[Recommendation]]&amp;"*")</f>
        <v>0</v>
      </c>
      <c r="G463" s="8">
        <f>COUNTIFS('All Papers'!$D:$D,"*"&amp;$A463&amp;"*",'All Papers'!$G:$G,"*"&amp;Table1[[#Headers],[Resource Management-CS]]&amp;"*")</f>
        <v>0</v>
      </c>
      <c r="H463" s="8">
        <f>COUNTIFS('All Papers'!$D:$D,"*"&amp;$A463&amp;"*",'All Papers'!$G:$G,"*"&amp;Table1[[#Headers],[Resource Management-PS]]&amp;"*")</f>
        <v>1</v>
      </c>
      <c r="I463" s="8">
        <f>COUNTIFS('All Papers'!$D:$D,"*"&amp;$A463&amp;"*",'All Papers'!$G:$G,"*"&amp;Table1[[#Headers],[SLA Management]]&amp;"*")</f>
        <v>0</v>
      </c>
      <c r="J463" s="8">
        <f>COUNTIFS('All Papers'!$D:$D,"*"&amp;$A463&amp;"*",'All Papers'!$G:$G,"*"&amp;Table1[[#Headers],[Big Data]]&amp;"*")</f>
        <v>0</v>
      </c>
      <c r="K463" s="8">
        <f>COUNTIFS('All Papers'!$D:$D,"*"&amp;$A463&amp;"*",'All Papers'!$G:$G,"*"&amp;Table1[[#Headers],[Energy Management]]&amp;"*")</f>
        <v>0</v>
      </c>
      <c r="L463" s="8">
        <f>COUNTIFS('All Papers'!$D:$D,"*"&amp;$A463&amp;"*",'All Papers'!$G:$G,"*"&amp;Table1[[#Headers],[Monitoring]]&amp;"*")</f>
        <v>0</v>
      </c>
      <c r="M463" s="8">
        <f>COUNTIFS('All Papers'!$D:$D,"*"&amp;$A463&amp;"*",'All Papers'!$G:$G,"*"&amp;Table1[[#Headers],[Pricing]]&amp;"*")</f>
        <v>0</v>
      </c>
    </row>
    <row r="464" spans="1:13" x14ac:dyDescent="0.25">
      <c r="A464" s="8" t="s">
        <v>2897</v>
      </c>
      <c r="B464" s="8">
        <f>COUNTIF('All Papers'!D:D,"*"&amp;Table1[[#This Row],[Name]]&amp;"*")</f>
        <v>1</v>
      </c>
      <c r="C464" s="8">
        <f>COUNTIFS('All Papers'!$D:$D,"*"&amp;$A464&amp;"*",'All Papers'!$G:$G,"*"&amp;Table1[[#Headers],[Composition]]&amp;"*")</f>
        <v>0</v>
      </c>
      <c r="D464" s="8">
        <f>COUNTIFS('All Papers'!$D:$D,"*"&amp;$A464&amp;"*",'All Papers'!$G:$G,"*"&amp;Table1[[#Headers],[Discovery]]&amp;"*")</f>
        <v>0</v>
      </c>
      <c r="E464" s="8">
        <f>COUNTIFS('All Papers'!$D:$D,"*"&amp;$A464&amp;"*",'All Papers'!$G:$G,"*"&amp;Table1[[#Headers],[Selection]]&amp;"*")</f>
        <v>1</v>
      </c>
      <c r="F464" s="8">
        <f>COUNTIFS('All Papers'!$D:$D,"*"&amp;$A464&amp;"*",'All Papers'!$G:$G,"*"&amp;Table1[[#Headers],[Recommendation]]&amp;"*")</f>
        <v>0</v>
      </c>
      <c r="G464" s="8">
        <f>COUNTIFS('All Papers'!$D:$D,"*"&amp;$A464&amp;"*",'All Papers'!$G:$G,"*"&amp;Table1[[#Headers],[Resource Management-CS]]&amp;"*")</f>
        <v>0</v>
      </c>
      <c r="H464" s="8">
        <f>COUNTIFS('All Papers'!$D:$D,"*"&amp;$A464&amp;"*",'All Papers'!$G:$G,"*"&amp;Table1[[#Headers],[Resource Management-PS]]&amp;"*")</f>
        <v>0</v>
      </c>
      <c r="I464" s="8">
        <f>COUNTIFS('All Papers'!$D:$D,"*"&amp;$A464&amp;"*",'All Papers'!$G:$G,"*"&amp;Table1[[#Headers],[SLA Management]]&amp;"*")</f>
        <v>0</v>
      </c>
      <c r="J464" s="8">
        <f>COUNTIFS('All Papers'!$D:$D,"*"&amp;$A464&amp;"*",'All Papers'!$G:$G,"*"&amp;Table1[[#Headers],[Big Data]]&amp;"*")</f>
        <v>0</v>
      </c>
      <c r="K464" s="8">
        <f>COUNTIFS('All Papers'!$D:$D,"*"&amp;$A464&amp;"*",'All Papers'!$G:$G,"*"&amp;Table1[[#Headers],[Energy Management]]&amp;"*")</f>
        <v>0</v>
      </c>
      <c r="L464" s="8">
        <f>COUNTIFS('All Papers'!$D:$D,"*"&amp;$A464&amp;"*",'All Papers'!$G:$G,"*"&amp;Table1[[#Headers],[Monitoring]]&amp;"*")</f>
        <v>0</v>
      </c>
      <c r="M464" s="8">
        <f>COUNTIFS('All Papers'!$D:$D,"*"&amp;$A464&amp;"*",'All Papers'!$G:$G,"*"&amp;Table1[[#Headers],[Pricing]]&amp;"*")</f>
        <v>0</v>
      </c>
    </row>
    <row r="465" spans="1:13" x14ac:dyDescent="0.25">
      <c r="A465" s="8" t="s">
        <v>2898</v>
      </c>
      <c r="B465" s="8">
        <f>COUNTIF('All Papers'!D:D,"*"&amp;Table1[[#This Row],[Name]]&amp;"*")</f>
        <v>1</v>
      </c>
      <c r="C465" s="8">
        <f>COUNTIFS('All Papers'!$D:$D,"*"&amp;$A465&amp;"*",'All Papers'!$G:$G,"*"&amp;Table1[[#Headers],[Composition]]&amp;"*")</f>
        <v>0</v>
      </c>
      <c r="D465" s="8">
        <f>COUNTIFS('All Papers'!$D:$D,"*"&amp;$A465&amp;"*",'All Papers'!$G:$G,"*"&amp;Table1[[#Headers],[Discovery]]&amp;"*")</f>
        <v>0</v>
      </c>
      <c r="E465" s="8">
        <f>COUNTIFS('All Papers'!$D:$D,"*"&amp;$A465&amp;"*",'All Papers'!$G:$G,"*"&amp;Table1[[#Headers],[Selection]]&amp;"*")</f>
        <v>1</v>
      </c>
      <c r="F465" s="8">
        <f>COUNTIFS('All Papers'!$D:$D,"*"&amp;$A465&amp;"*",'All Papers'!$G:$G,"*"&amp;Table1[[#Headers],[Recommendation]]&amp;"*")</f>
        <v>0</v>
      </c>
      <c r="G465" s="8">
        <f>COUNTIFS('All Papers'!$D:$D,"*"&amp;$A465&amp;"*",'All Papers'!$G:$G,"*"&amp;Table1[[#Headers],[Resource Management-CS]]&amp;"*")</f>
        <v>0</v>
      </c>
      <c r="H465" s="8">
        <f>COUNTIFS('All Papers'!$D:$D,"*"&amp;$A465&amp;"*",'All Papers'!$G:$G,"*"&amp;Table1[[#Headers],[Resource Management-PS]]&amp;"*")</f>
        <v>0</v>
      </c>
      <c r="I465" s="8">
        <f>COUNTIFS('All Papers'!$D:$D,"*"&amp;$A465&amp;"*",'All Papers'!$G:$G,"*"&amp;Table1[[#Headers],[SLA Management]]&amp;"*")</f>
        <v>0</v>
      </c>
      <c r="J465" s="8">
        <f>COUNTIFS('All Papers'!$D:$D,"*"&amp;$A465&amp;"*",'All Papers'!$G:$G,"*"&amp;Table1[[#Headers],[Big Data]]&amp;"*")</f>
        <v>0</v>
      </c>
      <c r="K465" s="8">
        <f>COUNTIFS('All Papers'!$D:$D,"*"&amp;$A465&amp;"*",'All Papers'!$G:$G,"*"&amp;Table1[[#Headers],[Energy Management]]&amp;"*")</f>
        <v>0</v>
      </c>
      <c r="L465" s="8">
        <f>COUNTIFS('All Papers'!$D:$D,"*"&amp;$A465&amp;"*",'All Papers'!$G:$G,"*"&amp;Table1[[#Headers],[Monitoring]]&amp;"*")</f>
        <v>0</v>
      </c>
      <c r="M465" s="8">
        <f>COUNTIFS('All Papers'!$D:$D,"*"&amp;$A465&amp;"*",'All Papers'!$G:$G,"*"&amp;Table1[[#Headers],[Pricing]]&amp;"*")</f>
        <v>0</v>
      </c>
    </row>
    <row r="466" spans="1:13" x14ac:dyDescent="0.25">
      <c r="A466" s="8" t="s">
        <v>2899</v>
      </c>
      <c r="B466" s="8">
        <f>COUNTIF('All Papers'!D:D,"*"&amp;Table1[[#This Row],[Name]]&amp;"*")</f>
        <v>1</v>
      </c>
      <c r="C466" s="8">
        <f>COUNTIFS('All Papers'!$D:$D,"*"&amp;$A466&amp;"*",'All Papers'!$G:$G,"*"&amp;Table1[[#Headers],[Composition]]&amp;"*")</f>
        <v>0</v>
      </c>
      <c r="D466" s="8">
        <f>COUNTIFS('All Papers'!$D:$D,"*"&amp;$A466&amp;"*",'All Papers'!$G:$G,"*"&amp;Table1[[#Headers],[Discovery]]&amp;"*")</f>
        <v>0</v>
      </c>
      <c r="E466" s="8">
        <f>COUNTIFS('All Papers'!$D:$D,"*"&amp;$A466&amp;"*",'All Papers'!$G:$G,"*"&amp;Table1[[#Headers],[Selection]]&amp;"*")</f>
        <v>1</v>
      </c>
      <c r="F466" s="8">
        <f>COUNTIFS('All Papers'!$D:$D,"*"&amp;$A466&amp;"*",'All Papers'!$G:$G,"*"&amp;Table1[[#Headers],[Recommendation]]&amp;"*")</f>
        <v>0</v>
      </c>
      <c r="G466" s="8">
        <f>COUNTIFS('All Papers'!$D:$D,"*"&amp;$A466&amp;"*",'All Papers'!$G:$G,"*"&amp;Table1[[#Headers],[Resource Management-CS]]&amp;"*")</f>
        <v>0</v>
      </c>
      <c r="H466" s="8">
        <f>COUNTIFS('All Papers'!$D:$D,"*"&amp;$A466&amp;"*",'All Papers'!$G:$G,"*"&amp;Table1[[#Headers],[Resource Management-PS]]&amp;"*")</f>
        <v>0</v>
      </c>
      <c r="I466" s="8">
        <f>COUNTIFS('All Papers'!$D:$D,"*"&amp;$A466&amp;"*",'All Papers'!$G:$G,"*"&amp;Table1[[#Headers],[SLA Management]]&amp;"*")</f>
        <v>0</v>
      </c>
      <c r="J466" s="8">
        <f>COUNTIFS('All Papers'!$D:$D,"*"&amp;$A466&amp;"*",'All Papers'!$G:$G,"*"&amp;Table1[[#Headers],[Big Data]]&amp;"*")</f>
        <v>0</v>
      </c>
      <c r="K466" s="8">
        <f>COUNTIFS('All Papers'!$D:$D,"*"&amp;$A466&amp;"*",'All Papers'!$G:$G,"*"&amp;Table1[[#Headers],[Energy Management]]&amp;"*")</f>
        <v>0</v>
      </c>
      <c r="L466" s="8">
        <f>COUNTIFS('All Papers'!$D:$D,"*"&amp;$A466&amp;"*",'All Papers'!$G:$G,"*"&amp;Table1[[#Headers],[Monitoring]]&amp;"*")</f>
        <v>0</v>
      </c>
      <c r="M466" s="8">
        <f>COUNTIFS('All Papers'!$D:$D,"*"&amp;$A466&amp;"*",'All Papers'!$G:$G,"*"&amp;Table1[[#Headers],[Pricing]]&amp;"*")</f>
        <v>0</v>
      </c>
    </row>
    <row r="467" spans="1:13" x14ac:dyDescent="0.25">
      <c r="A467" s="8" t="s">
        <v>2900</v>
      </c>
      <c r="B467" s="8">
        <f>COUNTIF('All Papers'!D:D,"*"&amp;Table1[[#This Row],[Name]]&amp;"*")</f>
        <v>1</v>
      </c>
      <c r="C467" s="8">
        <f>COUNTIFS('All Papers'!$D:$D,"*"&amp;$A467&amp;"*",'All Papers'!$G:$G,"*"&amp;Table1[[#Headers],[Composition]]&amp;"*")</f>
        <v>0</v>
      </c>
      <c r="D467" s="8">
        <f>COUNTIFS('All Papers'!$D:$D,"*"&amp;$A467&amp;"*",'All Papers'!$G:$G,"*"&amp;Table1[[#Headers],[Discovery]]&amp;"*")</f>
        <v>0</v>
      </c>
      <c r="E467" s="8">
        <f>COUNTIFS('All Papers'!$D:$D,"*"&amp;$A467&amp;"*",'All Papers'!$G:$G,"*"&amp;Table1[[#Headers],[Selection]]&amp;"*")</f>
        <v>1</v>
      </c>
      <c r="F467" s="8">
        <f>COUNTIFS('All Papers'!$D:$D,"*"&amp;$A467&amp;"*",'All Papers'!$G:$G,"*"&amp;Table1[[#Headers],[Recommendation]]&amp;"*")</f>
        <v>0</v>
      </c>
      <c r="G467" s="8">
        <f>COUNTIFS('All Papers'!$D:$D,"*"&amp;$A467&amp;"*",'All Papers'!$G:$G,"*"&amp;Table1[[#Headers],[Resource Management-CS]]&amp;"*")</f>
        <v>0</v>
      </c>
      <c r="H467" s="8">
        <f>COUNTIFS('All Papers'!$D:$D,"*"&amp;$A467&amp;"*",'All Papers'!$G:$G,"*"&amp;Table1[[#Headers],[Resource Management-PS]]&amp;"*")</f>
        <v>0</v>
      </c>
      <c r="I467" s="8">
        <f>COUNTIFS('All Papers'!$D:$D,"*"&amp;$A467&amp;"*",'All Papers'!$G:$G,"*"&amp;Table1[[#Headers],[SLA Management]]&amp;"*")</f>
        <v>0</v>
      </c>
      <c r="J467" s="8">
        <f>COUNTIFS('All Papers'!$D:$D,"*"&amp;$A467&amp;"*",'All Papers'!$G:$G,"*"&amp;Table1[[#Headers],[Big Data]]&amp;"*")</f>
        <v>0</v>
      </c>
      <c r="K467" s="8">
        <f>COUNTIFS('All Papers'!$D:$D,"*"&amp;$A467&amp;"*",'All Papers'!$G:$G,"*"&amp;Table1[[#Headers],[Energy Management]]&amp;"*")</f>
        <v>0</v>
      </c>
      <c r="L467" s="8">
        <f>COUNTIFS('All Papers'!$D:$D,"*"&amp;$A467&amp;"*",'All Papers'!$G:$G,"*"&amp;Table1[[#Headers],[Monitoring]]&amp;"*")</f>
        <v>0</v>
      </c>
      <c r="M467" s="8">
        <f>COUNTIFS('All Papers'!$D:$D,"*"&amp;$A467&amp;"*",'All Papers'!$G:$G,"*"&amp;Table1[[#Headers],[Pricing]]&amp;"*")</f>
        <v>0</v>
      </c>
    </row>
    <row r="468" spans="1:13" x14ac:dyDescent="0.25">
      <c r="A468" s="8" t="s">
        <v>2901</v>
      </c>
      <c r="B468" s="8">
        <f>COUNTIF('All Papers'!D:D,"*"&amp;Table1[[#This Row],[Name]]&amp;"*")</f>
        <v>1</v>
      </c>
      <c r="C468" s="8">
        <f>COUNTIFS('All Papers'!$D:$D,"*"&amp;$A468&amp;"*",'All Papers'!$G:$G,"*"&amp;Table1[[#Headers],[Composition]]&amp;"*")</f>
        <v>0</v>
      </c>
      <c r="D468" s="8">
        <f>COUNTIFS('All Papers'!$D:$D,"*"&amp;$A468&amp;"*",'All Papers'!$G:$G,"*"&amp;Table1[[#Headers],[Discovery]]&amp;"*")</f>
        <v>0</v>
      </c>
      <c r="E468" s="8">
        <f>COUNTIFS('All Papers'!$D:$D,"*"&amp;$A468&amp;"*",'All Papers'!$G:$G,"*"&amp;Table1[[#Headers],[Selection]]&amp;"*")</f>
        <v>0</v>
      </c>
      <c r="F468" s="8">
        <f>COUNTIFS('All Papers'!$D:$D,"*"&amp;$A468&amp;"*",'All Papers'!$G:$G,"*"&amp;Table1[[#Headers],[Recommendation]]&amp;"*")</f>
        <v>0</v>
      </c>
      <c r="G468" s="8">
        <f>COUNTIFS('All Papers'!$D:$D,"*"&amp;$A468&amp;"*",'All Papers'!$G:$G,"*"&amp;Table1[[#Headers],[Resource Management-CS]]&amp;"*")</f>
        <v>1</v>
      </c>
      <c r="H468" s="8">
        <f>COUNTIFS('All Papers'!$D:$D,"*"&amp;$A468&amp;"*",'All Papers'!$G:$G,"*"&amp;Table1[[#Headers],[Resource Management-PS]]&amp;"*")</f>
        <v>0</v>
      </c>
      <c r="I468" s="8">
        <f>COUNTIFS('All Papers'!$D:$D,"*"&amp;$A468&amp;"*",'All Papers'!$G:$G,"*"&amp;Table1[[#Headers],[SLA Management]]&amp;"*")</f>
        <v>0</v>
      </c>
      <c r="J468" s="8">
        <f>COUNTIFS('All Papers'!$D:$D,"*"&amp;$A468&amp;"*",'All Papers'!$G:$G,"*"&amp;Table1[[#Headers],[Big Data]]&amp;"*")</f>
        <v>0</v>
      </c>
      <c r="K468" s="8">
        <f>COUNTIFS('All Papers'!$D:$D,"*"&amp;$A468&amp;"*",'All Papers'!$G:$G,"*"&amp;Table1[[#Headers],[Energy Management]]&amp;"*")</f>
        <v>0</v>
      </c>
      <c r="L468" s="8">
        <f>COUNTIFS('All Papers'!$D:$D,"*"&amp;$A468&amp;"*",'All Papers'!$G:$G,"*"&amp;Table1[[#Headers],[Monitoring]]&amp;"*")</f>
        <v>0</v>
      </c>
      <c r="M468" s="8">
        <f>COUNTIFS('All Papers'!$D:$D,"*"&amp;$A468&amp;"*",'All Papers'!$G:$G,"*"&amp;Table1[[#Headers],[Pricing]]&amp;"*")</f>
        <v>0</v>
      </c>
    </row>
    <row r="469" spans="1:13" x14ac:dyDescent="0.25">
      <c r="A469" s="8" t="s">
        <v>2902</v>
      </c>
      <c r="B469" s="8">
        <f>COUNTIF('All Papers'!D:D,"*"&amp;Table1[[#This Row],[Name]]&amp;"*")</f>
        <v>1</v>
      </c>
      <c r="C469" s="8">
        <f>COUNTIFS('All Papers'!$D:$D,"*"&amp;$A469&amp;"*",'All Papers'!$G:$G,"*"&amp;Table1[[#Headers],[Composition]]&amp;"*")</f>
        <v>0</v>
      </c>
      <c r="D469" s="8">
        <f>COUNTIFS('All Papers'!$D:$D,"*"&amp;$A469&amp;"*",'All Papers'!$G:$G,"*"&amp;Table1[[#Headers],[Discovery]]&amp;"*")</f>
        <v>0</v>
      </c>
      <c r="E469" s="8">
        <f>COUNTIFS('All Papers'!$D:$D,"*"&amp;$A469&amp;"*",'All Papers'!$G:$G,"*"&amp;Table1[[#Headers],[Selection]]&amp;"*")</f>
        <v>0</v>
      </c>
      <c r="F469" s="8">
        <f>COUNTIFS('All Papers'!$D:$D,"*"&amp;$A469&amp;"*",'All Papers'!$G:$G,"*"&amp;Table1[[#Headers],[Recommendation]]&amp;"*")</f>
        <v>0</v>
      </c>
      <c r="G469" s="8">
        <f>COUNTIFS('All Papers'!$D:$D,"*"&amp;$A469&amp;"*",'All Papers'!$G:$G,"*"&amp;Table1[[#Headers],[Resource Management-CS]]&amp;"*")</f>
        <v>1</v>
      </c>
      <c r="H469" s="8">
        <f>COUNTIFS('All Papers'!$D:$D,"*"&amp;$A469&amp;"*",'All Papers'!$G:$G,"*"&amp;Table1[[#Headers],[Resource Management-PS]]&amp;"*")</f>
        <v>0</v>
      </c>
      <c r="I469" s="8">
        <f>COUNTIFS('All Papers'!$D:$D,"*"&amp;$A469&amp;"*",'All Papers'!$G:$G,"*"&amp;Table1[[#Headers],[SLA Management]]&amp;"*")</f>
        <v>0</v>
      </c>
      <c r="J469" s="8">
        <f>COUNTIFS('All Papers'!$D:$D,"*"&amp;$A469&amp;"*",'All Papers'!$G:$G,"*"&amp;Table1[[#Headers],[Big Data]]&amp;"*")</f>
        <v>0</v>
      </c>
      <c r="K469" s="8">
        <f>COUNTIFS('All Papers'!$D:$D,"*"&amp;$A469&amp;"*",'All Papers'!$G:$G,"*"&amp;Table1[[#Headers],[Energy Management]]&amp;"*")</f>
        <v>0</v>
      </c>
      <c r="L469" s="8">
        <f>COUNTIFS('All Papers'!$D:$D,"*"&amp;$A469&amp;"*",'All Papers'!$G:$G,"*"&amp;Table1[[#Headers],[Monitoring]]&amp;"*")</f>
        <v>0</v>
      </c>
      <c r="M469" s="8">
        <f>COUNTIFS('All Papers'!$D:$D,"*"&amp;$A469&amp;"*",'All Papers'!$G:$G,"*"&amp;Table1[[#Headers],[Pricing]]&amp;"*")</f>
        <v>0</v>
      </c>
    </row>
    <row r="470" spans="1:13" x14ac:dyDescent="0.25">
      <c r="A470" s="8" t="s">
        <v>2903</v>
      </c>
      <c r="B470" s="8">
        <f>COUNTIF('All Papers'!D:D,"*"&amp;Table1[[#This Row],[Name]]&amp;"*")</f>
        <v>1</v>
      </c>
      <c r="C470" s="8">
        <f>COUNTIFS('All Papers'!$D:$D,"*"&amp;$A470&amp;"*",'All Papers'!$G:$G,"*"&amp;Table1[[#Headers],[Composition]]&amp;"*")</f>
        <v>1</v>
      </c>
      <c r="D470" s="8">
        <f>COUNTIFS('All Papers'!$D:$D,"*"&amp;$A470&amp;"*",'All Papers'!$G:$G,"*"&amp;Table1[[#Headers],[Discovery]]&amp;"*")</f>
        <v>0</v>
      </c>
      <c r="E470" s="8">
        <f>COUNTIFS('All Papers'!$D:$D,"*"&amp;$A470&amp;"*",'All Papers'!$G:$G,"*"&amp;Table1[[#Headers],[Selection]]&amp;"*")</f>
        <v>0</v>
      </c>
      <c r="F470" s="8">
        <f>COUNTIFS('All Papers'!$D:$D,"*"&amp;$A470&amp;"*",'All Papers'!$G:$G,"*"&amp;Table1[[#Headers],[Recommendation]]&amp;"*")</f>
        <v>0</v>
      </c>
      <c r="G470" s="8">
        <f>COUNTIFS('All Papers'!$D:$D,"*"&amp;$A470&amp;"*",'All Papers'!$G:$G,"*"&amp;Table1[[#Headers],[Resource Management-CS]]&amp;"*")</f>
        <v>0</v>
      </c>
      <c r="H470" s="8">
        <f>COUNTIFS('All Papers'!$D:$D,"*"&amp;$A470&amp;"*",'All Papers'!$G:$G,"*"&amp;Table1[[#Headers],[Resource Management-PS]]&amp;"*")</f>
        <v>0</v>
      </c>
      <c r="I470" s="8">
        <f>COUNTIFS('All Papers'!$D:$D,"*"&amp;$A470&amp;"*",'All Papers'!$G:$G,"*"&amp;Table1[[#Headers],[SLA Management]]&amp;"*")</f>
        <v>0</v>
      </c>
      <c r="J470" s="8">
        <f>COUNTIFS('All Papers'!$D:$D,"*"&amp;$A470&amp;"*",'All Papers'!$G:$G,"*"&amp;Table1[[#Headers],[Big Data]]&amp;"*")</f>
        <v>0</v>
      </c>
      <c r="K470" s="8">
        <f>COUNTIFS('All Papers'!$D:$D,"*"&amp;$A470&amp;"*",'All Papers'!$G:$G,"*"&amp;Table1[[#Headers],[Energy Management]]&amp;"*")</f>
        <v>0</v>
      </c>
      <c r="L470" s="8">
        <f>COUNTIFS('All Papers'!$D:$D,"*"&amp;$A470&amp;"*",'All Papers'!$G:$G,"*"&amp;Table1[[#Headers],[Monitoring]]&amp;"*")</f>
        <v>0</v>
      </c>
      <c r="M470" s="8">
        <f>COUNTIFS('All Papers'!$D:$D,"*"&amp;$A470&amp;"*",'All Papers'!$G:$G,"*"&amp;Table1[[#Headers],[Pricing]]&amp;"*")</f>
        <v>0</v>
      </c>
    </row>
    <row r="471" spans="1:13" x14ac:dyDescent="0.25">
      <c r="A471" s="8" t="s">
        <v>2904</v>
      </c>
      <c r="B471" s="8">
        <f>COUNTIF('All Papers'!D:D,"*"&amp;Table1[[#This Row],[Name]]&amp;"*")</f>
        <v>1</v>
      </c>
      <c r="C471" s="8">
        <f>COUNTIFS('All Papers'!$D:$D,"*"&amp;$A471&amp;"*",'All Papers'!$G:$G,"*"&amp;Table1[[#Headers],[Composition]]&amp;"*")</f>
        <v>0</v>
      </c>
      <c r="D471" s="8">
        <f>COUNTIFS('All Papers'!$D:$D,"*"&amp;$A471&amp;"*",'All Papers'!$G:$G,"*"&amp;Table1[[#Headers],[Discovery]]&amp;"*")</f>
        <v>0</v>
      </c>
      <c r="E471" s="8">
        <f>COUNTIFS('All Papers'!$D:$D,"*"&amp;$A471&amp;"*",'All Papers'!$G:$G,"*"&amp;Table1[[#Headers],[Selection]]&amp;"*")</f>
        <v>0</v>
      </c>
      <c r="F471" s="8">
        <f>COUNTIFS('All Papers'!$D:$D,"*"&amp;$A471&amp;"*",'All Papers'!$G:$G,"*"&amp;Table1[[#Headers],[Recommendation]]&amp;"*")</f>
        <v>0</v>
      </c>
      <c r="G471" s="8">
        <f>COUNTIFS('All Papers'!$D:$D,"*"&amp;$A471&amp;"*",'All Papers'!$G:$G,"*"&amp;Table1[[#Headers],[Resource Management-CS]]&amp;"*")</f>
        <v>1</v>
      </c>
      <c r="H471" s="8">
        <f>COUNTIFS('All Papers'!$D:$D,"*"&amp;$A471&amp;"*",'All Papers'!$G:$G,"*"&amp;Table1[[#Headers],[Resource Management-PS]]&amp;"*")</f>
        <v>0</v>
      </c>
      <c r="I471" s="8">
        <f>COUNTIFS('All Papers'!$D:$D,"*"&amp;$A471&amp;"*",'All Papers'!$G:$G,"*"&amp;Table1[[#Headers],[SLA Management]]&amp;"*")</f>
        <v>1</v>
      </c>
      <c r="J471" s="8">
        <f>COUNTIFS('All Papers'!$D:$D,"*"&amp;$A471&amp;"*",'All Papers'!$G:$G,"*"&amp;Table1[[#Headers],[Big Data]]&amp;"*")</f>
        <v>0</v>
      </c>
      <c r="K471" s="8">
        <f>COUNTIFS('All Papers'!$D:$D,"*"&amp;$A471&amp;"*",'All Papers'!$G:$G,"*"&amp;Table1[[#Headers],[Energy Management]]&amp;"*")</f>
        <v>0</v>
      </c>
      <c r="L471" s="8">
        <f>COUNTIFS('All Papers'!$D:$D,"*"&amp;$A471&amp;"*",'All Papers'!$G:$G,"*"&amp;Table1[[#Headers],[Monitoring]]&amp;"*")</f>
        <v>0</v>
      </c>
      <c r="M471" s="8">
        <f>COUNTIFS('All Papers'!$D:$D,"*"&amp;$A471&amp;"*",'All Papers'!$G:$G,"*"&amp;Table1[[#Headers],[Pricing]]&amp;"*")</f>
        <v>0</v>
      </c>
    </row>
    <row r="472" spans="1:13" x14ac:dyDescent="0.25">
      <c r="A472" s="8" t="s">
        <v>2905</v>
      </c>
      <c r="B472" s="8">
        <f>COUNTIF('All Papers'!D:D,"*"&amp;Table1[[#This Row],[Name]]&amp;"*")</f>
        <v>1</v>
      </c>
      <c r="C472" s="8">
        <f>COUNTIFS('All Papers'!$D:$D,"*"&amp;$A472&amp;"*",'All Papers'!$G:$G,"*"&amp;Table1[[#Headers],[Composition]]&amp;"*")</f>
        <v>0</v>
      </c>
      <c r="D472" s="8">
        <f>COUNTIFS('All Papers'!$D:$D,"*"&amp;$A472&amp;"*",'All Papers'!$G:$G,"*"&amp;Table1[[#Headers],[Discovery]]&amp;"*")</f>
        <v>0</v>
      </c>
      <c r="E472" s="8">
        <f>COUNTIFS('All Papers'!$D:$D,"*"&amp;$A472&amp;"*",'All Papers'!$G:$G,"*"&amp;Table1[[#Headers],[Selection]]&amp;"*")</f>
        <v>0</v>
      </c>
      <c r="F472" s="8">
        <f>COUNTIFS('All Papers'!$D:$D,"*"&amp;$A472&amp;"*",'All Papers'!$G:$G,"*"&amp;Table1[[#Headers],[Recommendation]]&amp;"*")</f>
        <v>0</v>
      </c>
      <c r="G472" s="8">
        <f>COUNTIFS('All Papers'!$D:$D,"*"&amp;$A472&amp;"*",'All Papers'!$G:$G,"*"&amp;Table1[[#Headers],[Resource Management-CS]]&amp;"*")</f>
        <v>1</v>
      </c>
      <c r="H472" s="8">
        <f>COUNTIFS('All Papers'!$D:$D,"*"&amp;$A472&amp;"*",'All Papers'!$G:$G,"*"&amp;Table1[[#Headers],[Resource Management-PS]]&amp;"*")</f>
        <v>0</v>
      </c>
      <c r="I472" s="8">
        <f>COUNTIFS('All Papers'!$D:$D,"*"&amp;$A472&amp;"*",'All Papers'!$G:$G,"*"&amp;Table1[[#Headers],[SLA Management]]&amp;"*")</f>
        <v>1</v>
      </c>
      <c r="J472" s="8">
        <f>COUNTIFS('All Papers'!$D:$D,"*"&amp;$A472&amp;"*",'All Papers'!$G:$G,"*"&amp;Table1[[#Headers],[Big Data]]&amp;"*")</f>
        <v>0</v>
      </c>
      <c r="K472" s="8">
        <f>COUNTIFS('All Papers'!$D:$D,"*"&amp;$A472&amp;"*",'All Papers'!$G:$G,"*"&amp;Table1[[#Headers],[Energy Management]]&amp;"*")</f>
        <v>0</v>
      </c>
      <c r="L472" s="8">
        <f>COUNTIFS('All Papers'!$D:$D,"*"&amp;$A472&amp;"*",'All Papers'!$G:$G,"*"&amp;Table1[[#Headers],[Monitoring]]&amp;"*")</f>
        <v>0</v>
      </c>
      <c r="M472" s="8">
        <f>COUNTIFS('All Papers'!$D:$D,"*"&amp;$A472&amp;"*",'All Papers'!$G:$G,"*"&amp;Table1[[#Headers],[Pricing]]&amp;"*")</f>
        <v>0</v>
      </c>
    </row>
    <row r="473" spans="1:13" x14ac:dyDescent="0.25">
      <c r="A473" s="8" t="s">
        <v>2906</v>
      </c>
      <c r="B473" s="8">
        <f>COUNTIF('All Papers'!D:D,"*"&amp;Table1[[#This Row],[Name]]&amp;"*")</f>
        <v>1</v>
      </c>
      <c r="C473" s="8">
        <f>COUNTIFS('All Papers'!$D:$D,"*"&amp;$A473&amp;"*",'All Papers'!$G:$G,"*"&amp;Table1[[#Headers],[Composition]]&amp;"*")</f>
        <v>0</v>
      </c>
      <c r="D473" s="8">
        <f>COUNTIFS('All Papers'!$D:$D,"*"&amp;$A473&amp;"*",'All Papers'!$G:$G,"*"&amp;Table1[[#Headers],[Discovery]]&amp;"*")</f>
        <v>0</v>
      </c>
      <c r="E473" s="8">
        <f>COUNTIFS('All Papers'!$D:$D,"*"&amp;$A473&amp;"*",'All Papers'!$G:$G,"*"&amp;Table1[[#Headers],[Selection]]&amp;"*")</f>
        <v>0</v>
      </c>
      <c r="F473" s="8">
        <f>COUNTIFS('All Papers'!$D:$D,"*"&amp;$A473&amp;"*",'All Papers'!$G:$G,"*"&amp;Table1[[#Headers],[Recommendation]]&amp;"*")</f>
        <v>0</v>
      </c>
      <c r="G473" s="8">
        <f>COUNTIFS('All Papers'!$D:$D,"*"&amp;$A473&amp;"*",'All Papers'!$G:$G,"*"&amp;Table1[[#Headers],[Resource Management-CS]]&amp;"*")</f>
        <v>1</v>
      </c>
      <c r="H473" s="8">
        <f>COUNTIFS('All Papers'!$D:$D,"*"&amp;$A473&amp;"*",'All Papers'!$G:$G,"*"&amp;Table1[[#Headers],[Resource Management-PS]]&amp;"*")</f>
        <v>0</v>
      </c>
      <c r="I473" s="8">
        <f>COUNTIFS('All Papers'!$D:$D,"*"&amp;$A473&amp;"*",'All Papers'!$G:$G,"*"&amp;Table1[[#Headers],[SLA Management]]&amp;"*")</f>
        <v>1</v>
      </c>
      <c r="J473" s="8">
        <f>COUNTIFS('All Papers'!$D:$D,"*"&amp;$A473&amp;"*",'All Papers'!$G:$G,"*"&amp;Table1[[#Headers],[Big Data]]&amp;"*")</f>
        <v>0</v>
      </c>
      <c r="K473" s="8">
        <f>COUNTIFS('All Papers'!$D:$D,"*"&amp;$A473&amp;"*",'All Papers'!$G:$G,"*"&amp;Table1[[#Headers],[Energy Management]]&amp;"*")</f>
        <v>0</v>
      </c>
      <c r="L473" s="8">
        <f>COUNTIFS('All Papers'!$D:$D,"*"&amp;$A473&amp;"*",'All Papers'!$G:$G,"*"&amp;Table1[[#Headers],[Monitoring]]&amp;"*")</f>
        <v>0</v>
      </c>
      <c r="M473" s="8">
        <f>COUNTIFS('All Papers'!$D:$D,"*"&amp;$A473&amp;"*",'All Papers'!$G:$G,"*"&amp;Table1[[#Headers],[Pricing]]&amp;"*")</f>
        <v>0</v>
      </c>
    </row>
    <row r="474" spans="1:13" x14ac:dyDescent="0.25">
      <c r="A474" s="8" t="s">
        <v>2907</v>
      </c>
      <c r="B474" s="8">
        <f>COUNTIF('All Papers'!D:D,"*"&amp;Table1[[#This Row],[Name]]&amp;"*")</f>
        <v>1</v>
      </c>
      <c r="C474" s="8">
        <f>COUNTIFS('All Papers'!$D:$D,"*"&amp;$A474&amp;"*",'All Papers'!$G:$G,"*"&amp;Table1[[#Headers],[Composition]]&amp;"*")</f>
        <v>0</v>
      </c>
      <c r="D474" s="8">
        <f>COUNTIFS('All Papers'!$D:$D,"*"&amp;$A474&amp;"*",'All Papers'!$G:$G,"*"&amp;Table1[[#Headers],[Discovery]]&amp;"*")</f>
        <v>0</v>
      </c>
      <c r="E474" s="8">
        <f>COUNTIFS('All Papers'!$D:$D,"*"&amp;$A474&amp;"*",'All Papers'!$G:$G,"*"&amp;Table1[[#Headers],[Selection]]&amp;"*")</f>
        <v>0</v>
      </c>
      <c r="F474" s="8">
        <f>COUNTIFS('All Papers'!$D:$D,"*"&amp;$A474&amp;"*",'All Papers'!$G:$G,"*"&amp;Table1[[#Headers],[Recommendation]]&amp;"*")</f>
        <v>0</v>
      </c>
      <c r="G474" s="8">
        <f>COUNTIFS('All Papers'!$D:$D,"*"&amp;$A474&amp;"*",'All Papers'!$G:$G,"*"&amp;Table1[[#Headers],[Resource Management-CS]]&amp;"*")</f>
        <v>1</v>
      </c>
      <c r="H474" s="8">
        <f>COUNTIFS('All Papers'!$D:$D,"*"&amp;$A474&amp;"*",'All Papers'!$G:$G,"*"&amp;Table1[[#Headers],[Resource Management-PS]]&amp;"*")</f>
        <v>0</v>
      </c>
      <c r="I474" s="8">
        <f>COUNTIFS('All Papers'!$D:$D,"*"&amp;$A474&amp;"*",'All Papers'!$G:$G,"*"&amp;Table1[[#Headers],[SLA Management]]&amp;"*")</f>
        <v>1</v>
      </c>
      <c r="J474" s="8">
        <f>COUNTIFS('All Papers'!$D:$D,"*"&amp;$A474&amp;"*",'All Papers'!$G:$G,"*"&amp;Table1[[#Headers],[Big Data]]&amp;"*")</f>
        <v>0</v>
      </c>
      <c r="K474" s="8">
        <f>COUNTIFS('All Papers'!$D:$D,"*"&amp;$A474&amp;"*",'All Papers'!$G:$G,"*"&amp;Table1[[#Headers],[Energy Management]]&amp;"*")</f>
        <v>0</v>
      </c>
      <c r="L474" s="8">
        <f>COUNTIFS('All Papers'!$D:$D,"*"&amp;$A474&amp;"*",'All Papers'!$G:$G,"*"&amp;Table1[[#Headers],[Monitoring]]&amp;"*")</f>
        <v>0</v>
      </c>
      <c r="M474" s="8">
        <f>COUNTIFS('All Papers'!$D:$D,"*"&amp;$A474&amp;"*",'All Papers'!$G:$G,"*"&amp;Table1[[#Headers],[Pricing]]&amp;"*")</f>
        <v>0</v>
      </c>
    </row>
    <row r="475" spans="1:13" x14ac:dyDescent="0.25">
      <c r="A475" s="8" t="s">
        <v>2908</v>
      </c>
      <c r="B475" s="8">
        <f>COUNTIF('All Papers'!D:D,"*"&amp;Table1[[#This Row],[Name]]&amp;"*")</f>
        <v>1</v>
      </c>
      <c r="C475" s="8">
        <f>COUNTIFS('All Papers'!$D:$D,"*"&amp;$A475&amp;"*",'All Papers'!$G:$G,"*"&amp;Table1[[#Headers],[Composition]]&amp;"*")</f>
        <v>0</v>
      </c>
      <c r="D475" s="8">
        <f>COUNTIFS('All Papers'!$D:$D,"*"&amp;$A475&amp;"*",'All Papers'!$G:$G,"*"&amp;Table1[[#Headers],[Discovery]]&amp;"*")</f>
        <v>0</v>
      </c>
      <c r="E475" s="8">
        <f>COUNTIFS('All Papers'!$D:$D,"*"&amp;$A475&amp;"*",'All Papers'!$G:$G,"*"&amp;Table1[[#Headers],[Selection]]&amp;"*")</f>
        <v>0</v>
      </c>
      <c r="F475" s="8">
        <f>COUNTIFS('All Papers'!$D:$D,"*"&amp;$A475&amp;"*",'All Papers'!$G:$G,"*"&amp;Table1[[#Headers],[Recommendation]]&amp;"*")</f>
        <v>0</v>
      </c>
      <c r="G475" s="8">
        <f>COUNTIFS('All Papers'!$D:$D,"*"&amp;$A475&amp;"*",'All Papers'!$G:$G,"*"&amp;Table1[[#Headers],[Resource Management-CS]]&amp;"*")</f>
        <v>1</v>
      </c>
      <c r="H475" s="8">
        <f>COUNTIFS('All Papers'!$D:$D,"*"&amp;$A475&amp;"*",'All Papers'!$G:$G,"*"&amp;Table1[[#Headers],[Resource Management-PS]]&amp;"*")</f>
        <v>0</v>
      </c>
      <c r="I475" s="8">
        <f>COUNTIFS('All Papers'!$D:$D,"*"&amp;$A475&amp;"*",'All Papers'!$G:$G,"*"&amp;Table1[[#Headers],[SLA Management]]&amp;"*")</f>
        <v>0</v>
      </c>
      <c r="J475" s="8">
        <f>COUNTIFS('All Papers'!$D:$D,"*"&amp;$A475&amp;"*",'All Papers'!$G:$G,"*"&amp;Table1[[#Headers],[Big Data]]&amp;"*")</f>
        <v>0</v>
      </c>
      <c r="K475" s="8">
        <f>COUNTIFS('All Papers'!$D:$D,"*"&amp;$A475&amp;"*",'All Papers'!$G:$G,"*"&amp;Table1[[#Headers],[Energy Management]]&amp;"*")</f>
        <v>0</v>
      </c>
      <c r="L475" s="8">
        <f>COUNTIFS('All Papers'!$D:$D,"*"&amp;$A475&amp;"*",'All Papers'!$G:$G,"*"&amp;Table1[[#Headers],[Monitoring]]&amp;"*")</f>
        <v>1</v>
      </c>
      <c r="M475" s="8">
        <f>COUNTIFS('All Papers'!$D:$D,"*"&amp;$A475&amp;"*",'All Papers'!$G:$G,"*"&amp;Table1[[#Headers],[Pricing]]&amp;"*")</f>
        <v>0</v>
      </c>
    </row>
    <row r="476" spans="1:13" x14ac:dyDescent="0.25">
      <c r="A476" s="8" t="s">
        <v>2909</v>
      </c>
      <c r="B476" s="8">
        <f>COUNTIF('All Papers'!D:D,"*"&amp;Table1[[#This Row],[Name]]&amp;"*")</f>
        <v>1</v>
      </c>
      <c r="C476" s="8">
        <f>COUNTIFS('All Papers'!$D:$D,"*"&amp;$A476&amp;"*",'All Papers'!$G:$G,"*"&amp;Table1[[#Headers],[Composition]]&amp;"*")</f>
        <v>0</v>
      </c>
      <c r="D476" s="8">
        <f>COUNTIFS('All Papers'!$D:$D,"*"&amp;$A476&amp;"*",'All Papers'!$G:$G,"*"&amp;Table1[[#Headers],[Discovery]]&amp;"*")</f>
        <v>0</v>
      </c>
      <c r="E476" s="8">
        <f>COUNTIFS('All Papers'!$D:$D,"*"&amp;$A476&amp;"*",'All Papers'!$G:$G,"*"&amp;Table1[[#Headers],[Selection]]&amp;"*")</f>
        <v>0</v>
      </c>
      <c r="F476" s="8">
        <f>COUNTIFS('All Papers'!$D:$D,"*"&amp;$A476&amp;"*",'All Papers'!$G:$G,"*"&amp;Table1[[#Headers],[Recommendation]]&amp;"*")</f>
        <v>0</v>
      </c>
      <c r="G476" s="8">
        <f>COUNTIFS('All Papers'!$D:$D,"*"&amp;$A476&amp;"*",'All Papers'!$G:$G,"*"&amp;Table1[[#Headers],[Resource Management-CS]]&amp;"*")</f>
        <v>1</v>
      </c>
      <c r="H476" s="8">
        <f>COUNTIFS('All Papers'!$D:$D,"*"&amp;$A476&amp;"*",'All Papers'!$G:$G,"*"&amp;Table1[[#Headers],[Resource Management-PS]]&amp;"*")</f>
        <v>0</v>
      </c>
      <c r="I476" s="8">
        <f>COUNTIFS('All Papers'!$D:$D,"*"&amp;$A476&amp;"*",'All Papers'!$G:$G,"*"&amp;Table1[[#Headers],[SLA Management]]&amp;"*")</f>
        <v>0</v>
      </c>
      <c r="J476" s="8">
        <f>COUNTIFS('All Papers'!$D:$D,"*"&amp;$A476&amp;"*",'All Papers'!$G:$G,"*"&amp;Table1[[#Headers],[Big Data]]&amp;"*")</f>
        <v>0</v>
      </c>
      <c r="K476" s="8">
        <f>COUNTIFS('All Papers'!$D:$D,"*"&amp;$A476&amp;"*",'All Papers'!$G:$G,"*"&amp;Table1[[#Headers],[Energy Management]]&amp;"*")</f>
        <v>0</v>
      </c>
      <c r="L476" s="8">
        <f>COUNTIFS('All Papers'!$D:$D,"*"&amp;$A476&amp;"*",'All Papers'!$G:$G,"*"&amp;Table1[[#Headers],[Monitoring]]&amp;"*")</f>
        <v>1</v>
      </c>
      <c r="M476" s="8">
        <f>COUNTIFS('All Papers'!$D:$D,"*"&amp;$A476&amp;"*",'All Papers'!$G:$G,"*"&amp;Table1[[#Headers],[Pricing]]&amp;"*")</f>
        <v>0</v>
      </c>
    </row>
    <row r="477" spans="1:13" x14ac:dyDescent="0.25">
      <c r="A477" s="8" t="s">
        <v>2910</v>
      </c>
      <c r="B477" s="8">
        <f>COUNTIF('All Papers'!D:D,"*"&amp;Table1[[#This Row],[Name]]&amp;"*")</f>
        <v>1</v>
      </c>
      <c r="C477" s="8">
        <f>COUNTIFS('All Papers'!$D:$D,"*"&amp;$A477&amp;"*",'All Papers'!$G:$G,"*"&amp;Table1[[#Headers],[Composition]]&amp;"*")</f>
        <v>0</v>
      </c>
      <c r="D477" s="8">
        <f>COUNTIFS('All Papers'!$D:$D,"*"&amp;$A477&amp;"*",'All Papers'!$G:$G,"*"&amp;Table1[[#Headers],[Discovery]]&amp;"*")</f>
        <v>0</v>
      </c>
      <c r="E477" s="8">
        <f>COUNTIFS('All Papers'!$D:$D,"*"&amp;$A477&amp;"*",'All Papers'!$G:$G,"*"&amp;Table1[[#Headers],[Selection]]&amp;"*")</f>
        <v>0</v>
      </c>
      <c r="F477" s="8">
        <f>COUNTIFS('All Papers'!$D:$D,"*"&amp;$A477&amp;"*",'All Papers'!$G:$G,"*"&amp;Table1[[#Headers],[Recommendation]]&amp;"*")</f>
        <v>0</v>
      </c>
      <c r="G477" s="8">
        <f>COUNTIFS('All Papers'!$D:$D,"*"&amp;$A477&amp;"*",'All Papers'!$G:$G,"*"&amp;Table1[[#Headers],[Resource Management-CS]]&amp;"*")</f>
        <v>1</v>
      </c>
      <c r="H477" s="8">
        <f>COUNTIFS('All Papers'!$D:$D,"*"&amp;$A477&amp;"*",'All Papers'!$G:$G,"*"&amp;Table1[[#Headers],[Resource Management-PS]]&amp;"*")</f>
        <v>0</v>
      </c>
      <c r="I477" s="8">
        <f>COUNTIFS('All Papers'!$D:$D,"*"&amp;$A477&amp;"*",'All Papers'!$G:$G,"*"&amp;Table1[[#Headers],[SLA Management]]&amp;"*")</f>
        <v>0</v>
      </c>
      <c r="J477" s="8">
        <f>COUNTIFS('All Papers'!$D:$D,"*"&amp;$A477&amp;"*",'All Papers'!$G:$G,"*"&amp;Table1[[#Headers],[Big Data]]&amp;"*")</f>
        <v>0</v>
      </c>
      <c r="K477" s="8">
        <f>COUNTIFS('All Papers'!$D:$D,"*"&amp;$A477&amp;"*",'All Papers'!$G:$G,"*"&amp;Table1[[#Headers],[Energy Management]]&amp;"*")</f>
        <v>0</v>
      </c>
      <c r="L477" s="8">
        <f>COUNTIFS('All Papers'!$D:$D,"*"&amp;$A477&amp;"*",'All Papers'!$G:$G,"*"&amp;Table1[[#Headers],[Monitoring]]&amp;"*")</f>
        <v>1</v>
      </c>
      <c r="M477" s="8">
        <f>COUNTIFS('All Papers'!$D:$D,"*"&amp;$A477&amp;"*",'All Papers'!$G:$G,"*"&amp;Table1[[#Headers],[Pricing]]&amp;"*")</f>
        <v>0</v>
      </c>
    </row>
    <row r="478" spans="1:13" x14ac:dyDescent="0.25">
      <c r="A478" s="8" t="s">
        <v>2911</v>
      </c>
      <c r="B478" s="8">
        <f>COUNTIF('All Papers'!D:D,"*"&amp;Table1[[#This Row],[Name]]&amp;"*")</f>
        <v>1</v>
      </c>
      <c r="C478" s="8">
        <f>COUNTIFS('All Papers'!$D:$D,"*"&amp;$A478&amp;"*",'All Papers'!$G:$G,"*"&amp;Table1[[#Headers],[Composition]]&amp;"*")</f>
        <v>0</v>
      </c>
      <c r="D478" s="8">
        <f>COUNTIFS('All Papers'!$D:$D,"*"&amp;$A478&amp;"*",'All Papers'!$G:$G,"*"&amp;Table1[[#Headers],[Discovery]]&amp;"*")</f>
        <v>0</v>
      </c>
      <c r="E478" s="8">
        <f>COUNTIFS('All Papers'!$D:$D,"*"&amp;$A478&amp;"*",'All Papers'!$G:$G,"*"&amp;Table1[[#Headers],[Selection]]&amp;"*")</f>
        <v>1</v>
      </c>
      <c r="F478" s="8">
        <f>COUNTIFS('All Papers'!$D:$D,"*"&amp;$A478&amp;"*",'All Papers'!$G:$G,"*"&amp;Table1[[#Headers],[Recommendation]]&amp;"*")</f>
        <v>0</v>
      </c>
      <c r="G478" s="8">
        <f>COUNTIFS('All Papers'!$D:$D,"*"&amp;$A478&amp;"*",'All Papers'!$G:$G,"*"&amp;Table1[[#Headers],[Resource Management-CS]]&amp;"*")</f>
        <v>0</v>
      </c>
      <c r="H478" s="8">
        <f>COUNTIFS('All Papers'!$D:$D,"*"&amp;$A478&amp;"*",'All Papers'!$G:$G,"*"&amp;Table1[[#Headers],[Resource Management-PS]]&amp;"*")</f>
        <v>0</v>
      </c>
      <c r="I478" s="8">
        <f>COUNTIFS('All Papers'!$D:$D,"*"&amp;$A478&amp;"*",'All Papers'!$G:$G,"*"&amp;Table1[[#Headers],[SLA Management]]&amp;"*")</f>
        <v>0</v>
      </c>
      <c r="J478" s="8">
        <f>COUNTIFS('All Papers'!$D:$D,"*"&amp;$A478&amp;"*",'All Papers'!$G:$G,"*"&amp;Table1[[#Headers],[Big Data]]&amp;"*")</f>
        <v>0</v>
      </c>
      <c r="K478" s="8">
        <f>COUNTIFS('All Papers'!$D:$D,"*"&amp;$A478&amp;"*",'All Papers'!$G:$G,"*"&amp;Table1[[#Headers],[Energy Management]]&amp;"*")</f>
        <v>0</v>
      </c>
      <c r="L478" s="8">
        <f>COUNTIFS('All Papers'!$D:$D,"*"&amp;$A478&amp;"*",'All Papers'!$G:$G,"*"&amp;Table1[[#Headers],[Monitoring]]&amp;"*")</f>
        <v>0</v>
      </c>
      <c r="M478" s="8">
        <f>COUNTIFS('All Papers'!$D:$D,"*"&amp;$A478&amp;"*",'All Papers'!$G:$G,"*"&amp;Table1[[#Headers],[Pricing]]&amp;"*")</f>
        <v>0</v>
      </c>
    </row>
    <row r="479" spans="1:13" x14ac:dyDescent="0.25">
      <c r="A479" s="8" t="s">
        <v>2912</v>
      </c>
      <c r="B479" s="8">
        <f>COUNTIF('All Papers'!D:D,"*"&amp;Table1[[#This Row],[Name]]&amp;"*")</f>
        <v>1</v>
      </c>
      <c r="C479" s="8">
        <f>COUNTIFS('All Papers'!$D:$D,"*"&amp;$A479&amp;"*",'All Papers'!$G:$G,"*"&amp;Table1[[#Headers],[Composition]]&amp;"*")</f>
        <v>0</v>
      </c>
      <c r="D479" s="8">
        <f>COUNTIFS('All Papers'!$D:$D,"*"&amp;$A479&amp;"*",'All Papers'!$G:$G,"*"&amp;Table1[[#Headers],[Discovery]]&amp;"*")</f>
        <v>0</v>
      </c>
      <c r="E479" s="8">
        <f>COUNTIFS('All Papers'!$D:$D,"*"&amp;$A479&amp;"*",'All Papers'!$G:$G,"*"&amp;Table1[[#Headers],[Selection]]&amp;"*")</f>
        <v>1</v>
      </c>
      <c r="F479" s="8">
        <f>COUNTIFS('All Papers'!$D:$D,"*"&amp;$A479&amp;"*",'All Papers'!$G:$G,"*"&amp;Table1[[#Headers],[Recommendation]]&amp;"*")</f>
        <v>0</v>
      </c>
      <c r="G479" s="8">
        <f>COUNTIFS('All Papers'!$D:$D,"*"&amp;$A479&amp;"*",'All Papers'!$G:$G,"*"&amp;Table1[[#Headers],[Resource Management-CS]]&amp;"*")</f>
        <v>0</v>
      </c>
      <c r="H479" s="8">
        <f>COUNTIFS('All Papers'!$D:$D,"*"&amp;$A479&amp;"*",'All Papers'!$G:$G,"*"&amp;Table1[[#Headers],[Resource Management-PS]]&amp;"*")</f>
        <v>0</v>
      </c>
      <c r="I479" s="8">
        <f>COUNTIFS('All Papers'!$D:$D,"*"&amp;$A479&amp;"*",'All Papers'!$G:$G,"*"&amp;Table1[[#Headers],[SLA Management]]&amp;"*")</f>
        <v>0</v>
      </c>
      <c r="J479" s="8">
        <f>COUNTIFS('All Papers'!$D:$D,"*"&amp;$A479&amp;"*",'All Papers'!$G:$G,"*"&amp;Table1[[#Headers],[Big Data]]&amp;"*")</f>
        <v>0</v>
      </c>
      <c r="K479" s="8">
        <f>COUNTIFS('All Papers'!$D:$D,"*"&amp;$A479&amp;"*",'All Papers'!$G:$G,"*"&amp;Table1[[#Headers],[Energy Management]]&amp;"*")</f>
        <v>0</v>
      </c>
      <c r="L479" s="8">
        <f>COUNTIFS('All Papers'!$D:$D,"*"&amp;$A479&amp;"*",'All Papers'!$G:$G,"*"&amp;Table1[[#Headers],[Monitoring]]&amp;"*")</f>
        <v>0</v>
      </c>
      <c r="M479" s="8">
        <f>COUNTIFS('All Papers'!$D:$D,"*"&amp;$A479&amp;"*",'All Papers'!$G:$G,"*"&amp;Table1[[#Headers],[Pricing]]&amp;"*")</f>
        <v>0</v>
      </c>
    </row>
    <row r="480" spans="1:13" x14ac:dyDescent="0.25">
      <c r="A480" s="8" t="s">
        <v>2913</v>
      </c>
      <c r="B480" s="8">
        <f>COUNTIF('All Papers'!D:D,"*"&amp;Table1[[#This Row],[Name]]&amp;"*")</f>
        <v>1</v>
      </c>
      <c r="C480" s="8">
        <f>COUNTIFS('All Papers'!$D:$D,"*"&amp;$A480&amp;"*",'All Papers'!$G:$G,"*"&amp;Table1[[#Headers],[Composition]]&amp;"*")</f>
        <v>0</v>
      </c>
      <c r="D480" s="8">
        <f>COUNTIFS('All Papers'!$D:$D,"*"&amp;$A480&amp;"*",'All Papers'!$G:$G,"*"&amp;Table1[[#Headers],[Discovery]]&amp;"*")</f>
        <v>0</v>
      </c>
      <c r="E480" s="8">
        <f>COUNTIFS('All Papers'!$D:$D,"*"&amp;$A480&amp;"*",'All Papers'!$G:$G,"*"&amp;Table1[[#Headers],[Selection]]&amp;"*")</f>
        <v>1</v>
      </c>
      <c r="F480" s="8">
        <f>COUNTIFS('All Papers'!$D:$D,"*"&amp;$A480&amp;"*",'All Papers'!$G:$G,"*"&amp;Table1[[#Headers],[Recommendation]]&amp;"*")</f>
        <v>0</v>
      </c>
      <c r="G480" s="8">
        <f>COUNTIFS('All Papers'!$D:$D,"*"&amp;$A480&amp;"*",'All Papers'!$G:$G,"*"&amp;Table1[[#Headers],[Resource Management-CS]]&amp;"*")</f>
        <v>0</v>
      </c>
      <c r="H480" s="8">
        <f>COUNTIFS('All Papers'!$D:$D,"*"&amp;$A480&amp;"*",'All Papers'!$G:$G,"*"&amp;Table1[[#Headers],[Resource Management-PS]]&amp;"*")</f>
        <v>0</v>
      </c>
      <c r="I480" s="8">
        <f>COUNTIFS('All Papers'!$D:$D,"*"&amp;$A480&amp;"*",'All Papers'!$G:$G,"*"&amp;Table1[[#Headers],[SLA Management]]&amp;"*")</f>
        <v>0</v>
      </c>
      <c r="J480" s="8">
        <f>COUNTIFS('All Papers'!$D:$D,"*"&amp;$A480&amp;"*",'All Papers'!$G:$G,"*"&amp;Table1[[#Headers],[Big Data]]&amp;"*")</f>
        <v>0</v>
      </c>
      <c r="K480" s="8">
        <f>COUNTIFS('All Papers'!$D:$D,"*"&amp;$A480&amp;"*",'All Papers'!$G:$G,"*"&amp;Table1[[#Headers],[Energy Management]]&amp;"*")</f>
        <v>0</v>
      </c>
      <c r="L480" s="8">
        <f>COUNTIFS('All Papers'!$D:$D,"*"&amp;$A480&amp;"*",'All Papers'!$G:$G,"*"&amp;Table1[[#Headers],[Monitoring]]&amp;"*")</f>
        <v>0</v>
      </c>
      <c r="M480" s="8">
        <f>COUNTIFS('All Papers'!$D:$D,"*"&amp;$A480&amp;"*",'All Papers'!$G:$G,"*"&amp;Table1[[#Headers],[Pricing]]&amp;"*")</f>
        <v>0</v>
      </c>
    </row>
    <row r="481" spans="1:13" x14ac:dyDescent="0.25">
      <c r="A481" s="8" t="s">
        <v>2914</v>
      </c>
      <c r="B481" s="8">
        <f>COUNTIF('All Papers'!D:D,"*"&amp;Table1[[#This Row],[Name]]&amp;"*")</f>
        <v>1</v>
      </c>
      <c r="C481" s="8">
        <f>COUNTIFS('All Papers'!$D:$D,"*"&amp;$A481&amp;"*",'All Papers'!$G:$G,"*"&amp;Table1[[#Headers],[Composition]]&amp;"*")</f>
        <v>0</v>
      </c>
      <c r="D481" s="8">
        <f>COUNTIFS('All Papers'!$D:$D,"*"&amp;$A481&amp;"*",'All Papers'!$G:$G,"*"&amp;Table1[[#Headers],[Discovery]]&amp;"*")</f>
        <v>0</v>
      </c>
      <c r="E481" s="8">
        <f>COUNTIFS('All Papers'!$D:$D,"*"&amp;$A481&amp;"*",'All Papers'!$G:$G,"*"&amp;Table1[[#Headers],[Selection]]&amp;"*")</f>
        <v>1</v>
      </c>
      <c r="F481" s="8">
        <f>COUNTIFS('All Papers'!$D:$D,"*"&amp;$A481&amp;"*",'All Papers'!$G:$G,"*"&amp;Table1[[#Headers],[Recommendation]]&amp;"*")</f>
        <v>0</v>
      </c>
      <c r="G481" s="8">
        <f>COUNTIFS('All Papers'!$D:$D,"*"&amp;$A481&amp;"*",'All Papers'!$G:$G,"*"&amp;Table1[[#Headers],[Resource Management-CS]]&amp;"*")</f>
        <v>0</v>
      </c>
      <c r="H481" s="8">
        <f>COUNTIFS('All Papers'!$D:$D,"*"&amp;$A481&amp;"*",'All Papers'!$G:$G,"*"&amp;Table1[[#Headers],[Resource Management-PS]]&amp;"*")</f>
        <v>0</v>
      </c>
      <c r="I481" s="8">
        <f>COUNTIFS('All Papers'!$D:$D,"*"&amp;$A481&amp;"*",'All Papers'!$G:$G,"*"&amp;Table1[[#Headers],[SLA Management]]&amp;"*")</f>
        <v>0</v>
      </c>
      <c r="J481" s="8">
        <f>COUNTIFS('All Papers'!$D:$D,"*"&amp;$A481&amp;"*",'All Papers'!$G:$G,"*"&amp;Table1[[#Headers],[Big Data]]&amp;"*")</f>
        <v>0</v>
      </c>
      <c r="K481" s="8">
        <f>COUNTIFS('All Papers'!$D:$D,"*"&amp;$A481&amp;"*",'All Papers'!$G:$G,"*"&amp;Table1[[#Headers],[Energy Management]]&amp;"*")</f>
        <v>0</v>
      </c>
      <c r="L481" s="8">
        <f>COUNTIFS('All Papers'!$D:$D,"*"&amp;$A481&amp;"*",'All Papers'!$G:$G,"*"&amp;Table1[[#Headers],[Monitoring]]&amp;"*")</f>
        <v>0</v>
      </c>
      <c r="M481" s="8">
        <f>COUNTIFS('All Papers'!$D:$D,"*"&amp;$A481&amp;"*",'All Papers'!$G:$G,"*"&amp;Table1[[#Headers],[Pricing]]&amp;"*")</f>
        <v>0</v>
      </c>
    </row>
    <row r="482" spans="1:13" x14ac:dyDescent="0.25">
      <c r="A482" s="8" t="s">
        <v>2915</v>
      </c>
      <c r="B482" s="8">
        <f>COUNTIF('All Papers'!D:D,"*"&amp;Table1[[#This Row],[Name]]&amp;"*")</f>
        <v>1</v>
      </c>
      <c r="C482" s="8">
        <f>COUNTIFS('All Papers'!$D:$D,"*"&amp;$A482&amp;"*",'All Papers'!$G:$G,"*"&amp;Table1[[#Headers],[Composition]]&amp;"*")</f>
        <v>0</v>
      </c>
      <c r="D482" s="8">
        <f>COUNTIFS('All Papers'!$D:$D,"*"&amp;$A482&amp;"*",'All Papers'!$G:$G,"*"&amp;Table1[[#Headers],[Discovery]]&amp;"*")</f>
        <v>0</v>
      </c>
      <c r="E482" s="8">
        <f>COUNTIFS('All Papers'!$D:$D,"*"&amp;$A482&amp;"*",'All Papers'!$G:$G,"*"&amp;Table1[[#Headers],[Selection]]&amp;"*")</f>
        <v>1</v>
      </c>
      <c r="F482" s="8">
        <f>COUNTIFS('All Papers'!$D:$D,"*"&amp;$A482&amp;"*",'All Papers'!$G:$G,"*"&amp;Table1[[#Headers],[Recommendation]]&amp;"*")</f>
        <v>0</v>
      </c>
      <c r="G482" s="8">
        <f>COUNTIFS('All Papers'!$D:$D,"*"&amp;$A482&amp;"*",'All Papers'!$G:$G,"*"&amp;Table1[[#Headers],[Resource Management-CS]]&amp;"*")</f>
        <v>0</v>
      </c>
      <c r="H482" s="8">
        <f>COUNTIFS('All Papers'!$D:$D,"*"&amp;$A482&amp;"*",'All Papers'!$G:$G,"*"&amp;Table1[[#Headers],[Resource Management-PS]]&amp;"*")</f>
        <v>0</v>
      </c>
      <c r="I482" s="8">
        <f>COUNTIFS('All Papers'!$D:$D,"*"&amp;$A482&amp;"*",'All Papers'!$G:$G,"*"&amp;Table1[[#Headers],[SLA Management]]&amp;"*")</f>
        <v>0</v>
      </c>
      <c r="J482" s="8">
        <f>COUNTIFS('All Papers'!$D:$D,"*"&amp;$A482&amp;"*",'All Papers'!$G:$G,"*"&amp;Table1[[#Headers],[Big Data]]&amp;"*")</f>
        <v>0</v>
      </c>
      <c r="K482" s="8">
        <f>COUNTIFS('All Papers'!$D:$D,"*"&amp;$A482&amp;"*",'All Papers'!$G:$G,"*"&amp;Table1[[#Headers],[Energy Management]]&amp;"*")</f>
        <v>0</v>
      </c>
      <c r="L482" s="8">
        <f>COUNTIFS('All Papers'!$D:$D,"*"&amp;$A482&amp;"*",'All Papers'!$G:$G,"*"&amp;Table1[[#Headers],[Monitoring]]&amp;"*")</f>
        <v>0</v>
      </c>
      <c r="M482" s="8">
        <f>COUNTIFS('All Papers'!$D:$D,"*"&amp;$A482&amp;"*",'All Papers'!$G:$G,"*"&amp;Table1[[#Headers],[Pricing]]&amp;"*")</f>
        <v>0</v>
      </c>
    </row>
    <row r="483" spans="1:13" x14ac:dyDescent="0.25">
      <c r="A483" s="8" t="s">
        <v>2916</v>
      </c>
      <c r="B483" s="8">
        <f>COUNTIF('All Papers'!D:D,"*"&amp;Table1[[#This Row],[Name]]&amp;"*")</f>
        <v>1</v>
      </c>
      <c r="C483" s="8">
        <f>COUNTIFS('All Papers'!$D:$D,"*"&amp;$A483&amp;"*",'All Papers'!$G:$G,"*"&amp;Table1[[#Headers],[Composition]]&amp;"*")</f>
        <v>0</v>
      </c>
      <c r="D483" s="8">
        <f>COUNTIFS('All Papers'!$D:$D,"*"&amp;$A483&amp;"*",'All Papers'!$G:$G,"*"&amp;Table1[[#Headers],[Discovery]]&amp;"*")</f>
        <v>0</v>
      </c>
      <c r="E483" s="8">
        <f>COUNTIFS('All Papers'!$D:$D,"*"&amp;$A483&amp;"*",'All Papers'!$G:$G,"*"&amp;Table1[[#Headers],[Selection]]&amp;"*")</f>
        <v>1</v>
      </c>
      <c r="F483" s="8">
        <f>COUNTIFS('All Papers'!$D:$D,"*"&amp;$A483&amp;"*",'All Papers'!$G:$G,"*"&amp;Table1[[#Headers],[Recommendation]]&amp;"*")</f>
        <v>0</v>
      </c>
      <c r="G483" s="8">
        <f>COUNTIFS('All Papers'!$D:$D,"*"&amp;$A483&amp;"*",'All Papers'!$G:$G,"*"&amp;Table1[[#Headers],[Resource Management-CS]]&amp;"*")</f>
        <v>0</v>
      </c>
      <c r="H483" s="8">
        <f>COUNTIFS('All Papers'!$D:$D,"*"&amp;$A483&amp;"*",'All Papers'!$G:$G,"*"&amp;Table1[[#Headers],[Resource Management-PS]]&amp;"*")</f>
        <v>0</v>
      </c>
      <c r="I483" s="8">
        <f>COUNTIFS('All Papers'!$D:$D,"*"&amp;$A483&amp;"*",'All Papers'!$G:$G,"*"&amp;Table1[[#Headers],[SLA Management]]&amp;"*")</f>
        <v>0</v>
      </c>
      <c r="J483" s="8">
        <f>COUNTIFS('All Papers'!$D:$D,"*"&amp;$A483&amp;"*",'All Papers'!$G:$G,"*"&amp;Table1[[#Headers],[Big Data]]&amp;"*")</f>
        <v>0</v>
      </c>
      <c r="K483" s="8">
        <f>COUNTIFS('All Papers'!$D:$D,"*"&amp;$A483&amp;"*",'All Papers'!$G:$G,"*"&amp;Table1[[#Headers],[Energy Management]]&amp;"*")</f>
        <v>0</v>
      </c>
      <c r="L483" s="8">
        <f>COUNTIFS('All Papers'!$D:$D,"*"&amp;$A483&amp;"*",'All Papers'!$G:$G,"*"&amp;Table1[[#Headers],[Monitoring]]&amp;"*")</f>
        <v>0</v>
      </c>
      <c r="M483" s="8">
        <f>COUNTIFS('All Papers'!$D:$D,"*"&amp;$A483&amp;"*",'All Papers'!$G:$G,"*"&amp;Table1[[#Headers],[Pricing]]&amp;"*")</f>
        <v>0</v>
      </c>
    </row>
    <row r="484" spans="1:13" x14ac:dyDescent="0.25">
      <c r="A484" s="8" t="s">
        <v>2917</v>
      </c>
      <c r="B484" s="8">
        <f>COUNTIF('All Papers'!D:D,"*"&amp;Table1[[#This Row],[Name]]&amp;"*")</f>
        <v>1</v>
      </c>
      <c r="C484" s="8">
        <f>COUNTIFS('All Papers'!$D:$D,"*"&amp;$A484&amp;"*",'All Papers'!$G:$G,"*"&amp;Table1[[#Headers],[Composition]]&amp;"*")</f>
        <v>0</v>
      </c>
      <c r="D484" s="8">
        <f>COUNTIFS('All Papers'!$D:$D,"*"&amp;$A484&amp;"*",'All Papers'!$G:$G,"*"&amp;Table1[[#Headers],[Discovery]]&amp;"*")</f>
        <v>0</v>
      </c>
      <c r="E484" s="8">
        <f>COUNTIFS('All Papers'!$D:$D,"*"&amp;$A484&amp;"*",'All Papers'!$G:$G,"*"&amp;Table1[[#Headers],[Selection]]&amp;"*")</f>
        <v>1</v>
      </c>
      <c r="F484" s="8">
        <f>COUNTIFS('All Papers'!$D:$D,"*"&amp;$A484&amp;"*",'All Papers'!$G:$G,"*"&amp;Table1[[#Headers],[Recommendation]]&amp;"*")</f>
        <v>0</v>
      </c>
      <c r="G484" s="8">
        <f>COUNTIFS('All Papers'!$D:$D,"*"&amp;$A484&amp;"*",'All Papers'!$G:$G,"*"&amp;Table1[[#Headers],[Resource Management-CS]]&amp;"*")</f>
        <v>0</v>
      </c>
      <c r="H484" s="8">
        <f>COUNTIFS('All Papers'!$D:$D,"*"&amp;$A484&amp;"*",'All Papers'!$G:$G,"*"&amp;Table1[[#Headers],[Resource Management-PS]]&amp;"*")</f>
        <v>0</v>
      </c>
      <c r="I484" s="8">
        <f>COUNTIFS('All Papers'!$D:$D,"*"&amp;$A484&amp;"*",'All Papers'!$G:$G,"*"&amp;Table1[[#Headers],[SLA Management]]&amp;"*")</f>
        <v>0</v>
      </c>
      <c r="J484" s="8">
        <f>COUNTIFS('All Papers'!$D:$D,"*"&amp;$A484&amp;"*",'All Papers'!$G:$G,"*"&amp;Table1[[#Headers],[Big Data]]&amp;"*")</f>
        <v>0</v>
      </c>
      <c r="K484" s="8">
        <f>COUNTIFS('All Papers'!$D:$D,"*"&amp;$A484&amp;"*",'All Papers'!$G:$G,"*"&amp;Table1[[#Headers],[Energy Management]]&amp;"*")</f>
        <v>0</v>
      </c>
      <c r="L484" s="8">
        <f>COUNTIFS('All Papers'!$D:$D,"*"&amp;$A484&amp;"*",'All Papers'!$G:$G,"*"&amp;Table1[[#Headers],[Monitoring]]&amp;"*")</f>
        <v>0</v>
      </c>
      <c r="M484" s="8">
        <f>COUNTIFS('All Papers'!$D:$D,"*"&amp;$A484&amp;"*",'All Papers'!$G:$G,"*"&amp;Table1[[#Headers],[Pricing]]&amp;"*")</f>
        <v>0</v>
      </c>
    </row>
    <row r="485" spans="1:13" x14ac:dyDescent="0.25">
      <c r="A485" s="8" t="s">
        <v>2918</v>
      </c>
      <c r="B485" s="8">
        <f>COUNTIF('All Papers'!D:D,"*"&amp;Table1[[#This Row],[Name]]&amp;"*")</f>
        <v>1</v>
      </c>
      <c r="C485" s="8">
        <f>COUNTIFS('All Papers'!$D:$D,"*"&amp;$A485&amp;"*",'All Papers'!$G:$G,"*"&amp;Table1[[#Headers],[Composition]]&amp;"*")</f>
        <v>1</v>
      </c>
      <c r="D485" s="8">
        <f>COUNTIFS('All Papers'!$D:$D,"*"&amp;$A485&amp;"*",'All Papers'!$G:$G,"*"&amp;Table1[[#Headers],[Discovery]]&amp;"*")</f>
        <v>0</v>
      </c>
      <c r="E485" s="8">
        <f>COUNTIFS('All Papers'!$D:$D,"*"&amp;$A485&amp;"*",'All Papers'!$G:$G,"*"&amp;Table1[[#Headers],[Selection]]&amp;"*")</f>
        <v>1</v>
      </c>
      <c r="F485" s="8">
        <f>COUNTIFS('All Papers'!$D:$D,"*"&amp;$A485&amp;"*",'All Papers'!$G:$G,"*"&amp;Table1[[#Headers],[Recommendation]]&amp;"*")</f>
        <v>0</v>
      </c>
      <c r="G485" s="8">
        <f>COUNTIFS('All Papers'!$D:$D,"*"&amp;$A485&amp;"*",'All Papers'!$G:$G,"*"&amp;Table1[[#Headers],[Resource Management-CS]]&amp;"*")</f>
        <v>0</v>
      </c>
      <c r="H485" s="8">
        <f>COUNTIFS('All Papers'!$D:$D,"*"&amp;$A485&amp;"*",'All Papers'!$G:$G,"*"&amp;Table1[[#Headers],[Resource Management-PS]]&amp;"*")</f>
        <v>0</v>
      </c>
      <c r="I485" s="8">
        <f>COUNTIFS('All Papers'!$D:$D,"*"&amp;$A485&amp;"*",'All Papers'!$G:$G,"*"&amp;Table1[[#Headers],[SLA Management]]&amp;"*")</f>
        <v>0</v>
      </c>
      <c r="J485" s="8">
        <f>COUNTIFS('All Papers'!$D:$D,"*"&amp;$A485&amp;"*",'All Papers'!$G:$G,"*"&amp;Table1[[#Headers],[Big Data]]&amp;"*")</f>
        <v>0</v>
      </c>
      <c r="K485" s="8">
        <f>COUNTIFS('All Papers'!$D:$D,"*"&amp;$A485&amp;"*",'All Papers'!$G:$G,"*"&amp;Table1[[#Headers],[Energy Management]]&amp;"*")</f>
        <v>0</v>
      </c>
      <c r="L485" s="8">
        <f>COUNTIFS('All Papers'!$D:$D,"*"&amp;$A485&amp;"*",'All Papers'!$G:$G,"*"&amp;Table1[[#Headers],[Monitoring]]&amp;"*")</f>
        <v>0</v>
      </c>
      <c r="M485" s="8">
        <f>COUNTIFS('All Papers'!$D:$D,"*"&amp;$A485&amp;"*",'All Papers'!$G:$G,"*"&amp;Table1[[#Headers],[Pricing]]&amp;"*")</f>
        <v>0</v>
      </c>
    </row>
    <row r="486" spans="1:13" x14ac:dyDescent="0.25">
      <c r="A486" s="8" t="s">
        <v>2919</v>
      </c>
      <c r="B486" s="8">
        <f>COUNTIF('All Papers'!D:D,"*"&amp;Table1[[#This Row],[Name]]&amp;"*")</f>
        <v>1</v>
      </c>
      <c r="C486" s="8">
        <f>COUNTIFS('All Papers'!$D:$D,"*"&amp;$A486&amp;"*",'All Papers'!$G:$G,"*"&amp;Table1[[#Headers],[Composition]]&amp;"*")</f>
        <v>0</v>
      </c>
      <c r="D486" s="8">
        <f>COUNTIFS('All Papers'!$D:$D,"*"&amp;$A486&amp;"*",'All Papers'!$G:$G,"*"&amp;Table1[[#Headers],[Discovery]]&amp;"*")</f>
        <v>0</v>
      </c>
      <c r="E486" s="8">
        <f>COUNTIFS('All Papers'!$D:$D,"*"&amp;$A486&amp;"*",'All Papers'!$G:$G,"*"&amp;Table1[[#Headers],[Selection]]&amp;"*")</f>
        <v>0</v>
      </c>
      <c r="F486" s="8">
        <f>COUNTIFS('All Papers'!$D:$D,"*"&amp;$A486&amp;"*",'All Papers'!$G:$G,"*"&amp;Table1[[#Headers],[Recommendation]]&amp;"*")</f>
        <v>0</v>
      </c>
      <c r="G486" s="8">
        <f>COUNTIFS('All Papers'!$D:$D,"*"&amp;$A486&amp;"*",'All Papers'!$G:$G,"*"&amp;Table1[[#Headers],[Resource Management-CS]]&amp;"*")</f>
        <v>0</v>
      </c>
      <c r="H486" s="8">
        <f>COUNTIFS('All Papers'!$D:$D,"*"&amp;$A486&amp;"*",'All Papers'!$G:$G,"*"&amp;Table1[[#Headers],[Resource Management-PS]]&amp;"*")</f>
        <v>1</v>
      </c>
      <c r="I486" s="8">
        <f>COUNTIFS('All Papers'!$D:$D,"*"&amp;$A486&amp;"*",'All Papers'!$G:$G,"*"&amp;Table1[[#Headers],[SLA Management]]&amp;"*")</f>
        <v>0</v>
      </c>
      <c r="J486" s="8">
        <f>COUNTIFS('All Papers'!$D:$D,"*"&amp;$A486&amp;"*",'All Papers'!$G:$G,"*"&amp;Table1[[#Headers],[Big Data]]&amp;"*")</f>
        <v>0</v>
      </c>
      <c r="K486" s="8">
        <f>COUNTIFS('All Papers'!$D:$D,"*"&amp;$A486&amp;"*",'All Papers'!$G:$G,"*"&amp;Table1[[#Headers],[Energy Management]]&amp;"*")</f>
        <v>0</v>
      </c>
      <c r="L486" s="8">
        <f>COUNTIFS('All Papers'!$D:$D,"*"&amp;$A486&amp;"*",'All Papers'!$G:$G,"*"&amp;Table1[[#Headers],[Monitoring]]&amp;"*")</f>
        <v>0</v>
      </c>
      <c r="M486" s="8">
        <f>COUNTIFS('All Papers'!$D:$D,"*"&amp;$A486&amp;"*",'All Papers'!$G:$G,"*"&amp;Table1[[#Headers],[Pricing]]&amp;"*")</f>
        <v>0</v>
      </c>
    </row>
    <row r="487" spans="1:13" x14ac:dyDescent="0.25">
      <c r="A487" s="8" t="s">
        <v>2920</v>
      </c>
      <c r="B487" s="8">
        <f>COUNTIF('All Papers'!D:D,"*"&amp;Table1[[#This Row],[Name]]&amp;"*")</f>
        <v>1</v>
      </c>
      <c r="C487" s="8">
        <f>COUNTIFS('All Papers'!$D:$D,"*"&amp;$A487&amp;"*",'All Papers'!$G:$G,"*"&amp;Table1[[#Headers],[Composition]]&amp;"*")</f>
        <v>0</v>
      </c>
      <c r="D487" s="8">
        <f>COUNTIFS('All Papers'!$D:$D,"*"&amp;$A487&amp;"*",'All Papers'!$G:$G,"*"&amp;Table1[[#Headers],[Discovery]]&amp;"*")</f>
        <v>0</v>
      </c>
      <c r="E487" s="8">
        <f>COUNTIFS('All Papers'!$D:$D,"*"&amp;$A487&amp;"*",'All Papers'!$G:$G,"*"&amp;Table1[[#Headers],[Selection]]&amp;"*")</f>
        <v>0</v>
      </c>
      <c r="F487" s="8">
        <f>COUNTIFS('All Papers'!$D:$D,"*"&amp;$A487&amp;"*",'All Papers'!$G:$G,"*"&amp;Table1[[#Headers],[Recommendation]]&amp;"*")</f>
        <v>0</v>
      </c>
      <c r="G487" s="8">
        <f>COUNTIFS('All Papers'!$D:$D,"*"&amp;$A487&amp;"*",'All Papers'!$G:$G,"*"&amp;Table1[[#Headers],[Resource Management-CS]]&amp;"*")</f>
        <v>0</v>
      </c>
      <c r="H487" s="8">
        <f>COUNTIFS('All Papers'!$D:$D,"*"&amp;$A487&amp;"*",'All Papers'!$G:$G,"*"&amp;Table1[[#Headers],[Resource Management-PS]]&amp;"*")</f>
        <v>1</v>
      </c>
      <c r="I487" s="8">
        <f>COUNTIFS('All Papers'!$D:$D,"*"&amp;$A487&amp;"*",'All Papers'!$G:$G,"*"&amp;Table1[[#Headers],[SLA Management]]&amp;"*")</f>
        <v>0</v>
      </c>
      <c r="J487" s="8">
        <f>COUNTIFS('All Papers'!$D:$D,"*"&amp;$A487&amp;"*",'All Papers'!$G:$G,"*"&amp;Table1[[#Headers],[Big Data]]&amp;"*")</f>
        <v>0</v>
      </c>
      <c r="K487" s="8">
        <f>COUNTIFS('All Papers'!$D:$D,"*"&amp;$A487&amp;"*",'All Papers'!$G:$G,"*"&amp;Table1[[#Headers],[Energy Management]]&amp;"*")</f>
        <v>0</v>
      </c>
      <c r="L487" s="8">
        <f>COUNTIFS('All Papers'!$D:$D,"*"&amp;$A487&amp;"*",'All Papers'!$G:$G,"*"&amp;Table1[[#Headers],[Monitoring]]&amp;"*")</f>
        <v>0</v>
      </c>
      <c r="M487" s="8">
        <f>COUNTIFS('All Papers'!$D:$D,"*"&amp;$A487&amp;"*",'All Papers'!$G:$G,"*"&amp;Table1[[#Headers],[Pricing]]&amp;"*")</f>
        <v>0</v>
      </c>
    </row>
    <row r="488" spans="1:13" x14ac:dyDescent="0.25">
      <c r="A488" s="8" t="s">
        <v>2921</v>
      </c>
      <c r="B488" s="8">
        <f>COUNTIF('All Papers'!D:D,"*"&amp;Table1[[#This Row],[Name]]&amp;"*")</f>
        <v>1</v>
      </c>
      <c r="C488" s="8">
        <f>COUNTIFS('All Papers'!$D:$D,"*"&amp;$A488&amp;"*",'All Papers'!$G:$G,"*"&amp;Table1[[#Headers],[Composition]]&amp;"*")</f>
        <v>0</v>
      </c>
      <c r="D488" s="8">
        <f>COUNTIFS('All Papers'!$D:$D,"*"&amp;$A488&amp;"*",'All Papers'!$G:$G,"*"&amp;Table1[[#Headers],[Discovery]]&amp;"*")</f>
        <v>0</v>
      </c>
      <c r="E488" s="8">
        <f>COUNTIFS('All Papers'!$D:$D,"*"&amp;$A488&amp;"*",'All Papers'!$G:$G,"*"&amp;Table1[[#Headers],[Selection]]&amp;"*")</f>
        <v>0</v>
      </c>
      <c r="F488" s="8">
        <f>COUNTIFS('All Papers'!$D:$D,"*"&amp;$A488&amp;"*",'All Papers'!$G:$G,"*"&amp;Table1[[#Headers],[Recommendation]]&amp;"*")</f>
        <v>0</v>
      </c>
      <c r="G488" s="8">
        <f>COUNTIFS('All Papers'!$D:$D,"*"&amp;$A488&amp;"*",'All Papers'!$G:$G,"*"&amp;Table1[[#Headers],[Resource Management-CS]]&amp;"*")</f>
        <v>0</v>
      </c>
      <c r="H488" s="8">
        <f>COUNTIFS('All Papers'!$D:$D,"*"&amp;$A488&amp;"*",'All Papers'!$G:$G,"*"&amp;Table1[[#Headers],[Resource Management-PS]]&amp;"*")</f>
        <v>1</v>
      </c>
      <c r="I488" s="8">
        <f>COUNTIFS('All Papers'!$D:$D,"*"&amp;$A488&amp;"*",'All Papers'!$G:$G,"*"&amp;Table1[[#Headers],[SLA Management]]&amp;"*")</f>
        <v>0</v>
      </c>
      <c r="J488" s="8">
        <f>COUNTIFS('All Papers'!$D:$D,"*"&amp;$A488&amp;"*",'All Papers'!$G:$G,"*"&amp;Table1[[#Headers],[Big Data]]&amp;"*")</f>
        <v>0</v>
      </c>
      <c r="K488" s="8">
        <f>COUNTIFS('All Papers'!$D:$D,"*"&amp;$A488&amp;"*",'All Papers'!$G:$G,"*"&amp;Table1[[#Headers],[Energy Management]]&amp;"*")</f>
        <v>0</v>
      </c>
      <c r="L488" s="8">
        <f>COUNTIFS('All Papers'!$D:$D,"*"&amp;$A488&amp;"*",'All Papers'!$G:$G,"*"&amp;Table1[[#Headers],[Monitoring]]&amp;"*")</f>
        <v>0</v>
      </c>
      <c r="M488" s="8">
        <f>COUNTIFS('All Papers'!$D:$D,"*"&amp;$A488&amp;"*",'All Papers'!$G:$G,"*"&amp;Table1[[#Headers],[Pricing]]&amp;"*")</f>
        <v>0</v>
      </c>
    </row>
    <row r="489" spans="1:13" x14ac:dyDescent="0.25">
      <c r="A489" s="8" t="s">
        <v>2922</v>
      </c>
      <c r="B489" s="8">
        <f>COUNTIF('All Papers'!D:D,"*"&amp;Table1[[#This Row],[Name]]&amp;"*")</f>
        <v>1</v>
      </c>
      <c r="C489" s="8">
        <f>COUNTIFS('All Papers'!$D:$D,"*"&amp;$A489&amp;"*",'All Papers'!$G:$G,"*"&amp;Table1[[#Headers],[Composition]]&amp;"*")</f>
        <v>0</v>
      </c>
      <c r="D489" s="8">
        <f>COUNTIFS('All Papers'!$D:$D,"*"&amp;$A489&amp;"*",'All Papers'!$G:$G,"*"&amp;Table1[[#Headers],[Discovery]]&amp;"*")</f>
        <v>0</v>
      </c>
      <c r="E489" s="8">
        <f>COUNTIFS('All Papers'!$D:$D,"*"&amp;$A489&amp;"*",'All Papers'!$G:$G,"*"&amp;Table1[[#Headers],[Selection]]&amp;"*")</f>
        <v>0</v>
      </c>
      <c r="F489" s="8">
        <f>COUNTIFS('All Papers'!$D:$D,"*"&amp;$A489&amp;"*",'All Papers'!$G:$G,"*"&amp;Table1[[#Headers],[Recommendation]]&amp;"*")</f>
        <v>0</v>
      </c>
      <c r="G489" s="8">
        <f>COUNTIFS('All Papers'!$D:$D,"*"&amp;$A489&amp;"*",'All Papers'!$G:$G,"*"&amp;Table1[[#Headers],[Resource Management-CS]]&amp;"*")</f>
        <v>0</v>
      </c>
      <c r="H489" s="8">
        <f>COUNTIFS('All Papers'!$D:$D,"*"&amp;$A489&amp;"*",'All Papers'!$G:$G,"*"&amp;Table1[[#Headers],[Resource Management-PS]]&amp;"*")</f>
        <v>1</v>
      </c>
      <c r="I489" s="8">
        <f>COUNTIFS('All Papers'!$D:$D,"*"&amp;$A489&amp;"*",'All Papers'!$G:$G,"*"&amp;Table1[[#Headers],[SLA Management]]&amp;"*")</f>
        <v>0</v>
      </c>
      <c r="J489" s="8">
        <f>COUNTIFS('All Papers'!$D:$D,"*"&amp;$A489&amp;"*",'All Papers'!$G:$G,"*"&amp;Table1[[#Headers],[Big Data]]&amp;"*")</f>
        <v>0</v>
      </c>
      <c r="K489" s="8">
        <f>COUNTIFS('All Papers'!$D:$D,"*"&amp;$A489&amp;"*",'All Papers'!$G:$G,"*"&amp;Table1[[#Headers],[Energy Management]]&amp;"*")</f>
        <v>0</v>
      </c>
      <c r="L489" s="8">
        <f>COUNTIFS('All Papers'!$D:$D,"*"&amp;$A489&amp;"*",'All Papers'!$G:$G,"*"&amp;Table1[[#Headers],[Monitoring]]&amp;"*")</f>
        <v>0</v>
      </c>
      <c r="M489" s="8">
        <f>COUNTIFS('All Papers'!$D:$D,"*"&amp;$A489&amp;"*",'All Papers'!$G:$G,"*"&amp;Table1[[#Headers],[Pricing]]&amp;"*")</f>
        <v>0</v>
      </c>
    </row>
    <row r="490" spans="1:13" x14ac:dyDescent="0.25">
      <c r="A490" s="8" t="s">
        <v>2923</v>
      </c>
      <c r="B490" s="8">
        <f>COUNTIF('All Papers'!D:D,"*"&amp;Table1[[#This Row],[Name]]&amp;"*")</f>
        <v>1</v>
      </c>
      <c r="C490" s="8">
        <f>COUNTIFS('All Papers'!$D:$D,"*"&amp;$A490&amp;"*",'All Papers'!$G:$G,"*"&amp;Table1[[#Headers],[Composition]]&amp;"*")</f>
        <v>0</v>
      </c>
      <c r="D490" s="8">
        <f>COUNTIFS('All Papers'!$D:$D,"*"&amp;$A490&amp;"*",'All Papers'!$G:$G,"*"&amp;Table1[[#Headers],[Discovery]]&amp;"*")</f>
        <v>0</v>
      </c>
      <c r="E490" s="8">
        <f>COUNTIFS('All Papers'!$D:$D,"*"&amp;$A490&amp;"*",'All Papers'!$G:$G,"*"&amp;Table1[[#Headers],[Selection]]&amp;"*")</f>
        <v>0</v>
      </c>
      <c r="F490" s="8">
        <f>COUNTIFS('All Papers'!$D:$D,"*"&amp;$A490&amp;"*",'All Papers'!$G:$G,"*"&amp;Table1[[#Headers],[Recommendation]]&amp;"*")</f>
        <v>0</v>
      </c>
      <c r="G490" s="8">
        <f>COUNTIFS('All Papers'!$D:$D,"*"&amp;$A490&amp;"*",'All Papers'!$G:$G,"*"&amp;Table1[[#Headers],[Resource Management-CS]]&amp;"*")</f>
        <v>0</v>
      </c>
      <c r="H490" s="8">
        <f>COUNTIFS('All Papers'!$D:$D,"*"&amp;$A490&amp;"*",'All Papers'!$G:$G,"*"&amp;Table1[[#Headers],[Resource Management-PS]]&amp;"*")</f>
        <v>1</v>
      </c>
      <c r="I490" s="8">
        <f>COUNTIFS('All Papers'!$D:$D,"*"&amp;$A490&amp;"*",'All Papers'!$G:$G,"*"&amp;Table1[[#Headers],[SLA Management]]&amp;"*")</f>
        <v>0</v>
      </c>
      <c r="J490" s="8">
        <f>COUNTIFS('All Papers'!$D:$D,"*"&amp;$A490&amp;"*",'All Papers'!$G:$G,"*"&amp;Table1[[#Headers],[Big Data]]&amp;"*")</f>
        <v>0</v>
      </c>
      <c r="K490" s="8">
        <f>COUNTIFS('All Papers'!$D:$D,"*"&amp;$A490&amp;"*",'All Papers'!$G:$G,"*"&amp;Table1[[#Headers],[Energy Management]]&amp;"*")</f>
        <v>0</v>
      </c>
      <c r="L490" s="8">
        <f>COUNTIFS('All Papers'!$D:$D,"*"&amp;$A490&amp;"*",'All Papers'!$G:$G,"*"&amp;Table1[[#Headers],[Monitoring]]&amp;"*")</f>
        <v>0</v>
      </c>
      <c r="M490" s="8">
        <f>COUNTIFS('All Papers'!$D:$D,"*"&amp;$A490&amp;"*",'All Papers'!$G:$G,"*"&amp;Table1[[#Headers],[Pricing]]&amp;"*")</f>
        <v>0</v>
      </c>
    </row>
    <row r="491" spans="1:13" x14ac:dyDescent="0.25">
      <c r="A491" s="8" t="s">
        <v>2924</v>
      </c>
      <c r="B491" s="8">
        <f>COUNTIF('All Papers'!D:D,"*"&amp;Table1[[#This Row],[Name]]&amp;"*")</f>
        <v>1</v>
      </c>
      <c r="C491" s="8">
        <f>COUNTIFS('All Papers'!$D:$D,"*"&amp;$A491&amp;"*",'All Papers'!$G:$G,"*"&amp;Table1[[#Headers],[Composition]]&amp;"*")</f>
        <v>0</v>
      </c>
      <c r="D491" s="8">
        <f>COUNTIFS('All Papers'!$D:$D,"*"&amp;$A491&amp;"*",'All Papers'!$G:$G,"*"&amp;Table1[[#Headers],[Discovery]]&amp;"*")</f>
        <v>0</v>
      </c>
      <c r="E491" s="8">
        <f>COUNTIFS('All Papers'!$D:$D,"*"&amp;$A491&amp;"*",'All Papers'!$G:$G,"*"&amp;Table1[[#Headers],[Selection]]&amp;"*")</f>
        <v>0</v>
      </c>
      <c r="F491" s="8">
        <f>COUNTIFS('All Papers'!$D:$D,"*"&amp;$A491&amp;"*",'All Papers'!$G:$G,"*"&amp;Table1[[#Headers],[Recommendation]]&amp;"*")</f>
        <v>0</v>
      </c>
      <c r="G491" s="8">
        <f>COUNTIFS('All Papers'!$D:$D,"*"&amp;$A491&amp;"*",'All Papers'!$G:$G,"*"&amp;Table1[[#Headers],[Resource Management-CS]]&amp;"*")</f>
        <v>0</v>
      </c>
      <c r="H491" s="8">
        <f>COUNTIFS('All Papers'!$D:$D,"*"&amp;$A491&amp;"*",'All Papers'!$G:$G,"*"&amp;Table1[[#Headers],[Resource Management-PS]]&amp;"*")</f>
        <v>0</v>
      </c>
      <c r="I491" s="8">
        <f>COUNTIFS('All Papers'!$D:$D,"*"&amp;$A491&amp;"*",'All Papers'!$G:$G,"*"&amp;Table1[[#Headers],[SLA Management]]&amp;"*")</f>
        <v>1</v>
      </c>
      <c r="J491" s="8">
        <f>COUNTIFS('All Papers'!$D:$D,"*"&amp;$A491&amp;"*",'All Papers'!$G:$G,"*"&amp;Table1[[#Headers],[Big Data]]&amp;"*")</f>
        <v>0</v>
      </c>
      <c r="K491" s="8">
        <f>COUNTIFS('All Papers'!$D:$D,"*"&amp;$A491&amp;"*",'All Papers'!$G:$G,"*"&amp;Table1[[#Headers],[Energy Management]]&amp;"*")</f>
        <v>0</v>
      </c>
      <c r="L491" s="8">
        <f>COUNTIFS('All Papers'!$D:$D,"*"&amp;$A491&amp;"*",'All Papers'!$G:$G,"*"&amp;Table1[[#Headers],[Monitoring]]&amp;"*")</f>
        <v>0</v>
      </c>
      <c r="M491" s="8">
        <f>COUNTIFS('All Papers'!$D:$D,"*"&amp;$A491&amp;"*",'All Papers'!$G:$G,"*"&amp;Table1[[#Headers],[Pricing]]&amp;"*")</f>
        <v>0</v>
      </c>
    </row>
    <row r="492" spans="1:13" x14ac:dyDescent="0.25">
      <c r="A492" s="8" t="s">
        <v>2925</v>
      </c>
      <c r="B492" s="8">
        <f>COUNTIF('All Papers'!D:D,"*"&amp;Table1[[#This Row],[Name]]&amp;"*")</f>
        <v>1</v>
      </c>
      <c r="C492" s="8">
        <f>COUNTIFS('All Papers'!$D:$D,"*"&amp;$A492&amp;"*",'All Papers'!$G:$G,"*"&amp;Table1[[#Headers],[Composition]]&amp;"*")</f>
        <v>0</v>
      </c>
      <c r="D492" s="8">
        <f>COUNTIFS('All Papers'!$D:$D,"*"&amp;$A492&amp;"*",'All Papers'!$G:$G,"*"&amp;Table1[[#Headers],[Discovery]]&amp;"*")</f>
        <v>0</v>
      </c>
      <c r="E492" s="8">
        <f>COUNTIFS('All Papers'!$D:$D,"*"&amp;$A492&amp;"*",'All Papers'!$G:$G,"*"&amp;Table1[[#Headers],[Selection]]&amp;"*")</f>
        <v>0</v>
      </c>
      <c r="F492" s="8">
        <f>COUNTIFS('All Papers'!$D:$D,"*"&amp;$A492&amp;"*",'All Papers'!$G:$G,"*"&amp;Table1[[#Headers],[Recommendation]]&amp;"*")</f>
        <v>0</v>
      </c>
      <c r="G492" s="8">
        <f>COUNTIFS('All Papers'!$D:$D,"*"&amp;$A492&amp;"*",'All Papers'!$G:$G,"*"&amp;Table1[[#Headers],[Resource Management-CS]]&amp;"*")</f>
        <v>0</v>
      </c>
      <c r="H492" s="8">
        <f>COUNTIFS('All Papers'!$D:$D,"*"&amp;$A492&amp;"*",'All Papers'!$G:$G,"*"&amp;Table1[[#Headers],[Resource Management-PS]]&amp;"*")</f>
        <v>0</v>
      </c>
      <c r="I492" s="8">
        <f>COUNTIFS('All Papers'!$D:$D,"*"&amp;$A492&amp;"*",'All Papers'!$G:$G,"*"&amp;Table1[[#Headers],[SLA Management]]&amp;"*")</f>
        <v>1</v>
      </c>
      <c r="J492" s="8">
        <f>COUNTIFS('All Papers'!$D:$D,"*"&amp;$A492&amp;"*",'All Papers'!$G:$G,"*"&amp;Table1[[#Headers],[Big Data]]&amp;"*")</f>
        <v>0</v>
      </c>
      <c r="K492" s="8">
        <f>COUNTIFS('All Papers'!$D:$D,"*"&amp;$A492&amp;"*",'All Papers'!$G:$G,"*"&amp;Table1[[#Headers],[Energy Management]]&amp;"*")</f>
        <v>0</v>
      </c>
      <c r="L492" s="8">
        <f>COUNTIFS('All Papers'!$D:$D,"*"&amp;$A492&amp;"*",'All Papers'!$G:$G,"*"&amp;Table1[[#Headers],[Monitoring]]&amp;"*")</f>
        <v>0</v>
      </c>
      <c r="M492" s="8">
        <f>COUNTIFS('All Papers'!$D:$D,"*"&amp;$A492&amp;"*",'All Papers'!$G:$G,"*"&amp;Table1[[#Headers],[Pricing]]&amp;"*")</f>
        <v>0</v>
      </c>
    </row>
    <row r="493" spans="1:13" x14ac:dyDescent="0.25">
      <c r="A493" s="8" t="s">
        <v>2926</v>
      </c>
      <c r="B493" s="8">
        <f>COUNTIF('All Papers'!D:D,"*"&amp;Table1[[#This Row],[Name]]&amp;"*")</f>
        <v>1</v>
      </c>
      <c r="C493" s="8">
        <f>COUNTIFS('All Papers'!$D:$D,"*"&amp;$A493&amp;"*",'All Papers'!$G:$G,"*"&amp;Table1[[#Headers],[Composition]]&amp;"*")</f>
        <v>0</v>
      </c>
      <c r="D493" s="8">
        <f>COUNTIFS('All Papers'!$D:$D,"*"&amp;$A493&amp;"*",'All Papers'!$G:$G,"*"&amp;Table1[[#Headers],[Discovery]]&amp;"*")</f>
        <v>0</v>
      </c>
      <c r="E493" s="8">
        <f>COUNTIFS('All Papers'!$D:$D,"*"&amp;$A493&amp;"*",'All Papers'!$G:$G,"*"&amp;Table1[[#Headers],[Selection]]&amp;"*")</f>
        <v>0</v>
      </c>
      <c r="F493" s="8">
        <f>COUNTIFS('All Papers'!$D:$D,"*"&amp;$A493&amp;"*",'All Papers'!$G:$G,"*"&amp;Table1[[#Headers],[Recommendation]]&amp;"*")</f>
        <v>0</v>
      </c>
      <c r="G493" s="8">
        <f>COUNTIFS('All Papers'!$D:$D,"*"&amp;$A493&amp;"*",'All Papers'!$G:$G,"*"&amp;Table1[[#Headers],[Resource Management-CS]]&amp;"*")</f>
        <v>0</v>
      </c>
      <c r="H493" s="8">
        <f>COUNTIFS('All Papers'!$D:$D,"*"&amp;$A493&amp;"*",'All Papers'!$G:$G,"*"&amp;Table1[[#Headers],[Resource Management-PS]]&amp;"*")</f>
        <v>0</v>
      </c>
      <c r="I493" s="8">
        <f>COUNTIFS('All Papers'!$D:$D,"*"&amp;$A493&amp;"*",'All Papers'!$G:$G,"*"&amp;Table1[[#Headers],[SLA Management]]&amp;"*")</f>
        <v>1</v>
      </c>
      <c r="J493" s="8">
        <f>COUNTIFS('All Papers'!$D:$D,"*"&amp;$A493&amp;"*",'All Papers'!$G:$G,"*"&amp;Table1[[#Headers],[Big Data]]&amp;"*")</f>
        <v>0</v>
      </c>
      <c r="K493" s="8">
        <f>COUNTIFS('All Papers'!$D:$D,"*"&amp;$A493&amp;"*",'All Papers'!$G:$G,"*"&amp;Table1[[#Headers],[Energy Management]]&amp;"*")</f>
        <v>0</v>
      </c>
      <c r="L493" s="8">
        <f>COUNTIFS('All Papers'!$D:$D,"*"&amp;$A493&amp;"*",'All Papers'!$G:$G,"*"&amp;Table1[[#Headers],[Monitoring]]&amp;"*")</f>
        <v>0</v>
      </c>
      <c r="M493" s="8">
        <f>COUNTIFS('All Papers'!$D:$D,"*"&amp;$A493&amp;"*",'All Papers'!$G:$G,"*"&amp;Table1[[#Headers],[Pricing]]&amp;"*")</f>
        <v>0</v>
      </c>
    </row>
    <row r="494" spans="1:13" x14ac:dyDescent="0.25">
      <c r="A494" s="8" t="s">
        <v>2927</v>
      </c>
      <c r="B494" s="8">
        <f>COUNTIF('All Papers'!D:D,"*"&amp;Table1[[#This Row],[Name]]&amp;"*")</f>
        <v>1</v>
      </c>
      <c r="C494" s="8">
        <f>COUNTIFS('All Papers'!$D:$D,"*"&amp;$A494&amp;"*",'All Papers'!$G:$G,"*"&amp;Table1[[#Headers],[Composition]]&amp;"*")</f>
        <v>0</v>
      </c>
      <c r="D494" s="8">
        <f>COUNTIFS('All Papers'!$D:$D,"*"&amp;$A494&amp;"*",'All Papers'!$G:$G,"*"&amp;Table1[[#Headers],[Discovery]]&amp;"*")</f>
        <v>1</v>
      </c>
      <c r="E494" s="8">
        <f>COUNTIFS('All Papers'!$D:$D,"*"&amp;$A494&amp;"*",'All Papers'!$G:$G,"*"&amp;Table1[[#Headers],[Selection]]&amp;"*")</f>
        <v>0</v>
      </c>
      <c r="F494" s="8">
        <f>COUNTIFS('All Papers'!$D:$D,"*"&amp;$A494&amp;"*",'All Papers'!$G:$G,"*"&amp;Table1[[#Headers],[Recommendation]]&amp;"*")</f>
        <v>0</v>
      </c>
      <c r="G494" s="8">
        <f>COUNTIFS('All Papers'!$D:$D,"*"&amp;$A494&amp;"*",'All Papers'!$G:$G,"*"&amp;Table1[[#Headers],[Resource Management-CS]]&amp;"*")</f>
        <v>0</v>
      </c>
      <c r="H494" s="8">
        <f>COUNTIFS('All Papers'!$D:$D,"*"&amp;$A494&amp;"*",'All Papers'!$G:$G,"*"&amp;Table1[[#Headers],[Resource Management-PS]]&amp;"*")</f>
        <v>0</v>
      </c>
      <c r="I494" s="8">
        <f>COUNTIFS('All Papers'!$D:$D,"*"&amp;$A494&amp;"*",'All Papers'!$G:$G,"*"&amp;Table1[[#Headers],[SLA Management]]&amp;"*")</f>
        <v>0</v>
      </c>
      <c r="J494" s="8">
        <f>COUNTIFS('All Papers'!$D:$D,"*"&amp;$A494&amp;"*",'All Papers'!$G:$G,"*"&amp;Table1[[#Headers],[Big Data]]&amp;"*")</f>
        <v>0</v>
      </c>
      <c r="K494" s="8">
        <f>COUNTIFS('All Papers'!$D:$D,"*"&amp;$A494&amp;"*",'All Papers'!$G:$G,"*"&amp;Table1[[#Headers],[Energy Management]]&amp;"*")</f>
        <v>0</v>
      </c>
      <c r="L494" s="8">
        <f>COUNTIFS('All Papers'!$D:$D,"*"&amp;$A494&amp;"*",'All Papers'!$G:$G,"*"&amp;Table1[[#Headers],[Monitoring]]&amp;"*")</f>
        <v>0</v>
      </c>
      <c r="M494" s="8">
        <f>COUNTIFS('All Papers'!$D:$D,"*"&amp;$A494&amp;"*",'All Papers'!$G:$G,"*"&amp;Table1[[#Headers],[Pricing]]&amp;"*")</f>
        <v>0</v>
      </c>
    </row>
    <row r="495" spans="1:13" x14ac:dyDescent="0.25">
      <c r="A495" s="8" t="s">
        <v>2928</v>
      </c>
      <c r="B495" s="8">
        <f>COUNTIF('All Papers'!D:D,"*"&amp;Table1[[#This Row],[Name]]&amp;"*")</f>
        <v>1</v>
      </c>
      <c r="C495" s="8">
        <f>COUNTIFS('All Papers'!$D:$D,"*"&amp;$A495&amp;"*",'All Papers'!$G:$G,"*"&amp;Table1[[#Headers],[Composition]]&amp;"*")</f>
        <v>0</v>
      </c>
      <c r="D495" s="8">
        <f>COUNTIFS('All Papers'!$D:$D,"*"&amp;$A495&amp;"*",'All Papers'!$G:$G,"*"&amp;Table1[[#Headers],[Discovery]]&amp;"*")</f>
        <v>1</v>
      </c>
      <c r="E495" s="8">
        <f>COUNTIFS('All Papers'!$D:$D,"*"&amp;$A495&amp;"*",'All Papers'!$G:$G,"*"&amp;Table1[[#Headers],[Selection]]&amp;"*")</f>
        <v>0</v>
      </c>
      <c r="F495" s="8">
        <f>COUNTIFS('All Papers'!$D:$D,"*"&amp;$A495&amp;"*",'All Papers'!$G:$G,"*"&amp;Table1[[#Headers],[Recommendation]]&amp;"*")</f>
        <v>0</v>
      </c>
      <c r="G495" s="8">
        <f>COUNTIFS('All Papers'!$D:$D,"*"&amp;$A495&amp;"*",'All Papers'!$G:$G,"*"&amp;Table1[[#Headers],[Resource Management-CS]]&amp;"*")</f>
        <v>0</v>
      </c>
      <c r="H495" s="8">
        <f>COUNTIFS('All Papers'!$D:$D,"*"&amp;$A495&amp;"*",'All Papers'!$G:$G,"*"&amp;Table1[[#Headers],[Resource Management-PS]]&amp;"*")</f>
        <v>0</v>
      </c>
      <c r="I495" s="8">
        <f>COUNTIFS('All Papers'!$D:$D,"*"&amp;$A495&amp;"*",'All Papers'!$G:$G,"*"&amp;Table1[[#Headers],[SLA Management]]&amp;"*")</f>
        <v>0</v>
      </c>
      <c r="J495" s="8">
        <f>COUNTIFS('All Papers'!$D:$D,"*"&amp;$A495&amp;"*",'All Papers'!$G:$G,"*"&amp;Table1[[#Headers],[Big Data]]&amp;"*")</f>
        <v>0</v>
      </c>
      <c r="K495" s="8">
        <f>COUNTIFS('All Papers'!$D:$D,"*"&amp;$A495&amp;"*",'All Papers'!$G:$G,"*"&amp;Table1[[#Headers],[Energy Management]]&amp;"*")</f>
        <v>0</v>
      </c>
      <c r="L495" s="8">
        <f>COUNTIFS('All Papers'!$D:$D,"*"&amp;$A495&amp;"*",'All Papers'!$G:$G,"*"&amp;Table1[[#Headers],[Monitoring]]&amp;"*")</f>
        <v>0</v>
      </c>
      <c r="M495" s="8">
        <f>COUNTIFS('All Papers'!$D:$D,"*"&amp;$A495&amp;"*",'All Papers'!$G:$G,"*"&amp;Table1[[#Headers],[Pricing]]&amp;"*")</f>
        <v>0</v>
      </c>
    </row>
    <row r="496" spans="1:13" x14ac:dyDescent="0.25">
      <c r="A496" s="8" t="s">
        <v>2929</v>
      </c>
      <c r="B496" s="8">
        <f>COUNTIF('All Papers'!D:D,"*"&amp;Table1[[#This Row],[Name]]&amp;"*")</f>
        <v>1</v>
      </c>
      <c r="C496" s="8">
        <f>COUNTIFS('All Papers'!$D:$D,"*"&amp;$A496&amp;"*",'All Papers'!$G:$G,"*"&amp;Table1[[#Headers],[Composition]]&amp;"*")</f>
        <v>0</v>
      </c>
      <c r="D496" s="8">
        <f>COUNTIFS('All Papers'!$D:$D,"*"&amp;$A496&amp;"*",'All Papers'!$G:$G,"*"&amp;Table1[[#Headers],[Discovery]]&amp;"*")</f>
        <v>1</v>
      </c>
      <c r="E496" s="8">
        <f>COUNTIFS('All Papers'!$D:$D,"*"&amp;$A496&amp;"*",'All Papers'!$G:$G,"*"&amp;Table1[[#Headers],[Selection]]&amp;"*")</f>
        <v>0</v>
      </c>
      <c r="F496" s="8">
        <f>COUNTIFS('All Papers'!$D:$D,"*"&amp;$A496&amp;"*",'All Papers'!$G:$G,"*"&amp;Table1[[#Headers],[Recommendation]]&amp;"*")</f>
        <v>0</v>
      </c>
      <c r="G496" s="8">
        <f>COUNTIFS('All Papers'!$D:$D,"*"&amp;$A496&amp;"*",'All Papers'!$G:$G,"*"&amp;Table1[[#Headers],[Resource Management-CS]]&amp;"*")</f>
        <v>0</v>
      </c>
      <c r="H496" s="8">
        <f>COUNTIFS('All Papers'!$D:$D,"*"&amp;$A496&amp;"*",'All Papers'!$G:$G,"*"&amp;Table1[[#Headers],[Resource Management-PS]]&amp;"*")</f>
        <v>0</v>
      </c>
      <c r="I496" s="8">
        <f>COUNTIFS('All Papers'!$D:$D,"*"&amp;$A496&amp;"*",'All Papers'!$G:$G,"*"&amp;Table1[[#Headers],[SLA Management]]&amp;"*")</f>
        <v>0</v>
      </c>
      <c r="J496" s="8">
        <f>COUNTIFS('All Papers'!$D:$D,"*"&amp;$A496&amp;"*",'All Papers'!$G:$G,"*"&amp;Table1[[#Headers],[Big Data]]&amp;"*")</f>
        <v>0</v>
      </c>
      <c r="K496" s="8">
        <f>COUNTIFS('All Papers'!$D:$D,"*"&amp;$A496&amp;"*",'All Papers'!$G:$G,"*"&amp;Table1[[#Headers],[Energy Management]]&amp;"*")</f>
        <v>0</v>
      </c>
      <c r="L496" s="8">
        <f>COUNTIFS('All Papers'!$D:$D,"*"&amp;$A496&amp;"*",'All Papers'!$G:$G,"*"&amp;Table1[[#Headers],[Monitoring]]&amp;"*")</f>
        <v>0</v>
      </c>
      <c r="M496" s="8">
        <f>COUNTIFS('All Papers'!$D:$D,"*"&amp;$A496&amp;"*",'All Papers'!$G:$G,"*"&amp;Table1[[#Headers],[Pricing]]&amp;"*")</f>
        <v>0</v>
      </c>
    </row>
    <row r="497" spans="1:13" x14ac:dyDescent="0.25">
      <c r="A497" s="8" t="s">
        <v>2930</v>
      </c>
      <c r="B497" s="8">
        <f>COUNTIF('All Papers'!D:D,"*"&amp;Table1[[#This Row],[Name]]&amp;"*")</f>
        <v>1</v>
      </c>
      <c r="C497" s="8">
        <f>COUNTIFS('All Papers'!$D:$D,"*"&amp;$A497&amp;"*",'All Papers'!$G:$G,"*"&amp;Table1[[#Headers],[Composition]]&amp;"*")</f>
        <v>0</v>
      </c>
      <c r="D497" s="8">
        <f>COUNTIFS('All Papers'!$D:$D,"*"&amp;$A497&amp;"*",'All Papers'!$G:$G,"*"&amp;Table1[[#Headers],[Discovery]]&amp;"*")</f>
        <v>1</v>
      </c>
      <c r="E497" s="8">
        <f>COUNTIFS('All Papers'!$D:$D,"*"&amp;$A497&amp;"*",'All Papers'!$G:$G,"*"&amp;Table1[[#Headers],[Selection]]&amp;"*")</f>
        <v>0</v>
      </c>
      <c r="F497" s="8">
        <f>COUNTIFS('All Papers'!$D:$D,"*"&amp;$A497&amp;"*",'All Papers'!$G:$G,"*"&amp;Table1[[#Headers],[Recommendation]]&amp;"*")</f>
        <v>0</v>
      </c>
      <c r="G497" s="8">
        <f>COUNTIFS('All Papers'!$D:$D,"*"&amp;$A497&amp;"*",'All Papers'!$G:$G,"*"&amp;Table1[[#Headers],[Resource Management-CS]]&amp;"*")</f>
        <v>0</v>
      </c>
      <c r="H497" s="8">
        <f>COUNTIFS('All Papers'!$D:$D,"*"&amp;$A497&amp;"*",'All Papers'!$G:$G,"*"&amp;Table1[[#Headers],[Resource Management-PS]]&amp;"*")</f>
        <v>0</v>
      </c>
      <c r="I497" s="8">
        <f>COUNTIFS('All Papers'!$D:$D,"*"&amp;$A497&amp;"*",'All Papers'!$G:$G,"*"&amp;Table1[[#Headers],[SLA Management]]&amp;"*")</f>
        <v>0</v>
      </c>
      <c r="J497" s="8">
        <f>COUNTIFS('All Papers'!$D:$D,"*"&amp;$A497&amp;"*",'All Papers'!$G:$G,"*"&amp;Table1[[#Headers],[Big Data]]&amp;"*")</f>
        <v>0</v>
      </c>
      <c r="K497" s="8">
        <f>COUNTIFS('All Papers'!$D:$D,"*"&amp;$A497&amp;"*",'All Papers'!$G:$G,"*"&amp;Table1[[#Headers],[Energy Management]]&amp;"*")</f>
        <v>0</v>
      </c>
      <c r="L497" s="8">
        <f>COUNTIFS('All Papers'!$D:$D,"*"&amp;$A497&amp;"*",'All Papers'!$G:$G,"*"&amp;Table1[[#Headers],[Monitoring]]&amp;"*")</f>
        <v>0</v>
      </c>
      <c r="M497" s="8">
        <f>COUNTIFS('All Papers'!$D:$D,"*"&amp;$A497&amp;"*",'All Papers'!$G:$G,"*"&amp;Table1[[#Headers],[Pricing]]&amp;"*")</f>
        <v>0</v>
      </c>
    </row>
    <row r="498" spans="1:13" x14ac:dyDescent="0.25">
      <c r="A498" s="8" t="s">
        <v>2931</v>
      </c>
      <c r="B498" s="8">
        <f>COUNTIF('All Papers'!D:D,"*"&amp;Table1[[#This Row],[Name]]&amp;"*")</f>
        <v>1</v>
      </c>
      <c r="C498" s="8">
        <f>COUNTIFS('All Papers'!$D:$D,"*"&amp;$A498&amp;"*",'All Papers'!$G:$G,"*"&amp;Table1[[#Headers],[Composition]]&amp;"*")</f>
        <v>0</v>
      </c>
      <c r="D498" s="8">
        <f>COUNTIFS('All Papers'!$D:$D,"*"&amp;$A498&amp;"*",'All Papers'!$G:$G,"*"&amp;Table1[[#Headers],[Discovery]]&amp;"*")</f>
        <v>1</v>
      </c>
      <c r="E498" s="8">
        <f>COUNTIFS('All Papers'!$D:$D,"*"&amp;$A498&amp;"*",'All Papers'!$G:$G,"*"&amp;Table1[[#Headers],[Selection]]&amp;"*")</f>
        <v>0</v>
      </c>
      <c r="F498" s="8">
        <f>COUNTIFS('All Papers'!$D:$D,"*"&amp;$A498&amp;"*",'All Papers'!$G:$G,"*"&amp;Table1[[#Headers],[Recommendation]]&amp;"*")</f>
        <v>0</v>
      </c>
      <c r="G498" s="8">
        <f>COUNTIFS('All Papers'!$D:$D,"*"&amp;$A498&amp;"*",'All Papers'!$G:$G,"*"&amp;Table1[[#Headers],[Resource Management-CS]]&amp;"*")</f>
        <v>0</v>
      </c>
      <c r="H498" s="8">
        <f>COUNTIFS('All Papers'!$D:$D,"*"&amp;$A498&amp;"*",'All Papers'!$G:$G,"*"&amp;Table1[[#Headers],[Resource Management-PS]]&amp;"*")</f>
        <v>0</v>
      </c>
      <c r="I498" s="8">
        <f>COUNTIFS('All Papers'!$D:$D,"*"&amp;$A498&amp;"*",'All Papers'!$G:$G,"*"&amp;Table1[[#Headers],[SLA Management]]&amp;"*")</f>
        <v>0</v>
      </c>
      <c r="J498" s="8">
        <f>COUNTIFS('All Papers'!$D:$D,"*"&amp;$A498&amp;"*",'All Papers'!$G:$G,"*"&amp;Table1[[#Headers],[Big Data]]&amp;"*")</f>
        <v>0</v>
      </c>
      <c r="K498" s="8">
        <f>COUNTIFS('All Papers'!$D:$D,"*"&amp;$A498&amp;"*",'All Papers'!$G:$G,"*"&amp;Table1[[#Headers],[Energy Management]]&amp;"*")</f>
        <v>0</v>
      </c>
      <c r="L498" s="8">
        <f>COUNTIFS('All Papers'!$D:$D,"*"&amp;$A498&amp;"*",'All Papers'!$G:$G,"*"&amp;Table1[[#Headers],[Monitoring]]&amp;"*")</f>
        <v>0</v>
      </c>
      <c r="M498" s="8">
        <f>COUNTIFS('All Papers'!$D:$D,"*"&amp;$A498&amp;"*",'All Papers'!$G:$G,"*"&amp;Table1[[#Headers],[Pricing]]&amp;"*")</f>
        <v>0</v>
      </c>
    </row>
    <row r="499" spans="1:13" x14ac:dyDescent="0.25">
      <c r="A499" s="8" t="s">
        <v>2932</v>
      </c>
      <c r="B499" s="8">
        <f>COUNTIF('All Papers'!D:D,"*"&amp;Table1[[#This Row],[Name]]&amp;"*")</f>
        <v>1</v>
      </c>
      <c r="C499" s="8">
        <f>COUNTIFS('All Papers'!$D:$D,"*"&amp;$A499&amp;"*",'All Papers'!$G:$G,"*"&amp;Table1[[#Headers],[Composition]]&amp;"*")</f>
        <v>0</v>
      </c>
      <c r="D499" s="8">
        <f>COUNTIFS('All Papers'!$D:$D,"*"&amp;$A499&amp;"*",'All Papers'!$G:$G,"*"&amp;Table1[[#Headers],[Discovery]]&amp;"*")</f>
        <v>1</v>
      </c>
      <c r="E499" s="8">
        <f>COUNTIFS('All Papers'!$D:$D,"*"&amp;$A499&amp;"*",'All Papers'!$G:$G,"*"&amp;Table1[[#Headers],[Selection]]&amp;"*")</f>
        <v>0</v>
      </c>
      <c r="F499" s="8">
        <f>COUNTIFS('All Papers'!$D:$D,"*"&amp;$A499&amp;"*",'All Papers'!$G:$G,"*"&amp;Table1[[#Headers],[Recommendation]]&amp;"*")</f>
        <v>0</v>
      </c>
      <c r="G499" s="8">
        <f>COUNTIFS('All Papers'!$D:$D,"*"&amp;$A499&amp;"*",'All Papers'!$G:$G,"*"&amp;Table1[[#Headers],[Resource Management-CS]]&amp;"*")</f>
        <v>0</v>
      </c>
      <c r="H499" s="8">
        <f>COUNTIFS('All Papers'!$D:$D,"*"&amp;$A499&amp;"*",'All Papers'!$G:$G,"*"&amp;Table1[[#Headers],[Resource Management-PS]]&amp;"*")</f>
        <v>0</v>
      </c>
      <c r="I499" s="8">
        <f>COUNTIFS('All Papers'!$D:$D,"*"&amp;$A499&amp;"*",'All Papers'!$G:$G,"*"&amp;Table1[[#Headers],[SLA Management]]&amp;"*")</f>
        <v>0</v>
      </c>
      <c r="J499" s="8">
        <f>COUNTIFS('All Papers'!$D:$D,"*"&amp;$A499&amp;"*",'All Papers'!$G:$G,"*"&amp;Table1[[#Headers],[Big Data]]&amp;"*")</f>
        <v>0</v>
      </c>
      <c r="K499" s="8">
        <f>COUNTIFS('All Papers'!$D:$D,"*"&amp;$A499&amp;"*",'All Papers'!$G:$G,"*"&amp;Table1[[#Headers],[Energy Management]]&amp;"*")</f>
        <v>0</v>
      </c>
      <c r="L499" s="8">
        <f>COUNTIFS('All Papers'!$D:$D,"*"&amp;$A499&amp;"*",'All Papers'!$G:$G,"*"&amp;Table1[[#Headers],[Monitoring]]&amp;"*")</f>
        <v>0</v>
      </c>
      <c r="M499" s="8">
        <f>COUNTIFS('All Papers'!$D:$D,"*"&amp;$A499&amp;"*",'All Papers'!$G:$G,"*"&amp;Table1[[#Headers],[Pricing]]&amp;"*")</f>
        <v>0</v>
      </c>
    </row>
    <row r="500" spans="1:13" x14ac:dyDescent="0.25">
      <c r="A500" s="8" t="s">
        <v>2933</v>
      </c>
      <c r="B500" s="8">
        <f>COUNTIF('All Papers'!D:D,"*"&amp;Table1[[#This Row],[Name]]&amp;"*")</f>
        <v>1</v>
      </c>
      <c r="C500" s="8">
        <f>COUNTIFS('All Papers'!$D:$D,"*"&amp;$A500&amp;"*",'All Papers'!$G:$G,"*"&amp;Table1[[#Headers],[Composition]]&amp;"*")</f>
        <v>0</v>
      </c>
      <c r="D500" s="8">
        <f>COUNTIFS('All Papers'!$D:$D,"*"&amp;$A500&amp;"*",'All Papers'!$G:$G,"*"&amp;Table1[[#Headers],[Discovery]]&amp;"*")</f>
        <v>0</v>
      </c>
      <c r="E500" s="8">
        <f>COUNTIFS('All Papers'!$D:$D,"*"&amp;$A500&amp;"*",'All Papers'!$G:$G,"*"&amp;Table1[[#Headers],[Selection]]&amp;"*")</f>
        <v>1</v>
      </c>
      <c r="F500" s="8">
        <f>COUNTIFS('All Papers'!$D:$D,"*"&amp;$A500&amp;"*",'All Papers'!$G:$G,"*"&amp;Table1[[#Headers],[Recommendation]]&amp;"*")</f>
        <v>0</v>
      </c>
      <c r="G500" s="8">
        <f>COUNTIFS('All Papers'!$D:$D,"*"&amp;$A500&amp;"*",'All Papers'!$G:$G,"*"&amp;Table1[[#Headers],[Resource Management-CS]]&amp;"*")</f>
        <v>0</v>
      </c>
      <c r="H500" s="8">
        <f>COUNTIFS('All Papers'!$D:$D,"*"&amp;$A500&amp;"*",'All Papers'!$G:$G,"*"&amp;Table1[[#Headers],[Resource Management-PS]]&amp;"*")</f>
        <v>0</v>
      </c>
      <c r="I500" s="8">
        <f>COUNTIFS('All Papers'!$D:$D,"*"&amp;$A500&amp;"*",'All Papers'!$G:$G,"*"&amp;Table1[[#Headers],[SLA Management]]&amp;"*")</f>
        <v>0</v>
      </c>
      <c r="J500" s="8">
        <f>COUNTIFS('All Papers'!$D:$D,"*"&amp;$A500&amp;"*",'All Papers'!$G:$G,"*"&amp;Table1[[#Headers],[Big Data]]&amp;"*")</f>
        <v>0</v>
      </c>
      <c r="K500" s="8">
        <f>COUNTIFS('All Papers'!$D:$D,"*"&amp;$A500&amp;"*",'All Papers'!$G:$G,"*"&amp;Table1[[#Headers],[Energy Management]]&amp;"*")</f>
        <v>0</v>
      </c>
      <c r="L500" s="8">
        <f>COUNTIFS('All Papers'!$D:$D,"*"&amp;$A500&amp;"*",'All Papers'!$G:$G,"*"&amp;Table1[[#Headers],[Monitoring]]&amp;"*")</f>
        <v>0</v>
      </c>
      <c r="M500" s="8">
        <f>COUNTIFS('All Papers'!$D:$D,"*"&amp;$A500&amp;"*",'All Papers'!$G:$G,"*"&amp;Table1[[#Headers],[Pricing]]&amp;"*")</f>
        <v>0</v>
      </c>
    </row>
    <row r="501" spans="1:13" x14ac:dyDescent="0.25">
      <c r="A501" s="8" t="s">
        <v>2934</v>
      </c>
      <c r="B501" s="8">
        <f>COUNTIF('All Papers'!D:D,"*"&amp;Table1[[#This Row],[Name]]&amp;"*")</f>
        <v>1</v>
      </c>
      <c r="C501" s="8">
        <f>COUNTIFS('All Papers'!$D:$D,"*"&amp;$A501&amp;"*",'All Papers'!$G:$G,"*"&amp;Table1[[#Headers],[Composition]]&amp;"*")</f>
        <v>0</v>
      </c>
      <c r="D501" s="8">
        <f>COUNTIFS('All Papers'!$D:$D,"*"&amp;$A501&amp;"*",'All Papers'!$G:$G,"*"&amp;Table1[[#Headers],[Discovery]]&amp;"*")</f>
        <v>0</v>
      </c>
      <c r="E501" s="8">
        <f>COUNTIFS('All Papers'!$D:$D,"*"&amp;$A501&amp;"*",'All Papers'!$G:$G,"*"&amp;Table1[[#Headers],[Selection]]&amp;"*")</f>
        <v>0</v>
      </c>
      <c r="F501" s="8">
        <f>COUNTIFS('All Papers'!$D:$D,"*"&amp;$A501&amp;"*",'All Papers'!$G:$G,"*"&amp;Table1[[#Headers],[Recommendation]]&amp;"*")</f>
        <v>0</v>
      </c>
      <c r="G501" s="8">
        <f>COUNTIFS('All Papers'!$D:$D,"*"&amp;$A501&amp;"*",'All Papers'!$G:$G,"*"&amp;Table1[[#Headers],[Resource Management-CS]]&amp;"*")</f>
        <v>0</v>
      </c>
      <c r="H501" s="8">
        <f>COUNTIFS('All Papers'!$D:$D,"*"&amp;$A501&amp;"*",'All Papers'!$G:$G,"*"&amp;Table1[[#Headers],[Resource Management-PS]]&amp;"*")</f>
        <v>0</v>
      </c>
      <c r="I501" s="8">
        <f>COUNTIFS('All Papers'!$D:$D,"*"&amp;$A501&amp;"*",'All Papers'!$G:$G,"*"&amp;Table1[[#Headers],[SLA Management]]&amp;"*")</f>
        <v>0</v>
      </c>
      <c r="J501" s="8">
        <f>COUNTIFS('All Papers'!$D:$D,"*"&amp;$A501&amp;"*",'All Papers'!$G:$G,"*"&amp;Table1[[#Headers],[Big Data]]&amp;"*")</f>
        <v>1</v>
      </c>
      <c r="K501" s="8">
        <f>COUNTIFS('All Papers'!$D:$D,"*"&amp;$A501&amp;"*",'All Papers'!$G:$G,"*"&amp;Table1[[#Headers],[Energy Management]]&amp;"*")</f>
        <v>0</v>
      </c>
      <c r="L501" s="8">
        <f>COUNTIFS('All Papers'!$D:$D,"*"&amp;$A501&amp;"*",'All Papers'!$G:$G,"*"&amp;Table1[[#Headers],[Monitoring]]&amp;"*")</f>
        <v>0</v>
      </c>
      <c r="M501" s="8">
        <f>COUNTIFS('All Papers'!$D:$D,"*"&amp;$A501&amp;"*",'All Papers'!$G:$G,"*"&amp;Table1[[#Headers],[Pricing]]&amp;"*")</f>
        <v>0</v>
      </c>
    </row>
    <row r="502" spans="1:13" x14ac:dyDescent="0.25">
      <c r="A502" s="8" t="s">
        <v>2935</v>
      </c>
      <c r="B502" s="8">
        <f>COUNTIF('All Papers'!D:D,"*"&amp;Table1[[#This Row],[Name]]&amp;"*")</f>
        <v>1</v>
      </c>
      <c r="C502" s="8">
        <f>COUNTIFS('All Papers'!$D:$D,"*"&amp;$A502&amp;"*",'All Papers'!$G:$G,"*"&amp;Table1[[#Headers],[Composition]]&amp;"*")</f>
        <v>0</v>
      </c>
      <c r="D502" s="8">
        <f>COUNTIFS('All Papers'!$D:$D,"*"&amp;$A502&amp;"*",'All Papers'!$G:$G,"*"&amp;Table1[[#Headers],[Discovery]]&amp;"*")</f>
        <v>0</v>
      </c>
      <c r="E502" s="8">
        <f>COUNTIFS('All Papers'!$D:$D,"*"&amp;$A502&amp;"*",'All Papers'!$G:$G,"*"&amp;Table1[[#Headers],[Selection]]&amp;"*")</f>
        <v>0</v>
      </c>
      <c r="F502" s="8">
        <f>COUNTIFS('All Papers'!$D:$D,"*"&amp;$A502&amp;"*",'All Papers'!$G:$G,"*"&amp;Table1[[#Headers],[Recommendation]]&amp;"*")</f>
        <v>0</v>
      </c>
      <c r="G502" s="8">
        <f>COUNTIFS('All Papers'!$D:$D,"*"&amp;$A502&amp;"*",'All Papers'!$G:$G,"*"&amp;Table1[[#Headers],[Resource Management-CS]]&amp;"*")</f>
        <v>0</v>
      </c>
      <c r="H502" s="8">
        <f>COUNTIFS('All Papers'!$D:$D,"*"&amp;$A502&amp;"*",'All Papers'!$G:$G,"*"&amp;Table1[[#Headers],[Resource Management-PS]]&amp;"*")</f>
        <v>0</v>
      </c>
      <c r="I502" s="8">
        <f>COUNTIFS('All Papers'!$D:$D,"*"&amp;$A502&amp;"*",'All Papers'!$G:$G,"*"&amp;Table1[[#Headers],[SLA Management]]&amp;"*")</f>
        <v>0</v>
      </c>
      <c r="J502" s="8">
        <f>COUNTIFS('All Papers'!$D:$D,"*"&amp;$A502&amp;"*",'All Papers'!$G:$G,"*"&amp;Table1[[#Headers],[Big Data]]&amp;"*")</f>
        <v>1</v>
      </c>
      <c r="K502" s="8">
        <f>COUNTIFS('All Papers'!$D:$D,"*"&amp;$A502&amp;"*",'All Papers'!$G:$G,"*"&amp;Table1[[#Headers],[Energy Management]]&amp;"*")</f>
        <v>0</v>
      </c>
      <c r="L502" s="8">
        <f>COUNTIFS('All Papers'!$D:$D,"*"&amp;$A502&amp;"*",'All Papers'!$G:$G,"*"&amp;Table1[[#Headers],[Monitoring]]&amp;"*")</f>
        <v>0</v>
      </c>
      <c r="M502" s="8">
        <f>COUNTIFS('All Papers'!$D:$D,"*"&amp;$A502&amp;"*",'All Papers'!$G:$G,"*"&amp;Table1[[#Headers],[Pricing]]&amp;"*")</f>
        <v>0</v>
      </c>
    </row>
    <row r="503" spans="1:13" x14ac:dyDescent="0.25">
      <c r="A503" s="8" t="s">
        <v>2936</v>
      </c>
      <c r="B503" s="8">
        <f>COUNTIF('All Papers'!D:D,"*"&amp;Table1[[#This Row],[Name]]&amp;"*")</f>
        <v>1</v>
      </c>
      <c r="C503" s="8">
        <f>COUNTIFS('All Papers'!$D:$D,"*"&amp;$A503&amp;"*",'All Papers'!$G:$G,"*"&amp;Table1[[#Headers],[Composition]]&amp;"*")</f>
        <v>0</v>
      </c>
      <c r="D503" s="8">
        <f>COUNTIFS('All Papers'!$D:$D,"*"&amp;$A503&amp;"*",'All Papers'!$G:$G,"*"&amp;Table1[[#Headers],[Discovery]]&amp;"*")</f>
        <v>0</v>
      </c>
      <c r="E503" s="8">
        <f>COUNTIFS('All Papers'!$D:$D,"*"&amp;$A503&amp;"*",'All Papers'!$G:$G,"*"&amp;Table1[[#Headers],[Selection]]&amp;"*")</f>
        <v>0</v>
      </c>
      <c r="F503" s="8">
        <f>COUNTIFS('All Papers'!$D:$D,"*"&amp;$A503&amp;"*",'All Papers'!$G:$G,"*"&amp;Table1[[#Headers],[Recommendation]]&amp;"*")</f>
        <v>0</v>
      </c>
      <c r="G503" s="8">
        <f>COUNTIFS('All Papers'!$D:$D,"*"&amp;$A503&amp;"*",'All Papers'!$G:$G,"*"&amp;Table1[[#Headers],[Resource Management-CS]]&amp;"*")</f>
        <v>0</v>
      </c>
      <c r="H503" s="8">
        <f>COUNTIFS('All Papers'!$D:$D,"*"&amp;$A503&amp;"*",'All Papers'!$G:$G,"*"&amp;Table1[[#Headers],[Resource Management-PS]]&amp;"*")</f>
        <v>0</v>
      </c>
      <c r="I503" s="8">
        <f>COUNTIFS('All Papers'!$D:$D,"*"&amp;$A503&amp;"*",'All Papers'!$G:$G,"*"&amp;Table1[[#Headers],[SLA Management]]&amp;"*")</f>
        <v>0</v>
      </c>
      <c r="J503" s="8">
        <f>COUNTIFS('All Papers'!$D:$D,"*"&amp;$A503&amp;"*",'All Papers'!$G:$G,"*"&amp;Table1[[#Headers],[Big Data]]&amp;"*")</f>
        <v>1</v>
      </c>
      <c r="K503" s="8">
        <f>COUNTIFS('All Papers'!$D:$D,"*"&amp;$A503&amp;"*",'All Papers'!$G:$G,"*"&amp;Table1[[#Headers],[Energy Management]]&amp;"*")</f>
        <v>0</v>
      </c>
      <c r="L503" s="8">
        <f>COUNTIFS('All Papers'!$D:$D,"*"&amp;$A503&amp;"*",'All Papers'!$G:$G,"*"&amp;Table1[[#Headers],[Monitoring]]&amp;"*")</f>
        <v>0</v>
      </c>
      <c r="M503" s="8">
        <f>COUNTIFS('All Papers'!$D:$D,"*"&amp;$A503&amp;"*",'All Papers'!$G:$G,"*"&amp;Table1[[#Headers],[Pricing]]&amp;"*")</f>
        <v>0</v>
      </c>
    </row>
    <row r="504" spans="1:13" x14ac:dyDescent="0.25">
      <c r="A504" s="8" t="s">
        <v>2937</v>
      </c>
      <c r="B504" s="8">
        <f>COUNTIF('All Papers'!D:D,"*"&amp;Table1[[#This Row],[Name]]&amp;"*")</f>
        <v>1</v>
      </c>
      <c r="C504" s="8">
        <f>COUNTIFS('All Papers'!$D:$D,"*"&amp;$A504&amp;"*",'All Papers'!$G:$G,"*"&amp;Table1[[#Headers],[Composition]]&amp;"*")</f>
        <v>0</v>
      </c>
      <c r="D504" s="8">
        <f>COUNTIFS('All Papers'!$D:$D,"*"&amp;$A504&amp;"*",'All Papers'!$G:$G,"*"&amp;Table1[[#Headers],[Discovery]]&amp;"*")</f>
        <v>0</v>
      </c>
      <c r="E504" s="8">
        <f>COUNTIFS('All Papers'!$D:$D,"*"&amp;$A504&amp;"*",'All Papers'!$G:$G,"*"&amp;Table1[[#Headers],[Selection]]&amp;"*")</f>
        <v>0</v>
      </c>
      <c r="F504" s="8">
        <f>COUNTIFS('All Papers'!$D:$D,"*"&amp;$A504&amp;"*",'All Papers'!$G:$G,"*"&amp;Table1[[#Headers],[Recommendation]]&amp;"*")</f>
        <v>0</v>
      </c>
      <c r="G504" s="8">
        <f>COUNTIFS('All Papers'!$D:$D,"*"&amp;$A504&amp;"*",'All Papers'!$G:$G,"*"&amp;Table1[[#Headers],[Resource Management-CS]]&amp;"*")</f>
        <v>0</v>
      </c>
      <c r="H504" s="8">
        <f>COUNTIFS('All Papers'!$D:$D,"*"&amp;$A504&amp;"*",'All Papers'!$G:$G,"*"&amp;Table1[[#Headers],[Resource Management-PS]]&amp;"*")</f>
        <v>0</v>
      </c>
      <c r="I504" s="8">
        <f>COUNTIFS('All Papers'!$D:$D,"*"&amp;$A504&amp;"*",'All Papers'!$G:$G,"*"&amp;Table1[[#Headers],[SLA Management]]&amp;"*")</f>
        <v>0</v>
      </c>
      <c r="J504" s="8">
        <f>COUNTIFS('All Papers'!$D:$D,"*"&amp;$A504&amp;"*",'All Papers'!$G:$G,"*"&amp;Table1[[#Headers],[Big Data]]&amp;"*")</f>
        <v>1</v>
      </c>
      <c r="K504" s="8">
        <f>COUNTIFS('All Papers'!$D:$D,"*"&amp;$A504&amp;"*",'All Papers'!$G:$G,"*"&amp;Table1[[#Headers],[Energy Management]]&amp;"*")</f>
        <v>0</v>
      </c>
      <c r="L504" s="8">
        <f>COUNTIFS('All Papers'!$D:$D,"*"&amp;$A504&amp;"*",'All Papers'!$G:$G,"*"&amp;Table1[[#Headers],[Monitoring]]&amp;"*")</f>
        <v>0</v>
      </c>
      <c r="M504" s="8">
        <f>COUNTIFS('All Papers'!$D:$D,"*"&amp;$A504&amp;"*",'All Papers'!$G:$G,"*"&amp;Table1[[#Headers],[Pricing]]&amp;"*")</f>
        <v>0</v>
      </c>
    </row>
    <row r="505" spans="1:13" x14ac:dyDescent="0.25">
      <c r="A505" s="8" t="s">
        <v>2938</v>
      </c>
      <c r="B505" s="8">
        <f>COUNTIF('All Papers'!D:D,"*"&amp;Table1[[#This Row],[Name]]&amp;"*")</f>
        <v>1</v>
      </c>
      <c r="C505" s="8">
        <f>COUNTIFS('All Papers'!$D:$D,"*"&amp;$A505&amp;"*",'All Papers'!$G:$G,"*"&amp;Table1[[#Headers],[Composition]]&amp;"*")</f>
        <v>0</v>
      </c>
      <c r="D505" s="8">
        <f>COUNTIFS('All Papers'!$D:$D,"*"&amp;$A505&amp;"*",'All Papers'!$G:$G,"*"&amp;Table1[[#Headers],[Discovery]]&amp;"*")</f>
        <v>0</v>
      </c>
      <c r="E505" s="8">
        <f>COUNTIFS('All Papers'!$D:$D,"*"&amp;$A505&amp;"*",'All Papers'!$G:$G,"*"&amp;Table1[[#Headers],[Selection]]&amp;"*")</f>
        <v>0</v>
      </c>
      <c r="F505" s="8">
        <f>COUNTIFS('All Papers'!$D:$D,"*"&amp;$A505&amp;"*",'All Papers'!$G:$G,"*"&amp;Table1[[#Headers],[Recommendation]]&amp;"*")</f>
        <v>0</v>
      </c>
      <c r="G505" s="8">
        <f>COUNTIFS('All Papers'!$D:$D,"*"&amp;$A505&amp;"*",'All Papers'!$G:$G,"*"&amp;Table1[[#Headers],[Resource Management-CS]]&amp;"*")</f>
        <v>0</v>
      </c>
      <c r="H505" s="8">
        <f>COUNTIFS('All Papers'!$D:$D,"*"&amp;$A505&amp;"*",'All Papers'!$G:$G,"*"&amp;Table1[[#Headers],[Resource Management-PS]]&amp;"*")</f>
        <v>0</v>
      </c>
      <c r="I505" s="8">
        <f>COUNTIFS('All Papers'!$D:$D,"*"&amp;$A505&amp;"*",'All Papers'!$G:$G,"*"&amp;Table1[[#Headers],[SLA Management]]&amp;"*")</f>
        <v>0</v>
      </c>
      <c r="J505" s="8">
        <f>COUNTIFS('All Papers'!$D:$D,"*"&amp;$A505&amp;"*",'All Papers'!$G:$G,"*"&amp;Table1[[#Headers],[Big Data]]&amp;"*")</f>
        <v>1</v>
      </c>
      <c r="K505" s="8">
        <f>COUNTIFS('All Papers'!$D:$D,"*"&amp;$A505&amp;"*",'All Papers'!$G:$G,"*"&amp;Table1[[#Headers],[Energy Management]]&amp;"*")</f>
        <v>0</v>
      </c>
      <c r="L505" s="8">
        <f>COUNTIFS('All Papers'!$D:$D,"*"&amp;$A505&amp;"*",'All Papers'!$G:$G,"*"&amp;Table1[[#Headers],[Monitoring]]&amp;"*")</f>
        <v>0</v>
      </c>
      <c r="M505" s="8">
        <f>COUNTIFS('All Papers'!$D:$D,"*"&amp;$A505&amp;"*",'All Papers'!$G:$G,"*"&amp;Table1[[#Headers],[Pricing]]&amp;"*")</f>
        <v>0</v>
      </c>
    </row>
    <row r="506" spans="1:13" x14ac:dyDescent="0.25">
      <c r="A506" s="8" t="s">
        <v>2939</v>
      </c>
      <c r="B506" s="8">
        <f>COUNTIF('All Papers'!D:D,"*"&amp;Table1[[#This Row],[Name]]&amp;"*")</f>
        <v>1</v>
      </c>
      <c r="C506" s="8">
        <f>COUNTIFS('All Papers'!$D:$D,"*"&amp;$A506&amp;"*",'All Papers'!$G:$G,"*"&amp;Table1[[#Headers],[Composition]]&amp;"*")</f>
        <v>0</v>
      </c>
      <c r="D506" s="8">
        <f>COUNTIFS('All Papers'!$D:$D,"*"&amp;$A506&amp;"*",'All Papers'!$G:$G,"*"&amp;Table1[[#Headers],[Discovery]]&amp;"*")</f>
        <v>0</v>
      </c>
      <c r="E506" s="8">
        <f>COUNTIFS('All Papers'!$D:$D,"*"&amp;$A506&amp;"*",'All Papers'!$G:$G,"*"&amp;Table1[[#Headers],[Selection]]&amp;"*")</f>
        <v>0</v>
      </c>
      <c r="F506" s="8">
        <f>COUNTIFS('All Papers'!$D:$D,"*"&amp;$A506&amp;"*",'All Papers'!$G:$G,"*"&amp;Table1[[#Headers],[Recommendation]]&amp;"*")</f>
        <v>0</v>
      </c>
      <c r="G506" s="8">
        <f>COUNTIFS('All Papers'!$D:$D,"*"&amp;$A506&amp;"*",'All Papers'!$G:$G,"*"&amp;Table1[[#Headers],[Resource Management-CS]]&amp;"*")</f>
        <v>0</v>
      </c>
      <c r="H506" s="8">
        <f>COUNTIFS('All Papers'!$D:$D,"*"&amp;$A506&amp;"*",'All Papers'!$G:$G,"*"&amp;Table1[[#Headers],[Resource Management-PS]]&amp;"*")</f>
        <v>0</v>
      </c>
      <c r="I506" s="8">
        <f>COUNTIFS('All Papers'!$D:$D,"*"&amp;$A506&amp;"*",'All Papers'!$G:$G,"*"&amp;Table1[[#Headers],[SLA Management]]&amp;"*")</f>
        <v>0</v>
      </c>
      <c r="J506" s="8">
        <f>COUNTIFS('All Papers'!$D:$D,"*"&amp;$A506&amp;"*",'All Papers'!$G:$G,"*"&amp;Table1[[#Headers],[Big Data]]&amp;"*")</f>
        <v>1</v>
      </c>
      <c r="K506" s="8">
        <f>COUNTIFS('All Papers'!$D:$D,"*"&amp;$A506&amp;"*",'All Papers'!$G:$G,"*"&amp;Table1[[#Headers],[Energy Management]]&amp;"*")</f>
        <v>0</v>
      </c>
      <c r="L506" s="8">
        <f>COUNTIFS('All Papers'!$D:$D,"*"&amp;$A506&amp;"*",'All Papers'!$G:$G,"*"&amp;Table1[[#Headers],[Monitoring]]&amp;"*")</f>
        <v>0</v>
      </c>
      <c r="M506" s="8">
        <f>COUNTIFS('All Papers'!$D:$D,"*"&amp;$A506&amp;"*",'All Papers'!$G:$G,"*"&amp;Table1[[#Headers],[Pricing]]&amp;"*")</f>
        <v>0</v>
      </c>
    </row>
    <row r="507" spans="1:13" x14ac:dyDescent="0.25">
      <c r="A507" s="8" t="s">
        <v>2940</v>
      </c>
      <c r="B507" s="8">
        <f>COUNTIF('All Papers'!D:D,"*"&amp;Table1[[#This Row],[Name]]&amp;"*")</f>
        <v>1</v>
      </c>
      <c r="C507" s="8">
        <f>COUNTIFS('All Papers'!$D:$D,"*"&amp;$A507&amp;"*",'All Papers'!$G:$G,"*"&amp;Table1[[#Headers],[Composition]]&amp;"*")</f>
        <v>0</v>
      </c>
      <c r="D507" s="8">
        <f>COUNTIFS('All Papers'!$D:$D,"*"&amp;$A507&amp;"*",'All Papers'!$G:$G,"*"&amp;Table1[[#Headers],[Discovery]]&amp;"*")</f>
        <v>0</v>
      </c>
      <c r="E507" s="8">
        <f>COUNTIFS('All Papers'!$D:$D,"*"&amp;$A507&amp;"*",'All Papers'!$G:$G,"*"&amp;Table1[[#Headers],[Selection]]&amp;"*")</f>
        <v>0</v>
      </c>
      <c r="F507" s="8">
        <f>COUNTIFS('All Papers'!$D:$D,"*"&amp;$A507&amp;"*",'All Papers'!$G:$G,"*"&amp;Table1[[#Headers],[Recommendation]]&amp;"*")</f>
        <v>0</v>
      </c>
      <c r="G507" s="8">
        <f>COUNTIFS('All Papers'!$D:$D,"*"&amp;$A507&amp;"*",'All Papers'!$G:$G,"*"&amp;Table1[[#Headers],[Resource Management-CS]]&amp;"*")</f>
        <v>0</v>
      </c>
      <c r="H507" s="8">
        <f>COUNTIFS('All Papers'!$D:$D,"*"&amp;$A507&amp;"*",'All Papers'!$G:$G,"*"&amp;Table1[[#Headers],[Resource Management-PS]]&amp;"*")</f>
        <v>0</v>
      </c>
      <c r="I507" s="8">
        <f>COUNTIFS('All Papers'!$D:$D,"*"&amp;$A507&amp;"*",'All Papers'!$G:$G,"*"&amp;Table1[[#Headers],[SLA Management]]&amp;"*")</f>
        <v>0</v>
      </c>
      <c r="J507" s="8">
        <f>COUNTIFS('All Papers'!$D:$D,"*"&amp;$A507&amp;"*",'All Papers'!$G:$G,"*"&amp;Table1[[#Headers],[Big Data]]&amp;"*")</f>
        <v>0</v>
      </c>
      <c r="K507" s="8">
        <f>COUNTIFS('All Papers'!$D:$D,"*"&amp;$A507&amp;"*",'All Papers'!$G:$G,"*"&amp;Table1[[#Headers],[Energy Management]]&amp;"*")</f>
        <v>0</v>
      </c>
      <c r="L507" s="8">
        <f>COUNTIFS('All Papers'!$D:$D,"*"&amp;$A507&amp;"*",'All Papers'!$G:$G,"*"&amp;Table1[[#Headers],[Monitoring]]&amp;"*")</f>
        <v>1</v>
      </c>
      <c r="M507" s="8">
        <f>COUNTIFS('All Papers'!$D:$D,"*"&amp;$A507&amp;"*",'All Papers'!$G:$G,"*"&amp;Table1[[#Headers],[Pricing]]&amp;"*")</f>
        <v>0</v>
      </c>
    </row>
    <row r="508" spans="1:13" x14ac:dyDescent="0.25">
      <c r="A508" s="8" t="s">
        <v>2941</v>
      </c>
      <c r="B508" s="8">
        <f>COUNTIF('All Papers'!D:D,"*"&amp;Table1[[#This Row],[Name]]&amp;"*")</f>
        <v>1</v>
      </c>
      <c r="C508" s="8">
        <f>COUNTIFS('All Papers'!$D:$D,"*"&amp;$A508&amp;"*",'All Papers'!$G:$G,"*"&amp;Table1[[#Headers],[Composition]]&amp;"*")</f>
        <v>0</v>
      </c>
      <c r="D508" s="8">
        <f>COUNTIFS('All Papers'!$D:$D,"*"&amp;$A508&amp;"*",'All Papers'!$G:$G,"*"&amp;Table1[[#Headers],[Discovery]]&amp;"*")</f>
        <v>0</v>
      </c>
      <c r="E508" s="8">
        <f>COUNTIFS('All Papers'!$D:$D,"*"&amp;$A508&amp;"*",'All Papers'!$G:$G,"*"&amp;Table1[[#Headers],[Selection]]&amp;"*")</f>
        <v>0</v>
      </c>
      <c r="F508" s="8">
        <f>COUNTIFS('All Papers'!$D:$D,"*"&amp;$A508&amp;"*",'All Papers'!$G:$G,"*"&amp;Table1[[#Headers],[Recommendation]]&amp;"*")</f>
        <v>0</v>
      </c>
      <c r="G508" s="8">
        <f>COUNTIFS('All Papers'!$D:$D,"*"&amp;$A508&amp;"*",'All Papers'!$G:$G,"*"&amp;Table1[[#Headers],[Resource Management-CS]]&amp;"*")</f>
        <v>0</v>
      </c>
      <c r="H508" s="8">
        <f>COUNTIFS('All Papers'!$D:$D,"*"&amp;$A508&amp;"*",'All Papers'!$G:$G,"*"&amp;Table1[[#Headers],[Resource Management-PS]]&amp;"*")</f>
        <v>0</v>
      </c>
      <c r="I508" s="8">
        <f>COUNTIFS('All Papers'!$D:$D,"*"&amp;$A508&amp;"*",'All Papers'!$G:$G,"*"&amp;Table1[[#Headers],[SLA Management]]&amp;"*")</f>
        <v>0</v>
      </c>
      <c r="J508" s="8">
        <f>COUNTIFS('All Papers'!$D:$D,"*"&amp;$A508&amp;"*",'All Papers'!$G:$G,"*"&amp;Table1[[#Headers],[Big Data]]&amp;"*")</f>
        <v>0</v>
      </c>
      <c r="K508" s="8">
        <f>COUNTIFS('All Papers'!$D:$D,"*"&amp;$A508&amp;"*",'All Papers'!$G:$G,"*"&amp;Table1[[#Headers],[Energy Management]]&amp;"*")</f>
        <v>0</v>
      </c>
      <c r="L508" s="8">
        <f>COUNTIFS('All Papers'!$D:$D,"*"&amp;$A508&amp;"*",'All Papers'!$G:$G,"*"&amp;Table1[[#Headers],[Monitoring]]&amp;"*")</f>
        <v>1</v>
      </c>
      <c r="M508" s="8">
        <f>COUNTIFS('All Papers'!$D:$D,"*"&amp;$A508&amp;"*",'All Papers'!$G:$G,"*"&amp;Table1[[#Headers],[Pricing]]&amp;"*")</f>
        <v>0</v>
      </c>
    </row>
    <row r="509" spans="1:13" x14ac:dyDescent="0.25">
      <c r="A509" s="8" t="s">
        <v>2942</v>
      </c>
      <c r="B509" s="8">
        <f>COUNTIF('All Papers'!D:D,"*"&amp;Table1[[#This Row],[Name]]&amp;"*")</f>
        <v>1</v>
      </c>
      <c r="C509" s="8">
        <f>COUNTIFS('All Papers'!$D:$D,"*"&amp;$A509&amp;"*",'All Papers'!$G:$G,"*"&amp;Table1[[#Headers],[Composition]]&amp;"*")</f>
        <v>0</v>
      </c>
      <c r="D509" s="8">
        <f>COUNTIFS('All Papers'!$D:$D,"*"&amp;$A509&amp;"*",'All Papers'!$G:$G,"*"&amp;Table1[[#Headers],[Discovery]]&amp;"*")</f>
        <v>0</v>
      </c>
      <c r="E509" s="8">
        <f>COUNTIFS('All Papers'!$D:$D,"*"&amp;$A509&amp;"*",'All Papers'!$G:$G,"*"&amp;Table1[[#Headers],[Selection]]&amp;"*")</f>
        <v>0</v>
      </c>
      <c r="F509" s="8">
        <f>COUNTIFS('All Papers'!$D:$D,"*"&amp;$A509&amp;"*",'All Papers'!$G:$G,"*"&amp;Table1[[#Headers],[Recommendation]]&amp;"*")</f>
        <v>0</v>
      </c>
      <c r="G509" s="8">
        <f>COUNTIFS('All Papers'!$D:$D,"*"&amp;$A509&amp;"*",'All Papers'!$G:$G,"*"&amp;Table1[[#Headers],[Resource Management-CS]]&amp;"*")</f>
        <v>0</v>
      </c>
      <c r="H509" s="8">
        <f>COUNTIFS('All Papers'!$D:$D,"*"&amp;$A509&amp;"*",'All Papers'!$G:$G,"*"&amp;Table1[[#Headers],[Resource Management-PS]]&amp;"*")</f>
        <v>0</v>
      </c>
      <c r="I509" s="8">
        <f>COUNTIFS('All Papers'!$D:$D,"*"&amp;$A509&amp;"*",'All Papers'!$G:$G,"*"&amp;Table1[[#Headers],[SLA Management]]&amp;"*")</f>
        <v>0</v>
      </c>
      <c r="J509" s="8">
        <f>COUNTIFS('All Papers'!$D:$D,"*"&amp;$A509&amp;"*",'All Papers'!$G:$G,"*"&amp;Table1[[#Headers],[Big Data]]&amp;"*")</f>
        <v>0</v>
      </c>
      <c r="K509" s="8">
        <f>COUNTIFS('All Papers'!$D:$D,"*"&amp;$A509&amp;"*",'All Papers'!$G:$G,"*"&amp;Table1[[#Headers],[Energy Management]]&amp;"*")</f>
        <v>0</v>
      </c>
      <c r="L509" s="8">
        <f>COUNTIFS('All Papers'!$D:$D,"*"&amp;$A509&amp;"*",'All Papers'!$G:$G,"*"&amp;Table1[[#Headers],[Monitoring]]&amp;"*")</f>
        <v>1</v>
      </c>
      <c r="M509" s="8">
        <f>COUNTIFS('All Papers'!$D:$D,"*"&amp;$A509&amp;"*",'All Papers'!$G:$G,"*"&amp;Table1[[#Headers],[Pricing]]&amp;"*")</f>
        <v>0</v>
      </c>
    </row>
    <row r="510" spans="1:13" x14ac:dyDescent="0.25">
      <c r="A510" s="8" t="s">
        <v>2943</v>
      </c>
      <c r="B510" s="8">
        <f>COUNTIF('All Papers'!D:D,"*"&amp;Table1[[#This Row],[Name]]&amp;"*")</f>
        <v>1</v>
      </c>
      <c r="C510" s="8">
        <f>COUNTIFS('All Papers'!$D:$D,"*"&amp;$A510&amp;"*",'All Papers'!$G:$G,"*"&amp;Table1[[#Headers],[Composition]]&amp;"*")</f>
        <v>0</v>
      </c>
      <c r="D510" s="8">
        <f>COUNTIFS('All Papers'!$D:$D,"*"&amp;$A510&amp;"*",'All Papers'!$G:$G,"*"&amp;Table1[[#Headers],[Discovery]]&amp;"*")</f>
        <v>0</v>
      </c>
      <c r="E510" s="8">
        <f>COUNTIFS('All Papers'!$D:$D,"*"&amp;$A510&amp;"*",'All Papers'!$G:$G,"*"&amp;Table1[[#Headers],[Selection]]&amp;"*")</f>
        <v>0</v>
      </c>
      <c r="F510" s="8">
        <f>COUNTIFS('All Papers'!$D:$D,"*"&amp;$A510&amp;"*",'All Papers'!$G:$G,"*"&amp;Table1[[#Headers],[Recommendation]]&amp;"*")</f>
        <v>0</v>
      </c>
      <c r="G510" s="8">
        <f>COUNTIFS('All Papers'!$D:$D,"*"&amp;$A510&amp;"*",'All Papers'!$G:$G,"*"&amp;Table1[[#Headers],[Resource Management-CS]]&amp;"*")</f>
        <v>1</v>
      </c>
      <c r="H510" s="8">
        <f>COUNTIFS('All Papers'!$D:$D,"*"&amp;$A510&amp;"*",'All Papers'!$G:$G,"*"&amp;Table1[[#Headers],[Resource Management-PS]]&amp;"*")</f>
        <v>0</v>
      </c>
      <c r="I510" s="8">
        <f>COUNTIFS('All Papers'!$D:$D,"*"&amp;$A510&amp;"*",'All Papers'!$G:$G,"*"&amp;Table1[[#Headers],[SLA Management]]&amp;"*")</f>
        <v>0</v>
      </c>
      <c r="J510" s="8">
        <f>COUNTIFS('All Papers'!$D:$D,"*"&amp;$A510&amp;"*",'All Papers'!$G:$G,"*"&amp;Table1[[#Headers],[Big Data]]&amp;"*")</f>
        <v>0</v>
      </c>
      <c r="K510" s="8">
        <f>COUNTIFS('All Papers'!$D:$D,"*"&amp;$A510&amp;"*",'All Papers'!$G:$G,"*"&amp;Table1[[#Headers],[Energy Management]]&amp;"*")</f>
        <v>0</v>
      </c>
      <c r="L510" s="8">
        <f>COUNTIFS('All Papers'!$D:$D,"*"&amp;$A510&amp;"*",'All Papers'!$G:$G,"*"&amp;Table1[[#Headers],[Monitoring]]&amp;"*")</f>
        <v>0</v>
      </c>
      <c r="M510" s="8">
        <f>COUNTIFS('All Papers'!$D:$D,"*"&amp;$A510&amp;"*",'All Papers'!$G:$G,"*"&amp;Table1[[#Headers],[Pricing]]&amp;"*")</f>
        <v>0</v>
      </c>
    </row>
    <row r="511" spans="1:13" x14ac:dyDescent="0.25">
      <c r="A511" s="8" t="s">
        <v>2944</v>
      </c>
      <c r="B511" s="8">
        <f>COUNTIF('All Papers'!D:D,"*"&amp;Table1[[#This Row],[Name]]&amp;"*")</f>
        <v>1</v>
      </c>
      <c r="C511" s="8">
        <f>COUNTIFS('All Papers'!$D:$D,"*"&amp;$A511&amp;"*",'All Papers'!$G:$G,"*"&amp;Table1[[#Headers],[Composition]]&amp;"*")</f>
        <v>0</v>
      </c>
      <c r="D511" s="8">
        <f>COUNTIFS('All Papers'!$D:$D,"*"&amp;$A511&amp;"*",'All Papers'!$G:$G,"*"&amp;Table1[[#Headers],[Discovery]]&amp;"*")</f>
        <v>0</v>
      </c>
      <c r="E511" s="8">
        <f>COUNTIFS('All Papers'!$D:$D,"*"&amp;$A511&amp;"*",'All Papers'!$G:$G,"*"&amp;Table1[[#Headers],[Selection]]&amp;"*")</f>
        <v>0</v>
      </c>
      <c r="F511" s="8">
        <f>COUNTIFS('All Papers'!$D:$D,"*"&amp;$A511&amp;"*",'All Papers'!$G:$G,"*"&amp;Table1[[#Headers],[Recommendation]]&amp;"*")</f>
        <v>0</v>
      </c>
      <c r="G511" s="8">
        <f>COUNTIFS('All Papers'!$D:$D,"*"&amp;$A511&amp;"*",'All Papers'!$G:$G,"*"&amp;Table1[[#Headers],[Resource Management-CS]]&amp;"*")</f>
        <v>1</v>
      </c>
      <c r="H511" s="8">
        <f>COUNTIFS('All Papers'!$D:$D,"*"&amp;$A511&amp;"*",'All Papers'!$G:$G,"*"&amp;Table1[[#Headers],[Resource Management-PS]]&amp;"*")</f>
        <v>0</v>
      </c>
      <c r="I511" s="8">
        <f>COUNTIFS('All Papers'!$D:$D,"*"&amp;$A511&amp;"*",'All Papers'!$G:$G,"*"&amp;Table1[[#Headers],[SLA Management]]&amp;"*")</f>
        <v>0</v>
      </c>
      <c r="J511" s="8">
        <f>COUNTIFS('All Papers'!$D:$D,"*"&amp;$A511&amp;"*",'All Papers'!$G:$G,"*"&amp;Table1[[#Headers],[Big Data]]&amp;"*")</f>
        <v>0</v>
      </c>
      <c r="K511" s="8">
        <f>COUNTIFS('All Papers'!$D:$D,"*"&amp;$A511&amp;"*",'All Papers'!$G:$G,"*"&amp;Table1[[#Headers],[Energy Management]]&amp;"*")</f>
        <v>0</v>
      </c>
      <c r="L511" s="8">
        <f>COUNTIFS('All Papers'!$D:$D,"*"&amp;$A511&amp;"*",'All Papers'!$G:$G,"*"&amp;Table1[[#Headers],[Monitoring]]&amp;"*")</f>
        <v>0</v>
      </c>
      <c r="M511" s="8">
        <f>COUNTIFS('All Papers'!$D:$D,"*"&amp;$A511&amp;"*",'All Papers'!$G:$G,"*"&amp;Table1[[#Headers],[Pricing]]&amp;"*")</f>
        <v>0</v>
      </c>
    </row>
    <row r="512" spans="1:13" x14ac:dyDescent="0.25">
      <c r="A512" s="8" t="s">
        <v>2945</v>
      </c>
      <c r="B512" s="8">
        <f>COUNTIF('All Papers'!D:D,"*"&amp;Table1[[#This Row],[Name]]&amp;"*")</f>
        <v>1</v>
      </c>
      <c r="C512" s="8">
        <f>COUNTIFS('All Papers'!$D:$D,"*"&amp;$A512&amp;"*",'All Papers'!$G:$G,"*"&amp;Table1[[#Headers],[Composition]]&amp;"*")</f>
        <v>0</v>
      </c>
      <c r="D512" s="8">
        <f>COUNTIFS('All Papers'!$D:$D,"*"&amp;$A512&amp;"*",'All Papers'!$G:$G,"*"&amp;Table1[[#Headers],[Discovery]]&amp;"*")</f>
        <v>0</v>
      </c>
      <c r="E512" s="8">
        <f>COUNTIFS('All Papers'!$D:$D,"*"&amp;$A512&amp;"*",'All Papers'!$G:$G,"*"&amp;Table1[[#Headers],[Selection]]&amp;"*")</f>
        <v>0</v>
      </c>
      <c r="F512" s="8">
        <f>COUNTIFS('All Papers'!$D:$D,"*"&amp;$A512&amp;"*",'All Papers'!$G:$G,"*"&amp;Table1[[#Headers],[Recommendation]]&amp;"*")</f>
        <v>0</v>
      </c>
      <c r="G512" s="8">
        <f>COUNTIFS('All Papers'!$D:$D,"*"&amp;$A512&amp;"*",'All Papers'!$G:$G,"*"&amp;Table1[[#Headers],[Resource Management-CS]]&amp;"*")</f>
        <v>1</v>
      </c>
      <c r="H512" s="8">
        <f>COUNTIFS('All Papers'!$D:$D,"*"&amp;$A512&amp;"*",'All Papers'!$G:$G,"*"&amp;Table1[[#Headers],[Resource Management-PS]]&amp;"*")</f>
        <v>0</v>
      </c>
      <c r="I512" s="8">
        <f>COUNTIFS('All Papers'!$D:$D,"*"&amp;$A512&amp;"*",'All Papers'!$G:$G,"*"&amp;Table1[[#Headers],[SLA Management]]&amp;"*")</f>
        <v>0</v>
      </c>
      <c r="J512" s="8">
        <f>COUNTIFS('All Papers'!$D:$D,"*"&amp;$A512&amp;"*",'All Papers'!$G:$G,"*"&amp;Table1[[#Headers],[Big Data]]&amp;"*")</f>
        <v>0</v>
      </c>
      <c r="K512" s="8">
        <f>COUNTIFS('All Papers'!$D:$D,"*"&amp;$A512&amp;"*",'All Papers'!$G:$G,"*"&amp;Table1[[#Headers],[Energy Management]]&amp;"*")</f>
        <v>0</v>
      </c>
      <c r="L512" s="8">
        <f>COUNTIFS('All Papers'!$D:$D,"*"&amp;$A512&amp;"*",'All Papers'!$G:$G,"*"&amp;Table1[[#Headers],[Monitoring]]&amp;"*")</f>
        <v>0</v>
      </c>
      <c r="M512" s="8">
        <f>COUNTIFS('All Papers'!$D:$D,"*"&amp;$A512&amp;"*",'All Papers'!$G:$G,"*"&amp;Table1[[#Headers],[Pricing]]&amp;"*")</f>
        <v>0</v>
      </c>
    </row>
    <row r="513" spans="1:13" x14ac:dyDescent="0.25">
      <c r="A513" s="8" t="s">
        <v>2946</v>
      </c>
      <c r="B513" s="8">
        <f>COUNTIF('All Papers'!D:D,"*"&amp;Table1[[#This Row],[Name]]&amp;"*")</f>
        <v>1</v>
      </c>
      <c r="C513" s="8">
        <f>COUNTIFS('All Papers'!$D:$D,"*"&amp;$A513&amp;"*",'All Papers'!$G:$G,"*"&amp;Table1[[#Headers],[Composition]]&amp;"*")</f>
        <v>0</v>
      </c>
      <c r="D513" s="8">
        <f>COUNTIFS('All Papers'!$D:$D,"*"&amp;$A513&amp;"*",'All Papers'!$G:$G,"*"&amp;Table1[[#Headers],[Discovery]]&amp;"*")</f>
        <v>0</v>
      </c>
      <c r="E513" s="8">
        <f>COUNTIFS('All Papers'!$D:$D,"*"&amp;$A513&amp;"*",'All Papers'!$G:$G,"*"&amp;Table1[[#Headers],[Selection]]&amp;"*")</f>
        <v>0</v>
      </c>
      <c r="F513" s="8">
        <f>COUNTIFS('All Papers'!$D:$D,"*"&amp;$A513&amp;"*",'All Papers'!$G:$G,"*"&amp;Table1[[#Headers],[Recommendation]]&amp;"*")</f>
        <v>0</v>
      </c>
      <c r="G513" s="8">
        <f>COUNTIFS('All Papers'!$D:$D,"*"&amp;$A513&amp;"*",'All Papers'!$G:$G,"*"&amp;Table1[[#Headers],[Resource Management-CS]]&amp;"*")</f>
        <v>1</v>
      </c>
      <c r="H513" s="8">
        <f>COUNTIFS('All Papers'!$D:$D,"*"&amp;$A513&amp;"*",'All Papers'!$G:$G,"*"&amp;Table1[[#Headers],[Resource Management-PS]]&amp;"*")</f>
        <v>0</v>
      </c>
      <c r="I513" s="8">
        <f>COUNTIFS('All Papers'!$D:$D,"*"&amp;$A513&amp;"*",'All Papers'!$G:$G,"*"&amp;Table1[[#Headers],[SLA Management]]&amp;"*")</f>
        <v>0</v>
      </c>
      <c r="J513" s="8">
        <f>COUNTIFS('All Papers'!$D:$D,"*"&amp;$A513&amp;"*",'All Papers'!$G:$G,"*"&amp;Table1[[#Headers],[Big Data]]&amp;"*")</f>
        <v>0</v>
      </c>
      <c r="K513" s="8">
        <f>COUNTIFS('All Papers'!$D:$D,"*"&amp;$A513&amp;"*",'All Papers'!$G:$G,"*"&amp;Table1[[#Headers],[Energy Management]]&amp;"*")</f>
        <v>0</v>
      </c>
      <c r="L513" s="8">
        <f>COUNTIFS('All Papers'!$D:$D,"*"&amp;$A513&amp;"*",'All Papers'!$G:$G,"*"&amp;Table1[[#Headers],[Monitoring]]&amp;"*")</f>
        <v>0</v>
      </c>
      <c r="M513" s="8">
        <f>COUNTIFS('All Papers'!$D:$D,"*"&amp;$A513&amp;"*",'All Papers'!$G:$G,"*"&amp;Table1[[#Headers],[Pricing]]&amp;"*")</f>
        <v>0</v>
      </c>
    </row>
    <row r="514" spans="1:13" x14ac:dyDescent="0.25">
      <c r="A514" s="8" t="s">
        <v>2947</v>
      </c>
      <c r="B514" s="8">
        <f>COUNTIF('All Papers'!D:D,"*"&amp;Table1[[#This Row],[Name]]&amp;"*")</f>
        <v>1</v>
      </c>
      <c r="C514" s="8">
        <f>COUNTIFS('All Papers'!$D:$D,"*"&amp;$A514&amp;"*",'All Papers'!$G:$G,"*"&amp;Table1[[#Headers],[Composition]]&amp;"*")</f>
        <v>0</v>
      </c>
      <c r="D514" s="8">
        <f>COUNTIFS('All Papers'!$D:$D,"*"&amp;$A514&amp;"*",'All Papers'!$G:$G,"*"&amp;Table1[[#Headers],[Discovery]]&amp;"*")</f>
        <v>0</v>
      </c>
      <c r="E514" s="8">
        <f>COUNTIFS('All Papers'!$D:$D,"*"&amp;$A514&amp;"*",'All Papers'!$G:$G,"*"&amp;Table1[[#Headers],[Selection]]&amp;"*")</f>
        <v>0</v>
      </c>
      <c r="F514" s="8">
        <f>COUNTIFS('All Papers'!$D:$D,"*"&amp;$A514&amp;"*",'All Papers'!$G:$G,"*"&amp;Table1[[#Headers],[Recommendation]]&amp;"*")</f>
        <v>0</v>
      </c>
      <c r="G514" s="8">
        <f>COUNTIFS('All Papers'!$D:$D,"*"&amp;$A514&amp;"*",'All Papers'!$G:$G,"*"&amp;Table1[[#Headers],[Resource Management-CS]]&amp;"*")</f>
        <v>0</v>
      </c>
      <c r="H514" s="8">
        <f>COUNTIFS('All Papers'!$D:$D,"*"&amp;$A514&amp;"*",'All Papers'!$G:$G,"*"&amp;Table1[[#Headers],[Resource Management-PS]]&amp;"*")</f>
        <v>0</v>
      </c>
      <c r="I514" s="8">
        <f>COUNTIFS('All Papers'!$D:$D,"*"&amp;$A514&amp;"*",'All Papers'!$G:$G,"*"&amp;Table1[[#Headers],[SLA Management]]&amp;"*")</f>
        <v>0</v>
      </c>
      <c r="J514" s="8">
        <f>COUNTIFS('All Papers'!$D:$D,"*"&amp;$A514&amp;"*",'All Papers'!$G:$G,"*"&amp;Table1[[#Headers],[Big Data]]&amp;"*")</f>
        <v>0</v>
      </c>
      <c r="K514" s="8">
        <f>COUNTIFS('All Papers'!$D:$D,"*"&amp;$A514&amp;"*",'All Papers'!$G:$G,"*"&amp;Table1[[#Headers],[Energy Management]]&amp;"*")</f>
        <v>0</v>
      </c>
      <c r="L514" s="8">
        <f>COUNTIFS('All Papers'!$D:$D,"*"&amp;$A514&amp;"*",'All Papers'!$G:$G,"*"&amp;Table1[[#Headers],[Monitoring]]&amp;"*")</f>
        <v>1</v>
      </c>
      <c r="M514" s="8">
        <f>COUNTIFS('All Papers'!$D:$D,"*"&amp;$A514&amp;"*",'All Papers'!$G:$G,"*"&amp;Table1[[#Headers],[Pricing]]&amp;"*")</f>
        <v>0</v>
      </c>
    </row>
    <row r="515" spans="1:13" x14ac:dyDescent="0.25">
      <c r="A515" s="8" t="s">
        <v>2948</v>
      </c>
      <c r="B515" s="8">
        <f>COUNTIF('All Papers'!D:D,"*"&amp;Table1[[#This Row],[Name]]&amp;"*")</f>
        <v>1</v>
      </c>
      <c r="C515" s="8">
        <f>COUNTIFS('All Papers'!$D:$D,"*"&amp;$A515&amp;"*",'All Papers'!$G:$G,"*"&amp;Table1[[#Headers],[Composition]]&amp;"*")</f>
        <v>0</v>
      </c>
      <c r="D515" s="8">
        <f>COUNTIFS('All Papers'!$D:$D,"*"&amp;$A515&amp;"*",'All Papers'!$G:$G,"*"&amp;Table1[[#Headers],[Discovery]]&amp;"*")</f>
        <v>0</v>
      </c>
      <c r="E515" s="8">
        <f>COUNTIFS('All Papers'!$D:$D,"*"&amp;$A515&amp;"*",'All Papers'!$G:$G,"*"&amp;Table1[[#Headers],[Selection]]&amp;"*")</f>
        <v>0</v>
      </c>
      <c r="F515" s="8">
        <f>COUNTIFS('All Papers'!$D:$D,"*"&amp;$A515&amp;"*",'All Papers'!$G:$G,"*"&amp;Table1[[#Headers],[Recommendation]]&amp;"*")</f>
        <v>0</v>
      </c>
      <c r="G515" s="8">
        <f>COUNTIFS('All Papers'!$D:$D,"*"&amp;$A515&amp;"*",'All Papers'!$G:$G,"*"&amp;Table1[[#Headers],[Resource Management-CS]]&amp;"*")</f>
        <v>0</v>
      </c>
      <c r="H515" s="8">
        <f>COUNTIFS('All Papers'!$D:$D,"*"&amp;$A515&amp;"*",'All Papers'!$G:$G,"*"&amp;Table1[[#Headers],[Resource Management-PS]]&amp;"*")</f>
        <v>0</v>
      </c>
      <c r="I515" s="8">
        <f>COUNTIFS('All Papers'!$D:$D,"*"&amp;$A515&amp;"*",'All Papers'!$G:$G,"*"&amp;Table1[[#Headers],[SLA Management]]&amp;"*")</f>
        <v>0</v>
      </c>
      <c r="J515" s="8">
        <f>COUNTIFS('All Papers'!$D:$D,"*"&amp;$A515&amp;"*",'All Papers'!$G:$G,"*"&amp;Table1[[#Headers],[Big Data]]&amp;"*")</f>
        <v>0</v>
      </c>
      <c r="K515" s="8">
        <f>COUNTIFS('All Papers'!$D:$D,"*"&amp;$A515&amp;"*",'All Papers'!$G:$G,"*"&amp;Table1[[#Headers],[Energy Management]]&amp;"*")</f>
        <v>0</v>
      </c>
      <c r="L515" s="8">
        <f>COUNTIFS('All Papers'!$D:$D,"*"&amp;$A515&amp;"*",'All Papers'!$G:$G,"*"&amp;Table1[[#Headers],[Monitoring]]&amp;"*")</f>
        <v>1</v>
      </c>
      <c r="M515" s="8">
        <f>COUNTIFS('All Papers'!$D:$D,"*"&amp;$A515&amp;"*",'All Papers'!$G:$G,"*"&amp;Table1[[#Headers],[Pricing]]&amp;"*")</f>
        <v>0</v>
      </c>
    </row>
    <row r="516" spans="1:13" x14ac:dyDescent="0.25">
      <c r="A516" s="8" t="s">
        <v>2949</v>
      </c>
      <c r="B516" s="8">
        <f>COUNTIF('All Papers'!D:D,"*"&amp;Table1[[#This Row],[Name]]&amp;"*")</f>
        <v>1</v>
      </c>
      <c r="C516" s="8">
        <f>COUNTIFS('All Papers'!$D:$D,"*"&amp;$A516&amp;"*",'All Papers'!$G:$G,"*"&amp;Table1[[#Headers],[Composition]]&amp;"*")</f>
        <v>0</v>
      </c>
      <c r="D516" s="8">
        <f>COUNTIFS('All Papers'!$D:$D,"*"&amp;$A516&amp;"*",'All Papers'!$G:$G,"*"&amp;Table1[[#Headers],[Discovery]]&amp;"*")</f>
        <v>0</v>
      </c>
      <c r="E516" s="8">
        <f>COUNTIFS('All Papers'!$D:$D,"*"&amp;$A516&amp;"*",'All Papers'!$G:$G,"*"&amp;Table1[[#Headers],[Selection]]&amp;"*")</f>
        <v>0</v>
      </c>
      <c r="F516" s="8">
        <f>COUNTIFS('All Papers'!$D:$D,"*"&amp;$A516&amp;"*",'All Papers'!$G:$G,"*"&amp;Table1[[#Headers],[Recommendation]]&amp;"*")</f>
        <v>0</v>
      </c>
      <c r="G516" s="8">
        <f>COUNTIFS('All Papers'!$D:$D,"*"&amp;$A516&amp;"*",'All Papers'!$G:$G,"*"&amp;Table1[[#Headers],[Resource Management-CS]]&amp;"*")</f>
        <v>0</v>
      </c>
      <c r="H516" s="8">
        <f>COUNTIFS('All Papers'!$D:$D,"*"&amp;$A516&amp;"*",'All Papers'!$G:$G,"*"&amp;Table1[[#Headers],[Resource Management-PS]]&amp;"*")</f>
        <v>0</v>
      </c>
      <c r="I516" s="8">
        <f>COUNTIFS('All Papers'!$D:$D,"*"&amp;$A516&amp;"*",'All Papers'!$G:$G,"*"&amp;Table1[[#Headers],[SLA Management]]&amp;"*")</f>
        <v>0</v>
      </c>
      <c r="J516" s="8">
        <f>COUNTIFS('All Papers'!$D:$D,"*"&amp;$A516&amp;"*",'All Papers'!$G:$G,"*"&amp;Table1[[#Headers],[Big Data]]&amp;"*")</f>
        <v>0</v>
      </c>
      <c r="K516" s="8">
        <f>COUNTIFS('All Papers'!$D:$D,"*"&amp;$A516&amp;"*",'All Papers'!$G:$G,"*"&amp;Table1[[#Headers],[Energy Management]]&amp;"*")</f>
        <v>0</v>
      </c>
      <c r="L516" s="8">
        <f>COUNTIFS('All Papers'!$D:$D,"*"&amp;$A516&amp;"*",'All Papers'!$G:$G,"*"&amp;Table1[[#Headers],[Monitoring]]&amp;"*")</f>
        <v>1</v>
      </c>
      <c r="M516" s="8">
        <f>COUNTIFS('All Papers'!$D:$D,"*"&amp;$A516&amp;"*",'All Papers'!$G:$G,"*"&amp;Table1[[#Headers],[Pricing]]&amp;"*")</f>
        <v>0</v>
      </c>
    </row>
    <row r="517" spans="1:13" x14ac:dyDescent="0.25">
      <c r="A517" s="8" t="s">
        <v>2950</v>
      </c>
      <c r="B517" s="8">
        <f>COUNTIF('All Papers'!D:D,"*"&amp;Table1[[#This Row],[Name]]&amp;"*")</f>
        <v>1</v>
      </c>
      <c r="C517" s="8">
        <f>COUNTIFS('All Papers'!$D:$D,"*"&amp;$A517&amp;"*",'All Papers'!$G:$G,"*"&amp;Table1[[#Headers],[Composition]]&amp;"*")</f>
        <v>0</v>
      </c>
      <c r="D517" s="8">
        <f>COUNTIFS('All Papers'!$D:$D,"*"&amp;$A517&amp;"*",'All Papers'!$G:$G,"*"&amp;Table1[[#Headers],[Discovery]]&amp;"*")</f>
        <v>0</v>
      </c>
      <c r="E517" s="8">
        <f>COUNTIFS('All Papers'!$D:$D,"*"&amp;$A517&amp;"*",'All Papers'!$G:$G,"*"&amp;Table1[[#Headers],[Selection]]&amp;"*")</f>
        <v>0</v>
      </c>
      <c r="F517" s="8">
        <f>COUNTIFS('All Papers'!$D:$D,"*"&amp;$A517&amp;"*",'All Papers'!$G:$G,"*"&amp;Table1[[#Headers],[Recommendation]]&amp;"*")</f>
        <v>0</v>
      </c>
      <c r="G517" s="8">
        <f>COUNTIFS('All Papers'!$D:$D,"*"&amp;$A517&amp;"*",'All Papers'!$G:$G,"*"&amp;Table1[[#Headers],[Resource Management-CS]]&amp;"*")</f>
        <v>0</v>
      </c>
      <c r="H517" s="8">
        <f>COUNTIFS('All Papers'!$D:$D,"*"&amp;$A517&amp;"*",'All Papers'!$G:$G,"*"&amp;Table1[[#Headers],[Resource Management-PS]]&amp;"*")</f>
        <v>0</v>
      </c>
      <c r="I517" s="8">
        <f>COUNTIFS('All Papers'!$D:$D,"*"&amp;$A517&amp;"*",'All Papers'!$G:$G,"*"&amp;Table1[[#Headers],[SLA Management]]&amp;"*")</f>
        <v>0</v>
      </c>
      <c r="J517" s="8">
        <f>COUNTIFS('All Papers'!$D:$D,"*"&amp;$A517&amp;"*",'All Papers'!$G:$G,"*"&amp;Table1[[#Headers],[Big Data]]&amp;"*")</f>
        <v>0</v>
      </c>
      <c r="K517" s="8">
        <f>COUNTIFS('All Papers'!$D:$D,"*"&amp;$A517&amp;"*",'All Papers'!$G:$G,"*"&amp;Table1[[#Headers],[Energy Management]]&amp;"*")</f>
        <v>0</v>
      </c>
      <c r="L517" s="8">
        <f>COUNTIFS('All Papers'!$D:$D,"*"&amp;$A517&amp;"*",'All Papers'!$G:$G,"*"&amp;Table1[[#Headers],[Monitoring]]&amp;"*")</f>
        <v>1</v>
      </c>
      <c r="M517" s="8">
        <f>COUNTIFS('All Papers'!$D:$D,"*"&amp;$A517&amp;"*",'All Papers'!$G:$G,"*"&amp;Table1[[#Headers],[Pricing]]&amp;"*")</f>
        <v>0</v>
      </c>
    </row>
    <row r="518" spans="1:13" x14ac:dyDescent="0.25">
      <c r="A518" s="8" t="s">
        <v>2951</v>
      </c>
      <c r="B518" s="8">
        <f>COUNTIF('All Papers'!D:D,"*"&amp;Table1[[#This Row],[Name]]&amp;"*")</f>
        <v>1</v>
      </c>
      <c r="C518" s="8">
        <f>COUNTIFS('All Papers'!$D:$D,"*"&amp;$A518&amp;"*",'All Papers'!$G:$G,"*"&amp;Table1[[#Headers],[Composition]]&amp;"*")</f>
        <v>0</v>
      </c>
      <c r="D518" s="8">
        <f>COUNTIFS('All Papers'!$D:$D,"*"&amp;$A518&amp;"*",'All Papers'!$G:$G,"*"&amp;Table1[[#Headers],[Discovery]]&amp;"*")</f>
        <v>0</v>
      </c>
      <c r="E518" s="8">
        <f>COUNTIFS('All Papers'!$D:$D,"*"&amp;$A518&amp;"*",'All Papers'!$G:$G,"*"&amp;Table1[[#Headers],[Selection]]&amp;"*")</f>
        <v>0</v>
      </c>
      <c r="F518" s="8">
        <f>COUNTIFS('All Papers'!$D:$D,"*"&amp;$A518&amp;"*",'All Papers'!$G:$G,"*"&amp;Table1[[#Headers],[Recommendation]]&amp;"*")</f>
        <v>0</v>
      </c>
      <c r="G518" s="8">
        <f>COUNTIFS('All Papers'!$D:$D,"*"&amp;$A518&amp;"*",'All Papers'!$G:$G,"*"&amp;Table1[[#Headers],[Resource Management-CS]]&amp;"*")</f>
        <v>0</v>
      </c>
      <c r="H518" s="8">
        <f>COUNTIFS('All Papers'!$D:$D,"*"&amp;$A518&amp;"*",'All Papers'!$G:$G,"*"&amp;Table1[[#Headers],[Resource Management-PS]]&amp;"*")</f>
        <v>1</v>
      </c>
      <c r="I518" s="8">
        <f>COUNTIFS('All Papers'!$D:$D,"*"&amp;$A518&amp;"*",'All Papers'!$G:$G,"*"&amp;Table1[[#Headers],[SLA Management]]&amp;"*")</f>
        <v>0</v>
      </c>
      <c r="J518" s="8">
        <f>COUNTIFS('All Papers'!$D:$D,"*"&amp;$A518&amp;"*",'All Papers'!$G:$G,"*"&amp;Table1[[#Headers],[Big Data]]&amp;"*")</f>
        <v>0</v>
      </c>
      <c r="K518" s="8">
        <f>COUNTIFS('All Papers'!$D:$D,"*"&amp;$A518&amp;"*",'All Papers'!$G:$G,"*"&amp;Table1[[#Headers],[Energy Management]]&amp;"*")</f>
        <v>0</v>
      </c>
      <c r="L518" s="8">
        <f>COUNTIFS('All Papers'!$D:$D,"*"&amp;$A518&amp;"*",'All Papers'!$G:$G,"*"&amp;Table1[[#Headers],[Monitoring]]&amp;"*")</f>
        <v>0</v>
      </c>
      <c r="M518" s="8">
        <f>COUNTIFS('All Papers'!$D:$D,"*"&amp;$A518&amp;"*",'All Papers'!$G:$G,"*"&amp;Table1[[#Headers],[Pricing]]&amp;"*")</f>
        <v>1</v>
      </c>
    </row>
    <row r="519" spans="1:13" x14ac:dyDescent="0.25">
      <c r="A519" s="8" t="s">
        <v>2952</v>
      </c>
      <c r="B519" s="8">
        <f>COUNTIF('All Papers'!D:D,"*"&amp;Table1[[#This Row],[Name]]&amp;"*")</f>
        <v>1</v>
      </c>
      <c r="C519" s="8">
        <f>COUNTIFS('All Papers'!$D:$D,"*"&amp;$A519&amp;"*",'All Papers'!$G:$G,"*"&amp;Table1[[#Headers],[Composition]]&amp;"*")</f>
        <v>0</v>
      </c>
      <c r="D519" s="8">
        <f>COUNTIFS('All Papers'!$D:$D,"*"&amp;$A519&amp;"*",'All Papers'!$G:$G,"*"&amp;Table1[[#Headers],[Discovery]]&amp;"*")</f>
        <v>0</v>
      </c>
      <c r="E519" s="8">
        <f>COUNTIFS('All Papers'!$D:$D,"*"&amp;$A519&amp;"*",'All Papers'!$G:$G,"*"&amp;Table1[[#Headers],[Selection]]&amp;"*")</f>
        <v>0</v>
      </c>
      <c r="F519" s="8">
        <f>COUNTIFS('All Papers'!$D:$D,"*"&amp;$A519&amp;"*",'All Papers'!$G:$G,"*"&amp;Table1[[#Headers],[Recommendation]]&amp;"*")</f>
        <v>0</v>
      </c>
      <c r="G519" s="8">
        <f>COUNTIFS('All Papers'!$D:$D,"*"&amp;$A519&amp;"*",'All Papers'!$G:$G,"*"&amp;Table1[[#Headers],[Resource Management-CS]]&amp;"*")</f>
        <v>1</v>
      </c>
      <c r="H519" s="8">
        <f>COUNTIFS('All Papers'!$D:$D,"*"&amp;$A519&amp;"*",'All Papers'!$G:$G,"*"&amp;Table1[[#Headers],[Resource Management-PS]]&amp;"*")</f>
        <v>0</v>
      </c>
      <c r="I519" s="8">
        <f>COUNTIFS('All Papers'!$D:$D,"*"&amp;$A519&amp;"*",'All Papers'!$G:$G,"*"&amp;Table1[[#Headers],[SLA Management]]&amp;"*")</f>
        <v>0</v>
      </c>
      <c r="J519" s="8">
        <f>COUNTIFS('All Papers'!$D:$D,"*"&amp;$A519&amp;"*",'All Papers'!$G:$G,"*"&amp;Table1[[#Headers],[Big Data]]&amp;"*")</f>
        <v>0</v>
      </c>
      <c r="K519" s="8">
        <f>COUNTIFS('All Papers'!$D:$D,"*"&amp;$A519&amp;"*",'All Papers'!$G:$G,"*"&amp;Table1[[#Headers],[Energy Management]]&amp;"*")</f>
        <v>0</v>
      </c>
      <c r="L519" s="8">
        <f>COUNTIFS('All Papers'!$D:$D,"*"&amp;$A519&amp;"*",'All Papers'!$G:$G,"*"&amp;Table1[[#Headers],[Monitoring]]&amp;"*")</f>
        <v>0</v>
      </c>
      <c r="M519" s="8">
        <f>COUNTIFS('All Papers'!$D:$D,"*"&amp;$A519&amp;"*",'All Papers'!$G:$G,"*"&amp;Table1[[#Headers],[Pricing]]&amp;"*")</f>
        <v>0</v>
      </c>
    </row>
    <row r="520" spans="1:13" x14ac:dyDescent="0.25">
      <c r="A520" s="8" t="s">
        <v>2953</v>
      </c>
      <c r="B520" s="8">
        <f>COUNTIF('All Papers'!D:D,"*"&amp;Table1[[#This Row],[Name]]&amp;"*")</f>
        <v>1</v>
      </c>
      <c r="C520" s="8">
        <f>COUNTIFS('All Papers'!$D:$D,"*"&amp;$A520&amp;"*",'All Papers'!$G:$G,"*"&amp;Table1[[#Headers],[Composition]]&amp;"*")</f>
        <v>0</v>
      </c>
      <c r="D520" s="8">
        <f>COUNTIFS('All Papers'!$D:$D,"*"&amp;$A520&amp;"*",'All Papers'!$G:$G,"*"&amp;Table1[[#Headers],[Discovery]]&amp;"*")</f>
        <v>0</v>
      </c>
      <c r="E520" s="8">
        <f>COUNTIFS('All Papers'!$D:$D,"*"&amp;$A520&amp;"*",'All Papers'!$G:$G,"*"&amp;Table1[[#Headers],[Selection]]&amp;"*")</f>
        <v>0</v>
      </c>
      <c r="F520" s="8">
        <f>COUNTIFS('All Papers'!$D:$D,"*"&amp;$A520&amp;"*",'All Papers'!$G:$G,"*"&amp;Table1[[#Headers],[Recommendation]]&amp;"*")</f>
        <v>0</v>
      </c>
      <c r="G520" s="8">
        <f>COUNTIFS('All Papers'!$D:$D,"*"&amp;$A520&amp;"*",'All Papers'!$G:$G,"*"&amp;Table1[[#Headers],[Resource Management-CS]]&amp;"*")</f>
        <v>1</v>
      </c>
      <c r="H520" s="8">
        <f>COUNTIFS('All Papers'!$D:$D,"*"&amp;$A520&amp;"*",'All Papers'!$G:$G,"*"&amp;Table1[[#Headers],[Resource Management-PS]]&amp;"*")</f>
        <v>0</v>
      </c>
      <c r="I520" s="8">
        <f>COUNTIFS('All Papers'!$D:$D,"*"&amp;$A520&amp;"*",'All Papers'!$G:$G,"*"&amp;Table1[[#Headers],[SLA Management]]&amp;"*")</f>
        <v>0</v>
      </c>
      <c r="J520" s="8">
        <f>COUNTIFS('All Papers'!$D:$D,"*"&amp;$A520&amp;"*",'All Papers'!$G:$G,"*"&amp;Table1[[#Headers],[Big Data]]&amp;"*")</f>
        <v>0</v>
      </c>
      <c r="K520" s="8">
        <f>COUNTIFS('All Papers'!$D:$D,"*"&amp;$A520&amp;"*",'All Papers'!$G:$G,"*"&amp;Table1[[#Headers],[Energy Management]]&amp;"*")</f>
        <v>1</v>
      </c>
      <c r="L520" s="8">
        <f>COUNTIFS('All Papers'!$D:$D,"*"&amp;$A520&amp;"*",'All Papers'!$G:$G,"*"&amp;Table1[[#Headers],[Monitoring]]&amp;"*")</f>
        <v>0</v>
      </c>
      <c r="M520" s="8">
        <f>COUNTIFS('All Papers'!$D:$D,"*"&amp;$A520&amp;"*",'All Papers'!$G:$G,"*"&amp;Table1[[#Headers],[Pricing]]&amp;"*")</f>
        <v>0</v>
      </c>
    </row>
    <row r="521" spans="1:13" x14ac:dyDescent="0.25">
      <c r="A521" s="8" t="s">
        <v>2954</v>
      </c>
      <c r="B521" s="8">
        <f>COUNTIF('All Papers'!D:D,"*"&amp;Table1[[#This Row],[Name]]&amp;"*")</f>
        <v>1</v>
      </c>
      <c r="C521" s="8">
        <f>COUNTIFS('All Papers'!$D:$D,"*"&amp;$A521&amp;"*",'All Papers'!$G:$G,"*"&amp;Table1[[#Headers],[Composition]]&amp;"*")</f>
        <v>0</v>
      </c>
      <c r="D521" s="8">
        <f>COUNTIFS('All Papers'!$D:$D,"*"&amp;$A521&amp;"*",'All Papers'!$G:$G,"*"&amp;Table1[[#Headers],[Discovery]]&amp;"*")</f>
        <v>1</v>
      </c>
      <c r="E521" s="8">
        <f>COUNTIFS('All Papers'!$D:$D,"*"&amp;$A521&amp;"*",'All Papers'!$G:$G,"*"&amp;Table1[[#Headers],[Selection]]&amp;"*")</f>
        <v>1</v>
      </c>
      <c r="F521" s="8">
        <f>COUNTIFS('All Papers'!$D:$D,"*"&amp;$A521&amp;"*",'All Papers'!$G:$G,"*"&amp;Table1[[#Headers],[Recommendation]]&amp;"*")</f>
        <v>0</v>
      </c>
      <c r="G521" s="8">
        <f>COUNTIFS('All Papers'!$D:$D,"*"&amp;$A521&amp;"*",'All Papers'!$G:$G,"*"&amp;Table1[[#Headers],[Resource Management-CS]]&amp;"*")</f>
        <v>1</v>
      </c>
      <c r="H521" s="8">
        <f>COUNTIFS('All Papers'!$D:$D,"*"&amp;$A521&amp;"*",'All Papers'!$G:$G,"*"&amp;Table1[[#Headers],[Resource Management-PS]]&amp;"*")</f>
        <v>0</v>
      </c>
      <c r="I521" s="8">
        <f>COUNTIFS('All Papers'!$D:$D,"*"&amp;$A521&amp;"*",'All Papers'!$G:$G,"*"&amp;Table1[[#Headers],[SLA Management]]&amp;"*")</f>
        <v>0</v>
      </c>
      <c r="J521" s="8">
        <f>COUNTIFS('All Papers'!$D:$D,"*"&amp;$A521&amp;"*",'All Papers'!$G:$G,"*"&amp;Table1[[#Headers],[Big Data]]&amp;"*")</f>
        <v>0</v>
      </c>
      <c r="K521" s="8">
        <f>COUNTIFS('All Papers'!$D:$D,"*"&amp;$A521&amp;"*",'All Papers'!$G:$G,"*"&amp;Table1[[#Headers],[Energy Management]]&amp;"*")</f>
        <v>0</v>
      </c>
      <c r="L521" s="8">
        <f>COUNTIFS('All Papers'!$D:$D,"*"&amp;$A521&amp;"*",'All Papers'!$G:$G,"*"&amp;Table1[[#Headers],[Monitoring]]&amp;"*")</f>
        <v>0</v>
      </c>
      <c r="M521" s="8">
        <f>COUNTIFS('All Papers'!$D:$D,"*"&amp;$A521&amp;"*",'All Papers'!$G:$G,"*"&amp;Table1[[#Headers],[Pricing]]&amp;"*")</f>
        <v>0</v>
      </c>
    </row>
    <row r="522" spans="1:13" x14ac:dyDescent="0.25">
      <c r="A522" s="8" t="s">
        <v>2955</v>
      </c>
      <c r="B522" s="8">
        <f>COUNTIF('All Papers'!D:D,"*"&amp;Table1[[#This Row],[Name]]&amp;"*")</f>
        <v>1</v>
      </c>
      <c r="C522" s="8">
        <f>COUNTIFS('All Papers'!$D:$D,"*"&amp;$A522&amp;"*",'All Papers'!$G:$G,"*"&amp;Table1[[#Headers],[Composition]]&amp;"*")</f>
        <v>0</v>
      </c>
      <c r="D522" s="8">
        <f>COUNTIFS('All Papers'!$D:$D,"*"&amp;$A522&amp;"*",'All Papers'!$G:$G,"*"&amp;Table1[[#Headers],[Discovery]]&amp;"*")</f>
        <v>0</v>
      </c>
      <c r="E522" s="8">
        <f>COUNTIFS('All Papers'!$D:$D,"*"&amp;$A522&amp;"*",'All Papers'!$G:$G,"*"&amp;Table1[[#Headers],[Selection]]&amp;"*")</f>
        <v>0</v>
      </c>
      <c r="F522" s="8">
        <f>COUNTIFS('All Papers'!$D:$D,"*"&amp;$A522&amp;"*",'All Papers'!$G:$G,"*"&amp;Table1[[#Headers],[Recommendation]]&amp;"*")</f>
        <v>0</v>
      </c>
      <c r="G522" s="8">
        <f>COUNTIFS('All Papers'!$D:$D,"*"&amp;$A522&amp;"*",'All Papers'!$G:$G,"*"&amp;Table1[[#Headers],[Resource Management-CS]]&amp;"*")</f>
        <v>0</v>
      </c>
      <c r="H522" s="8">
        <f>COUNTIFS('All Papers'!$D:$D,"*"&amp;$A522&amp;"*",'All Papers'!$G:$G,"*"&amp;Table1[[#Headers],[Resource Management-PS]]&amp;"*")</f>
        <v>1</v>
      </c>
      <c r="I522" s="8">
        <f>COUNTIFS('All Papers'!$D:$D,"*"&amp;$A522&amp;"*",'All Papers'!$G:$G,"*"&amp;Table1[[#Headers],[SLA Management]]&amp;"*")</f>
        <v>0</v>
      </c>
      <c r="J522" s="8">
        <f>COUNTIFS('All Papers'!$D:$D,"*"&amp;$A522&amp;"*",'All Papers'!$G:$G,"*"&amp;Table1[[#Headers],[Big Data]]&amp;"*")</f>
        <v>0</v>
      </c>
      <c r="K522" s="8">
        <f>COUNTIFS('All Papers'!$D:$D,"*"&amp;$A522&amp;"*",'All Papers'!$G:$G,"*"&amp;Table1[[#Headers],[Energy Management]]&amp;"*")</f>
        <v>0</v>
      </c>
      <c r="L522" s="8">
        <f>COUNTIFS('All Papers'!$D:$D,"*"&amp;$A522&amp;"*",'All Papers'!$G:$G,"*"&amp;Table1[[#Headers],[Monitoring]]&amp;"*")</f>
        <v>0</v>
      </c>
      <c r="M522" s="8">
        <f>COUNTIFS('All Papers'!$D:$D,"*"&amp;$A522&amp;"*",'All Papers'!$G:$G,"*"&amp;Table1[[#Headers],[Pricing]]&amp;"*")</f>
        <v>0</v>
      </c>
    </row>
    <row r="523" spans="1:13" x14ac:dyDescent="0.25">
      <c r="A523" s="8" t="s">
        <v>2956</v>
      </c>
      <c r="B523" s="8">
        <f>COUNTIF('All Papers'!D:D,"*"&amp;Table1[[#This Row],[Name]]&amp;"*")</f>
        <v>1</v>
      </c>
      <c r="C523" s="8">
        <f>COUNTIFS('All Papers'!$D:$D,"*"&amp;$A523&amp;"*",'All Papers'!$G:$G,"*"&amp;Table1[[#Headers],[Composition]]&amp;"*")</f>
        <v>0</v>
      </c>
      <c r="D523" s="8">
        <f>COUNTIFS('All Papers'!$D:$D,"*"&amp;$A523&amp;"*",'All Papers'!$G:$G,"*"&amp;Table1[[#Headers],[Discovery]]&amp;"*")</f>
        <v>0</v>
      </c>
      <c r="E523" s="8">
        <f>COUNTIFS('All Papers'!$D:$D,"*"&amp;$A523&amp;"*",'All Papers'!$G:$G,"*"&amp;Table1[[#Headers],[Selection]]&amp;"*")</f>
        <v>0</v>
      </c>
      <c r="F523" s="8">
        <f>COUNTIFS('All Papers'!$D:$D,"*"&amp;$A523&amp;"*",'All Papers'!$G:$G,"*"&amp;Table1[[#Headers],[Recommendation]]&amp;"*")</f>
        <v>0</v>
      </c>
      <c r="G523" s="8">
        <f>COUNTIFS('All Papers'!$D:$D,"*"&amp;$A523&amp;"*",'All Papers'!$G:$G,"*"&amp;Table1[[#Headers],[Resource Management-CS]]&amp;"*")</f>
        <v>1</v>
      </c>
      <c r="H523" s="8">
        <f>COUNTIFS('All Papers'!$D:$D,"*"&amp;$A523&amp;"*",'All Papers'!$G:$G,"*"&amp;Table1[[#Headers],[Resource Management-PS]]&amp;"*")</f>
        <v>0</v>
      </c>
      <c r="I523" s="8">
        <f>COUNTIFS('All Papers'!$D:$D,"*"&amp;$A523&amp;"*",'All Papers'!$G:$G,"*"&amp;Table1[[#Headers],[SLA Management]]&amp;"*")</f>
        <v>0</v>
      </c>
      <c r="J523" s="8">
        <f>COUNTIFS('All Papers'!$D:$D,"*"&amp;$A523&amp;"*",'All Papers'!$G:$G,"*"&amp;Table1[[#Headers],[Big Data]]&amp;"*")</f>
        <v>0</v>
      </c>
      <c r="K523" s="8">
        <f>COUNTIFS('All Papers'!$D:$D,"*"&amp;$A523&amp;"*",'All Papers'!$G:$G,"*"&amp;Table1[[#Headers],[Energy Management]]&amp;"*")</f>
        <v>0</v>
      </c>
      <c r="L523" s="8">
        <f>COUNTIFS('All Papers'!$D:$D,"*"&amp;$A523&amp;"*",'All Papers'!$G:$G,"*"&amp;Table1[[#Headers],[Monitoring]]&amp;"*")</f>
        <v>0</v>
      </c>
      <c r="M523" s="8">
        <f>COUNTIFS('All Papers'!$D:$D,"*"&amp;$A523&amp;"*",'All Papers'!$G:$G,"*"&amp;Table1[[#Headers],[Pricing]]&amp;"*")</f>
        <v>0</v>
      </c>
    </row>
    <row r="524" spans="1:13" x14ac:dyDescent="0.25">
      <c r="A524" s="8" t="s">
        <v>2957</v>
      </c>
      <c r="B524" s="8">
        <f>COUNTIF('All Papers'!D:D,"*"&amp;Table1[[#This Row],[Name]]&amp;"*")</f>
        <v>1</v>
      </c>
      <c r="C524" s="8">
        <f>COUNTIFS('All Papers'!$D:$D,"*"&amp;$A524&amp;"*",'All Papers'!$G:$G,"*"&amp;Table1[[#Headers],[Composition]]&amp;"*")</f>
        <v>0</v>
      </c>
      <c r="D524" s="8">
        <f>COUNTIFS('All Papers'!$D:$D,"*"&amp;$A524&amp;"*",'All Papers'!$G:$G,"*"&amp;Table1[[#Headers],[Discovery]]&amp;"*")</f>
        <v>0</v>
      </c>
      <c r="E524" s="8">
        <f>COUNTIFS('All Papers'!$D:$D,"*"&amp;$A524&amp;"*",'All Papers'!$G:$G,"*"&amp;Table1[[#Headers],[Selection]]&amp;"*")</f>
        <v>0</v>
      </c>
      <c r="F524" s="8">
        <f>COUNTIFS('All Papers'!$D:$D,"*"&amp;$A524&amp;"*",'All Papers'!$G:$G,"*"&amp;Table1[[#Headers],[Recommendation]]&amp;"*")</f>
        <v>0</v>
      </c>
      <c r="G524" s="8">
        <f>COUNTIFS('All Papers'!$D:$D,"*"&amp;$A524&amp;"*",'All Papers'!$G:$G,"*"&amp;Table1[[#Headers],[Resource Management-CS]]&amp;"*")</f>
        <v>1</v>
      </c>
      <c r="H524" s="8">
        <f>COUNTIFS('All Papers'!$D:$D,"*"&amp;$A524&amp;"*",'All Papers'!$G:$G,"*"&amp;Table1[[#Headers],[Resource Management-PS]]&amp;"*")</f>
        <v>0</v>
      </c>
      <c r="I524" s="8">
        <f>COUNTIFS('All Papers'!$D:$D,"*"&amp;$A524&amp;"*",'All Papers'!$G:$G,"*"&amp;Table1[[#Headers],[SLA Management]]&amp;"*")</f>
        <v>0</v>
      </c>
      <c r="J524" s="8">
        <f>COUNTIFS('All Papers'!$D:$D,"*"&amp;$A524&amp;"*",'All Papers'!$G:$G,"*"&amp;Table1[[#Headers],[Big Data]]&amp;"*")</f>
        <v>0</v>
      </c>
      <c r="K524" s="8">
        <f>COUNTIFS('All Papers'!$D:$D,"*"&amp;$A524&amp;"*",'All Papers'!$G:$G,"*"&amp;Table1[[#Headers],[Energy Management]]&amp;"*")</f>
        <v>0</v>
      </c>
      <c r="L524" s="8">
        <f>COUNTIFS('All Papers'!$D:$D,"*"&amp;$A524&amp;"*",'All Papers'!$G:$G,"*"&amp;Table1[[#Headers],[Monitoring]]&amp;"*")</f>
        <v>0</v>
      </c>
      <c r="M524" s="8">
        <f>COUNTIFS('All Papers'!$D:$D,"*"&amp;$A524&amp;"*",'All Papers'!$G:$G,"*"&amp;Table1[[#Headers],[Pricing]]&amp;"*")</f>
        <v>0</v>
      </c>
    </row>
    <row r="525" spans="1:13" x14ac:dyDescent="0.25">
      <c r="A525" s="8" t="s">
        <v>2958</v>
      </c>
      <c r="B525" s="8">
        <f>COUNTIF('All Papers'!D:D,"*"&amp;Table1[[#This Row],[Name]]&amp;"*")</f>
        <v>1</v>
      </c>
      <c r="C525" s="8">
        <f>COUNTIFS('All Papers'!$D:$D,"*"&amp;$A525&amp;"*",'All Papers'!$G:$G,"*"&amp;Table1[[#Headers],[Composition]]&amp;"*")</f>
        <v>0</v>
      </c>
      <c r="D525" s="8">
        <f>COUNTIFS('All Papers'!$D:$D,"*"&amp;$A525&amp;"*",'All Papers'!$G:$G,"*"&amp;Table1[[#Headers],[Discovery]]&amp;"*")</f>
        <v>0</v>
      </c>
      <c r="E525" s="8">
        <f>COUNTIFS('All Papers'!$D:$D,"*"&amp;$A525&amp;"*",'All Papers'!$G:$G,"*"&amp;Table1[[#Headers],[Selection]]&amp;"*")</f>
        <v>0</v>
      </c>
      <c r="F525" s="8">
        <f>COUNTIFS('All Papers'!$D:$D,"*"&amp;$A525&amp;"*",'All Papers'!$G:$G,"*"&amp;Table1[[#Headers],[Recommendation]]&amp;"*")</f>
        <v>0</v>
      </c>
      <c r="G525" s="8">
        <f>COUNTIFS('All Papers'!$D:$D,"*"&amp;$A525&amp;"*",'All Papers'!$G:$G,"*"&amp;Table1[[#Headers],[Resource Management-CS]]&amp;"*")</f>
        <v>1</v>
      </c>
      <c r="H525" s="8">
        <f>COUNTIFS('All Papers'!$D:$D,"*"&amp;$A525&amp;"*",'All Papers'!$G:$G,"*"&amp;Table1[[#Headers],[Resource Management-PS]]&amp;"*")</f>
        <v>0</v>
      </c>
      <c r="I525" s="8">
        <f>COUNTIFS('All Papers'!$D:$D,"*"&amp;$A525&amp;"*",'All Papers'!$G:$G,"*"&amp;Table1[[#Headers],[SLA Management]]&amp;"*")</f>
        <v>0</v>
      </c>
      <c r="J525" s="8">
        <f>COUNTIFS('All Papers'!$D:$D,"*"&amp;$A525&amp;"*",'All Papers'!$G:$G,"*"&amp;Table1[[#Headers],[Big Data]]&amp;"*")</f>
        <v>0</v>
      </c>
      <c r="K525" s="8">
        <f>COUNTIFS('All Papers'!$D:$D,"*"&amp;$A525&amp;"*",'All Papers'!$G:$G,"*"&amp;Table1[[#Headers],[Energy Management]]&amp;"*")</f>
        <v>0</v>
      </c>
      <c r="L525" s="8">
        <f>COUNTIFS('All Papers'!$D:$D,"*"&amp;$A525&amp;"*",'All Papers'!$G:$G,"*"&amp;Table1[[#Headers],[Monitoring]]&amp;"*")</f>
        <v>0</v>
      </c>
      <c r="M525" s="8">
        <f>COUNTIFS('All Papers'!$D:$D,"*"&amp;$A525&amp;"*",'All Papers'!$G:$G,"*"&amp;Table1[[#Headers],[Pricing]]&amp;"*")</f>
        <v>0</v>
      </c>
    </row>
    <row r="526" spans="1:13" x14ac:dyDescent="0.25">
      <c r="A526" s="8" t="s">
        <v>2959</v>
      </c>
      <c r="B526" s="8">
        <f>COUNTIF('All Papers'!D:D,"*"&amp;Table1[[#This Row],[Name]]&amp;"*")</f>
        <v>1</v>
      </c>
      <c r="C526" s="8">
        <f>COUNTIFS('All Papers'!$D:$D,"*"&amp;$A526&amp;"*",'All Papers'!$G:$G,"*"&amp;Table1[[#Headers],[Composition]]&amp;"*")</f>
        <v>0</v>
      </c>
      <c r="D526" s="8">
        <f>COUNTIFS('All Papers'!$D:$D,"*"&amp;$A526&amp;"*",'All Papers'!$G:$G,"*"&amp;Table1[[#Headers],[Discovery]]&amp;"*")</f>
        <v>0</v>
      </c>
      <c r="E526" s="8">
        <f>COUNTIFS('All Papers'!$D:$D,"*"&amp;$A526&amp;"*",'All Papers'!$G:$G,"*"&amp;Table1[[#Headers],[Selection]]&amp;"*")</f>
        <v>0</v>
      </c>
      <c r="F526" s="8">
        <f>COUNTIFS('All Papers'!$D:$D,"*"&amp;$A526&amp;"*",'All Papers'!$G:$G,"*"&amp;Table1[[#Headers],[Recommendation]]&amp;"*")</f>
        <v>0</v>
      </c>
      <c r="G526" s="8">
        <f>COUNTIFS('All Papers'!$D:$D,"*"&amp;$A526&amp;"*",'All Papers'!$G:$G,"*"&amp;Table1[[#Headers],[Resource Management-CS]]&amp;"*")</f>
        <v>1</v>
      </c>
      <c r="H526" s="8">
        <f>COUNTIFS('All Papers'!$D:$D,"*"&amp;$A526&amp;"*",'All Papers'!$G:$G,"*"&amp;Table1[[#Headers],[Resource Management-PS]]&amp;"*")</f>
        <v>0</v>
      </c>
      <c r="I526" s="8">
        <f>COUNTIFS('All Papers'!$D:$D,"*"&amp;$A526&amp;"*",'All Papers'!$G:$G,"*"&amp;Table1[[#Headers],[SLA Management]]&amp;"*")</f>
        <v>0</v>
      </c>
      <c r="J526" s="8">
        <f>COUNTIFS('All Papers'!$D:$D,"*"&amp;$A526&amp;"*",'All Papers'!$G:$G,"*"&amp;Table1[[#Headers],[Big Data]]&amp;"*")</f>
        <v>0</v>
      </c>
      <c r="K526" s="8">
        <f>COUNTIFS('All Papers'!$D:$D,"*"&amp;$A526&amp;"*",'All Papers'!$G:$G,"*"&amp;Table1[[#Headers],[Energy Management]]&amp;"*")</f>
        <v>0</v>
      </c>
      <c r="L526" s="8">
        <f>COUNTIFS('All Papers'!$D:$D,"*"&amp;$A526&amp;"*",'All Papers'!$G:$G,"*"&amp;Table1[[#Headers],[Monitoring]]&amp;"*")</f>
        <v>0</v>
      </c>
      <c r="M526" s="8">
        <f>COUNTIFS('All Papers'!$D:$D,"*"&amp;$A526&amp;"*",'All Papers'!$G:$G,"*"&amp;Table1[[#Headers],[Pricing]]&amp;"*")</f>
        <v>0</v>
      </c>
    </row>
    <row r="527" spans="1:13" x14ac:dyDescent="0.25">
      <c r="A527" s="8" t="s">
        <v>2960</v>
      </c>
      <c r="B527" s="8">
        <f>COUNTIF('All Papers'!D:D,"*"&amp;Table1[[#This Row],[Name]]&amp;"*")</f>
        <v>1</v>
      </c>
      <c r="C527" s="8">
        <f>COUNTIFS('All Papers'!$D:$D,"*"&amp;$A527&amp;"*",'All Papers'!$G:$G,"*"&amp;Table1[[#Headers],[Composition]]&amp;"*")</f>
        <v>0</v>
      </c>
      <c r="D527" s="8">
        <f>COUNTIFS('All Papers'!$D:$D,"*"&amp;$A527&amp;"*",'All Papers'!$G:$G,"*"&amp;Table1[[#Headers],[Discovery]]&amp;"*")</f>
        <v>0</v>
      </c>
      <c r="E527" s="8">
        <f>COUNTIFS('All Papers'!$D:$D,"*"&amp;$A527&amp;"*",'All Papers'!$G:$G,"*"&amp;Table1[[#Headers],[Selection]]&amp;"*")</f>
        <v>0</v>
      </c>
      <c r="F527" s="8">
        <f>COUNTIFS('All Papers'!$D:$D,"*"&amp;$A527&amp;"*",'All Papers'!$G:$G,"*"&amp;Table1[[#Headers],[Recommendation]]&amp;"*")</f>
        <v>0</v>
      </c>
      <c r="G527" s="8">
        <f>COUNTIFS('All Papers'!$D:$D,"*"&amp;$A527&amp;"*",'All Papers'!$G:$G,"*"&amp;Table1[[#Headers],[Resource Management-CS]]&amp;"*")</f>
        <v>1</v>
      </c>
      <c r="H527" s="8">
        <f>COUNTIFS('All Papers'!$D:$D,"*"&amp;$A527&amp;"*",'All Papers'!$G:$G,"*"&amp;Table1[[#Headers],[Resource Management-PS]]&amp;"*")</f>
        <v>0</v>
      </c>
      <c r="I527" s="8">
        <f>COUNTIFS('All Papers'!$D:$D,"*"&amp;$A527&amp;"*",'All Papers'!$G:$G,"*"&amp;Table1[[#Headers],[SLA Management]]&amp;"*")</f>
        <v>0</v>
      </c>
      <c r="J527" s="8">
        <f>COUNTIFS('All Papers'!$D:$D,"*"&amp;$A527&amp;"*",'All Papers'!$G:$G,"*"&amp;Table1[[#Headers],[Big Data]]&amp;"*")</f>
        <v>0</v>
      </c>
      <c r="K527" s="8">
        <f>COUNTIFS('All Papers'!$D:$D,"*"&amp;$A527&amp;"*",'All Papers'!$G:$G,"*"&amp;Table1[[#Headers],[Energy Management]]&amp;"*")</f>
        <v>0</v>
      </c>
      <c r="L527" s="8">
        <f>COUNTIFS('All Papers'!$D:$D,"*"&amp;$A527&amp;"*",'All Papers'!$G:$G,"*"&amp;Table1[[#Headers],[Monitoring]]&amp;"*")</f>
        <v>0</v>
      </c>
      <c r="M527" s="8">
        <f>COUNTIFS('All Papers'!$D:$D,"*"&amp;$A527&amp;"*",'All Papers'!$G:$G,"*"&amp;Table1[[#Headers],[Pricing]]&amp;"*")</f>
        <v>0</v>
      </c>
    </row>
    <row r="528" spans="1:13" x14ac:dyDescent="0.25">
      <c r="A528" s="8" t="s">
        <v>2961</v>
      </c>
      <c r="B528" s="8">
        <f>COUNTIF('All Papers'!D:D,"*"&amp;Table1[[#This Row],[Name]]&amp;"*")</f>
        <v>1</v>
      </c>
      <c r="C528" s="8">
        <f>COUNTIFS('All Papers'!$D:$D,"*"&amp;$A528&amp;"*",'All Papers'!$G:$G,"*"&amp;Table1[[#Headers],[Composition]]&amp;"*")</f>
        <v>0</v>
      </c>
      <c r="D528" s="8">
        <f>COUNTIFS('All Papers'!$D:$D,"*"&amp;$A528&amp;"*",'All Papers'!$G:$G,"*"&amp;Table1[[#Headers],[Discovery]]&amp;"*")</f>
        <v>0</v>
      </c>
      <c r="E528" s="8">
        <f>COUNTIFS('All Papers'!$D:$D,"*"&amp;$A528&amp;"*",'All Papers'!$G:$G,"*"&amp;Table1[[#Headers],[Selection]]&amp;"*")</f>
        <v>0</v>
      </c>
      <c r="F528" s="8">
        <f>COUNTIFS('All Papers'!$D:$D,"*"&amp;$A528&amp;"*",'All Papers'!$G:$G,"*"&amp;Table1[[#Headers],[Recommendation]]&amp;"*")</f>
        <v>0</v>
      </c>
      <c r="G528" s="8">
        <f>COUNTIFS('All Papers'!$D:$D,"*"&amp;$A528&amp;"*",'All Papers'!$G:$G,"*"&amp;Table1[[#Headers],[Resource Management-CS]]&amp;"*")</f>
        <v>1</v>
      </c>
      <c r="H528" s="8">
        <f>COUNTIFS('All Papers'!$D:$D,"*"&amp;$A528&amp;"*",'All Papers'!$G:$G,"*"&amp;Table1[[#Headers],[Resource Management-PS]]&amp;"*")</f>
        <v>0</v>
      </c>
      <c r="I528" s="8">
        <f>COUNTIFS('All Papers'!$D:$D,"*"&amp;$A528&amp;"*",'All Papers'!$G:$G,"*"&amp;Table1[[#Headers],[SLA Management]]&amp;"*")</f>
        <v>0</v>
      </c>
      <c r="J528" s="8">
        <f>COUNTIFS('All Papers'!$D:$D,"*"&amp;$A528&amp;"*",'All Papers'!$G:$G,"*"&amp;Table1[[#Headers],[Big Data]]&amp;"*")</f>
        <v>0</v>
      </c>
      <c r="K528" s="8">
        <f>COUNTIFS('All Papers'!$D:$D,"*"&amp;$A528&amp;"*",'All Papers'!$G:$G,"*"&amp;Table1[[#Headers],[Energy Management]]&amp;"*")</f>
        <v>0</v>
      </c>
      <c r="L528" s="8">
        <f>COUNTIFS('All Papers'!$D:$D,"*"&amp;$A528&amp;"*",'All Papers'!$G:$G,"*"&amp;Table1[[#Headers],[Monitoring]]&amp;"*")</f>
        <v>0</v>
      </c>
      <c r="M528" s="8">
        <f>COUNTIFS('All Papers'!$D:$D,"*"&amp;$A528&amp;"*",'All Papers'!$G:$G,"*"&amp;Table1[[#Headers],[Pricing]]&amp;"*")</f>
        <v>0</v>
      </c>
    </row>
    <row r="529" spans="1:13" x14ac:dyDescent="0.25">
      <c r="A529" s="8" t="s">
        <v>2962</v>
      </c>
      <c r="B529" s="8">
        <f>COUNTIF('All Papers'!D:D,"*"&amp;Table1[[#This Row],[Name]]&amp;"*")</f>
        <v>1</v>
      </c>
      <c r="C529" s="8">
        <f>COUNTIFS('All Papers'!$D:$D,"*"&amp;$A529&amp;"*",'All Papers'!$G:$G,"*"&amp;Table1[[#Headers],[Composition]]&amp;"*")</f>
        <v>0</v>
      </c>
      <c r="D529" s="8">
        <f>COUNTIFS('All Papers'!$D:$D,"*"&amp;$A529&amp;"*",'All Papers'!$G:$G,"*"&amp;Table1[[#Headers],[Discovery]]&amp;"*")</f>
        <v>0</v>
      </c>
      <c r="E529" s="8">
        <f>COUNTIFS('All Papers'!$D:$D,"*"&amp;$A529&amp;"*",'All Papers'!$G:$G,"*"&amp;Table1[[#Headers],[Selection]]&amp;"*")</f>
        <v>0</v>
      </c>
      <c r="F529" s="8">
        <f>COUNTIFS('All Papers'!$D:$D,"*"&amp;$A529&amp;"*",'All Papers'!$G:$G,"*"&amp;Table1[[#Headers],[Recommendation]]&amp;"*")</f>
        <v>0</v>
      </c>
      <c r="G529" s="8">
        <f>COUNTIFS('All Papers'!$D:$D,"*"&amp;$A529&amp;"*",'All Papers'!$G:$G,"*"&amp;Table1[[#Headers],[Resource Management-CS]]&amp;"*")</f>
        <v>0</v>
      </c>
      <c r="H529" s="8">
        <f>COUNTIFS('All Papers'!$D:$D,"*"&amp;$A529&amp;"*",'All Papers'!$G:$G,"*"&amp;Table1[[#Headers],[Resource Management-PS]]&amp;"*")</f>
        <v>1</v>
      </c>
      <c r="I529" s="8">
        <f>COUNTIFS('All Papers'!$D:$D,"*"&amp;$A529&amp;"*",'All Papers'!$G:$G,"*"&amp;Table1[[#Headers],[SLA Management]]&amp;"*")</f>
        <v>0</v>
      </c>
      <c r="J529" s="8">
        <f>COUNTIFS('All Papers'!$D:$D,"*"&amp;$A529&amp;"*",'All Papers'!$G:$G,"*"&amp;Table1[[#Headers],[Big Data]]&amp;"*")</f>
        <v>0</v>
      </c>
      <c r="K529" s="8">
        <f>COUNTIFS('All Papers'!$D:$D,"*"&amp;$A529&amp;"*",'All Papers'!$G:$G,"*"&amp;Table1[[#Headers],[Energy Management]]&amp;"*")</f>
        <v>0</v>
      </c>
      <c r="L529" s="8">
        <f>COUNTIFS('All Papers'!$D:$D,"*"&amp;$A529&amp;"*",'All Papers'!$G:$G,"*"&amp;Table1[[#Headers],[Monitoring]]&amp;"*")</f>
        <v>0</v>
      </c>
      <c r="M529" s="8">
        <f>COUNTIFS('All Papers'!$D:$D,"*"&amp;$A529&amp;"*",'All Papers'!$G:$G,"*"&amp;Table1[[#Headers],[Pricing]]&amp;"*")</f>
        <v>0</v>
      </c>
    </row>
    <row r="530" spans="1:13" x14ac:dyDescent="0.25">
      <c r="A530" s="8" t="s">
        <v>2963</v>
      </c>
      <c r="B530" s="8">
        <f>COUNTIF('All Papers'!D:D,"*"&amp;Table1[[#This Row],[Name]]&amp;"*")</f>
        <v>1</v>
      </c>
      <c r="C530" s="8">
        <f>COUNTIFS('All Papers'!$D:$D,"*"&amp;$A530&amp;"*",'All Papers'!$G:$G,"*"&amp;Table1[[#Headers],[Composition]]&amp;"*")</f>
        <v>0</v>
      </c>
      <c r="D530" s="8">
        <f>COUNTIFS('All Papers'!$D:$D,"*"&amp;$A530&amp;"*",'All Papers'!$G:$G,"*"&amp;Table1[[#Headers],[Discovery]]&amp;"*")</f>
        <v>0</v>
      </c>
      <c r="E530" s="8">
        <f>COUNTIFS('All Papers'!$D:$D,"*"&amp;$A530&amp;"*",'All Papers'!$G:$G,"*"&amp;Table1[[#Headers],[Selection]]&amp;"*")</f>
        <v>0</v>
      </c>
      <c r="F530" s="8">
        <f>COUNTIFS('All Papers'!$D:$D,"*"&amp;$A530&amp;"*",'All Papers'!$G:$G,"*"&amp;Table1[[#Headers],[Recommendation]]&amp;"*")</f>
        <v>0</v>
      </c>
      <c r="G530" s="8">
        <f>COUNTIFS('All Papers'!$D:$D,"*"&amp;$A530&amp;"*",'All Papers'!$G:$G,"*"&amp;Table1[[#Headers],[Resource Management-CS]]&amp;"*")</f>
        <v>0</v>
      </c>
      <c r="H530" s="8">
        <f>COUNTIFS('All Papers'!$D:$D,"*"&amp;$A530&amp;"*",'All Papers'!$G:$G,"*"&amp;Table1[[#Headers],[Resource Management-PS]]&amp;"*")</f>
        <v>1</v>
      </c>
      <c r="I530" s="8">
        <f>COUNTIFS('All Papers'!$D:$D,"*"&amp;$A530&amp;"*",'All Papers'!$G:$G,"*"&amp;Table1[[#Headers],[SLA Management]]&amp;"*")</f>
        <v>0</v>
      </c>
      <c r="J530" s="8">
        <f>COUNTIFS('All Papers'!$D:$D,"*"&amp;$A530&amp;"*",'All Papers'!$G:$G,"*"&amp;Table1[[#Headers],[Big Data]]&amp;"*")</f>
        <v>0</v>
      </c>
      <c r="K530" s="8">
        <f>COUNTIFS('All Papers'!$D:$D,"*"&amp;$A530&amp;"*",'All Papers'!$G:$G,"*"&amp;Table1[[#Headers],[Energy Management]]&amp;"*")</f>
        <v>0</v>
      </c>
      <c r="L530" s="8">
        <f>COUNTIFS('All Papers'!$D:$D,"*"&amp;$A530&amp;"*",'All Papers'!$G:$G,"*"&amp;Table1[[#Headers],[Monitoring]]&amp;"*")</f>
        <v>0</v>
      </c>
      <c r="M530" s="8">
        <f>COUNTIFS('All Papers'!$D:$D,"*"&amp;$A530&amp;"*",'All Papers'!$G:$G,"*"&amp;Table1[[#Headers],[Pricing]]&amp;"*")</f>
        <v>0</v>
      </c>
    </row>
    <row r="531" spans="1:13" x14ac:dyDescent="0.25">
      <c r="A531" s="8" t="s">
        <v>2964</v>
      </c>
      <c r="B531" s="8">
        <f>COUNTIF('All Papers'!D:D,"*"&amp;Table1[[#This Row],[Name]]&amp;"*")</f>
        <v>1</v>
      </c>
      <c r="C531" s="8">
        <f>COUNTIFS('All Papers'!$D:$D,"*"&amp;$A531&amp;"*",'All Papers'!$G:$G,"*"&amp;Table1[[#Headers],[Composition]]&amp;"*")</f>
        <v>0</v>
      </c>
      <c r="D531" s="8">
        <f>COUNTIFS('All Papers'!$D:$D,"*"&amp;$A531&amp;"*",'All Papers'!$G:$G,"*"&amp;Table1[[#Headers],[Discovery]]&amp;"*")</f>
        <v>0</v>
      </c>
      <c r="E531" s="8">
        <f>COUNTIFS('All Papers'!$D:$D,"*"&amp;$A531&amp;"*",'All Papers'!$G:$G,"*"&amp;Table1[[#Headers],[Selection]]&amp;"*")</f>
        <v>0</v>
      </c>
      <c r="F531" s="8">
        <f>COUNTIFS('All Papers'!$D:$D,"*"&amp;$A531&amp;"*",'All Papers'!$G:$G,"*"&amp;Table1[[#Headers],[Recommendation]]&amp;"*")</f>
        <v>0</v>
      </c>
      <c r="G531" s="8">
        <f>COUNTIFS('All Papers'!$D:$D,"*"&amp;$A531&amp;"*",'All Papers'!$G:$G,"*"&amp;Table1[[#Headers],[Resource Management-CS]]&amp;"*")</f>
        <v>0</v>
      </c>
      <c r="H531" s="8">
        <f>COUNTIFS('All Papers'!$D:$D,"*"&amp;$A531&amp;"*",'All Papers'!$G:$G,"*"&amp;Table1[[#Headers],[Resource Management-PS]]&amp;"*")</f>
        <v>1</v>
      </c>
      <c r="I531" s="8">
        <f>COUNTIFS('All Papers'!$D:$D,"*"&amp;$A531&amp;"*",'All Papers'!$G:$G,"*"&amp;Table1[[#Headers],[SLA Management]]&amp;"*")</f>
        <v>0</v>
      </c>
      <c r="J531" s="8">
        <f>COUNTIFS('All Papers'!$D:$D,"*"&amp;$A531&amp;"*",'All Papers'!$G:$G,"*"&amp;Table1[[#Headers],[Big Data]]&amp;"*")</f>
        <v>0</v>
      </c>
      <c r="K531" s="8">
        <f>COUNTIFS('All Papers'!$D:$D,"*"&amp;$A531&amp;"*",'All Papers'!$G:$G,"*"&amp;Table1[[#Headers],[Energy Management]]&amp;"*")</f>
        <v>0</v>
      </c>
      <c r="L531" s="8">
        <f>COUNTIFS('All Papers'!$D:$D,"*"&amp;$A531&amp;"*",'All Papers'!$G:$G,"*"&amp;Table1[[#Headers],[Monitoring]]&amp;"*")</f>
        <v>0</v>
      </c>
      <c r="M531" s="8">
        <f>COUNTIFS('All Papers'!$D:$D,"*"&amp;$A531&amp;"*",'All Papers'!$G:$G,"*"&amp;Table1[[#Headers],[Pricing]]&amp;"*")</f>
        <v>0</v>
      </c>
    </row>
    <row r="532" spans="1:13" x14ac:dyDescent="0.25">
      <c r="A532" s="8" t="s">
        <v>2965</v>
      </c>
      <c r="B532" s="8">
        <f>COUNTIF('All Papers'!D:D,"*"&amp;Table1[[#This Row],[Name]]&amp;"*")</f>
        <v>1</v>
      </c>
      <c r="C532" s="8">
        <f>COUNTIFS('All Papers'!$D:$D,"*"&amp;$A532&amp;"*",'All Papers'!$G:$G,"*"&amp;Table1[[#Headers],[Composition]]&amp;"*")</f>
        <v>0</v>
      </c>
      <c r="D532" s="8">
        <f>COUNTIFS('All Papers'!$D:$D,"*"&amp;$A532&amp;"*",'All Papers'!$G:$G,"*"&amp;Table1[[#Headers],[Discovery]]&amp;"*")</f>
        <v>0</v>
      </c>
      <c r="E532" s="8">
        <f>COUNTIFS('All Papers'!$D:$D,"*"&amp;$A532&amp;"*",'All Papers'!$G:$G,"*"&amp;Table1[[#Headers],[Selection]]&amp;"*")</f>
        <v>0</v>
      </c>
      <c r="F532" s="8">
        <f>COUNTIFS('All Papers'!$D:$D,"*"&amp;$A532&amp;"*",'All Papers'!$G:$G,"*"&amp;Table1[[#Headers],[Recommendation]]&amp;"*")</f>
        <v>0</v>
      </c>
      <c r="G532" s="8">
        <f>COUNTIFS('All Papers'!$D:$D,"*"&amp;$A532&amp;"*",'All Papers'!$G:$G,"*"&amp;Table1[[#Headers],[Resource Management-CS]]&amp;"*")</f>
        <v>0</v>
      </c>
      <c r="H532" s="8">
        <f>COUNTIFS('All Papers'!$D:$D,"*"&amp;$A532&amp;"*",'All Papers'!$G:$G,"*"&amp;Table1[[#Headers],[Resource Management-PS]]&amp;"*")</f>
        <v>1</v>
      </c>
      <c r="I532" s="8">
        <f>COUNTIFS('All Papers'!$D:$D,"*"&amp;$A532&amp;"*",'All Papers'!$G:$G,"*"&amp;Table1[[#Headers],[SLA Management]]&amp;"*")</f>
        <v>0</v>
      </c>
      <c r="J532" s="8">
        <f>COUNTIFS('All Papers'!$D:$D,"*"&amp;$A532&amp;"*",'All Papers'!$G:$G,"*"&amp;Table1[[#Headers],[Big Data]]&amp;"*")</f>
        <v>0</v>
      </c>
      <c r="K532" s="8">
        <f>COUNTIFS('All Papers'!$D:$D,"*"&amp;$A532&amp;"*",'All Papers'!$G:$G,"*"&amp;Table1[[#Headers],[Energy Management]]&amp;"*")</f>
        <v>0</v>
      </c>
      <c r="L532" s="8">
        <f>COUNTIFS('All Papers'!$D:$D,"*"&amp;$A532&amp;"*",'All Papers'!$G:$G,"*"&amp;Table1[[#Headers],[Monitoring]]&amp;"*")</f>
        <v>0</v>
      </c>
      <c r="M532" s="8">
        <f>COUNTIFS('All Papers'!$D:$D,"*"&amp;$A532&amp;"*",'All Papers'!$G:$G,"*"&amp;Table1[[#Headers],[Pricing]]&amp;"*")</f>
        <v>0</v>
      </c>
    </row>
    <row r="533" spans="1:13" x14ac:dyDescent="0.25">
      <c r="A533" s="8" t="s">
        <v>2966</v>
      </c>
      <c r="B533" s="8">
        <f>COUNTIF('All Papers'!D:D,"*"&amp;Table1[[#This Row],[Name]]&amp;"*")</f>
        <v>1</v>
      </c>
      <c r="C533" s="8">
        <f>COUNTIFS('All Papers'!$D:$D,"*"&amp;$A533&amp;"*",'All Papers'!$G:$G,"*"&amp;Table1[[#Headers],[Composition]]&amp;"*")</f>
        <v>0</v>
      </c>
      <c r="D533" s="8">
        <f>COUNTIFS('All Papers'!$D:$D,"*"&amp;$A533&amp;"*",'All Papers'!$G:$G,"*"&amp;Table1[[#Headers],[Discovery]]&amp;"*")</f>
        <v>0</v>
      </c>
      <c r="E533" s="8">
        <f>COUNTIFS('All Papers'!$D:$D,"*"&amp;$A533&amp;"*",'All Papers'!$G:$G,"*"&amp;Table1[[#Headers],[Selection]]&amp;"*")</f>
        <v>1</v>
      </c>
      <c r="F533" s="8">
        <f>COUNTIFS('All Papers'!$D:$D,"*"&amp;$A533&amp;"*",'All Papers'!$G:$G,"*"&amp;Table1[[#Headers],[Recommendation]]&amp;"*")</f>
        <v>0</v>
      </c>
      <c r="G533" s="8">
        <f>COUNTIFS('All Papers'!$D:$D,"*"&amp;$A533&amp;"*",'All Papers'!$G:$G,"*"&amp;Table1[[#Headers],[Resource Management-CS]]&amp;"*")</f>
        <v>1</v>
      </c>
      <c r="H533" s="8">
        <f>COUNTIFS('All Papers'!$D:$D,"*"&amp;$A533&amp;"*",'All Papers'!$G:$G,"*"&amp;Table1[[#Headers],[Resource Management-PS]]&amp;"*")</f>
        <v>0</v>
      </c>
      <c r="I533" s="8">
        <f>COUNTIFS('All Papers'!$D:$D,"*"&amp;$A533&amp;"*",'All Papers'!$G:$G,"*"&amp;Table1[[#Headers],[SLA Management]]&amp;"*")</f>
        <v>0</v>
      </c>
      <c r="J533" s="8">
        <f>COUNTIFS('All Papers'!$D:$D,"*"&amp;$A533&amp;"*",'All Papers'!$G:$G,"*"&amp;Table1[[#Headers],[Big Data]]&amp;"*")</f>
        <v>0</v>
      </c>
      <c r="K533" s="8">
        <f>COUNTIFS('All Papers'!$D:$D,"*"&amp;$A533&amp;"*",'All Papers'!$G:$G,"*"&amp;Table1[[#Headers],[Energy Management]]&amp;"*")</f>
        <v>0</v>
      </c>
      <c r="L533" s="8">
        <f>COUNTIFS('All Papers'!$D:$D,"*"&amp;$A533&amp;"*",'All Papers'!$G:$G,"*"&amp;Table1[[#Headers],[Monitoring]]&amp;"*")</f>
        <v>0</v>
      </c>
      <c r="M533" s="8">
        <f>COUNTIFS('All Papers'!$D:$D,"*"&amp;$A533&amp;"*",'All Papers'!$G:$G,"*"&amp;Table1[[#Headers],[Pricing]]&amp;"*")</f>
        <v>0</v>
      </c>
    </row>
    <row r="534" spans="1:13" x14ac:dyDescent="0.25">
      <c r="A534" s="8" t="s">
        <v>2967</v>
      </c>
      <c r="B534" s="8">
        <f>COUNTIF('All Papers'!D:D,"*"&amp;Table1[[#This Row],[Name]]&amp;"*")</f>
        <v>1</v>
      </c>
      <c r="C534" s="8">
        <f>COUNTIFS('All Papers'!$D:$D,"*"&amp;$A534&amp;"*",'All Papers'!$G:$G,"*"&amp;Table1[[#Headers],[Composition]]&amp;"*")</f>
        <v>0</v>
      </c>
      <c r="D534" s="8">
        <f>COUNTIFS('All Papers'!$D:$D,"*"&amp;$A534&amp;"*",'All Papers'!$G:$G,"*"&amp;Table1[[#Headers],[Discovery]]&amp;"*")</f>
        <v>0</v>
      </c>
      <c r="E534" s="8">
        <f>COUNTIFS('All Papers'!$D:$D,"*"&amp;$A534&amp;"*",'All Papers'!$G:$G,"*"&amp;Table1[[#Headers],[Selection]]&amp;"*")</f>
        <v>1</v>
      </c>
      <c r="F534" s="8">
        <f>COUNTIFS('All Papers'!$D:$D,"*"&amp;$A534&amp;"*",'All Papers'!$G:$G,"*"&amp;Table1[[#Headers],[Recommendation]]&amp;"*")</f>
        <v>0</v>
      </c>
      <c r="G534" s="8">
        <f>COUNTIFS('All Papers'!$D:$D,"*"&amp;$A534&amp;"*",'All Papers'!$G:$G,"*"&amp;Table1[[#Headers],[Resource Management-CS]]&amp;"*")</f>
        <v>1</v>
      </c>
      <c r="H534" s="8">
        <f>COUNTIFS('All Papers'!$D:$D,"*"&amp;$A534&amp;"*",'All Papers'!$G:$G,"*"&amp;Table1[[#Headers],[Resource Management-PS]]&amp;"*")</f>
        <v>0</v>
      </c>
      <c r="I534" s="8">
        <f>COUNTIFS('All Papers'!$D:$D,"*"&amp;$A534&amp;"*",'All Papers'!$G:$G,"*"&amp;Table1[[#Headers],[SLA Management]]&amp;"*")</f>
        <v>0</v>
      </c>
      <c r="J534" s="8">
        <f>COUNTIFS('All Papers'!$D:$D,"*"&amp;$A534&amp;"*",'All Papers'!$G:$G,"*"&amp;Table1[[#Headers],[Big Data]]&amp;"*")</f>
        <v>0</v>
      </c>
      <c r="K534" s="8">
        <f>COUNTIFS('All Papers'!$D:$D,"*"&amp;$A534&amp;"*",'All Papers'!$G:$G,"*"&amp;Table1[[#Headers],[Energy Management]]&amp;"*")</f>
        <v>0</v>
      </c>
      <c r="L534" s="8">
        <f>COUNTIFS('All Papers'!$D:$D,"*"&amp;$A534&amp;"*",'All Papers'!$G:$G,"*"&amp;Table1[[#Headers],[Monitoring]]&amp;"*")</f>
        <v>0</v>
      </c>
      <c r="M534" s="8">
        <f>COUNTIFS('All Papers'!$D:$D,"*"&amp;$A534&amp;"*",'All Papers'!$G:$G,"*"&amp;Table1[[#Headers],[Pricing]]&amp;"*")</f>
        <v>0</v>
      </c>
    </row>
    <row r="535" spans="1:13" x14ac:dyDescent="0.25">
      <c r="A535" s="8" t="s">
        <v>2968</v>
      </c>
      <c r="B535" s="8">
        <f>COUNTIF('All Papers'!D:D,"*"&amp;Table1[[#This Row],[Name]]&amp;"*")</f>
        <v>1</v>
      </c>
      <c r="C535" s="8">
        <f>COUNTIFS('All Papers'!$D:$D,"*"&amp;$A535&amp;"*",'All Papers'!$G:$G,"*"&amp;Table1[[#Headers],[Composition]]&amp;"*")</f>
        <v>0</v>
      </c>
      <c r="D535" s="8">
        <f>COUNTIFS('All Papers'!$D:$D,"*"&amp;$A535&amp;"*",'All Papers'!$G:$G,"*"&amp;Table1[[#Headers],[Discovery]]&amp;"*")</f>
        <v>0</v>
      </c>
      <c r="E535" s="8">
        <f>COUNTIFS('All Papers'!$D:$D,"*"&amp;$A535&amp;"*",'All Papers'!$G:$G,"*"&amp;Table1[[#Headers],[Selection]]&amp;"*")</f>
        <v>1</v>
      </c>
      <c r="F535" s="8">
        <f>COUNTIFS('All Papers'!$D:$D,"*"&amp;$A535&amp;"*",'All Papers'!$G:$G,"*"&amp;Table1[[#Headers],[Recommendation]]&amp;"*")</f>
        <v>0</v>
      </c>
      <c r="G535" s="8">
        <f>COUNTIFS('All Papers'!$D:$D,"*"&amp;$A535&amp;"*",'All Papers'!$G:$G,"*"&amp;Table1[[#Headers],[Resource Management-CS]]&amp;"*")</f>
        <v>1</v>
      </c>
      <c r="H535" s="8">
        <f>COUNTIFS('All Papers'!$D:$D,"*"&amp;$A535&amp;"*",'All Papers'!$G:$G,"*"&amp;Table1[[#Headers],[Resource Management-PS]]&amp;"*")</f>
        <v>0</v>
      </c>
      <c r="I535" s="8">
        <f>COUNTIFS('All Papers'!$D:$D,"*"&amp;$A535&amp;"*",'All Papers'!$G:$G,"*"&amp;Table1[[#Headers],[SLA Management]]&amp;"*")</f>
        <v>0</v>
      </c>
      <c r="J535" s="8">
        <f>COUNTIFS('All Papers'!$D:$D,"*"&amp;$A535&amp;"*",'All Papers'!$G:$G,"*"&amp;Table1[[#Headers],[Big Data]]&amp;"*")</f>
        <v>0</v>
      </c>
      <c r="K535" s="8">
        <f>COUNTIFS('All Papers'!$D:$D,"*"&amp;$A535&amp;"*",'All Papers'!$G:$G,"*"&amp;Table1[[#Headers],[Energy Management]]&amp;"*")</f>
        <v>0</v>
      </c>
      <c r="L535" s="8">
        <f>COUNTIFS('All Papers'!$D:$D,"*"&amp;$A535&amp;"*",'All Papers'!$G:$G,"*"&amp;Table1[[#Headers],[Monitoring]]&amp;"*")</f>
        <v>0</v>
      </c>
      <c r="M535" s="8">
        <f>COUNTIFS('All Papers'!$D:$D,"*"&amp;$A535&amp;"*",'All Papers'!$G:$G,"*"&amp;Table1[[#Headers],[Pricing]]&amp;"*")</f>
        <v>0</v>
      </c>
    </row>
    <row r="536" spans="1:13" x14ac:dyDescent="0.25">
      <c r="A536" s="8" t="s">
        <v>2969</v>
      </c>
      <c r="B536" s="8">
        <f>COUNTIF('All Papers'!D:D,"*"&amp;Table1[[#This Row],[Name]]&amp;"*")</f>
        <v>1</v>
      </c>
      <c r="C536" s="8">
        <f>COUNTIFS('All Papers'!$D:$D,"*"&amp;$A536&amp;"*",'All Papers'!$G:$G,"*"&amp;Table1[[#Headers],[Composition]]&amp;"*")</f>
        <v>0</v>
      </c>
      <c r="D536" s="8">
        <f>COUNTIFS('All Papers'!$D:$D,"*"&amp;$A536&amp;"*",'All Papers'!$G:$G,"*"&amp;Table1[[#Headers],[Discovery]]&amp;"*")</f>
        <v>0</v>
      </c>
      <c r="E536" s="8">
        <f>COUNTIFS('All Papers'!$D:$D,"*"&amp;$A536&amp;"*",'All Papers'!$G:$G,"*"&amp;Table1[[#Headers],[Selection]]&amp;"*")</f>
        <v>1</v>
      </c>
      <c r="F536" s="8">
        <f>COUNTIFS('All Papers'!$D:$D,"*"&amp;$A536&amp;"*",'All Papers'!$G:$G,"*"&amp;Table1[[#Headers],[Recommendation]]&amp;"*")</f>
        <v>0</v>
      </c>
      <c r="G536" s="8">
        <f>COUNTIFS('All Papers'!$D:$D,"*"&amp;$A536&amp;"*",'All Papers'!$G:$G,"*"&amp;Table1[[#Headers],[Resource Management-CS]]&amp;"*")</f>
        <v>1</v>
      </c>
      <c r="H536" s="8">
        <f>COUNTIFS('All Papers'!$D:$D,"*"&amp;$A536&amp;"*",'All Papers'!$G:$G,"*"&amp;Table1[[#Headers],[Resource Management-PS]]&amp;"*")</f>
        <v>0</v>
      </c>
      <c r="I536" s="8">
        <f>COUNTIFS('All Papers'!$D:$D,"*"&amp;$A536&amp;"*",'All Papers'!$G:$G,"*"&amp;Table1[[#Headers],[SLA Management]]&amp;"*")</f>
        <v>0</v>
      </c>
      <c r="J536" s="8">
        <f>COUNTIFS('All Papers'!$D:$D,"*"&amp;$A536&amp;"*",'All Papers'!$G:$G,"*"&amp;Table1[[#Headers],[Big Data]]&amp;"*")</f>
        <v>0</v>
      </c>
      <c r="K536" s="8">
        <f>COUNTIFS('All Papers'!$D:$D,"*"&amp;$A536&amp;"*",'All Papers'!$G:$G,"*"&amp;Table1[[#Headers],[Energy Management]]&amp;"*")</f>
        <v>0</v>
      </c>
      <c r="L536" s="8">
        <f>COUNTIFS('All Papers'!$D:$D,"*"&amp;$A536&amp;"*",'All Papers'!$G:$G,"*"&amp;Table1[[#Headers],[Monitoring]]&amp;"*")</f>
        <v>0</v>
      </c>
      <c r="M536" s="8">
        <f>COUNTIFS('All Papers'!$D:$D,"*"&amp;$A536&amp;"*",'All Papers'!$G:$G,"*"&amp;Table1[[#Headers],[Pricing]]&amp;"*")</f>
        <v>0</v>
      </c>
    </row>
    <row r="537" spans="1:13" x14ac:dyDescent="0.25">
      <c r="A537" s="8" t="s">
        <v>2970</v>
      </c>
      <c r="B537" s="8">
        <f>COUNTIF('All Papers'!D:D,"*"&amp;Table1[[#This Row],[Name]]&amp;"*")</f>
        <v>1</v>
      </c>
      <c r="C537" s="8">
        <f>COUNTIFS('All Papers'!$D:$D,"*"&amp;$A537&amp;"*",'All Papers'!$G:$G,"*"&amp;Table1[[#Headers],[Composition]]&amp;"*")</f>
        <v>0</v>
      </c>
      <c r="D537" s="8">
        <f>COUNTIFS('All Papers'!$D:$D,"*"&amp;$A537&amp;"*",'All Papers'!$G:$G,"*"&amp;Table1[[#Headers],[Discovery]]&amp;"*")</f>
        <v>0</v>
      </c>
      <c r="E537" s="8">
        <f>COUNTIFS('All Papers'!$D:$D,"*"&amp;$A537&amp;"*",'All Papers'!$G:$G,"*"&amp;Table1[[#Headers],[Selection]]&amp;"*")</f>
        <v>1</v>
      </c>
      <c r="F537" s="8">
        <f>COUNTIFS('All Papers'!$D:$D,"*"&amp;$A537&amp;"*",'All Papers'!$G:$G,"*"&amp;Table1[[#Headers],[Recommendation]]&amp;"*")</f>
        <v>0</v>
      </c>
      <c r="G537" s="8">
        <f>COUNTIFS('All Papers'!$D:$D,"*"&amp;$A537&amp;"*",'All Papers'!$G:$G,"*"&amp;Table1[[#Headers],[Resource Management-CS]]&amp;"*")</f>
        <v>1</v>
      </c>
      <c r="H537" s="8">
        <f>COUNTIFS('All Papers'!$D:$D,"*"&amp;$A537&amp;"*",'All Papers'!$G:$G,"*"&amp;Table1[[#Headers],[Resource Management-PS]]&amp;"*")</f>
        <v>0</v>
      </c>
      <c r="I537" s="8">
        <f>COUNTIFS('All Papers'!$D:$D,"*"&amp;$A537&amp;"*",'All Papers'!$G:$G,"*"&amp;Table1[[#Headers],[SLA Management]]&amp;"*")</f>
        <v>0</v>
      </c>
      <c r="J537" s="8">
        <f>COUNTIFS('All Papers'!$D:$D,"*"&amp;$A537&amp;"*",'All Papers'!$G:$G,"*"&amp;Table1[[#Headers],[Big Data]]&amp;"*")</f>
        <v>0</v>
      </c>
      <c r="K537" s="8">
        <f>COUNTIFS('All Papers'!$D:$D,"*"&amp;$A537&amp;"*",'All Papers'!$G:$G,"*"&amp;Table1[[#Headers],[Energy Management]]&amp;"*")</f>
        <v>0</v>
      </c>
      <c r="L537" s="8">
        <f>COUNTIFS('All Papers'!$D:$D,"*"&amp;$A537&amp;"*",'All Papers'!$G:$G,"*"&amp;Table1[[#Headers],[Monitoring]]&amp;"*")</f>
        <v>0</v>
      </c>
      <c r="M537" s="8">
        <f>COUNTIFS('All Papers'!$D:$D,"*"&amp;$A537&amp;"*",'All Papers'!$G:$G,"*"&amp;Table1[[#Headers],[Pricing]]&amp;"*")</f>
        <v>0</v>
      </c>
    </row>
    <row r="538" spans="1:13" x14ac:dyDescent="0.25">
      <c r="A538" s="8" t="s">
        <v>2971</v>
      </c>
      <c r="B538" s="8">
        <f>COUNTIF('All Papers'!D:D,"*"&amp;Table1[[#This Row],[Name]]&amp;"*")</f>
        <v>1</v>
      </c>
      <c r="C538" s="8">
        <f>COUNTIFS('All Papers'!$D:$D,"*"&amp;$A538&amp;"*",'All Papers'!$G:$G,"*"&amp;Table1[[#Headers],[Composition]]&amp;"*")</f>
        <v>0</v>
      </c>
      <c r="D538" s="8">
        <f>COUNTIFS('All Papers'!$D:$D,"*"&amp;$A538&amp;"*",'All Papers'!$G:$G,"*"&amp;Table1[[#Headers],[Discovery]]&amp;"*")</f>
        <v>0</v>
      </c>
      <c r="E538" s="8">
        <f>COUNTIFS('All Papers'!$D:$D,"*"&amp;$A538&amp;"*",'All Papers'!$G:$G,"*"&amp;Table1[[#Headers],[Selection]]&amp;"*")</f>
        <v>0</v>
      </c>
      <c r="F538" s="8">
        <f>COUNTIFS('All Papers'!$D:$D,"*"&amp;$A538&amp;"*",'All Papers'!$G:$G,"*"&amp;Table1[[#Headers],[Recommendation]]&amp;"*")</f>
        <v>0</v>
      </c>
      <c r="G538" s="8">
        <f>COUNTIFS('All Papers'!$D:$D,"*"&amp;$A538&amp;"*",'All Papers'!$G:$G,"*"&amp;Table1[[#Headers],[Resource Management-CS]]&amp;"*")</f>
        <v>1</v>
      </c>
      <c r="H538" s="8">
        <f>COUNTIFS('All Papers'!$D:$D,"*"&amp;$A538&amp;"*",'All Papers'!$G:$G,"*"&amp;Table1[[#Headers],[Resource Management-PS]]&amp;"*")</f>
        <v>0</v>
      </c>
      <c r="I538" s="8">
        <f>COUNTIFS('All Papers'!$D:$D,"*"&amp;$A538&amp;"*",'All Papers'!$G:$G,"*"&amp;Table1[[#Headers],[SLA Management]]&amp;"*")</f>
        <v>0</v>
      </c>
      <c r="J538" s="8">
        <f>COUNTIFS('All Papers'!$D:$D,"*"&amp;$A538&amp;"*",'All Papers'!$G:$G,"*"&amp;Table1[[#Headers],[Big Data]]&amp;"*")</f>
        <v>0</v>
      </c>
      <c r="K538" s="8">
        <f>COUNTIFS('All Papers'!$D:$D,"*"&amp;$A538&amp;"*",'All Papers'!$G:$G,"*"&amp;Table1[[#Headers],[Energy Management]]&amp;"*")</f>
        <v>0</v>
      </c>
      <c r="L538" s="8">
        <f>COUNTIFS('All Papers'!$D:$D,"*"&amp;$A538&amp;"*",'All Papers'!$G:$G,"*"&amp;Table1[[#Headers],[Monitoring]]&amp;"*")</f>
        <v>0</v>
      </c>
      <c r="M538" s="8">
        <f>COUNTIFS('All Papers'!$D:$D,"*"&amp;$A538&amp;"*",'All Papers'!$G:$G,"*"&amp;Table1[[#Headers],[Pricing]]&amp;"*")</f>
        <v>1</v>
      </c>
    </row>
    <row r="539" spans="1:13" x14ac:dyDescent="0.25">
      <c r="A539" s="8" t="s">
        <v>2972</v>
      </c>
      <c r="B539" s="8">
        <f>COUNTIF('All Papers'!D:D,"*"&amp;Table1[[#This Row],[Name]]&amp;"*")</f>
        <v>1</v>
      </c>
      <c r="C539" s="8">
        <f>COUNTIFS('All Papers'!$D:$D,"*"&amp;$A539&amp;"*",'All Papers'!$G:$G,"*"&amp;Table1[[#Headers],[Composition]]&amp;"*")</f>
        <v>0</v>
      </c>
      <c r="D539" s="8">
        <f>COUNTIFS('All Papers'!$D:$D,"*"&amp;$A539&amp;"*",'All Papers'!$G:$G,"*"&amp;Table1[[#Headers],[Discovery]]&amp;"*")</f>
        <v>0</v>
      </c>
      <c r="E539" s="8">
        <f>COUNTIFS('All Papers'!$D:$D,"*"&amp;$A539&amp;"*",'All Papers'!$G:$G,"*"&amp;Table1[[#Headers],[Selection]]&amp;"*")</f>
        <v>0</v>
      </c>
      <c r="F539" s="8">
        <f>COUNTIFS('All Papers'!$D:$D,"*"&amp;$A539&amp;"*",'All Papers'!$G:$G,"*"&amp;Table1[[#Headers],[Recommendation]]&amp;"*")</f>
        <v>0</v>
      </c>
      <c r="G539" s="8">
        <f>COUNTIFS('All Papers'!$D:$D,"*"&amp;$A539&amp;"*",'All Papers'!$G:$G,"*"&amp;Table1[[#Headers],[Resource Management-CS]]&amp;"*")</f>
        <v>1</v>
      </c>
      <c r="H539" s="8">
        <f>COUNTIFS('All Papers'!$D:$D,"*"&amp;$A539&amp;"*",'All Papers'!$G:$G,"*"&amp;Table1[[#Headers],[Resource Management-PS]]&amp;"*")</f>
        <v>0</v>
      </c>
      <c r="I539" s="8">
        <f>COUNTIFS('All Papers'!$D:$D,"*"&amp;$A539&amp;"*",'All Papers'!$G:$G,"*"&amp;Table1[[#Headers],[SLA Management]]&amp;"*")</f>
        <v>0</v>
      </c>
      <c r="J539" s="8">
        <f>COUNTIFS('All Papers'!$D:$D,"*"&amp;$A539&amp;"*",'All Papers'!$G:$G,"*"&amp;Table1[[#Headers],[Big Data]]&amp;"*")</f>
        <v>0</v>
      </c>
      <c r="K539" s="8">
        <f>COUNTIFS('All Papers'!$D:$D,"*"&amp;$A539&amp;"*",'All Papers'!$G:$G,"*"&amp;Table1[[#Headers],[Energy Management]]&amp;"*")</f>
        <v>0</v>
      </c>
      <c r="L539" s="8">
        <f>COUNTIFS('All Papers'!$D:$D,"*"&amp;$A539&amp;"*",'All Papers'!$G:$G,"*"&amp;Table1[[#Headers],[Monitoring]]&amp;"*")</f>
        <v>0</v>
      </c>
      <c r="M539" s="8">
        <f>COUNTIFS('All Papers'!$D:$D,"*"&amp;$A539&amp;"*",'All Papers'!$G:$G,"*"&amp;Table1[[#Headers],[Pricing]]&amp;"*")</f>
        <v>1</v>
      </c>
    </row>
    <row r="540" spans="1:13" x14ac:dyDescent="0.25">
      <c r="A540" s="8" t="s">
        <v>2973</v>
      </c>
      <c r="B540" s="8">
        <f>COUNTIF('All Papers'!D:D,"*"&amp;Table1[[#This Row],[Name]]&amp;"*")</f>
        <v>1</v>
      </c>
      <c r="C540" s="8">
        <f>COUNTIFS('All Papers'!$D:$D,"*"&amp;$A540&amp;"*",'All Papers'!$G:$G,"*"&amp;Table1[[#Headers],[Composition]]&amp;"*")</f>
        <v>0</v>
      </c>
      <c r="D540" s="8">
        <f>COUNTIFS('All Papers'!$D:$D,"*"&amp;$A540&amp;"*",'All Papers'!$G:$G,"*"&amp;Table1[[#Headers],[Discovery]]&amp;"*")</f>
        <v>0</v>
      </c>
      <c r="E540" s="8">
        <f>COUNTIFS('All Papers'!$D:$D,"*"&amp;$A540&amp;"*",'All Papers'!$G:$G,"*"&amp;Table1[[#Headers],[Selection]]&amp;"*")</f>
        <v>0</v>
      </c>
      <c r="F540" s="8">
        <f>COUNTIFS('All Papers'!$D:$D,"*"&amp;$A540&amp;"*",'All Papers'!$G:$G,"*"&amp;Table1[[#Headers],[Recommendation]]&amp;"*")</f>
        <v>0</v>
      </c>
      <c r="G540" s="8">
        <f>COUNTIFS('All Papers'!$D:$D,"*"&amp;$A540&amp;"*",'All Papers'!$G:$G,"*"&amp;Table1[[#Headers],[Resource Management-CS]]&amp;"*")</f>
        <v>1</v>
      </c>
      <c r="H540" s="8">
        <f>COUNTIFS('All Papers'!$D:$D,"*"&amp;$A540&amp;"*",'All Papers'!$G:$G,"*"&amp;Table1[[#Headers],[Resource Management-PS]]&amp;"*")</f>
        <v>0</v>
      </c>
      <c r="I540" s="8">
        <f>COUNTIFS('All Papers'!$D:$D,"*"&amp;$A540&amp;"*",'All Papers'!$G:$G,"*"&amp;Table1[[#Headers],[SLA Management]]&amp;"*")</f>
        <v>0</v>
      </c>
      <c r="J540" s="8">
        <f>COUNTIFS('All Papers'!$D:$D,"*"&amp;$A540&amp;"*",'All Papers'!$G:$G,"*"&amp;Table1[[#Headers],[Big Data]]&amp;"*")</f>
        <v>0</v>
      </c>
      <c r="K540" s="8">
        <f>COUNTIFS('All Papers'!$D:$D,"*"&amp;$A540&amp;"*",'All Papers'!$G:$G,"*"&amp;Table1[[#Headers],[Energy Management]]&amp;"*")</f>
        <v>0</v>
      </c>
      <c r="L540" s="8">
        <f>COUNTIFS('All Papers'!$D:$D,"*"&amp;$A540&amp;"*",'All Papers'!$G:$G,"*"&amp;Table1[[#Headers],[Monitoring]]&amp;"*")</f>
        <v>0</v>
      </c>
      <c r="M540" s="8">
        <f>COUNTIFS('All Papers'!$D:$D,"*"&amp;$A540&amp;"*",'All Papers'!$G:$G,"*"&amp;Table1[[#Headers],[Pricing]]&amp;"*")</f>
        <v>1</v>
      </c>
    </row>
    <row r="541" spans="1:13" x14ac:dyDescent="0.25">
      <c r="A541" s="8" t="s">
        <v>2974</v>
      </c>
      <c r="B541" s="8">
        <f>COUNTIF('All Papers'!D:D,"*"&amp;Table1[[#This Row],[Name]]&amp;"*")</f>
        <v>1</v>
      </c>
      <c r="C541" s="8">
        <f>COUNTIFS('All Papers'!$D:$D,"*"&amp;$A541&amp;"*",'All Papers'!$G:$G,"*"&amp;Table1[[#Headers],[Composition]]&amp;"*")</f>
        <v>0</v>
      </c>
      <c r="D541" s="8">
        <f>COUNTIFS('All Papers'!$D:$D,"*"&amp;$A541&amp;"*",'All Papers'!$G:$G,"*"&amp;Table1[[#Headers],[Discovery]]&amp;"*")</f>
        <v>0</v>
      </c>
      <c r="E541" s="8">
        <f>COUNTIFS('All Papers'!$D:$D,"*"&amp;$A541&amp;"*",'All Papers'!$G:$G,"*"&amp;Table1[[#Headers],[Selection]]&amp;"*")</f>
        <v>0</v>
      </c>
      <c r="F541" s="8">
        <f>COUNTIFS('All Papers'!$D:$D,"*"&amp;$A541&amp;"*",'All Papers'!$G:$G,"*"&amp;Table1[[#Headers],[Recommendation]]&amp;"*")</f>
        <v>0</v>
      </c>
      <c r="G541" s="8">
        <f>COUNTIFS('All Papers'!$D:$D,"*"&amp;$A541&amp;"*",'All Papers'!$G:$G,"*"&amp;Table1[[#Headers],[Resource Management-CS]]&amp;"*")</f>
        <v>1</v>
      </c>
      <c r="H541" s="8">
        <f>COUNTIFS('All Papers'!$D:$D,"*"&amp;$A541&amp;"*",'All Papers'!$G:$G,"*"&amp;Table1[[#Headers],[Resource Management-PS]]&amp;"*")</f>
        <v>0</v>
      </c>
      <c r="I541" s="8">
        <f>COUNTIFS('All Papers'!$D:$D,"*"&amp;$A541&amp;"*",'All Papers'!$G:$G,"*"&amp;Table1[[#Headers],[SLA Management]]&amp;"*")</f>
        <v>0</v>
      </c>
      <c r="J541" s="8">
        <f>COUNTIFS('All Papers'!$D:$D,"*"&amp;$A541&amp;"*",'All Papers'!$G:$G,"*"&amp;Table1[[#Headers],[Big Data]]&amp;"*")</f>
        <v>0</v>
      </c>
      <c r="K541" s="8">
        <f>COUNTIFS('All Papers'!$D:$D,"*"&amp;$A541&amp;"*",'All Papers'!$G:$G,"*"&amp;Table1[[#Headers],[Energy Management]]&amp;"*")</f>
        <v>0</v>
      </c>
      <c r="L541" s="8">
        <f>COUNTIFS('All Papers'!$D:$D,"*"&amp;$A541&amp;"*",'All Papers'!$G:$G,"*"&amp;Table1[[#Headers],[Monitoring]]&amp;"*")</f>
        <v>0</v>
      </c>
      <c r="M541" s="8">
        <f>COUNTIFS('All Papers'!$D:$D,"*"&amp;$A541&amp;"*",'All Papers'!$G:$G,"*"&amp;Table1[[#Headers],[Pricing]]&amp;"*")</f>
        <v>1</v>
      </c>
    </row>
    <row r="542" spans="1:13" x14ac:dyDescent="0.25">
      <c r="A542" s="8" t="s">
        <v>2975</v>
      </c>
      <c r="B542" s="8">
        <f>COUNTIF('All Papers'!D:D,"*"&amp;Table1[[#This Row],[Name]]&amp;"*")</f>
        <v>1</v>
      </c>
      <c r="C542" s="8">
        <f>COUNTIFS('All Papers'!$D:$D,"*"&amp;$A542&amp;"*",'All Papers'!$G:$G,"*"&amp;Table1[[#Headers],[Composition]]&amp;"*")</f>
        <v>0</v>
      </c>
      <c r="D542" s="8">
        <f>COUNTIFS('All Papers'!$D:$D,"*"&amp;$A542&amp;"*",'All Papers'!$G:$G,"*"&amp;Table1[[#Headers],[Discovery]]&amp;"*")</f>
        <v>0</v>
      </c>
      <c r="E542" s="8">
        <f>COUNTIFS('All Papers'!$D:$D,"*"&amp;$A542&amp;"*",'All Papers'!$G:$G,"*"&amp;Table1[[#Headers],[Selection]]&amp;"*")</f>
        <v>0</v>
      </c>
      <c r="F542" s="8">
        <f>COUNTIFS('All Papers'!$D:$D,"*"&amp;$A542&amp;"*",'All Papers'!$G:$G,"*"&amp;Table1[[#Headers],[Recommendation]]&amp;"*")</f>
        <v>0</v>
      </c>
      <c r="G542" s="8">
        <f>COUNTIFS('All Papers'!$D:$D,"*"&amp;$A542&amp;"*",'All Papers'!$G:$G,"*"&amp;Table1[[#Headers],[Resource Management-CS]]&amp;"*")</f>
        <v>1</v>
      </c>
      <c r="H542" s="8">
        <f>COUNTIFS('All Papers'!$D:$D,"*"&amp;$A542&amp;"*",'All Papers'!$G:$G,"*"&amp;Table1[[#Headers],[Resource Management-PS]]&amp;"*")</f>
        <v>0</v>
      </c>
      <c r="I542" s="8">
        <f>COUNTIFS('All Papers'!$D:$D,"*"&amp;$A542&amp;"*",'All Papers'!$G:$G,"*"&amp;Table1[[#Headers],[SLA Management]]&amp;"*")</f>
        <v>0</v>
      </c>
      <c r="J542" s="8">
        <f>COUNTIFS('All Papers'!$D:$D,"*"&amp;$A542&amp;"*",'All Papers'!$G:$G,"*"&amp;Table1[[#Headers],[Big Data]]&amp;"*")</f>
        <v>0</v>
      </c>
      <c r="K542" s="8">
        <f>COUNTIFS('All Papers'!$D:$D,"*"&amp;$A542&amp;"*",'All Papers'!$G:$G,"*"&amp;Table1[[#Headers],[Energy Management]]&amp;"*")</f>
        <v>0</v>
      </c>
      <c r="L542" s="8">
        <f>COUNTIFS('All Papers'!$D:$D,"*"&amp;$A542&amp;"*",'All Papers'!$G:$G,"*"&amp;Table1[[#Headers],[Monitoring]]&amp;"*")</f>
        <v>0</v>
      </c>
      <c r="M542" s="8">
        <f>COUNTIFS('All Papers'!$D:$D,"*"&amp;$A542&amp;"*",'All Papers'!$G:$G,"*"&amp;Table1[[#Headers],[Pricing]]&amp;"*")</f>
        <v>1</v>
      </c>
    </row>
    <row r="543" spans="1:13" x14ac:dyDescent="0.25">
      <c r="A543" s="8" t="s">
        <v>2976</v>
      </c>
      <c r="B543" s="8">
        <f>COUNTIF('All Papers'!D:D,"*"&amp;Table1[[#This Row],[Name]]&amp;"*")</f>
        <v>1</v>
      </c>
      <c r="C543" s="8">
        <f>COUNTIFS('All Papers'!$D:$D,"*"&amp;$A543&amp;"*",'All Papers'!$G:$G,"*"&amp;Table1[[#Headers],[Composition]]&amp;"*")</f>
        <v>0</v>
      </c>
      <c r="D543" s="8">
        <f>COUNTIFS('All Papers'!$D:$D,"*"&amp;$A543&amp;"*",'All Papers'!$G:$G,"*"&amp;Table1[[#Headers],[Discovery]]&amp;"*")</f>
        <v>0</v>
      </c>
      <c r="E543" s="8">
        <f>COUNTIFS('All Papers'!$D:$D,"*"&amp;$A543&amp;"*",'All Papers'!$G:$G,"*"&amp;Table1[[#Headers],[Selection]]&amp;"*")</f>
        <v>0</v>
      </c>
      <c r="F543" s="8">
        <f>COUNTIFS('All Papers'!$D:$D,"*"&amp;$A543&amp;"*",'All Papers'!$G:$G,"*"&amp;Table1[[#Headers],[Recommendation]]&amp;"*")</f>
        <v>0</v>
      </c>
      <c r="G543" s="8">
        <f>COUNTIFS('All Papers'!$D:$D,"*"&amp;$A543&amp;"*",'All Papers'!$G:$G,"*"&amp;Table1[[#Headers],[Resource Management-CS]]&amp;"*")</f>
        <v>0</v>
      </c>
      <c r="H543" s="8">
        <f>COUNTIFS('All Papers'!$D:$D,"*"&amp;$A543&amp;"*",'All Papers'!$G:$G,"*"&amp;Table1[[#Headers],[Resource Management-PS]]&amp;"*")</f>
        <v>1</v>
      </c>
      <c r="I543" s="8">
        <f>COUNTIFS('All Papers'!$D:$D,"*"&amp;$A543&amp;"*",'All Papers'!$G:$G,"*"&amp;Table1[[#Headers],[SLA Management]]&amp;"*")</f>
        <v>0</v>
      </c>
      <c r="J543" s="8">
        <f>COUNTIFS('All Papers'!$D:$D,"*"&amp;$A543&amp;"*",'All Papers'!$G:$G,"*"&amp;Table1[[#Headers],[Big Data]]&amp;"*")</f>
        <v>0</v>
      </c>
      <c r="K543" s="8">
        <f>COUNTIFS('All Papers'!$D:$D,"*"&amp;$A543&amp;"*",'All Papers'!$G:$G,"*"&amp;Table1[[#Headers],[Energy Management]]&amp;"*")</f>
        <v>0</v>
      </c>
      <c r="L543" s="8">
        <f>COUNTIFS('All Papers'!$D:$D,"*"&amp;$A543&amp;"*",'All Papers'!$G:$G,"*"&amp;Table1[[#Headers],[Monitoring]]&amp;"*")</f>
        <v>0</v>
      </c>
      <c r="M543" s="8">
        <f>COUNTIFS('All Papers'!$D:$D,"*"&amp;$A543&amp;"*",'All Papers'!$G:$G,"*"&amp;Table1[[#Headers],[Pricing]]&amp;"*")</f>
        <v>1</v>
      </c>
    </row>
    <row r="544" spans="1:13" x14ac:dyDescent="0.25">
      <c r="A544" s="8" t="s">
        <v>2977</v>
      </c>
      <c r="B544" s="8">
        <f>COUNTIF('All Papers'!D:D,"*"&amp;Table1[[#This Row],[Name]]&amp;"*")</f>
        <v>1</v>
      </c>
      <c r="C544" s="8">
        <f>COUNTIFS('All Papers'!$D:$D,"*"&amp;$A544&amp;"*",'All Papers'!$G:$G,"*"&amp;Table1[[#Headers],[Composition]]&amp;"*")</f>
        <v>0</v>
      </c>
      <c r="D544" s="8">
        <f>COUNTIFS('All Papers'!$D:$D,"*"&amp;$A544&amp;"*",'All Papers'!$G:$G,"*"&amp;Table1[[#Headers],[Discovery]]&amp;"*")</f>
        <v>0</v>
      </c>
      <c r="E544" s="8">
        <f>COUNTIFS('All Papers'!$D:$D,"*"&amp;$A544&amp;"*",'All Papers'!$G:$G,"*"&amp;Table1[[#Headers],[Selection]]&amp;"*")</f>
        <v>0</v>
      </c>
      <c r="F544" s="8">
        <f>COUNTIFS('All Papers'!$D:$D,"*"&amp;$A544&amp;"*",'All Papers'!$G:$G,"*"&amp;Table1[[#Headers],[Recommendation]]&amp;"*")</f>
        <v>0</v>
      </c>
      <c r="G544" s="8">
        <f>COUNTIFS('All Papers'!$D:$D,"*"&amp;$A544&amp;"*",'All Papers'!$G:$G,"*"&amp;Table1[[#Headers],[Resource Management-CS]]&amp;"*")</f>
        <v>0</v>
      </c>
      <c r="H544" s="8">
        <f>COUNTIFS('All Papers'!$D:$D,"*"&amp;$A544&amp;"*",'All Papers'!$G:$G,"*"&amp;Table1[[#Headers],[Resource Management-PS]]&amp;"*")</f>
        <v>1</v>
      </c>
      <c r="I544" s="8">
        <f>COUNTIFS('All Papers'!$D:$D,"*"&amp;$A544&amp;"*",'All Papers'!$G:$G,"*"&amp;Table1[[#Headers],[SLA Management]]&amp;"*")</f>
        <v>0</v>
      </c>
      <c r="J544" s="8">
        <f>COUNTIFS('All Papers'!$D:$D,"*"&amp;$A544&amp;"*",'All Papers'!$G:$G,"*"&amp;Table1[[#Headers],[Big Data]]&amp;"*")</f>
        <v>0</v>
      </c>
      <c r="K544" s="8">
        <f>COUNTIFS('All Papers'!$D:$D,"*"&amp;$A544&amp;"*",'All Papers'!$G:$G,"*"&amp;Table1[[#Headers],[Energy Management]]&amp;"*")</f>
        <v>0</v>
      </c>
      <c r="L544" s="8">
        <f>COUNTIFS('All Papers'!$D:$D,"*"&amp;$A544&amp;"*",'All Papers'!$G:$G,"*"&amp;Table1[[#Headers],[Monitoring]]&amp;"*")</f>
        <v>0</v>
      </c>
      <c r="M544" s="8">
        <f>COUNTIFS('All Papers'!$D:$D,"*"&amp;$A544&amp;"*",'All Papers'!$G:$G,"*"&amp;Table1[[#Headers],[Pricing]]&amp;"*")</f>
        <v>1</v>
      </c>
    </row>
    <row r="545" spans="1:13" x14ac:dyDescent="0.25">
      <c r="A545" s="8" t="s">
        <v>2978</v>
      </c>
      <c r="B545" s="8">
        <f>COUNTIF('All Papers'!D:D,"*"&amp;Table1[[#This Row],[Name]]&amp;"*")</f>
        <v>1</v>
      </c>
      <c r="C545" s="8">
        <f>COUNTIFS('All Papers'!$D:$D,"*"&amp;$A545&amp;"*",'All Papers'!$G:$G,"*"&amp;Table1[[#Headers],[Composition]]&amp;"*")</f>
        <v>0</v>
      </c>
      <c r="D545" s="8">
        <f>COUNTIFS('All Papers'!$D:$D,"*"&amp;$A545&amp;"*",'All Papers'!$G:$G,"*"&amp;Table1[[#Headers],[Discovery]]&amp;"*")</f>
        <v>0</v>
      </c>
      <c r="E545" s="8">
        <f>COUNTIFS('All Papers'!$D:$D,"*"&amp;$A545&amp;"*",'All Papers'!$G:$G,"*"&amp;Table1[[#Headers],[Selection]]&amp;"*")</f>
        <v>0</v>
      </c>
      <c r="F545" s="8">
        <f>COUNTIFS('All Papers'!$D:$D,"*"&amp;$A545&amp;"*",'All Papers'!$G:$G,"*"&amp;Table1[[#Headers],[Recommendation]]&amp;"*")</f>
        <v>0</v>
      </c>
      <c r="G545" s="8">
        <f>COUNTIFS('All Papers'!$D:$D,"*"&amp;$A545&amp;"*",'All Papers'!$G:$G,"*"&amp;Table1[[#Headers],[Resource Management-CS]]&amp;"*")</f>
        <v>0</v>
      </c>
      <c r="H545" s="8">
        <f>COUNTIFS('All Papers'!$D:$D,"*"&amp;$A545&amp;"*",'All Papers'!$G:$G,"*"&amp;Table1[[#Headers],[Resource Management-PS]]&amp;"*")</f>
        <v>1</v>
      </c>
      <c r="I545" s="8">
        <f>COUNTIFS('All Papers'!$D:$D,"*"&amp;$A545&amp;"*",'All Papers'!$G:$G,"*"&amp;Table1[[#Headers],[SLA Management]]&amp;"*")</f>
        <v>0</v>
      </c>
      <c r="J545" s="8">
        <f>COUNTIFS('All Papers'!$D:$D,"*"&amp;$A545&amp;"*",'All Papers'!$G:$G,"*"&amp;Table1[[#Headers],[Big Data]]&amp;"*")</f>
        <v>0</v>
      </c>
      <c r="K545" s="8">
        <f>COUNTIFS('All Papers'!$D:$D,"*"&amp;$A545&amp;"*",'All Papers'!$G:$G,"*"&amp;Table1[[#Headers],[Energy Management]]&amp;"*")</f>
        <v>0</v>
      </c>
      <c r="L545" s="8">
        <f>COUNTIFS('All Papers'!$D:$D,"*"&amp;$A545&amp;"*",'All Papers'!$G:$G,"*"&amp;Table1[[#Headers],[Monitoring]]&amp;"*")</f>
        <v>0</v>
      </c>
      <c r="M545" s="8">
        <f>COUNTIFS('All Papers'!$D:$D,"*"&amp;$A545&amp;"*",'All Papers'!$G:$G,"*"&amp;Table1[[#Headers],[Pricing]]&amp;"*")</f>
        <v>1</v>
      </c>
    </row>
    <row r="546" spans="1:13" x14ac:dyDescent="0.25">
      <c r="A546" s="8" t="s">
        <v>2979</v>
      </c>
      <c r="B546" s="8">
        <f>COUNTIF('All Papers'!D:D,"*"&amp;Table1[[#This Row],[Name]]&amp;"*")</f>
        <v>1</v>
      </c>
      <c r="C546" s="8">
        <f>COUNTIFS('All Papers'!$D:$D,"*"&amp;$A546&amp;"*",'All Papers'!$G:$G,"*"&amp;Table1[[#Headers],[Composition]]&amp;"*")</f>
        <v>0</v>
      </c>
      <c r="D546" s="8">
        <f>COUNTIFS('All Papers'!$D:$D,"*"&amp;$A546&amp;"*",'All Papers'!$G:$G,"*"&amp;Table1[[#Headers],[Discovery]]&amp;"*")</f>
        <v>0</v>
      </c>
      <c r="E546" s="8">
        <f>COUNTIFS('All Papers'!$D:$D,"*"&amp;$A546&amp;"*",'All Papers'!$G:$G,"*"&amp;Table1[[#Headers],[Selection]]&amp;"*")</f>
        <v>0</v>
      </c>
      <c r="F546" s="8">
        <f>COUNTIFS('All Papers'!$D:$D,"*"&amp;$A546&amp;"*",'All Papers'!$G:$G,"*"&amp;Table1[[#Headers],[Recommendation]]&amp;"*")</f>
        <v>0</v>
      </c>
      <c r="G546" s="8">
        <f>COUNTIFS('All Papers'!$D:$D,"*"&amp;$A546&amp;"*",'All Papers'!$G:$G,"*"&amp;Table1[[#Headers],[Resource Management-CS]]&amp;"*")</f>
        <v>0</v>
      </c>
      <c r="H546" s="8">
        <f>COUNTIFS('All Papers'!$D:$D,"*"&amp;$A546&amp;"*",'All Papers'!$G:$G,"*"&amp;Table1[[#Headers],[Resource Management-PS]]&amp;"*")</f>
        <v>1</v>
      </c>
      <c r="I546" s="8">
        <f>COUNTIFS('All Papers'!$D:$D,"*"&amp;$A546&amp;"*",'All Papers'!$G:$G,"*"&amp;Table1[[#Headers],[SLA Management]]&amp;"*")</f>
        <v>0</v>
      </c>
      <c r="J546" s="8">
        <f>COUNTIFS('All Papers'!$D:$D,"*"&amp;$A546&amp;"*",'All Papers'!$G:$G,"*"&amp;Table1[[#Headers],[Big Data]]&amp;"*")</f>
        <v>0</v>
      </c>
      <c r="K546" s="8">
        <f>COUNTIFS('All Papers'!$D:$D,"*"&amp;$A546&amp;"*",'All Papers'!$G:$G,"*"&amp;Table1[[#Headers],[Energy Management]]&amp;"*")</f>
        <v>0</v>
      </c>
      <c r="L546" s="8">
        <f>COUNTIFS('All Papers'!$D:$D,"*"&amp;$A546&amp;"*",'All Papers'!$G:$G,"*"&amp;Table1[[#Headers],[Monitoring]]&amp;"*")</f>
        <v>0</v>
      </c>
      <c r="M546" s="8">
        <f>COUNTIFS('All Papers'!$D:$D,"*"&amp;$A546&amp;"*",'All Papers'!$G:$G,"*"&amp;Table1[[#Headers],[Pricing]]&amp;"*")</f>
        <v>1</v>
      </c>
    </row>
    <row r="547" spans="1:13" x14ac:dyDescent="0.25">
      <c r="A547" s="8" t="s">
        <v>2980</v>
      </c>
      <c r="B547" s="8">
        <f>COUNTIF('All Papers'!D:D,"*"&amp;Table1[[#This Row],[Name]]&amp;"*")</f>
        <v>1</v>
      </c>
      <c r="C547" s="8">
        <f>COUNTIFS('All Papers'!$D:$D,"*"&amp;$A547&amp;"*",'All Papers'!$G:$G,"*"&amp;Table1[[#Headers],[Composition]]&amp;"*")</f>
        <v>0</v>
      </c>
      <c r="D547" s="8">
        <f>COUNTIFS('All Papers'!$D:$D,"*"&amp;$A547&amp;"*",'All Papers'!$G:$G,"*"&amp;Table1[[#Headers],[Discovery]]&amp;"*")</f>
        <v>0</v>
      </c>
      <c r="E547" s="8">
        <f>COUNTIFS('All Papers'!$D:$D,"*"&amp;$A547&amp;"*",'All Papers'!$G:$G,"*"&amp;Table1[[#Headers],[Selection]]&amp;"*")</f>
        <v>1</v>
      </c>
      <c r="F547" s="8">
        <f>COUNTIFS('All Papers'!$D:$D,"*"&amp;$A547&amp;"*",'All Papers'!$G:$G,"*"&amp;Table1[[#Headers],[Recommendation]]&amp;"*")</f>
        <v>0</v>
      </c>
      <c r="G547" s="8">
        <f>COUNTIFS('All Papers'!$D:$D,"*"&amp;$A547&amp;"*",'All Papers'!$G:$G,"*"&amp;Table1[[#Headers],[Resource Management-CS]]&amp;"*")</f>
        <v>0</v>
      </c>
      <c r="H547" s="8">
        <f>COUNTIFS('All Papers'!$D:$D,"*"&amp;$A547&amp;"*",'All Papers'!$G:$G,"*"&amp;Table1[[#Headers],[Resource Management-PS]]&amp;"*")</f>
        <v>0</v>
      </c>
      <c r="I547" s="8">
        <f>COUNTIFS('All Papers'!$D:$D,"*"&amp;$A547&amp;"*",'All Papers'!$G:$G,"*"&amp;Table1[[#Headers],[SLA Management]]&amp;"*")</f>
        <v>0</v>
      </c>
      <c r="J547" s="8">
        <f>COUNTIFS('All Papers'!$D:$D,"*"&amp;$A547&amp;"*",'All Papers'!$G:$G,"*"&amp;Table1[[#Headers],[Big Data]]&amp;"*")</f>
        <v>0</v>
      </c>
      <c r="K547" s="8">
        <f>COUNTIFS('All Papers'!$D:$D,"*"&amp;$A547&amp;"*",'All Papers'!$G:$G,"*"&amp;Table1[[#Headers],[Energy Management]]&amp;"*")</f>
        <v>0</v>
      </c>
      <c r="L547" s="8">
        <f>COUNTIFS('All Papers'!$D:$D,"*"&amp;$A547&amp;"*",'All Papers'!$G:$G,"*"&amp;Table1[[#Headers],[Monitoring]]&amp;"*")</f>
        <v>0</v>
      </c>
      <c r="M547" s="8">
        <f>COUNTIFS('All Papers'!$D:$D,"*"&amp;$A547&amp;"*",'All Papers'!$G:$G,"*"&amp;Table1[[#Headers],[Pricing]]&amp;"*")</f>
        <v>0</v>
      </c>
    </row>
    <row r="548" spans="1:13" x14ac:dyDescent="0.25">
      <c r="A548" s="8" t="s">
        <v>2981</v>
      </c>
      <c r="B548" s="8">
        <f>COUNTIF('All Papers'!D:D,"*"&amp;Table1[[#This Row],[Name]]&amp;"*")</f>
        <v>1</v>
      </c>
      <c r="C548" s="8">
        <f>COUNTIFS('All Papers'!$D:$D,"*"&amp;$A548&amp;"*",'All Papers'!$G:$G,"*"&amp;Table1[[#Headers],[Composition]]&amp;"*")</f>
        <v>0</v>
      </c>
      <c r="D548" s="8">
        <f>COUNTIFS('All Papers'!$D:$D,"*"&amp;$A548&amp;"*",'All Papers'!$G:$G,"*"&amp;Table1[[#Headers],[Discovery]]&amp;"*")</f>
        <v>0</v>
      </c>
      <c r="E548" s="8">
        <f>COUNTIFS('All Papers'!$D:$D,"*"&amp;$A548&amp;"*",'All Papers'!$G:$G,"*"&amp;Table1[[#Headers],[Selection]]&amp;"*")</f>
        <v>1</v>
      </c>
      <c r="F548" s="8">
        <f>COUNTIFS('All Papers'!$D:$D,"*"&amp;$A548&amp;"*",'All Papers'!$G:$G,"*"&amp;Table1[[#Headers],[Recommendation]]&amp;"*")</f>
        <v>0</v>
      </c>
      <c r="G548" s="8">
        <f>COUNTIFS('All Papers'!$D:$D,"*"&amp;$A548&amp;"*",'All Papers'!$G:$G,"*"&amp;Table1[[#Headers],[Resource Management-CS]]&amp;"*")</f>
        <v>0</v>
      </c>
      <c r="H548" s="8">
        <f>COUNTIFS('All Papers'!$D:$D,"*"&amp;$A548&amp;"*",'All Papers'!$G:$G,"*"&amp;Table1[[#Headers],[Resource Management-PS]]&amp;"*")</f>
        <v>0</v>
      </c>
      <c r="I548" s="8">
        <f>COUNTIFS('All Papers'!$D:$D,"*"&amp;$A548&amp;"*",'All Papers'!$G:$G,"*"&amp;Table1[[#Headers],[SLA Management]]&amp;"*")</f>
        <v>0</v>
      </c>
      <c r="J548" s="8">
        <f>COUNTIFS('All Papers'!$D:$D,"*"&amp;$A548&amp;"*",'All Papers'!$G:$G,"*"&amp;Table1[[#Headers],[Big Data]]&amp;"*")</f>
        <v>0</v>
      </c>
      <c r="K548" s="8">
        <f>COUNTIFS('All Papers'!$D:$D,"*"&amp;$A548&amp;"*",'All Papers'!$G:$G,"*"&amp;Table1[[#Headers],[Energy Management]]&amp;"*")</f>
        <v>0</v>
      </c>
      <c r="L548" s="8">
        <f>COUNTIFS('All Papers'!$D:$D,"*"&amp;$A548&amp;"*",'All Papers'!$G:$G,"*"&amp;Table1[[#Headers],[Monitoring]]&amp;"*")</f>
        <v>0</v>
      </c>
      <c r="M548" s="8">
        <f>COUNTIFS('All Papers'!$D:$D,"*"&amp;$A548&amp;"*",'All Papers'!$G:$G,"*"&amp;Table1[[#Headers],[Pricing]]&amp;"*")</f>
        <v>0</v>
      </c>
    </row>
    <row r="549" spans="1:13" x14ac:dyDescent="0.25">
      <c r="A549" s="8" t="s">
        <v>2982</v>
      </c>
      <c r="B549" s="8">
        <f>COUNTIF('All Papers'!D:D,"*"&amp;Table1[[#This Row],[Name]]&amp;"*")</f>
        <v>1</v>
      </c>
      <c r="C549" s="8">
        <f>COUNTIFS('All Papers'!$D:$D,"*"&amp;$A549&amp;"*",'All Papers'!$G:$G,"*"&amp;Table1[[#Headers],[Composition]]&amp;"*")</f>
        <v>0</v>
      </c>
      <c r="D549" s="8">
        <f>COUNTIFS('All Papers'!$D:$D,"*"&amp;$A549&amp;"*",'All Papers'!$G:$G,"*"&amp;Table1[[#Headers],[Discovery]]&amp;"*")</f>
        <v>0</v>
      </c>
      <c r="E549" s="8">
        <f>COUNTIFS('All Papers'!$D:$D,"*"&amp;$A549&amp;"*",'All Papers'!$G:$G,"*"&amp;Table1[[#Headers],[Selection]]&amp;"*")</f>
        <v>1</v>
      </c>
      <c r="F549" s="8">
        <f>COUNTIFS('All Papers'!$D:$D,"*"&amp;$A549&amp;"*",'All Papers'!$G:$G,"*"&amp;Table1[[#Headers],[Recommendation]]&amp;"*")</f>
        <v>0</v>
      </c>
      <c r="G549" s="8">
        <f>COUNTIFS('All Papers'!$D:$D,"*"&amp;$A549&amp;"*",'All Papers'!$G:$G,"*"&amp;Table1[[#Headers],[Resource Management-CS]]&amp;"*")</f>
        <v>0</v>
      </c>
      <c r="H549" s="8">
        <f>COUNTIFS('All Papers'!$D:$D,"*"&amp;$A549&amp;"*",'All Papers'!$G:$G,"*"&amp;Table1[[#Headers],[Resource Management-PS]]&amp;"*")</f>
        <v>0</v>
      </c>
      <c r="I549" s="8">
        <f>COUNTIFS('All Papers'!$D:$D,"*"&amp;$A549&amp;"*",'All Papers'!$G:$G,"*"&amp;Table1[[#Headers],[SLA Management]]&amp;"*")</f>
        <v>0</v>
      </c>
      <c r="J549" s="8">
        <f>COUNTIFS('All Papers'!$D:$D,"*"&amp;$A549&amp;"*",'All Papers'!$G:$G,"*"&amp;Table1[[#Headers],[Big Data]]&amp;"*")</f>
        <v>0</v>
      </c>
      <c r="K549" s="8">
        <f>COUNTIFS('All Papers'!$D:$D,"*"&amp;$A549&amp;"*",'All Papers'!$G:$G,"*"&amp;Table1[[#Headers],[Energy Management]]&amp;"*")</f>
        <v>0</v>
      </c>
      <c r="L549" s="8">
        <f>COUNTIFS('All Papers'!$D:$D,"*"&amp;$A549&amp;"*",'All Papers'!$G:$G,"*"&amp;Table1[[#Headers],[Monitoring]]&amp;"*")</f>
        <v>0</v>
      </c>
      <c r="M549" s="8">
        <f>COUNTIFS('All Papers'!$D:$D,"*"&amp;$A549&amp;"*",'All Papers'!$G:$G,"*"&amp;Table1[[#Headers],[Pricing]]&amp;"*")</f>
        <v>0</v>
      </c>
    </row>
    <row r="550" spans="1:13" x14ac:dyDescent="0.25">
      <c r="A550" s="8" t="s">
        <v>2983</v>
      </c>
      <c r="B550" s="8">
        <f>COUNTIF('All Papers'!D:D,"*"&amp;Table1[[#This Row],[Name]]&amp;"*")</f>
        <v>1</v>
      </c>
      <c r="C550" s="8">
        <f>COUNTIFS('All Papers'!$D:$D,"*"&amp;$A550&amp;"*",'All Papers'!$G:$G,"*"&amp;Table1[[#Headers],[Composition]]&amp;"*")</f>
        <v>0</v>
      </c>
      <c r="D550" s="8">
        <f>COUNTIFS('All Papers'!$D:$D,"*"&amp;$A550&amp;"*",'All Papers'!$G:$G,"*"&amp;Table1[[#Headers],[Discovery]]&amp;"*")</f>
        <v>0</v>
      </c>
      <c r="E550" s="8">
        <f>COUNTIFS('All Papers'!$D:$D,"*"&amp;$A550&amp;"*",'All Papers'!$G:$G,"*"&amp;Table1[[#Headers],[Selection]]&amp;"*")</f>
        <v>1</v>
      </c>
      <c r="F550" s="8">
        <f>COUNTIFS('All Papers'!$D:$D,"*"&amp;$A550&amp;"*",'All Papers'!$G:$G,"*"&amp;Table1[[#Headers],[Recommendation]]&amp;"*")</f>
        <v>0</v>
      </c>
      <c r="G550" s="8">
        <f>COUNTIFS('All Papers'!$D:$D,"*"&amp;$A550&amp;"*",'All Papers'!$G:$G,"*"&amp;Table1[[#Headers],[Resource Management-CS]]&amp;"*")</f>
        <v>0</v>
      </c>
      <c r="H550" s="8">
        <f>COUNTIFS('All Papers'!$D:$D,"*"&amp;$A550&amp;"*",'All Papers'!$G:$G,"*"&amp;Table1[[#Headers],[Resource Management-PS]]&amp;"*")</f>
        <v>0</v>
      </c>
      <c r="I550" s="8">
        <f>COUNTIFS('All Papers'!$D:$D,"*"&amp;$A550&amp;"*",'All Papers'!$G:$G,"*"&amp;Table1[[#Headers],[SLA Management]]&amp;"*")</f>
        <v>0</v>
      </c>
      <c r="J550" s="8">
        <f>COUNTIFS('All Papers'!$D:$D,"*"&amp;$A550&amp;"*",'All Papers'!$G:$G,"*"&amp;Table1[[#Headers],[Big Data]]&amp;"*")</f>
        <v>0</v>
      </c>
      <c r="K550" s="8">
        <f>COUNTIFS('All Papers'!$D:$D,"*"&amp;$A550&amp;"*",'All Papers'!$G:$G,"*"&amp;Table1[[#Headers],[Energy Management]]&amp;"*")</f>
        <v>0</v>
      </c>
      <c r="L550" s="8">
        <f>COUNTIFS('All Papers'!$D:$D,"*"&amp;$A550&amp;"*",'All Papers'!$G:$G,"*"&amp;Table1[[#Headers],[Monitoring]]&amp;"*")</f>
        <v>0</v>
      </c>
      <c r="M550" s="8">
        <f>COUNTIFS('All Papers'!$D:$D,"*"&amp;$A550&amp;"*",'All Papers'!$G:$G,"*"&amp;Table1[[#Headers],[Pricing]]&amp;"*")</f>
        <v>0</v>
      </c>
    </row>
    <row r="551" spans="1:13" x14ac:dyDescent="0.25">
      <c r="A551" s="8" t="s">
        <v>2984</v>
      </c>
      <c r="B551" s="8">
        <f>COUNTIF('All Papers'!D:D,"*"&amp;Table1[[#This Row],[Name]]&amp;"*")</f>
        <v>1</v>
      </c>
      <c r="C551" s="8">
        <f>COUNTIFS('All Papers'!$D:$D,"*"&amp;$A551&amp;"*",'All Papers'!$G:$G,"*"&amp;Table1[[#Headers],[Composition]]&amp;"*")</f>
        <v>0</v>
      </c>
      <c r="D551" s="8">
        <f>COUNTIFS('All Papers'!$D:$D,"*"&amp;$A551&amp;"*",'All Papers'!$G:$G,"*"&amp;Table1[[#Headers],[Discovery]]&amp;"*")</f>
        <v>0</v>
      </c>
      <c r="E551" s="8">
        <f>COUNTIFS('All Papers'!$D:$D,"*"&amp;$A551&amp;"*",'All Papers'!$G:$G,"*"&amp;Table1[[#Headers],[Selection]]&amp;"*")</f>
        <v>1</v>
      </c>
      <c r="F551" s="8">
        <f>COUNTIFS('All Papers'!$D:$D,"*"&amp;$A551&amp;"*",'All Papers'!$G:$G,"*"&amp;Table1[[#Headers],[Recommendation]]&amp;"*")</f>
        <v>0</v>
      </c>
      <c r="G551" s="8">
        <f>COUNTIFS('All Papers'!$D:$D,"*"&amp;$A551&amp;"*",'All Papers'!$G:$G,"*"&amp;Table1[[#Headers],[Resource Management-CS]]&amp;"*")</f>
        <v>0</v>
      </c>
      <c r="H551" s="8">
        <f>COUNTIFS('All Papers'!$D:$D,"*"&amp;$A551&amp;"*",'All Papers'!$G:$G,"*"&amp;Table1[[#Headers],[Resource Management-PS]]&amp;"*")</f>
        <v>0</v>
      </c>
      <c r="I551" s="8">
        <f>COUNTIFS('All Papers'!$D:$D,"*"&amp;$A551&amp;"*",'All Papers'!$G:$G,"*"&amp;Table1[[#Headers],[SLA Management]]&amp;"*")</f>
        <v>0</v>
      </c>
      <c r="J551" s="8">
        <f>COUNTIFS('All Papers'!$D:$D,"*"&amp;$A551&amp;"*",'All Papers'!$G:$G,"*"&amp;Table1[[#Headers],[Big Data]]&amp;"*")</f>
        <v>0</v>
      </c>
      <c r="K551" s="8">
        <f>COUNTIFS('All Papers'!$D:$D,"*"&amp;$A551&amp;"*",'All Papers'!$G:$G,"*"&amp;Table1[[#Headers],[Energy Management]]&amp;"*")</f>
        <v>0</v>
      </c>
      <c r="L551" s="8">
        <f>COUNTIFS('All Papers'!$D:$D,"*"&amp;$A551&amp;"*",'All Papers'!$G:$G,"*"&amp;Table1[[#Headers],[Monitoring]]&amp;"*")</f>
        <v>0</v>
      </c>
      <c r="M551" s="8">
        <f>COUNTIFS('All Papers'!$D:$D,"*"&amp;$A551&amp;"*",'All Papers'!$G:$G,"*"&amp;Table1[[#Headers],[Pricing]]&amp;"*")</f>
        <v>0</v>
      </c>
    </row>
    <row r="552" spans="1:13" x14ac:dyDescent="0.25">
      <c r="A552" s="8" t="s">
        <v>2985</v>
      </c>
      <c r="B552" s="8">
        <f>COUNTIF('All Papers'!D:D,"*"&amp;Table1[[#This Row],[Name]]&amp;"*")</f>
        <v>1</v>
      </c>
      <c r="C552" s="8">
        <f>COUNTIFS('All Papers'!$D:$D,"*"&amp;$A552&amp;"*",'All Papers'!$G:$G,"*"&amp;Table1[[#Headers],[Composition]]&amp;"*")</f>
        <v>0</v>
      </c>
      <c r="D552" s="8">
        <f>COUNTIFS('All Papers'!$D:$D,"*"&amp;$A552&amp;"*",'All Papers'!$G:$G,"*"&amp;Table1[[#Headers],[Discovery]]&amp;"*")</f>
        <v>0</v>
      </c>
      <c r="E552" s="8">
        <f>COUNTIFS('All Papers'!$D:$D,"*"&amp;$A552&amp;"*",'All Papers'!$G:$G,"*"&amp;Table1[[#Headers],[Selection]]&amp;"*")</f>
        <v>1</v>
      </c>
      <c r="F552" s="8">
        <f>COUNTIFS('All Papers'!$D:$D,"*"&amp;$A552&amp;"*",'All Papers'!$G:$G,"*"&amp;Table1[[#Headers],[Recommendation]]&amp;"*")</f>
        <v>0</v>
      </c>
      <c r="G552" s="8">
        <f>COUNTIFS('All Papers'!$D:$D,"*"&amp;$A552&amp;"*",'All Papers'!$G:$G,"*"&amp;Table1[[#Headers],[Resource Management-CS]]&amp;"*")</f>
        <v>0</v>
      </c>
      <c r="H552" s="8">
        <f>COUNTIFS('All Papers'!$D:$D,"*"&amp;$A552&amp;"*",'All Papers'!$G:$G,"*"&amp;Table1[[#Headers],[Resource Management-PS]]&amp;"*")</f>
        <v>0</v>
      </c>
      <c r="I552" s="8">
        <f>COUNTIFS('All Papers'!$D:$D,"*"&amp;$A552&amp;"*",'All Papers'!$G:$G,"*"&amp;Table1[[#Headers],[SLA Management]]&amp;"*")</f>
        <v>0</v>
      </c>
      <c r="J552" s="8">
        <f>COUNTIFS('All Papers'!$D:$D,"*"&amp;$A552&amp;"*",'All Papers'!$G:$G,"*"&amp;Table1[[#Headers],[Big Data]]&amp;"*")</f>
        <v>0</v>
      </c>
      <c r="K552" s="8">
        <f>COUNTIFS('All Papers'!$D:$D,"*"&amp;$A552&amp;"*",'All Papers'!$G:$G,"*"&amp;Table1[[#Headers],[Energy Management]]&amp;"*")</f>
        <v>0</v>
      </c>
      <c r="L552" s="8">
        <f>COUNTIFS('All Papers'!$D:$D,"*"&amp;$A552&amp;"*",'All Papers'!$G:$G,"*"&amp;Table1[[#Headers],[Monitoring]]&amp;"*")</f>
        <v>0</v>
      </c>
      <c r="M552" s="8">
        <f>COUNTIFS('All Papers'!$D:$D,"*"&amp;$A552&amp;"*",'All Papers'!$G:$G,"*"&amp;Table1[[#Headers],[Pricing]]&amp;"*")</f>
        <v>0</v>
      </c>
    </row>
    <row r="553" spans="1:13" x14ac:dyDescent="0.25">
      <c r="A553" s="8" t="s">
        <v>2986</v>
      </c>
      <c r="B553" s="8">
        <f>COUNTIF('All Papers'!D:D,"*"&amp;Table1[[#This Row],[Name]]&amp;"*")</f>
        <v>1</v>
      </c>
      <c r="C553" s="8">
        <f>COUNTIFS('All Papers'!$D:$D,"*"&amp;$A553&amp;"*",'All Papers'!$G:$G,"*"&amp;Table1[[#Headers],[Composition]]&amp;"*")</f>
        <v>0</v>
      </c>
      <c r="D553" s="8">
        <f>COUNTIFS('All Papers'!$D:$D,"*"&amp;$A553&amp;"*",'All Papers'!$G:$G,"*"&amp;Table1[[#Headers],[Discovery]]&amp;"*")</f>
        <v>0</v>
      </c>
      <c r="E553" s="8">
        <f>COUNTIFS('All Papers'!$D:$D,"*"&amp;$A553&amp;"*",'All Papers'!$G:$G,"*"&amp;Table1[[#Headers],[Selection]]&amp;"*")</f>
        <v>1</v>
      </c>
      <c r="F553" s="8">
        <f>COUNTIFS('All Papers'!$D:$D,"*"&amp;$A553&amp;"*",'All Papers'!$G:$G,"*"&amp;Table1[[#Headers],[Recommendation]]&amp;"*")</f>
        <v>0</v>
      </c>
      <c r="G553" s="8">
        <f>COUNTIFS('All Papers'!$D:$D,"*"&amp;$A553&amp;"*",'All Papers'!$G:$G,"*"&amp;Table1[[#Headers],[Resource Management-CS]]&amp;"*")</f>
        <v>0</v>
      </c>
      <c r="H553" s="8">
        <f>COUNTIFS('All Papers'!$D:$D,"*"&amp;$A553&amp;"*",'All Papers'!$G:$G,"*"&amp;Table1[[#Headers],[Resource Management-PS]]&amp;"*")</f>
        <v>0</v>
      </c>
      <c r="I553" s="8">
        <f>COUNTIFS('All Papers'!$D:$D,"*"&amp;$A553&amp;"*",'All Papers'!$G:$G,"*"&amp;Table1[[#Headers],[SLA Management]]&amp;"*")</f>
        <v>0</v>
      </c>
      <c r="J553" s="8">
        <f>COUNTIFS('All Papers'!$D:$D,"*"&amp;$A553&amp;"*",'All Papers'!$G:$G,"*"&amp;Table1[[#Headers],[Big Data]]&amp;"*")</f>
        <v>0</v>
      </c>
      <c r="K553" s="8">
        <f>COUNTIFS('All Papers'!$D:$D,"*"&amp;$A553&amp;"*",'All Papers'!$G:$G,"*"&amp;Table1[[#Headers],[Energy Management]]&amp;"*")</f>
        <v>0</v>
      </c>
      <c r="L553" s="8">
        <f>COUNTIFS('All Papers'!$D:$D,"*"&amp;$A553&amp;"*",'All Papers'!$G:$G,"*"&amp;Table1[[#Headers],[Monitoring]]&amp;"*")</f>
        <v>0</v>
      </c>
      <c r="M553" s="8">
        <f>COUNTIFS('All Papers'!$D:$D,"*"&amp;$A553&amp;"*",'All Papers'!$G:$G,"*"&amp;Table1[[#Headers],[Pricing]]&amp;"*")</f>
        <v>0</v>
      </c>
    </row>
    <row r="554" spans="1:13" x14ac:dyDescent="0.25">
      <c r="A554" s="8" t="s">
        <v>2987</v>
      </c>
      <c r="B554" s="8">
        <f>COUNTIF('All Papers'!D:D,"*"&amp;Table1[[#This Row],[Name]]&amp;"*")</f>
        <v>1</v>
      </c>
      <c r="C554" s="8">
        <f>COUNTIFS('All Papers'!$D:$D,"*"&amp;$A554&amp;"*",'All Papers'!$G:$G,"*"&amp;Table1[[#Headers],[Composition]]&amp;"*")</f>
        <v>0</v>
      </c>
      <c r="D554" s="8">
        <f>COUNTIFS('All Papers'!$D:$D,"*"&amp;$A554&amp;"*",'All Papers'!$G:$G,"*"&amp;Table1[[#Headers],[Discovery]]&amp;"*")</f>
        <v>0</v>
      </c>
      <c r="E554" s="8">
        <f>COUNTIFS('All Papers'!$D:$D,"*"&amp;$A554&amp;"*",'All Papers'!$G:$G,"*"&amp;Table1[[#Headers],[Selection]]&amp;"*")</f>
        <v>0</v>
      </c>
      <c r="F554" s="8">
        <f>COUNTIFS('All Papers'!$D:$D,"*"&amp;$A554&amp;"*",'All Papers'!$G:$G,"*"&amp;Table1[[#Headers],[Recommendation]]&amp;"*")</f>
        <v>0</v>
      </c>
      <c r="G554" s="8">
        <f>COUNTIFS('All Papers'!$D:$D,"*"&amp;$A554&amp;"*",'All Papers'!$G:$G,"*"&amp;Table1[[#Headers],[Resource Management-CS]]&amp;"*")</f>
        <v>0</v>
      </c>
      <c r="H554" s="8">
        <f>COUNTIFS('All Papers'!$D:$D,"*"&amp;$A554&amp;"*",'All Papers'!$G:$G,"*"&amp;Table1[[#Headers],[Resource Management-PS]]&amp;"*")</f>
        <v>0</v>
      </c>
      <c r="I554" s="8">
        <f>COUNTIFS('All Papers'!$D:$D,"*"&amp;$A554&amp;"*",'All Papers'!$G:$G,"*"&amp;Table1[[#Headers],[SLA Management]]&amp;"*")</f>
        <v>0</v>
      </c>
      <c r="J554" s="8">
        <f>COUNTIFS('All Papers'!$D:$D,"*"&amp;$A554&amp;"*",'All Papers'!$G:$G,"*"&amp;Table1[[#Headers],[Big Data]]&amp;"*")</f>
        <v>0</v>
      </c>
      <c r="K554" s="8">
        <f>COUNTIFS('All Papers'!$D:$D,"*"&amp;$A554&amp;"*",'All Papers'!$G:$G,"*"&amp;Table1[[#Headers],[Energy Management]]&amp;"*")</f>
        <v>0</v>
      </c>
      <c r="L554" s="8">
        <f>COUNTIFS('All Papers'!$D:$D,"*"&amp;$A554&amp;"*",'All Papers'!$G:$G,"*"&amp;Table1[[#Headers],[Monitoring]]&amp;"*")</f>
        <v>0</v>
      </c>
      <c r="M554" s="8">
        <f>COUNTIFS('All Papers'!$D:$D,"*"&amp;$A554&amp;"*",'All Papers'!$G:$G,"*"&amp;Table1[[#Headers],[Pricing]]&amp;"*")</f>
        <v>1</v>
      </c>
    </row>
    <row r="555" spans="1:13" x14ac:dyDescent="0.25">
      <c r="A555" s="8" t="s">
        <v>2988</v>
      </c>
      <c r="B555" s="8">
        <f>COUNTIF('All Papers'!D:D,"*"&amp;Table1[[#This Row],[Name]]&amp;"*")</f>
        <v>1</v>
      </c>
      <c r="C555" s="8">
        <f>COUNTIFS('All Papers'!$D:$D,"*"&amp;$A555&amp;"*",'All Papers'!$G:$G,"*"&amp;Table1[[#Headers],[Composition]]&amp;"*")</f>
        <v>0</v>
      </c>
      <c r="D555" s="8">
        <f>COUNTIFS('All Papers'!$D:$D,"*"&amp;$A555&amp;"*",'All Papers'!$G:$G,"*"&amp;Table1[[#Headers],[Discovery]]&amp;"*")</f>
        <v>0</v>
      </c>
      <c r="E555" s="8">
        <f>COUNTIFS('All Papers'!$D:$D,"*"&amp;$A555&amp;"*",'All Papers'!$G:$G,"*"&amp;Table1[[#Headers],[Selection]]&amp;"*")</f>
        <v>0</v>
      </c>
      <c r="F555" s="8">
        <f>COUNTIFS('All Papers'!$D:$D,"*"&amp;$A555&amp;"*",'All Papers'!$G:$G,"*"&amp;Table1[[#Headers],[Recommendation]]&amp;"*")</f>
        <v>0</v>
      </c>
      <c r="G555" s="8">
        <f>COUNTIFS('All Papers'!$D:$D,"*"&amp;$A555&amp;"*",'All Papers'!$G:$G,"*"&amp;Table1[[#Headers],[Resource Management-CS]]&amp;"*")</f>
        <v>0</v>
      </c>
      <c r="H555" s="8">
        <f>COUNTIFS('All Papers'!$D:$D,"*"&amp;$A555&amp;"*",'All Papers'!$G:$G,"*"&amp;Table1[[#Headers],[Resource Management-PS]]&amp;"*")</f>
        <v>0</v>
      </c>
      <c r="I555" s="8">
        <f>COUNTIFS('All Papers'!$D:$D,"*"&amp;$A555&amp;"*",'All Papers'!$G:$G,"*"&amp;Table1[[#Headers],[SLA Management]]&amp;"*")</f>
        <v>0</v>
      </c>
      <c r="J555" s="8">
        <f>COUNTIFS('All Papers'!$D:$D,"*"&amp;$A555&amp;"*",'All Papers'!$G:$G,"*"&amp;Table1[[#Headers],[Big Data]]&amp;"*")</f>
        <v>0</v>
      </c>
      <c r="K555" s="8">
        <f>COUNTIFS('All Papers'!$D:$D,"*"&amp;$A555&amp;"*",'All Papers'!$G:$G,"*"&amp;Table1[[#Headers],[Energy Management]]&amp;"*")</f>
        <v>0</v>
      </c>
      <c r="L555" s="8">
        <f>COUNTIFS('All Papers'!$D:$D,"*"&amp;$A555&amp;"*",'All Papers'!$G:$G,"*"&amp;Table1[[#Headers],[Monitoring]]&amp;"*")</f>
        <v>0</v>
      </c>
      <c r="M555" s="8">
        <f>COUNTIFS('All Papers'!$D:$D,"*"&amp;$A555&amp;"*",'All Papers'!$G:$G,"*"&amp;Table1[[#Headers],[Pricing]]&amp;"*")</f>
        <v>1</v>
      </c>
    </row>
    <row r="556" spans="1:13" x14ac:dyDescent="0.25">
      <c r="A556" s="8" t="s">
        <v>2989</v>
      </c>
      <c r="B556" s="8">
        <f>COUNTIF('All Papers'!D:D,"*"&amp;Table1[[#This Row],[Name]]&amp;"*")</f>
        <v>1</v>
      </c>
      <c r="C556" s="8">
        <f>COUNTIFS('All Papers'!$D:$D,"*"&amp;$A556&amp;"*",'All Papers'!$G:$G,"*"&amp;Table1[[#Headers],[Composition]]&amp;"*")</f>
        <v>0</v>
      </c>
      <c r="D556" s="8">
        <f>COUNTIFS('All Papers'!$D:$D,"*"&amp;$A556&amp;"*",'All Papers'!$G:$G,"*"&amp;Table1[[#Headers],[Discovery]]&amp;"*")</f>
        <v>0</v>
      </c>
      <c r="E556" s="8">
        <f>COUNTIFS('All Papers'!$D:$D,"*"&amp;$A556&amp;"*",'All Papers'!$G:$G,"*"&amp;Table1[[#Headers],[Selection]]&amp;"*")</f>
        <v>0</v>
      </c>
      <c r="F556" s="8">
        <f>COUNTIFS('All Papers'!$D:$D,"*"&amp;$A556&amp;"*",'All Papers'!$G:$G,"*"&amp;Table1[[#Headers],[Recommendation]]&amp;"*")</f>
        <v>0</v>
      </c>
      <c r="G556" s="8">
        <f>COUNTIFS('All Papers'!$D:$D,"*"&amp;$A556&amp;"*",'All Papers'!$G:$G,"*"&amp;Table1[[#Headers],[Resource Management-CS]]&amp;"*")</f>
        <v>0</v>
      </c>
      <c r="H556" s="8">
        <f>COUNTIFS('All Papers'!$D:$D,"*"&amp;$A556&amp;"*",'All Papers'!$G:$G,"*"&amp;Table1[[#Headers],[Resource Management-PS]]&amp;"*")</f>
        <v>0</v>
      </c>
      <c r="I556" s="8">
        <f>COUNTIFS('All Papers'!$D:$D,"*"&amp;$A556&amp;"*",'All Papers'!$G:$G,"*"&amp;Table1[[#Headers],[SLA Management]]&amp;"*")</f>
        <v>0</v>
      </c>
      <c r="J556" s="8">
        <f>COUNTIFS('All Papers'!$D:$D,"*"&amp;$A556&amp;"*",'All Papers'!$G:$G,"*"&amp;Table1[[#Headers],[Big Data]]&amp;"*")</f>
        <v>0</v>
      </c>
      <c r="K556" s="8">
        <f>COUNTIFS('All Papers'!$D:$D,"*"&amp;$A556&amp;"*",'All Papers'!$G:$G,"*"&amp;Table1[[#Headers],[Energy Management]]&amp;"*")</f>
        <v>0</v>
      </c>
      <c r="L556" s="8">
        <f>COUNTIFS('All Papers'!$D:$D,"*"&amp;$A556&amp;"*",'All Papers'!$G:$G,"*"&amp;Table1[[#Headers],[Monitoring]]&amp;"*")</f>
        <v>0</v>
      </c>
      <c r="M556" s="8">
        <f>COUNTIFS('All Papers'!$D:$D,"*"&amp;$A556&amp;"*",'All Papers'!$G:$G,"*"&amp;Table1[[#Headers],[Pricing]]&amp;"*")</f>
        <v>1</v>
      </c>
    </row>
    <row r="557" spans="1:13" x14ac:dyDescent="0.25">
      <c r="A557" s="8" t="s">
        <v>2990</v>
      </c>
      <c r="B557" s="8">
        <f>COUNTIF('All Papers'!D:D,"*"&amp;Table1[[#This Row],[Name]]&amp;"*")</f>
        <v>1</v>
      </c>
      <c r="C557" s="8">
        <f>COUNTIFS('All Papers'!$D:$D,"*"&amp;$A557&amp;"*",'All Papers'!$G:$G,"*"&amp;Table1[[#Headers],[Composition]]&amp;"*")</f>
        <v>0</v>
      </c>
      <c r="D557" s="8">
        <f>COUNTIFS('All Papers'!$D:$D,"*"&amp;$A557&amp;"*",'All Papers'!$G:$G,"*"&amp;Table1[[#Headers],[Discovery]]&amp;"*")</f>
        <v>0</v>
      </c>
      <c r="E557" s="8">
        <f>COUNTIFS('All Papers'!$D:$D,"*"&amp;$A557&amp;"*",'All Papers'!$G:$G,"*"&amp;Table1[[#Headers],[Selection]]&amp;"*")</f>
        <v>0</v>
      </c>
      <c r="F557" s="8">
        <f>COUNTIFS('All Papers'!$D:$D,"*"&amp;$A557&amp;"*",'All Papers'!$G:$G,"*"&amp;Table1[[#Headers],[Recommendation]]&amp;"*")</f>
        <v>0</v>
      </c>
      <c r="G557" s="8">
        <f>COUNTIFS('All Papers'!$D:$D,"*"&amp;$A557&amp;"*",'All Papers'!$G:$G,"*"&amp;Table1[[#Headers],[Resource Management-CS]]&amp;"*")</f>
        <v>0</v>
      </c>
      <c r="H557" s="8">
        <f>COUNTIFS('All Papers'!$D:$D,"*"&amp;$A557&amp;"*",'All Papers'!$G:$G,"*"&amp;Table1[[#Headers],[Resource Management-PS]]&amp;"*")</f>
        <v>0</v>
      </c>
      <c r="I557" s="8">
        <f>COUNTIFS('All Papers'!$D:$D,"*"&amp;$A557&amp;"*",'All Papers'!$G:$G,"*"&amp;Table1[[#Headers],[SLA Management]]&amp;"*")</f>
        <v>0</v>
      </c>
      <c r="J557" s="8">
        <f>COUNTIFS('All Papers'!$D:$D,"*"&amp;$A557&amp;"*",'All Papers'!$G:$G,"*"&amp;Table1[[#Headers],[Big Data]]&amp;"*")</f>
        <v>0</v>
      </c>
      <c r="K557" s="8">
        <f>COUNTIFS('All Papers'!$D:$D,"*"&amp;$A557&amp;"*",'All Papers'!$G:$G,"*"&amp;Table1[[#Headers],[Energy Management]]&amp;"*")</f>
        <v>0</v>
      </c>
      <c r="L557" s="8">
        <f>COUNTIFS('All Papers'!$D:$D,"*"&amp;$A557&amp;"*",'All Papers'!$G:$G,"*"&amp;Table1[[#Headers],[Monitoring]]&amp;"*")</f>
        <v>0</v>
      </c>
      <c r="M557" s="8">
        <f>COUNTIFS('All Papers'!$D:$D,"*"&amp;$A557&amp;"*",'All Papers'!$G:$G,"*"&amp;Table1[[#Headers],[Pricing]]&amp;"*")</f>
        <v>1</v>
      </c>
    </row>
    <row r="558" spans="1:13" x14ac:dyDescent="0.25">
      <c r="A558" s="8" t="s">
        <v>2991</v>
      </c>
      <c r="B558" s="8">
        <f>COUNTIF('All Papers'!D:D,"*"&amp;Table1[[#This Row],[Name]]&amp;"*")</f>
        <v>1</v>
      </c>
      <c r="C558" s="8">
        <f>COUNTIFS('All Papers'!$D:$D,"*"&amp;$A558&amp;"*",'All Papers'!$G:$G,"*"&amp;Table1[[#Headers],[Composition]]&amp;"*")</f>
        <v>0</v>
      </c>
      <c r="D558" s="8">
        <f>COUNTIFS('All Papers'!$D:$D,"*"&amp;$A558&amp;"*",'All Papers'!$G:$G,"*"&amp;Table1[[#Headers],[Discovery]]&amp;"*")</f>
        <v>0</v>
      </c>
      <c r="E558" s="8">
        <f>COUNTIFS('All Papers'!$D:$D,"*"&amp;$A558&amp;"*",'All Papers'!$G:$G,"*"&amp;Table1[[#Headers],[Selection]]&amp;"*")</f>
        <v>0</v>
      </c>
      <c r="F558" s="8">
        <f>COUNTIFS('All Papers'!$D:$D,"*"&amp;$A558&amp;"*",'All Papers'!$G:$G,"*"&amp;Table1[[#Headers],[Recommendation]]&amp;"*")</f>
        <v>0</v>
      </c>
      <c r="G558" s="8">
        <f>COUNTIFS('All Papers'!$D:$D,"*"&amp;$A558&amp;"*",'All Papers'!$G:$G,"*"&amp;Table1[[#Headers],[Resource Management-CS]]&amp;"*")</f>
        <v>0</v>
      </c>
      <c r="H558" s="8">
        <f>COUNTIFS('All Papers'!$D:$D,"*"&amp;$A558&amp;"*",'All Papers'!$G:$G,"*"&amp;Table1[[#Headers],[Resource Management-PS]]&amp;"*")</f>
        <v>0</v>
      </c>
      <c r="I558" s="8">
        <f>COUNTIFS('All Papers'!$D:$D,"*"&amp;$A558&amp;"*",'All Papers'!$G:$G,"*"&amp;Table1[[#Headers],[SLA Management]]&amp;"*")</f>
        <v>0</v>
      </c>
      <c r="J558" s="8">
        <f>COUNTIFS('All Papers'!$D:$D,"*"&amp;$A558&amp;"*",'All Papers'!$G:$G,"*"&amp;Table1[[#Headers],[Big Data]]&amp;"*")</f>
        <v>0</v>
      </c>
      <c r="K558" s="8">
        <f>COUNTIFS('All Papers'!$D:$D,"*"&amp;$A558&amp;"*",'All Papers'!$G:$G,"*"&amp;Table1[[#Headers],[Energy Management]]&amp;"*")</f>
        <v>0</v>
      </c>
      <c r="L558" s="8">
        <f>COUNTIFS('All Papers'!$D:$D,"*"&amp;$A558&amp;"*",'All Papers'!$G:$G,"*"&amp;Table1[[#Headers],[Monitoring]]&amp;"*")</f>
        <v>0</v>
      </c>
      <c r="M558" s="8">
        <f>COUNTIFS('All Papers'!$D:$D,"*"&amp;$A558&amp;"*",'All Papers'!$G:$G,"*"&amp;Table1[[#Headers],[Pricing]]&amp;"*")</f>
        <v>1</v>
      </c>
    </row>
    <row r="559" spans="1:13" x14ac:dyDescent="0.25">
      <c r="A559" s="8" t="s">
        <v>2992</v>
      </c>
      <c r="B559" s="8">
        <f>COUNTIF('All Papers'!D:D,"*"&amp;Table1[[#This Row],[Name]]&amp;"*")</f>
        <v>1</v>
      </c>
      <c r="C559" s="8">
        <f>COUNTIFS('All Papers'!$D:$D,"*"&amp;$A559&amp;"*",'All Papers'!$G:$G,"*"&amp;Table1[[#Headers],[Composition]]&amp;"*")</f>
        <v>0</v>
      </c>
      <c r="D559" s="8">
        <f>COUNTIFS('All Papers'!$D:$D,"*"&amp;$A559&amp;"*",'All Papers'!$G:$G,"*"&amp;Table1[[#Headers],[Discovery]]&amp;"*")</f>
        <v>0</v>
      </c>
      <c r="E559" s="8">
        <f>COUNTIFS('All Papers'!$D:$D,"*"&amp;$A559&amp;"*",'All Papers'!$G:$G,"*"&amp;Table1[[#Headers],[Selection]]&amp;"*")</f>
        <v>0</v>
      </c>
      <c r="F559" s="8">
        <f>COUNTIFS('All Papers'!$D:$D,"*"&amp;$A559&amp;"*",'All Papers'!$G:$G,"*"&amp;Table1[[#Headers],[Recommendation]]&amp;"*")</f>
        <v>0</v>
      </c>
      <c r="G559" s="8">
        <f>COUNTIFS('All Papers'!$D:$D,"*"&amp;$A559&amp;"*",'All Papers'!$G:$G,"*"&amp;Table1[[#Headers],[Resource Management-CS]]&amp;"*")</f>
        <v>1</v>
      </c>
      <c r="H559" s="8">
        <f>COUNTIFS('All Papers'!$D:$D,"*"&amp;$A559&amp;"*",'All Papers'!$G:$G,"*"&amp;Table1[[#Headers],[Resource Management-PS]]&amp;"*")</f>
        <v>0</v>
      </c>
      <c r="I559" s="8">
        <f>COUNTIFS('All Papers'!$D:$D,"*"&amp;$A559&amp;"*",'All Papers'!$G:$G,"*"&amp;Table1[[#Headers],[SLA Management]]&amp;"*")</f>
        <v>0</v>
      </c>
      <c r="J559" s="8">
        <f>COUNTIFS('All Papers'!$D:$D,"*"&amp;$A559&amp;"*",'All Papers'!$G:$G,"*"&amp;Table1[[#Headers],[Big Data]]&amp;"*")</f>
        <v>0</v>
      </c>
      <c r="K559" s="8">
        <f>COUNTIFS('All Papers'!$D:$D,"*"&amp;$A559&amp;"*",'All Papers'!$G:$G,"*"&amp;Table1[[#Headers],[Energy Management]]&amp;"*")</f>
        <v>0</v>
      </c>
      <c r="L559" s="8">
        <f>COUNTIFS('All Papers'!$D:$D,"*"&amp;$A559&amp;"*",'All Papers'!$G:$G,"*"&amp;Table1[[#Headers],[Monitoring]]&amp;"*")</f>
        <v>0</v>
      </c>
      <c r="M559" s="8">
        <f>COUNTIFS('All Papers'!$D:$D,"*"&amp;$A559&amp;"*",'All Papers'!$G:$G,"*"&amp;Table1[[#Headers],[Pricing]]&amp;"*")</f>
        <v>0</v>
      </c>
    </row>
    <row r="560" spans="1:13" x14ac:dyDescent="0.25">
      <c r="A560" s="8" t="s">
        <v>2993</v>
      </c>
      <c r="B560" s="8">
        <f>COUNTIF('All Papers'!D:D,"*"&amp;Table1[[#This Row],[Name]]&amp;"*")</f>
        <v>1</v>
      </c>
      <c r="C560" s="8">
        <f>COUNTIFS('All Papers'!$D:$D,"*"&amp;$A560&amp;"*",'All Papers'!$G:$G,"*"&amp;Table1[[#Headers],[Composition]]&amp;"*")</f>
        <v>0</v>
      </c>
      <c r="D560" s="8">
        <f>COUNTIFS('All Papers'!$D:$D,"*"&amp;$A560&amp;"*",'All Papers'!$G:$G,"*"&amp;Table1[[#Headers],[Discovery]]&amp;"*")</f>
        <v>0</v>
      </c>
      <c r="E560" s="8">
        <f>COUNTIFS('All Papers'!$D:$D,"*"&amp;$A560&amp;"*",'All Papers'!$G:$G,"*"&amp;Table1[[#Headers],[Selection]]&amp;"*")</f>
        <v>0</v>
      </c>
      <c r="F560" s="8">
        <f>COUNTIFS('All Papers'!$D:$D,"*"&amp;$A560&amp;"*",'All Papers'!$G:$G,"*"&amp;Table1[[#Headers],[Recommendation]]&amp;"*")</f>
        <v>0</v>
      </c>
      <c r="G560" s="8">
        <f>COUNTIFS('All Papers'!$D:$D,"*"&amp;$A560&amp;"*",'All Papers'!$G:$G,"*"&amp;Table1[[#Headers],[Resource Management-CS]]&amp;"*")</f>
        <v>1</v>
      </c>
      <c r="H560" s="8">
        <f>COUNTIFS('All Papers'!$D:$D,"*"&amp;$A560&amp;"*",'All Papers'!$G:$G,"*"&amp;Table1[[#Headers],[Resource Management-PS]]&amp;"*")</f>
        <v>0</v>
      </c>
      <c r="I560" s="8">
        <f>COUNTIFS('All Papers'!$D:$D,"*"&amp;$A560&amp;"*",'All Papers'!$G:$G,"*"&amp;Table1[[#Headers],[SLA Management]]&amp;"*")</f>
        <v>0</v>
      </c>
      <c r="J560" s="8">
        <f>COUNTIFS('All Papers'!$D:$D,"*"&amp;$A560&amp;"*",'All Papers'!$G:$G,"*"&amp;Table1[[#Headers],[Big Data]]&amp;"*")</f>
        <v>0</v>
      </c>
      <c r="K560" s="8">
        <f>COUNTIFS('All Papers'!$D:$D,"*"&amp;$A560&amp;"*",'All Papers'!$G:$G,"*"&amp;Table1[[#Headers],[Energy Management]]&amp;"*")</f>
        <v>0</v>
      </c>
      <c r="L560" s="8">
        <f>COUNTIFS('All Papers'!$D:$D,"*"&amp;$A560&amp;"*",'All Papers'!$G:$G,"*"&amp;Table1[[#Headers],[Monitoring]]&amp;"*")</f>
        <v>0</v>
      </c>
      <c r="M560" s="8">
        <f>COUNTIFS('All Papers'!$D:$D,"*"&amp;$A560&amp;"*",'All Papers'!$G:$G,"*"&amp;Table1[[#Headers],[Pricing]]&amp;"*")</f>
        <v>0</v>
      </c>
    </row>
    <row r="561" spans="1:13" x14ac:dyDescent="0.25">
      <c r="A561" s="8" t="s">
        <v>2994</v>
      </c>
      <c r="B561" s="8">
        <f>COUNTIF('All Papers'!D:D,"*"&amp;Table1[[#This Row],[Name]]&amp;"*")</f>
        <v>1</v>
      </c>
      <c r="C561" s="8">
        <f>COUNTIFS('All Papers'!$D:$D,"*"&amp;$A561&amp;"*",'All Papers'!$G:$G,"*"&amp;Table1[[#Headers],[Composition]]&amp;"*")</f>
        <v>0</v>
      </c>
      <c r="D561" s="8">
        <f>COUNTIFS('All Papers'!$D:$D,"*"&amp;$A561&amp;"*",'All Papers'!$G:$G,"*"&amp;Table1[[#Headers],[Discovery]]&amp;"*")</f>
        <v>0</v>
      </c>
      <c r="E561" s="8">
        <f>COUNTIFS('All Papers'!$D:$D,"*"&amp;$A561&amp;"*",'All Papers'!$G:$G,"*"&amp;Table1[[#Headers],[Selection]]&amp;"*")</f>
        <v>0</v>
      </c>
      <c r="F561" s="8">
        <f>COUNTIFS('All Papers'!$D:$D,"*"&amp;$A561&amp;"*",'All Papers'!$G:$G,"*"&amp;Table1[[#Headers],[Recommendation]]&amp;"*")</f>
        <v>0</v>
      </c>
      <c r="G561" s="8">
        <f>COUNTIFS('All Papers'!$D:$D,"*"&amp;$A561&amp;"*",'All Papers'!$G:$G,"*"&amp;Table1[[#Headers],[Resource Management-CS]]&amp;"*")</f>
        <v>1</v>
      </c>
      <c r="H561" s="8">
        <f>COUNTIFS('All Papers'!$D:$D,"*"&amp;$A561&amp;"*",'All Papers'!$G:$G,"*"&amp;Table1[[#Headers],[Resource Management-PS]]&amp;"*")</f>
        <v>0</v>
      </c>
      <c r="I561" s="8">
        <f>COUNTIFS('All Papers'!$D:$D,"*"&amp;$A561&amp;"*",'All Papers'!$G:$G,"*"&amp;Table1[[#Headers],[SLA Management]]&amp;"*")</f>
        <v>0</v>
      </c>
      <c r="J561" s="8">
        <f>COUNTIFS('All Papers'!$D:$D,"*"&amp;$A561&amp;"*",'All Papers'!$G:$G,"*"&amp;Table1[[#Headers],[Big Data]]&amp;"*")</f>
        <v>0</v>
      </c>
      <c r="K561" s="8">
        <f>COUNTIFS('All Papers'!$D:$D,"*"&amp;$A561&amp;"*",'All Papers'!$G:$G,"*"&amp;Table1[[#Headers],[Energy Management]]&amp;"*")</f>
        <v>0</v>
      </c>
      <c r="L561" s="8">
        <f>COUNTIFS('All Papers'!$D:$D,"*"&amp;$A561&amp;"*",'All Papers'!$G:$G,"*"&amp;Table1[[#Headers],[Monitoring]]&amp;"*")</f>
        <v>0</v>
      </c>
      <c r="M561" s="8">
        <f>COUNTIFS('All Papers'!$D:$D,"*"&amp;$A561&amp;"*",'All Papers'!$G:$G,"*"&amp;Table1[[#Headers],[Pricing]]&amp;"*")</f>
        <v>0</v>
      </c>
    </row>
    <row r="562" spans="1:13" x14ac:dyDescent="0.25">
      <c r="A562" s="8" t="s">
        <v>2995</v>
      </c>
      <c r="B562" s="8">
        <f>COUNTIF('All Papers'!D:D,"*"&amp;Table1[[#This Row],[Name]]&amp;"*")</f>
        <v>1</v>
      </c>
      <c r="C562" s="8">
        <f>COUNTIFS('All Papers'!$D:$D,"*"&amp;$A562&amp;"*",'All Papers'!$G:$G,"*"&amp;Table1[[#Headers],[Composition]]&amp;"*")</f>
        <v>0</v>
      </c>
      <c r="D562" s="8">
        <f>COUNTIFS('All Papers'!$D:$D,"*"&amp;$A562&amp;"*",'All Papers'!$G:$G,"*"&amp;Table1[[#Headers],[Discovery]]&amp;"*")</f>
        <v>0</v>
      </c>
      <c r="E562" s="8">
        <f>COUNTIFS('All Papers'!$D:$D,"*"&amp;$A562&amp;"*",'All Papers'!$G:$G,"*"&amp;Table1[[#Headers],[Selection]]&amp;"*")</f>
        <v>0</v>
      </c>
      <c r="F562" s="8">
        <f>COUNTIFS('All Papers'!$D:$D,"*"&amp;$A562&amp;"*",'All Papers'!$G:$G,"*"&amp;Table1[[#Headers],[Recommendation]]&amp;"*")</f>
        <v>0</v>
      </c>
      <c r="G562" s="8">
        <f>COUNTIFS('All Papers'!$D:$D,"*"&amp;$A562&amp;"*",'All Papers'!$G:$G,"*"&amp;Table1[[#Headers],[Resource Management-CS]]&amp;"*")</f>
        <v>1</v>
      </c>
      <c r="H562" s="8">
        <f>COUNTIFS('All Papers'!$D:$D,"*"&amp;$A562&amp;"*",'All Papers'!$G:$G,"*"&amp;Table1[[#Headers],[Resource Management-PS]]&amp;"*")</f>
        <v>0</v>
      </c>
      <c r="I562" s="8">
        <f>COUNTIFS('All Papers'!$D:$D,"*"&amp;$A562&amp;"*",'All Papers'!$G:$G,"*"&amp;Table1[[#Headers],[SLA Management]]&amp;"*")</f>
        <v>0</v>
      </c>
      <c r="J562" s="8">
        <f>COUNTIFS('All Papers'!$D:$D,"*"&amp;$A562&amp;"*",'All Papers'!$G:$G,"*"&amp;Table1[[#Headers],[Big Data]]&amp;"*")</f>
        <v>0</v>
      </c>
      <c r="K562" s="8">
        <f>COUNTIFS('All Papers'!$D:$D,"*"&amp;$A562&amp;"*",'All Papers'!$G:$G,"*"&amp;Table1[[#Headers],[Energy Management]]&amp;"*")</f>
        <v>0</v>
      </c>
      <c r="L562" s="8">
        <f>COUNTIFS('All Papers'!$D:$D,"*"&amp;$A562&amp;"*",'All Papers'!$G:$G,"*"&amp;Table1[[#Headers],[Monitoring]]&amp;"*")</f>
        <v>0</v>
      </c>
      <c r="M562" s="8">
        <f>COUNTIFS('All Papers'!$D:$D,"*"&amp;$A562&amp;"*",'All Papers'!$G:$G,"*"&amp;Table1[[#Headers],[Pricing]]&amp;"*")</f>
        <v>0</v>
      </c>
    </row>
    <row r="563" spans="1:13" x14ac:dyDescent="0.25">
      <c r="A563" s="8" t="s">
        <v>2996</v>
      </c>
      <c r="B563" s="8">
        <f>COUNTIF('All Papers'!D:D,"*"&amp;Table1[[#This Row],[Name]]&amp;"*")</f>
        <v>1</v>
      </c>
      <c r="C563" s="8">
        <f>COUNTIFS('All Papers'!$D:$D,"*"&amp;$A563&amp;"*",'All Papers'!$G:$G,"*"&amp;Table1[[#Headers],[Composition]]&amp;"*")</f>
        <v>0</v>
      </c>
      <c r="D563" s="8">
        <f>COUNTIFS('All Papers'!$D:$D,"*"&amp;$A563&amp;"*",'All Papers'!$G:$G,"*"&amp;Table1[[#Headers],[Discovery]]&amp;"*")</f>
        <v>0</v>
      </c>
      <c r="E563" s="8">
        <f>COUNTIFS('All Papers'!$D:$D,"*"&amp;$A563&amp;"*",'All Papers'!$G:$G,"*"&amp;Table1[[#Headers],[Selection]]&amp;"*")</f>
        <v>0</v>
      </c>
      <c r="F563" s="8">
        <f>COUNTIFS('All Papers'!$D:$D,"*"&amp;$A563&amp;"*",'All Papers'!$G:$G,"*"&amp;Table1[[#Headers],[Recommendation]]&amp;"*")</f>
        <v>0</v>
      </c>
      <c r="G563" s="8">
        <f>COUNTIFS('All Papers'!$D:$D,"*"&amp;$A563&amp;"*",'All Papers'!$G:$G,"*"&amp;Table1[[#Headers],[Resource Management-CS]]&amp;"*")</f>
        <v>1</v>
      </c>
      <c r="H563" s="8">
        <f>COUNTIFS('All Papers'!$D:$D,"*"&amp;$A563&amp;"*",'All Papers'!$G:$G,"*"&amp;Table1[[#Headers],[Resource Management-PS]]&amp;"*")</f>
        <v>0</v>
      </c>
      <c r="I563" s="8">
        <f>COUNTIFS('All Papers'!$D:$D,"*"&amp;$A563&amp;"*",'All Papers'!$G:$G,"*"&amp;Table1[[#Headers],[SLA Management]]&amp;"*")</f>
        <v>0</v>
      </c>
      <c r="J563" s="8">
        <f>COUNTIFS('All Papers'!$D:$D,"*"&amp;$A563&amp;"*",'All Papers'!$G:$G,"*"&amp;Table1[[#Headers],[Big Data]]&amp;"*")</f>
        <v>0</v>
      </c>
      <c r="K563" s="8">
        <f>COUNTIFS('All Papers'!$D:$D,"*"&amp;$A563&amp;"*",'All Papers'!$G:$G,"*"&amp;Table1[[#Headers],[Energy Management]]&amp;"*")</f>
        <v>0</v>
      </c>
      <c r="L563" s="8">
        <f>COUNTIFS('All Papers'!$D:$D,"*"&amp;$A563&amp;"*",'All Papers'!$G:$G,"*"&amp;Table1[[#Headers],[Monitoring]]&amp;"*")</f>
        <v>0</v>
      </c>
      <c r="M563" s="8">
        <f>COUNTIFS('All Papers'!$D:$D,"*"&amp;$A563&amp;"*",'All Papers'!$G:$G,"*"&amp;Table1[[#Headers],[Pricing]]&amp;"*")</f>
        <v>0</v>
      </c>
    </row>
    <row r="564" spans="1:13" x14ac:dyDescent="0.25">
      <c r="A564" s="8" t="s">
        <v>2997</v>
      </c>
      <c r="B564" s="8">
        <f>COUNTIF('All Papers'!D:D,"*"&amp;Table1[[#This Row],[Name]]&amp;"*")</f>
        <v>1</v>
      </c>
      <c r="C564" s="8">
        <f>COUNTIFS('All Papers'!$D:$D,"*"&amp;$A564&amp;"*",'All Papers'!$G:$G,"*"&amp;Table1[[#Headers],[Composition]]&amp;"*")</f>
        <v>0</v>
      </c>
      <c r="D564" s="8">
        <f>COUNTIFS('All Papers'!$D:$D,"*"&amp;$A564&amp;"*",'All Papers'!$G:$G,"*"&amp;Table1[[#Headers],[Discovery]]&amp;"*")</f>
        <v>0</v>
      </c>
      <c r="E564" s="8">
        <f>COUNTIFS('All Papers'!$D:$D,"*"&amp;$A564&amp;"*",'All Papers'!$G:$G,"*"&amp;Table1[[#Headers],[Selection]]&amp;"*")</f>
        <v>0</v>
      </c>
      <c r="F564" s="8">
        <f>COUNTIFS('All Papers'!$D:$D,"*"&amp;$A564&amp;"*",'All Papers'!$G:$G,"*"&amp;Table1[[#Headers],[Recommendation]]&amp;"*")</f>
        <v>0</v>
      </c>
      <c r="G564" s="8">
        <f>COUNTIFS('All Papers'!$D:$D,"*"&amp;$A564&amp;"*",'All Papers'!$G:$G,"*"&amp;Table1[[#Headers],[Resource Management-CS]]&amp;"*")</f>
        <v>1</v>
      </c>
      <c r="H564" s="8">
        <f>COUNTIFS('All Papers'!$D:$D,"*"&amp;$A564&amp;"*",'All Papers'!$G:$G,"*"&amp;Table1[[#Headers],[Resource Management-PS]]&amp;"*")</f>
        <v>0</v>
      </c>
      <c r="I564" s="8">
        <f>COUNTIFS('All Papers'!$D:$D,"*"&amp;$A564&amp;"*",'All Papers'!$G:$G,"*"&amp;Table1[[#Headers],[SLA Management]]&amp;"*")</f>
        <v>0</v>
      </c>
      <c r="J564" s="8">
        <f>COUNTIFS('All Papers'!$D:$D,"*"&amp;$A564&amp;"*",'All Papers'!$G:$G,"*"&amp;Table1[[#Headers],[Big Data]]&amp;"*")</f>
        <v>0</v>
      </c>
      <c r="K564" s="8">
        <f>COUNTIFS('All Papers'!$D:$D,"*"&amp;$A564&amp;"*",'All Papers'!$G:$G,"*"&amp;Table1[[#Headers],[Energy Management]]&amp;"*")</f>
        <v>0</v>
      </c>
      <c r="L564" s="8">
        <f>COUNTIFS('All Papers'!$D:$D,"*"&amp;$A564&amp;"*",'All Papers'!$G:$G,"*"&amp;Table1[[#Headers],[Monitoring]]&amp;"*")</f>
        <v>0</v>
      </c>
      <c r="M564" s="8">
        <f>COUNTIFS('All Papers'!$D:$D,"*"&amp;$A564&amp;"*",'All Papers'!$G:$G,"*"&amp;Table1[[#Headers],[Pricing]]&amp;"*")</f>
        <v>0</v>
      </c>
    </row>
    <row r="565" spans="1:13" x14ac:dyDescent="0.25">
      <c r="A565" s="8" t="s">
        <v>2998</v>
      </c>
      <c r="B565" s="8">
        <f>COUNTIF('All Papers'!D:D,"*"&amp;Table1[[#This Row],[Name]]&amp;"*")</f>
        <v>1</v>
      </c>
      <c r="C565" s="8">
        <f>COUNTIFS('All Papers'!$D:$D,"*"&amp;$A565&amp;"*",'All Papers'!$G:$G,"*"&amp;Table1[[#Headers],[Composition]]&amp;"*")</f>
        <v>0</v>
      </c>
      <c r="D565" s="8">
        <f>COUNTIFS('All Papers'!$D:$D,"*"&amp;$A565&amp;"*",'All Papers'!$G:$G,"*"&amp;Table1[[#Headers],[Discovery]]&amp;"*")</f>
        <v>0</v>
      </c>
      <c r="E565" s="8">
        <f>COUNTIFS('All Papers'!$D:$D,"*"&amp;$A565&amp;"*",'All Papers'!$G:$G,"*"&amp;Table1[[#Headers],[Selection]]&amp;"*")</f>
        <v>0</v>
      </c>
      <c r="F565" s="8">
        <f>COUNTIFS('All Papers'!$D:$D,"*"&amp;$A565&amp;"*",'All Papers'!$G:$G,"*"&amp;Table1[[#Headers],[Recommendation]]&amp;"*")</f>
        <v>0</v>
      </c>
      <c r="G565" s="8">
        <f>COUNTIFS('All Papers'!$D:$D,"*"&amp;$A565&amp;"*",'All Papers'!$G:$G,"*"&amp;Table1[[#Headers],[Resource Management-CS]]&amp;"*")</f>
        <v>1</v>
      </c>
      <c r="H565" s="8">
        <f>COUNTIFS('All Papers'!$D:$D,"*"&amp;$A565&amp;"*",'All Papers'!$G:$G,"*"&amp;Table1[[#Headers],[Resource Management-PS]]&amp;"*")</f>
        <v>0</v>
      </c>
      <c r="I565" s="8">
        <f>COUNTIFS('All Papers'!$D:$D,"*"&amp;$A565&amp;"*",'All Papers'!$G:$G,"*"&amp;Table1[[#Headers],[SLA Management]]&amp;"*")</f>
        <v>0</v>
      </c>
      <c r="J565" s="8">
        <f>COUNTIFS('All Papers'!$D:$D,"*"&amp;$A565&amp;"*",'All Papers'!$G:$G,"*"&amp;Table1[[#Headers],[Big Data]]&amp;"*")</f>
        <v>0</v>
      </c>
      <c r="K565" s="8">
        <f>COUNTIFS('All Papers'!$D:$D,"*"&amp;$A565&amp;"*",'All Papers'!$G:$G,"*"&amp;Table1[[#Headers],[Energy Management]]&amp;"*")</f>
        <v>0</v>
      </c>
      <c r="L565" s="8">
        <f>COUNTIFS('All Papers'!$D:$D,"*"&amp;$A565&amp;"*",'All Papers'!$G:$G,"*"&amp;Table1[[#Headers],[Monitoring]]&amp;"*")</f>
        <v>0</v>
      </c>
      <c r="M565" s="8">
        <f>COUNTIFS('All Papers'!$D:$D,"*"&amp;$A565&amp;"*",'All Papers'!$G:$G,"*"&amp;Table1[[#Headers],[Pricing]]&amp;"*")</f>
        <v>0</v>
      </c>
    </row>
    <row r="566" spans="1:13" x14ac:dyDescent="0.25">
      <c r="A566" s="8" t="s">
        <v>2999</v>
      </c>
      <c r="B566" s="8">
        <f>COUNTIF('All Papers'!D:D,"*"&amp;Table1[[#This Row],[Name]]&amp;"*")</f>
        <v>1</v>
      </c>
      <c r="C566" s="8">
        <f>COUNTIFS('All Papers'!$D:$D,"*"&amp;$A566&amp;"*",'All Papers'!$G:$G,"*"&amp;Table1[[#Headers],[Composition]]&amp;"*")</f>
        <v>0</v>
      </c>
      <c r="D566" s="8">
        <f>COUNTIFS('All Papers'!$D:$D,"*"&amp;$A566&amp;"*",'All Papers'!$G:$G,"*"&amp;Table1[[#Headers],[Discovery]]&amp;"*")</f>
        <v>0</v>
      </c>
      <c r="E566" s="8">
        <f>COUNTIFS('All Papers'!$D:$D,"*"&amp;$A566&amp;"*",'All Papers'!$G:$G,"*"&amp;Table1[[#Headers],[Selection]]&amp;"*")</f>
        <v>0</v>
      </c>
      <c r="F566" s="8">
        <f>COUNTIFS('All Papers'!$D:$D,"*"&amp;$A566&amp;"*",'All Papers'!$G:$G,"*"&amp;Table1[[#Headers],[Recommendation]]&amp;"*")</f>
        <v>0</v>
      </c>
      <c r="G566" s="8">
        <f>COUNTIFS('All Papers'!$D:$D,"*"&amp;$A566&amp;"*",'All Papers'!$G:$G,"*"&amp;Table1[[#Headers],[Resource Management-CS]]&amp;"*")</f>
        <v>1</v>
      </c>
      <c r="H566" s="8">
        <f>COUNTIFS('All Papers'!$D:$D,"*"&amp;$A566&amp;"*",'All Papers'!$G:$G,"*"&amp;Table1[[#Headers],[Resource Management-PS]]&amp;"*")</f>
        <v>0</v>
      </c>
      <c r="I566" s="8">
        <f>COUNTIFS('All Papers'!$D:$D,"*"&amp;$A566&amp;"*",'All Papers'!$G:$G,"*"&amp;Table1[[#Headers],[SLA Management]]&amp;"*")</f>
        <v>0</v>
      </c>
      <c r="J566" s="8">
        <f>COUNTIFS('All Papers'!$D:$D,"*"&amp;$A566&amp;"*",'All Papers'!$G:$G,"*"&amp;Table1[[#Headers],[Big Data]]&amp;"*")</f>
        <v>0</v>
      </c>
      <c r="K566" s="8">
        <f>COUNTIFS('All Papers'!$D:$D,"*"&amp;$A566&amp;"*",'All Papers'!$G:$G,"*"&amp;Table1[[#Headers],[Energy Management]]&amp;"*")</f>
        <v>0</v>
      </c>
      <c r="L566" s="8">
        <f>COUNTIFS('All Papers'!$D:$D,"*"&amp;$A566&amp;"*",'All Papers'!$G:$G,"*"&amp;Table1[[#Headers],[Monitoring]]&amp;"*")</f>
        <v>0</v>
      </c>
      <c r="M566" s="8">
        <f>COUNTIFS('All Papers'!$D:$D,"*"&amp;$A566&amp;"*",'All Papers'!$G:$G,"*"&amp;Table1[[#Headers],[Pricing]]&amp;"*")</f>
        <v>0</v>
      </c>
    </row>
    <row r="567" spans="1:13" x14ac:dyDescent="0.25">
      <c r="A567" s="8" t="s">
        <v>3000</v>
      </c>
      <c r="B567" s="8">
        <f>COUNTIF('All Papers'!D:D,"*"&amp;Table1[[#This Row],[Name]]&amp;"*")</f>
        <v>1</v>
      </c>
      <c r="C567" s="8">
        <f>COUNTIFS('All Papers'!$D:$D,"*"&amp;$A567&amp;"*",'All Papers'!$G:$G,"*"&amp;Table1[[#Headers],[Composition]]&amp;"*")</f>
        <v>0</v>
      </c>
      <c r="D567" s="8">
        <f>COUNTIFS('All Papers'!$D:$D,"*"&amp;$A567&amp;"*",'All Papers'!$G:$G,"*"&amp;Table1[[#Headers],[Discovery]]&amp;"*")</f>
        <v>0</v>
      </c>
      <c r="E567" s="8">
        <f>COUNTIFS('All Papers'!$D:$D,"*"&amp;$A567&amp;"*",'All Papers'!$G:$G,"*"&amp;Table1[[#Headers],[Selection]]&amp;"*")</f>
        <v>0</v>
      </c>
      <c r="F567" s="8">
        <f>COUNTIFS('All Papers'!$D:$D,"*"&amp;$A567&amp;"*",'All Papers'!$G:$G,"*"&amp;Table1[[#Headers],[Recommendation]]&amp;"*")</f>
        <v>0</v>
      </c>
      <c r="G567" s="8">
        <f>COUNTIFS('All Papers'!$D:$D,"*"&amp;$A567&amp;"*",'All Papers'!$G:$G,"*"&amp;Table1[[#Headers],[Resource Management-CS]]&amp;"*")</f>
        <v>1</v>
      </c>
      <c r="H567" s="8">
        <f>COUNTIFS('All Papers'!$D:$D,"*"&amp;$A567&amp;"*",'All Papers'!$G:$G,"*"&amp;Table1[[#Headers],[Resource Management-PS]]&amp;"*")</f>
        <v>0</v>
      </c>
      <c r="I567" s="8">
        <f>COUNTIFS('All Papers'!$D:$D,"*"&amp;$A567&amp;"*",'All Papers'!$G:$G,"*"&amp;Table1[[#Headers],[SLA Management]]&amp;"*")</f>
        <v>0</v>
      </c>
      <c r="J567" s="8">
        <f>COUNTIFS('All Papers'!$D:$D,"*"&amp;$A567&amp;"*",'All Papers'!$G:$G,"*"&amp;Table1[[#Headers],[Big Data]]&amp;"*")</f>
        <v>0</v>
      </c>
      <c r="K567" s="8">
        <f>COUNTIFS('All Papers'!$D:$D,"*"&amp;$A567&amp;"*",'All Papers'!$G:$G,"*"&amp;Table1[[#Headers],[Energy Management]]&amp;"*")</f>
        <v>0</v>
      </c>
      <c r="L567" s="8">
        <f>COUNTIFS('All Papers'!$D:$D,"*"&amp;$A567&amp;"*",'All Papers'!$G:$G,"*"&amp;Table1[[#Headers],[Monitoring]]&amp;"*")</f>
        <v>0</v>
      </c>
      <c r="M567" s="8">
        <f>COUNTIFS('All Papers'!$D:$D,"*"&amp;$A567&amp;"*",'All Papers'!$G:$G,"*"&amp;Table1[[#Headers],[Pricing]]&amp;"*")</f>
        <v>0</v>
      </c>
    </row>
    <row r="568" spans="1:13" x14ac:dyDescent="0.25">
      <c r="A568" s="8" t="s">
        <v>3001</v>
      </c>
      <c r="B568" s="8">
        <f>COUNTIF('All Papers'!D:D,"*"&amp;Table1[[#This Row],[Name]]&amp;"*")</f>
        <v>1</v>
      </c>
      <c r="C568" s="8">
        <f>COUNTIFS('All Papers'!$D:$D,"*"&amp;$A568&amp;"*",'All Papers'!$G:$G,"*"&amp;Table1[[#Headers],[Composition]]&amp;"*")</f>
        <v>0</v>
      </c>
      <c r="D568" s="8">
        <f>COUNTIFS('All Papers'!$D:$D,"*"&amp;$A568&amp;"*",'All Papers'!$G:$G,"*"&amp;Table1[[#Headers],[Discovery]]&amp;"*")</f>
        <v>0</v>
      </c>
      <c r="E568" s="8">
        <f>COUNTIFS('All Papers'!$D:$D,"*"&amp;$A568&amp;"*",'All Papers'!$G:$G,"*"&amp;Table1[[#Headers],[Selection]]&amp;"*")</f>
        <v>0</v>
      </c>
      <c r="F568" s="8">
        <f>COUNTIFS('All Papers'!$D:$D,"*"&amp;$A568&amp;"*",'All Papers'!$G:$G,"*"&amp;Table1[[#Headers],[Recommendation]]&amp;"*")</f>
        <v>0</v>
      </c>
      <c r="G568" s="8">
        <f>COUNTIFS('All Papers'!$D:$D,"*"&amp;$A568&amp;"*",'All Papers'!$G:$G,"*"&amp;Table1[[#Headers],[Resource Management-CS]]&amp;"*")</f>
        <v>1</v>
      </c>
      <c r="H568" s="8">
        <f>COUNTIFS('All Papers'!$D:$D,"*"&amp;$A568&amp;"*",'All Papers'!$G:$G,"*"&amp;Table1[[#Headers],[Resource Management-PS]]&amp;"*")</f>
        <v>0</v>
      </c>
      <c r="I568" s="8">
        <f>COUNTIFS('All Papers'!$D:$D,"*"&amp;$A568&amp;"*",'All Papers'!$G:$G,"*"&amp;Table1[[#Headers],[SLA Management]]&amp;"*")</f>
        <v>0</v>
      </c>
      <c r="J568" s="8">
        <f>COUNTIFS('All Papers'!$D:$D,"*"&amp;$A568&amp;"*",'All Papers'!$G:$G,"*"&amp;Table1[[#Headers],[Big Data]]&amp;"*")</f>
        <v>0</v>
      </c>
      <c r="K568" s="8">
        <f>COUNTIFS('All Papers'!$D:$D,"*"&amp;$A568&amp;"*",'All Papers'!$G:$G,"*"&amp;Table1[[#Headers],[Energy Management]]&amp;"*")</f>
        <v>0</v>
      </c>
      <c r="L568" s="8">
        <f>COUNTIFS('All Papers'!$D:$D,"*"&amp;$A568&amp;"*",'All Papers'!$G:$G,"*"&amp;Table1[[#Headers],[Monitoring]]&amp;"*")</f>
        <v>0</v>
      </c>
      <c r="M568" s="8">
        <f>COUNTIFS('All Papers'!$D:$D,"*"&amp;$A568&amp;"*",'All Papers'!$G:$G,"*"&amp;Table1[[#Headers],[Pricing]]&amp;"*")</f>
        <v>0</v>
      </c>
    </row>
    <row r="569" spans="1:13" x14ac:dyDescent="0.25">
      <c r="A569" s="8" t="s">
        <v>3002</v>
      </c>
      <c r="B569" s="8">
        <f>COUNTIF('All Papers'!D:D,"*"&amp;Table1[[#This Row],[Name]]&amp;"*")</f>
        <v>1</v>
      </c>
      <c r="C569" s="8">
        <f>COUNTIFS('All Papers'!$D:$D,"*"&amp;$A569&amp;"*",'All Papers'!$G:$G,"*"&amp;Table1[[#Headers],[Composition]]&amp;"*")</f>
        <v>0</v>
      </c>
      <c r="D569" s="8">
        <f>COUNTIFS('All Papers'!$D:$D,"*"&amp;$A569&amp;"*",'All Papers'!$G:$G,"*"&amp;Table1[[#Headers],[Discovery]]&amp;"*")</f>
        <v>0</v>
      </c>
      <c r="E569" s="8">
        <f>COUNTIFS('All Papers'!$D:$D,"*"&amp;$A569&amp;"*",'All Papers'!$G:$G,"*"&amp;Table1[[#Headers],[Selection]]&amp;"*")</f>
        <v>0</v>
      </c>
      <c r="F569" s="8">
        <f>COUNTIFS('All Papers'!$D:$D,"*"&amp;$A569&amp;"*",'All Papers'!$G:$G,"*"&amp;Table1[[#Headers],[Recommendation]]&amp;"*")</f>
        <v>0</v>
      </c>
      <c r="G569" s="8">
        <f>COUNTIFS('All Papers'!$D:$D,"*"&amp;$A569&amp;"*",'All Papers'!$G:$G,"*"&amp;Table1[[#Headers],[Resource Management-CS]]&amp;"*")</f>
        <v>1</v>
      </c>
      <c r="H569" s="8">
        <f>COUNTIFS('All Papers'!$D:$D,"*"&amp;$A569&amp;"*",'All Papers'!$G:$G,"*"&amp;Table1[[#Headers],[Resource Management-PS]]&amp;"*")</f>
        <v>0</v>
      </c>
      <c r="I569" s="8">
        <f>COUNTIFS('All Papers'!$D:$D,"*"&amp;$A569&amp;"*",'All Papers'!$G:$G,"*"&amp;Table1[[#Headers],[SLA Management]]&amp;"*")</f>
        <v>0</v>
      </c>
      <c r="J569" s="8">
        <f>COUNTIFS('All Papers'!$D:$D,"*"&amp;$A569&amp;"*",'All Papers'!$G:$G,"*"&amp;Table1[[#Headers],[Big Data]]&amp;"*")</f>
        <v>0</v>
      </c>
      <c r="K569" s="8">
        <f>COUNTIFS('All Papers'!$D:$D,"*"&amp;$A569&amp;"*",'All Papers'!$G:$G,"*"&amp;Table1[[#Headers],[Energy Management]]&amp;"*")</f>
        <v>0</v>
      </c>
      <c r="L569" s="8">
        <f>COUNTIFS('All Papers'!$D:$D,"*"&amp;$A569&amp;"*",'All Papers'!$G:$G,"*"&amp;Table1[[#Headers],[Monitoring]]&amp;"*")</f>
        <v>0</v>
      </c>
      <c r="M569" s="8">
        <f>COUNTIFS('All Papers'!$D:$D,"*"&amp;$A569&amp;"*",'All Papers'!$G:$G,"*"&amp;Table1[[#Headers],[Pricing]]&amp;"*")</f>
        <v>0</v>
      </c>
    </row>
    <row r="570" spans="1:13" x14ac:dyDescent="0.25">
      <c r="A570" s="8" t="s">
        <v>3003</v>
      </c>
      <c r="B570" s="8">
        <f>COUNTIF('All Papers'!D:D,"*"&amp;Table1[[#This Row],[Name]]&amp;"*")</f>
        <v>1</v>
      </c>
      <c r="C570" s="8">
        <f>COUNTIFS('All Papers'!$D:$D,"*"&amp;$A570&amp;"*",'All Papers'!$G:$G,"*"&amp;Table1[[#Headers],[Composition]]&amp;"*")</f>
        <v>0</v>
      </c>
      <c r="D570" s="8">
        <f>COUNTIFS('All Papers'!$D:$D,"*"&amp;$A570&amp;"*",'All Papers'!$G:$G,"*"&amp;Table1[[#Headers],[Discovery]]&amp;"*")</f>
        <v>0</v>
      </c>
      <c r="E570" s="8">
        <f>COUNTIFS('All Papers'!$D:$D,"*"&amp;$A570&amp;"*",'All Papers'!$G:$G,"*"&amp;Table1[[#Headers],[Selection]]&amp;"*")</f>
        <v>0</v>
      </c>
      <c r="F570" s="8">
        <f>COUNTIFS('All Papers'!$D:$D,"*"&amp;$A570&amp;"*",'All Papers'!$G:$G,"*"&amp;Table1[[#Headers],[Recommendation]]&amp;"*")</f>
        <v>0</v>
      </c>
      <c r="G570" s="8">
        <f>COUNTIFS('All Papers'!$D:$D,"*"&amp;$A570&amp;"*",'All Papers'!$G:$G,"*"&amp;Table1[[#Headers],[Resource Management-CS]]&amp;"*")</f>
        <v>1</v>
      </c>
      <c r="H570" s="8">
        <f>COUNTIFS('All Papers'!$D:$D,"*"&amp;$A570&amp;"*",'All Papers'!$G:$G,"*"&amp;Table1[[#Headers],[Resource Management-PS]]&amp;"*")</f>
        <v>0</v>
      </c>
      <c r="I570" s="8">
        <f>COUNTIFS('All Papers'!$D:$D,"*"&amp;$A570&amp;"*",'All Papers'!$G:$G,"*"&amp;Table1[[#Headers],[SLA Management]]&amp;"*")</f>
        <v>0</v>
      </c>
      <c r="J570" s="8">
        <f>COUNTIFS('All Papers'!$D:$D,"*"&amp;$A570&amp;"*",'All Papers'!$G:$G,"*"&amp;Table1[[#Headers],[Big Data]]&amp;"*")</f>
        <v>0</v>
      </c>
      <c r="K570" s="8">
        <f>COUNTIFS('All Papers'!$D:$D,"*"&amp;$A570&amp;"*",'All Papers'!$G:$G,"*"&amp;Table1[[#Headers],[Energy Management]]&amp;"*")</f>
        <v>0</v>
      </c>
      <c r="L570" s="8">
        <f>COUNTIFS('All Papers'!$D:$D,"*"&amp;$A570&amp;"*",'All Papers'!$G:$G,"*"&amp;Table1[[#Headers],[Monitoring]]&amp;"*")</f>
        <v>0</v>
      </c>
      <c r="M570" s="8">
        <f>COUNTIFS('All Papers'!$D:$D,"*"&amp;$A570&amp;"*",'All Papers'!$G:$G,"*"&amp;Table1[[#Headers],[Pricing]]&amp;"*")</f>
        <v>0</v>
      </c>
    </row>
    <row r="571" spans="1:13" x14ac:dyDescent="0.25">
      <c r="A571" s="8" t="s">
        <v>3004</v>
      </c>
      <c r="B571" s="8">
        <f>COUNTIF('All Papers'!D:D,"*"&amp;Table1[[#This Row],[Name]]&amp;"*")</f>
        <v>1</v>
      </c>
      <c r="C571" s="8">
        <f>COUNTIFS('All Papers'!$D:$D,"*"&amp;$A571&amp;"*",'All Papers'!$G:$G,"*"&amp;Table1[[#Headers],[Composition]]&amp;"*")</f>
        <v>0</v>
      </c>
      <c r="D571" s="8">
        <f>COUNTIFS('All Papers'!$D:$D,"*"&amp;$A571&amp;"*",'All Papers'!$G:$G,"*"&amp;Table1[[#Headers],[Discovery]]&amp;"*")</f>
        <v>0</v>
      </c>
      <c r="E571" s="8">
        <f>COUNTIFS('All Papers'!$D:$D,"*"&amp;$A571&amp;"*",'All Papers'!$G:$G,"*"&amp;Table1[[#Headers],[Selection]]&amp;"*")</f>
        <v>0</v>
      </c>
      <c r="F571" s="8">
        <f>COUNTIFS('All Papers'!$D:$D,"*"&amp;$A571&amp;"*",'All Papers'!$G:$G,"*"&amp;Table1[[#Headers],[Recommendation]]&amp;"*")</f>
        <v>0</v>
      </c>
      <c r="G571" s="8">
        <f>COUNTIFS('All Papers'!$D:$D,"*"&amp;$A571&amp;"*",'All Papers'!$G:$G,"*"&amp;Table1[[#Headers],[Resource Management-CS]]&amp;"*")</f>
        <v>1</v>
      </c>
      <c r="H571" s="8">
        <f>COUNTIFS('All Papers'!$D:$D,"*"&amp;$A571&amp;"*",'All Papers'!$G:$G,"*"&amp;Table1[[#Headers],[Resource Management-PS]]&amp;"*")</f>
        <v>0</v>
      </c>
      <c r="I571" s="8">
        <f>COUNTIFS('All Papers'!$D:$D,"*"&amp;$A571&amp;"*",'All Papers'!$G:$G,"*"&amp;Table1[[#Headers],[SLA Management]]&amp;"*")</f>
        <v>0</v>
      </c>
      <c r="J571" s="8">
        <f>COUNTIFS('All Papers'!$D:$D,"*"&amp;$A571&amp;"*",'All Papers'!$G:$G,"*"&amp;Table1[[#Headers],[Big Data]]&amp;"*")</f>
        <v>0</v>
      </c>
      <c r="K571" s="8">
        <f>COUNTIFS('All Papers'!$D:$D,"*"&amp;$A571&amp;"*",'All Papers'!$G:$G,"*"&amp;Table1[[#Headers],[Energy Management]]&amp;"*")</f>
        <v>0</v>
      </c>
      <c r="L571" s="8">
        <f>COUNTIFS('All Papers'!$D:$D,"*"&amp;$A571&amp;"*",'All Papers'!$G:$G,"*"&amp;Table1[[#Headers],[Monitoring]]&amp;"*")</f>
        <v>0</v>
      </c>
      <c r="M571" s="8">
        <f>COUNTIFS('All Papers'!$D:$D,"*"&amp;$A571&amp;"*",'All Papers'!$G:$G,"*"&amp;Table1[[#Headers],[Pricing]]&amp;"*")</f>
        <v>0</v>
      </c>
    </row>
    <row r="572" spans="1:13" x14ac:dyDescent="0.25">
      <c r="A572" s="8" t="s">
        <v>3005</v>
      </c>
      <c r="B572" s="8">
        <f>COUNTIF('All Papers'!D:D,"*"&amp;Table1[[#This Row],[Name]]&amp;"*")</f>
        <v>1</v>
      </c>
      <c r="C572" s="8">
        <f>COUNTIFS('All Papers'!$D:$D,"*"&amp;$A572&amp;"*",'All Papers'!$G:$G,"*"&amp;Table1[[#Headers],[Composition]]&amp;"*")</f>
        <v>0</v>
      </c>
      <c r="D572" s="8">
        <f>COUNTIFS('All Papers'!$D:$D,"*"&amp;$A572&amp;"*",'All Papers'!$G:$G,"*"&amp;Table1[[#Headers],[Discovery]]&amp;"*")</f>
        <v>0</v>
      </c>
      <c r="E572" s="8">
        <f>COUNTIFS('All Papers'!$D:$D,"*"&amp;$A572&amp;"*",'All Papers'!$G:$G,"*"&amp;Table1[[#Headers],[Selection]]&amp;"*")</f>
        <v>0</v>
      </c>
      <c r="F572" s="8">
        <f>COUNTIFS('All Papers'!$D:$D,"*"&amp;$A572&amp;"*",'All Papers'!$G:$G,"*"&amp;Table1[[#Headers],[Recommendation]]&amp;"*")</f>
        <v>0</v>
      </c>
      <c r="G572" s="8">
        <f>COUNTIFS('All Papers'!$D:$D,"*"&amp;$A572&amp;"*",'All Papers'!$G:$G,"*"&amp;Table1[[#Headers],[Resource Management-CS]]&amp;"*")</f>
        <v>1</v>
      </c>
      <c r="H572" s="8">
        <f>COUNTIFS('All Papers'!$D:$D,"*"&amp;$A572&amp;"*",'All Papers'!$G:$G,"*"&amp;Table1[[#Headers],[Resource Management-PS]]&amp;"*")</f>
        <v>0</v>
      </c>
      <c r="I572" s="8">
        <f>COUNTIFS('All Papers'!$D:$D,"*"&amp;$A572&amp;"*",'All Papers'!$G:$G,"*"&amp;Table1[[#Headers],[SLA Management]]&amp;"*")</f>
        <v>0</v>
      </c>
      <c r="J572" s="8">
        <f>COUNTIFS('All Papers'!$D:$D,"*"&amp;$A572&amp;"*",'All Papers'!$G:$G,"*"&amp;Table1[[#Headers],[Big Data]]&amp;"*")</f>
        <v>0</v>
      </c>
      <c r="K572" s="8">
        <f>COUNTIFS('All Papers'!$D:$D,"*"&amp;$A572&amp;"*",'All Papers'!$G:$G,"*"&amp;Table1[[#Headers],[Energy Management]]&amp;"*")</f>
        <v>0</v>
      </c>
      <c r="L572" s="8">
        <f>COUNTIFS('All Papers'!$D:$D,"*"&amp;$A572&amp;"*",'All Papers'!$G:$G,"*"&amp;Table1[[#Headers],[Monitoring]]&amp;"*")</f>
        <v>0</v>
      </c>
      <c r="M572" s="8">
        <f>COUNTIFS('All Papers'!$D:$D,"*"&amp;$A572&amp;"*",'All Papers'!$G:$G,"*"&amp;Table1[[#Headers],[Pricing]]&amp;"*")</f>
        <v>0</v>
      </c>
    </row>
    <row r="573" spans="1:13" x14ac:dyDescent="0.25">
      <c r="A573" s="8" t="s">
        <v>3006</v>
      </c>
      <c r="B573" s="8">
        <f>COUNTIF('All Papers'!D:D,"*"&amp;Table1[[#This Row],[Name]]&amp;"*")</f>
        <v>1</v>
      </c>
      <c r="C573" s="8">
        <f>COUNTIFS('All Papers'!$D:$D,"*"&amp;$A573&amp;"*",'All Papers'!$G:$G,"*"&amp;Table1[[#Headers],[Composition]]&amp;"*")</f>
        <v>0</v>
      </c>
      <c r="D573" s="8">
        <f>COUNTIFS('All Papers'!$D:$D,"*"&amp;$A573&amp;"*",'All Papers'!$G:$G,"*"&amp;Table1[[#Headers],[Discovery]]&amp;"*")</f>
        <v>0</v>
      </c>
      <c r="E573" s="8">
        <f>COUNTIFS('All Papers'!$D:$D,"*"&amp;$A573&amp;"*",'All Papers'!$G:$G,"*"&amp;Table1[[#Headers],[Selection]]&amp;"*")</f>
        <v>1</v>
      </c>
      <c r="F573" s="8">
        <f>COUNTIFS('All Papers'!$D:$D,"*"&amp;$A573&amp;"*",'All Papers'!$G:$G,"*"&amp;Table1[[#Headers],[Recommendation]]&amp;"*")</f>
        <v>0</v>
      </c>
      <c r="G573" s="8">
        <f>COUNTIFS('All Papers'!$D:$D,"*"&amp;$A573&amp;"*",'All Papers'!$G:$G,"*"&amp;Table1[[#Headers],[Resource Management-CS]]&amp;"*")</f>
        <v>1</v>
      </c>
      <c r="H573" s="8">
        <f>COUNTIFS('All Papers'!$D:$D,"*"&amp;$A573&amp;"*",'All Papers'!$G:$G,"*"&amp;Table1[[#Headers],[Resource Management-PS]]&amp;"*")</f>
        <v>0</v>
      </c>
      <c r="I573" s="8">
        <f>COUNTIFS('All Papers'!$D:$D,"*"&amp;$A573&amp;"*",'All Papers'!$G:$G,"*"&amp;Table1[[#Headers],[SLA Management]]&amp;"*")</f>
        <v>0</v>
      </c>
      <c r="J573" s="8">
        <f>COUNTIFS('All Papers'!$D:$D,"*"&amp;$A573&amp;"*",'All Papers'!$G:$G,"*"&amp;Table1[[#Headers],[Big Data]]&amp;"*")</f>
        <v>0</v>
      </c>
      <c r="K573" s="8">
        <f>COUNTIFS('All Papers'!$D:$D,"*"&amp;$A573&amp;"*",'All Papers'!$G:$G,"*"&amp;Table1[[#Headers],[Energy Management]]&amp;"*")</f>
        <v>0</v>
      </c>
      <c r="L573" s="8">
        <f>COUNTIFS('All Papers'!$D:$D,"*"&amp;$A573&amp;"*",'All Papers'!$G:$G,"*"&amp;Table1[[#Headers],[Monitoring]]&amp;"*")</f>
        <v>0</v>
      </c>
      <c r="M573" s="8">
        <f>COUNTIFS('All Papers'!$D:$D,"*"&amp;$A573&amp;"*",'All Papers'!$G:$G,"*"&amp;Table1[[#Headers],[Pricing]]&amp;"*")</f>
        <v>0</v>
      </c>
    </row>
    <row r="574" spans="1:13" x14ac:dyDescent="0.25">
      <c r="A574" s="8" t="s">
        <v>3007</v>
      </c>
      <c r="B574" s="8">
        <f>COUNTIF('All Papers'!D:D,"*"&amp;Table1[[#This Row],[Name]]&amp;"*")</f>
        <v>1</v>
      </c>
      <c r="C574" s="8">
        <f>COUNTIFS('All Papers'!$D:$D,"*"&amp;$A574&amp;"*",'All Papers'!$G:$G,"*"&amp;Table1[[#Headers],[Composition]]&amp;"*")</f>
        <v>0</v>
      </c>
      <c r="D574" s="8">
        <f>COUNTIFS('All Papers'!$D:$D,"*"&amp;$A574&amp;"*",'All Papers'!$G:$G,"*"&amp;Table1[[#Headers],[Discovery]]&amp;"*")</f>
        <v>0</v>
      </c>
      <c r="E574" s="8">
        <f>COUNTIFS('All Papers'!$D:$D,"*"&amp;$A574&amp;"*",'All Papers'!$G:$G,"*"&amp;Table1[[#Headers],[Selection]]&amp;"*")</f>
        <v>1</v>
      </c>
      <c r="F574" s="8">
        <f>COUNTIFS('All Papers'!$D:$D,"*"&amp;$A574&amp;"*",'All Papers'!$G:$G,"*"&amp;Table1[[#Headers],[Recommendation]]&amp;"*")</f>
        <v>0</v>
      </c>
      <c r="G574" s="8">
        <f>COUNTIFS('All Papers'!$D:$D,"*"&amp;$A574&amp;"*",'All Papers'!$G:$G,"*"&amp;Table1[[#Headers],[Resource Management-CS]]&amp;"*")</f>
        <v>1</v>
      </c>
      <c r="H574" s="8">
        <f>COUNTIFS('All Papers'!$D:$D,"*"&amp;$A574&amp;"*",'All Papers'!$G:$G,"*"&amp;Table1[[#Headers],[Resource Management-PS]]&amp;"*")</f>
        <v>0</v>
      </c>
      <c r="I574" s="8">
        <f>COUNTIFS('All Papers'!$D:$D,"*"&amp;$A574&amp;"*",'All Papers'!$G:$G,"*"&amp;Table1[[#Headers],[SLA Management]]&amp;"*")</f>
        <v>0</v>
      </c>
      <c r="J574" s="8">
        <f>COUNTIFS('All Papers'!$D:$D,"*"&amp;$A574&amp;"*",'All Papers'!$G:$G,"*"&amp;Table1[[#Headers],[Big Data]]&amp;"*")</f>
        <v>0</v>
      </c>
      <c r="K574" s="8">
        <f>COUNTIFS('All Papers'!$D:$D,"*"&amp;$A574&amp;"*",'All Papers'!$G:$G,"*"&amp;Table1[[#Headers],[Energy Management]]&amp;"*")</f>
        <v>0</v>
      </c>
      <c r="L574" s="8">
        <f>COUNTIFS('All Papers'!$D:$D,"*"&amp;$A574&amp;"*",'All Papers'!$G:$G,"*"&amp;Table1[[#Headers],[Monitoring]]&amp;"*")</f>
        <v>0</v>
      </c>
      <c r="M574" s="8">
        <f>COUNTIFS('All Papers'!$D:$D,"*"&amp;$A574&amp;"*",'All Papers'!$G:$G,"*"&amp;Table1[[#Headers],[Pricing]]&amp;"*")</f>
        <v>0</v>
      </c>
    </row>
    <row r="575" spans="1:13" x14ac:dyDescent="0.25">
      <c r="A575" s="8" t="s">
        <v>3008</v>
      </c>
      <c r="B575" s="8">
        <f>COUNTIF('All Papers'!D:D,"*"&amp;Table1[[#This Row],[Name]]&amp;"*")</f>
        <v>1</v>
      </c>
      <c r="C575" s="8">
        <f>COUNTIFS('All Papers'!$D:$D,"*"&amp;$A575&amp;"*",'All Papers'!$G:$G,"*"&amp;Table1[[#Headers],[Composition]]&amp;"*")</f>
        <v>0</v>
      </c>
      <c r="D575" s="8">
        <f>COUNTIFS('All Papers'!$D:$D,"*"&amp;$A575&amp;"*",'All Papers'!$G:$G,"*"&amp;Table1[[#Headers],[Discovery]]&amp;"*")</f>
        <v>0</v>
      </c>
      <c r="E575" s="8">
        <f>COUNTIFS('All Papers'!$D:$D,"*"&amp;$A575&amp;"*",'All Papers'!$G:$G,"*"&amp;Table1[[#Headers],[Selection]]&amp;"*")</f>
        <v>0</v>
      </c>
      <c r="F575" s="8">
        <f>COUNTIFS('All Papers'!$D:$D,"*"&amp;$A575&amp;"*",'All Papers'!$G:$G,"*"&amp;Table1[[#Headers],[Recommendation]]&amp;"*")</f>
        <v>0</v>
      </c>
      <c r="G575" s="8">
        <f>COUNTIFS('All Papers'!$D:$D,"*"&amp;$A575&amp;"*",'All Papers'!$G:$G,"*"&amp;Table1[[#Headers],[Resource Management-CS]]&amp;"*")</f>
        <v>0</v>
      </c>
      <c r="H575" s="8">
        <f>COUNTIFS('All Papers'!$D:$D,"*"&amp;$A575&amp;"*",'All Papers'!$G:$G,"*"&amp;Table1[[#Headers],[Resource Management-PS]]&amp;"*")</f>
        <v>1</v>
      </c>
      <c r="I575" s="8">
        <f>COUNTIFS('All Papers'!$D:$D,"*"&amp;$A575&amp;"*",'All Papers'!$G:$G,"*"&amp;Table1[[#Headers],[SLA Management]]&amp;"*")</f>
        <v>0</v>
      </c>
      <c r="J575" s="8">
        <f>COUNTIFS('All Papers'!$D:$D,"*"&amp;$A575&amp;"*",'All Papers'!$G:$G,"*"&amp;Table1[[#Headers],[Big Data]]&amp;"*")</f>
        <v>0</v>
      </c>
      <c r="K575" s="8">
        <f>COUNTIFS('All Papers'!$D:$D,"*"&amp;$A575&amp;"*",'All Papers'!$G:$G,"*"&amp;Table1[[#Headers],[Energy Management]]&amp;"*")</f>
        <v>0</v>
      </c>
      <c r="L575" s="8">
        <f>COUNTIFS('All Papers'!$D:$D,"*"&amp;$A575&amp;"*",'All Papers'!$G:$G,"*"&amp;Table1[[#Headers],[Monitoring]]&amp;"*")</f>
        <v>0</v>
      </c>
      <c r="M575" s="8">
        <f>COUNTIFS('All Papers'!$D:$D,"*"&amp;$A575&amp;"*",'All Papers'!$G:$G,"*"&amp;Table1[[#Headers],[Pricing]]&amp;"*")</f>
        <v>0</v>
      </c>
    </row>
    <row r="576" spans="1:13" x14ac:dyDescent="0.25">
      <c r="A576" s="8" t="s">
        <v>3009</v>
      </c>
      <c r="B576" s="8">
        <f>COUNTIF('All Papers'!D:D,"*"&amp;Table1[[#This Row],[Name]]&amp;"*")</f>
        <v>1</v>
      </c>
      <c r="C576" s="8">
        <f>COUNTIFS('All Papers'!$D:$D,"*"&amp;$A576&amp;"*",'All Papers'!$G:$G,"*"&amp;Table1[[#Headers],[Composition]]&amp;"*")</f>
        <v>0</v>
      </c>
      <c r="D576" s="8">
        <f>COUNTIFS('All Papers'!$D:$D,"*"&amp;$A576&amp;"*",'All Papers'!$G:$G,"*"&amp;Table1[[#Headers],[Discovery]]&amp;"*")</f>
        <v>0</v>
      </c>
      <c r="E576" s="8">
        <f>COUNTIFS('All Papers'!$D:$D,"*"&amp;$A576&amp;"*",'All Papers'!$G:$G,"*"&amp;Table1[[#Headers],[Selection]]&amp;"*")</f>
        <v>0</v>
      </c>
      <c r="F576" s="8">
        <f>COUNTIFS('All Papers'!$D:$D,"*"&amp;$A576&amp;"*",'All Papers'!$G:$G,"*"&amp;Table1[[#Headers],[Recommendation]]&amp;"*")</f>
        <v>0</v>
      </c>
      <c r="G576" s="8">
        <f>COUNTIFS('All Papers'!$D:$D,"*"&amp;$A576&amp;"*",'All Papers'!$G:$G,"*"&amp;Table1[[#Headers],[Resource Management-CS]]&amp;"*")</f>
        <v>0</v>
      </c>
      <c r="H576" s="8">
        <f>COUNTIFS('All Papers'!$D:$D,"*"&amp;$A576&amp;"*",'All Papers'!$G:$G,"*"&amp;Table1[[#Headers],[Resource Management-PS]]&amp;"*")</f>
        <v>1</v>
      </c>
      <c r="I576" s="8">
        <f>COUNTIFS('All Papers'!$D:$D,"*"&amp;$A576&amp;"*",'All Papers'!$G:$G,"*"&amp;Table1[[#Headers],[SLA Management]]&amp;"*")</f>
        <v>0</v>
      </c>
      <c r="J576" s="8">
        <f>COUNTIFS('All Papers'!$D:$D,"*"&amp;$A576&amp;"*",'All Papers'!$G:$G,"*"&amp;Table1[[#Headers],[Big Data]]&amp;"*")</f>
        <v>0</v>
      </c>
      <c r="K576" s="8">
        <f>COUNTIFS('All Papers'!$D:$D,"*"&amp;$A576&amp;"*",'All Papers'!$G:$G,"*"&amp;Table1[[#Headers],[Energy Management]]&amp;"*")</f>
        <v>0</v>
      </c>
      <c r="L576" s="8">
        <f>COUNTIFS('All Papers'!$D:$D,"*"&amp;$A576&amp;"*",'All Papers'!$G:$G,"*"&amp;Table1[[#Headers],[Monitoring]]&amp;"*")</f>
        <v>0</v>
      </c>
      <c r="M576" s="8">
        <f>COUNTIFS('All Papers'!$D:$D,"*"&amp;$A576&amp;"*",'All Papers'!$G:$G,"*"&amp;Table1[[#Headers],[Pricing]]&amp;"*")</f>
        <v>0</v>
      </c>
    </row>
    <row r="577" spans="1:13" x14ac:dyDescent="0.25">
      <c r="A577" s="8" t="s">
        <v>3010</v>
      </c>
      <c r="B577" s="8">
        <f>COUNTIF('All Papers'!D:D,"*"&amp;Table1[[#This Row],[Name]]&amp;"*")</f>
        <v>1</v>
      </c>
      <c r="C577" s="8">
        <f>COUNTIFS('All Papers'!$D:$D,"*"&amp;$A577&amp;"*",'All Papers'!$G:$G,"*"&amp;Table1[[#Headers],[Composition]]&amp;"*")</f>
        <v>0</v>
      </c>
      <c r="D577" s="8">
        <f>COUNTIFS('All Papers'!$D:$D,"*"&amp;$A577&amp;"*",'All Papers'!$G:$G,"*"&amp;Table1[[#Headers],[Discovery]]&amp;"*")</f>
        <v>0</v>
      </c>
      <c r="E577" s="8">
        <f>COUNTIFS('All Papers'!$D:$D,"*"&amp;$A577&amp;"*",'All Papers'!$G:$G,"*"&amp;Table1[[#Headers],[Selection]]&amp;"*")</f>
        <v>1</v>
      </c>
      <c r="F577" s="8">
        <f>COUNTIFS('All Papers'!$D:$D,"*"&amp;$A577&amp;"*",'All Papers'!$G:$G,"*"&amp;Table1[[#Headers],[Recommendation]]&amp;"*")</f>
        <v>0</v>
      </c>
      <c r="G577" s="8">
        <f>COUNTIFS('All Papers'!$D:$D,"*"&amp;$A577&amp;"*",'All Papers'!$G:$G,"*"&amp;Table1[[#Headers],[Resource Management-CS]]&amp;"*")</f>
        <v>0</v>
      </c>
      <c r="H577" s="8">
        <f>COUNTIFS('All Papers'!$D:$D,"*"&amp;$A577&amp;"*",'All Papers'!$G:$G,"*"&amp;Table1[[#Headers],[Resource Management-PS]]&amp;"*")</f>
        <v>0</v>
      </c>
      <c r="I577" s="8">
        <f>COUNTIFS('All Papers'!$D:$D,"*"&amp;$A577&amp;"*",'All Papers'!$G:$G,"*"&amp;Table1[[#Headers],[SLA Management]]&amp;"*")</f>
        <v>0</v>
      </c>
      <c r="J577" s="8">
        <f>COUNTIFS('All Papers'!$D:$D,"*"&amp;$A577&amp;"*",'All Papers'!$G:$G,"*"&amp;Table1[[#Headers],[Big Data]]&amp;"*")</f>
        <v>0</v>
      </c>
      <c r="K577" s="8">
        <f>COUNTIFS('All Papers'!$D:$D,"*"&amp;$A577&amp;"*",'All Papers'!$G:$G,"*"&amp;Table1[[#Headers],[Energy Management]]&amp;"*")</f>
        <v>0</v>
      </c>
      <c r="L577" s="8">
        <f>COUNTIFS('All Papers'!$D:$D,"*"&amp;$A577&amp;"*",'All Papers'!$G:$G,"*"&amp;Table1[[#Headers],[Monitoring]]&amp;"*")</f>
        <v>0</v>
      </c>
      <c r="M577" s="8">
        <f>COUNTIFS('All Papers'!$D:$D,"*"&amp;$A577&amp;"*",'All Papers'!$G:$G,"*"&amp;Table1[[#Headers],[Pricing]]&amp;"*")</f>
        <v>0</v>
      </c>
    </row>
    <row r="578" spans="1:13" x14ac:dyDescent="0.25">
      <c r="A578" s="8" t="s">
        <v>3011</v>
      </c>
      <c r="B578" s="8">
        <f>COUNTIF('All Papers'!D:D,"*"&amp;Table1[[#This Row],[Name]]&amp;"*")</f>
        <v>1</v>
      </c>
      <c r="C578" s="8">
        <f>COUNTIFS('All Papers'!$D:$D,"*"&amp;$A578&amp;"*",'All Papers'!$G:$G,"*"&amp;Table1[[#Headers],[Composition]]&amp;"*")</f>
        <v>0</v>
      </c>
      <c r="D578" s="8">
        <f>COUNTIFS('All Papers'!$D:$D,"*"&amp;$A578&amp;"*",'All Papers'!$G:$G,"*"&amp;Table1[[#Headers],[Discovery]]&amp;"*")</f>
        <v>0</v>
      </c>
      <c r="E578" s="8">
        <f>COUNTIFS('All Papers'!$D:$D,"*"&amp;$A578&amp;"*",'All Papers'!$G:$G,"*"&amp;Table1[[#Headers],[Selection]]&amp;"*")</f>
        <v>1</v>
      </c>
      <c r="F578" s="8">
        <f>COUNTIFS('All Papers'!$D:$D,"*"&amp;$A578&amp;"*",'All Papers'!$G:$G,"*"&amp;Table1[[#Headers],[Recommendation]]&amp;"*")</f>
        <v>0</v>
      </c>
      <c r="G578" s="8">
        <f>COUNTIFS('All Papers'!$D:$D,"*"&amp;$A578&amp;"*",'All Papers'!$G:$G,"*"&amp;Table1[[#Headers],[Resource Management-CS]]&amp;"*")</f>
        <v>0</v>
      </c>
      <c r="H578" s="8">
        <f>COUNTIFS('All Papers'!$D:$D,"*"&amp;$A578&amp;"*",'All Papers'!$G:$G,"*"&amp;Table1[[#Headers],[Resource Management-PS]]&amp;"*")</f>
        <v>0</v>
      </c>
      <c r="I578" s="8">
        <f>COUNTIFS('All Papers'!$D:$D,"*"&amp;$A578&amp;"*",'All Papers'!$G:$G,"*"&amp;Table1[[#Headers],[SLA Management]]&amp;"*")</f>
        <v>0</v>
      </c>
      <c r="J578" s="8">
        <f>COUNTIFS('All Papers'!$D:$D,"*"&amp;$A578&amp;"*",'All Papers'!$G:$G,"*"&amp;Table1[[#Headers],[Big Data]]&amp;"*")</f>
        <v>0</v>
      </c>
      <c r="K578" s="8">
        <f>COUNTIFS('All Papers'!$D:$D,"*"&amp;$A578&amp;"*",'All Papers'!$G:$G,"*"&amp;Table1[[#Headers],[Energy Management]]&amp;"*")</f>
        <v>0</v>
      </c>
      <c r="L578" s="8">
        <f>COUNTIFS('All Papers'!$D:$D,"*"&amp;$A578&amp;"*",'All Papers'!$G:$G,"*"&amp;Table1[[#Headers],[Monitoring]]&amp;"*")</f>
        <v>0</v>
      </c>
      <c r="M578" s="8">
        <f>COUNTIFS('All Papers'!$D:$D,"*"&amp;$A578&amp;"*",'All Papers'!$G:$G,"*"&amp;Table1[[#Headers],[Pricing]]&amp;"*")</f>
        <v>0</v>
      </c>
    </row>
    <row r="579" spans="1:13" x14ac:dyDescent="0.25">
      <c r="A579" s="8" t="s">
        <v>3012</v>
      </c>
      <c r="B579" s="8">
        <f>COUNTIF('All Papers'!D:D,"*"&amp;Table1[[#This Row],[Name]]&amp;"*")</f>
        <v>1</v>
      </c>
      <c r="C579" s="8">
        <f>COUNTIFS('All Papers'!$D:$D,"*"&amp;$A579&amp;"*",'All Papers'!$G:$G,"*"&amp;Table1[[#Headers],[Composition]]&amp;"*")</f>
        <v>0</v>
      </c>
      <c r="D579" s="8">
        <f>COUNTIFS('All Papers'!$D:$D,"*"&amp;$A579&amp;"*",'All Papers'!$G:$G,"*"&amp;Table1[[#Headers],[Discovery]]&amp;"*")</f>
        <v>0</v>
      </c>
      <c r="E579" s="8">
        <f>COUNTIFS('All Papers'!$D:$D,"*"&amp;$A579&amp;"*",'All Papers'!$G:$G,"*"&amp;Table1[[#Headers],[Selection]]&amp;"*")</f>
        <v>1</v>
      </c>
      <c r="F579" s="8">
        <f>COUNTIFS('All Papers'!$D:$D,"*"&amp;$A579&amp;"*",'All Papers'!$G:$G,"*"&amp;Table1[[#Headers],[Recommendation]]&amp;"*")</f>
        <v>0</v>
      </c>
      <c r="G579" s="8">
        <f>COUNTIFS('All Papers'!$D:$D,"*"&amp;$A579&amp;"*",'All Papers'!$G:$G,"*"&amp;Table1[[#Headers],[Resource Management-CS]]&amp;"*")</f>
        <v>0</v>
      </c>
      <c r="H579" s="8">
        <f>COUNTIFS('All Papers'!$D:$D,"*"&amp;$A579&amp;"*",'All Papers'!$G:$G,"*"&amp;Table1[[#Headers],[Resource Management-PS]]&amp;"*")</f>
        <v>0</v>
      </c>
      <c r="I579" s="8">
        <f>COUNTIFS('All Papers'!$D:$D,"*"&amp;$A579&amp;"*",'All Papers'!$G:$G,"*"&amp;Table1[[#Headers],[SLA Management]]&amp;"*")</f>
        <v>0</v>
      </c>
      <c r="J579" s="8">
        <f>COUNTIFS('All Papers'!$D:$D,"*"&amp;$A579&amp;"*",'All Papers'!$G:$G,"*"&amp;Table1[[#Headers],[Big Data]]&amp;"*")</f>
        <v>0</v>
      </c>
      <c r="K579" s="8">
        <f>COUNTIFS('All Papers'!$D:$D,"*"&amp;$A579&amp;"*",'All Papers'!$G:$G,"*"&amp;Table1[[#Headers],[Energy Management]]&amp;"*")</f>
        <v>0</v>
      </c>
      <c r="L579" s="8">
        <f>COUNTIFS('All Papers'!$D:$D,"*"&amp;$A579&amp;"*",'All Papers'!$G:$G,"*"&amp;Table1[[#Headers],[Monitoring]]&amp;"*")</f>
        <v>0</v>
      </c>
      <c r="M579" s="8">
        <f>COUNTIFS('All Papers'!$D:$D,"*"&amp;$A579&amp;"*",'All Papers'!$G:$G,"*"&amp;Table1[[#Headers],[Pricing]]&amp;"*")</f>
        <v>0</v>
      </c>
    </row>
    <row r="580" spans="1:13" x14ac:dyDescent="0.25">
      <c r="A580" s="8" t="s">
        <v>3013</v>
      </c>
      <c r="B580" s="8">
        <f>COUNTIF('All Papers'!D:D,"*"&amp;Table1[[#This Row],[Name]]&amp;"*")</f>
        <v>1</v>
      </c>
      <c r="C580" s="8">
        <f>COUNTIFS('All Papers'!$D:$D,"*"&amp;$A580&amp;"*",'All Papers'!$G:$G,"*"&amp;Table1[[#Headers],[Composition]]&amp;"*")</f>
        <v>0</v>
      </c>
      <c r="D580" s="8">
        <f>COUNTIFS('All Papers'!$D:$D,"*"&amp;$A580&amp;"*",'All Papers'!$G:$G,"*"&amp;Table1[[#Headers],[Discovery]]&amp;"*")</f>
        <v>0</v>
      </c>
      <c r="E580" s="8">
        <f>COUNTIFS('All Papers'!$D:$D,"*"&amp;$A580&amp;"*",'All Papers'!$G:$G,"*"&amp;Table1[[#Headers],[Selection]]&amp;"*")</f>
        <v>1</v>
      </c>
      <c r="F580" s="8">
        <f>COUNTIFS('All Papers'!$D:$D,"*"&amp;$A580&amp;"*",'All Papers'!$G:$G,"*"&amp;Table1[[#Headers],[Recommendation]]&amp;"*")</f>
        <v>0</v>
      </c>
      <c r="G580" s="8">
        <f>COUNTIFS('All Papers'!$D:$D,"*"&amp;$A580&amp;"*",'All Papers'!$G:$G,"*"&amp;Table1[[#Headers],[Resource Management-CS]]&amp;"*")</f>
        <v>1</v>
      </c>
      <c r="H580" s="8">
        <f>COUNTIFS('All Papers'!$D:$D,"*"&amp;$A580&amp;"*",'All Papers'!$G:$G,"*"&amp;Table1[[#Headers],[Resource Management-PS]]&amp;"*")</f>
        <v>0</v>
      </c>
      <c r="I580" s="8">
        <f>COUNTIFS('All Papers'!$D:$D,"*"&amp;$A580&amp;"*",'All Papers'!$G:$G,"*"&amp;Table1[[#Headers],[SLA Management]]&amp;"*")</f>
        <v>0</v>
      </c>
      <c r="J580" s="8">
        <f>COUNTIFS('All Papers'!$D:$D,"*"&amp;$A580&amp;"*",'All Papers'!$G:$G,"*"&amp;Table1[[#Headers],[Big Data]]&amp;"*")</f>
        <v>0</v>
      </c>
      <c r="K580" s="8">
        <f>COUNTIFS('All Papers'!$D:$D,"*"&amp;$A580&amp;"*",'All Papers'!$G:$G,"*"&amp;Table1[[#Headers],[Energy Management]]&amp;"*")</f>
        <v>0</v>
      </c>
      <c r="L580" s="8">
        <f>COUNTIFS('All Papers'!$D:$D,"*"&amp;$A580&amp;"*",'All Papers'!$G:$G,"*"&amp;Table1[[#Headers],[Monitoring]]&amp;"*")</f>
        <v>0</v>
      </c>
      <c r="M580" s="8">
        <f>COUNTIFS('All Papers'!$D:$D,"*"&amp;$A580&amp;"*",'All Papers'!$G:$G,"*"&amp;Table1[[#Headers],[Pricing]]&amp;"*")</f>
        <v>0</v>
      </c>
    </row>
    <row r="581" spans="1:13" x14ac:dyDescent="0.25">
      <c r="A581" s="8" t="s">
        <v>3014</v>
      </c>
      <c r="B581" s="8">
        <f>COUNTIF('All Papers'!D:D,"*"&amp;Table1[[#This Row],[Name]]&amp;"*")</f>
        <v>1</v>
      </c>
      <c r="C581" s="8">
        <f>COUNTIFS('All Papers'!$D:$D,"*"&amp;$A581&amp;"*",'All Papers'!$G:$G,"*"&amp;Table1[[#Headers],[Composition]]&amp;"*")</f>
        <v>0</v>
      </c>
      <c r="D581" s="8">
        <f>COUNTIFS('All Papers'!$D:$D,"*"&amp;$A581&amp;"*",'All Papers'!$G:$G,"*"&amp;Table1[[#Headers],[Discovery]]&amp;"*")</f>
        <v>0</v>
      </c>
      <c r="E581" s="8">
        <f>COUNTIFS('All Papers'!$D:$D,"*"&amp;$A581&amp;"*",'All Papers'!$G:$G,"*"&amp;Table1[[#Headers],[Selection]]&amp;"*")</f>
        <v>1</v>
      </c>
      <c r="F581" s="8">
        <f>COUNTIFS('All Papers'!$D:$D,"*"&amp;$A581&amp;"*",'All Papers'!$G:$G,"*"&amp;Table1[[#Headers],[Recommendation]]&amp;"*")</f>
        <v>0</v>
      </c>
      <c r="G581" s="8">
        <f>COUNTIFS('All Papers'!$D:$D,"*"&amp;$A581&amp;"*",'All Papers'!$G:$G,"*"&amp;Table1[[#Headers],[Resource Management-CS]]&amp;"*")</f>
        <v>1</v>
      </c>
      <c r="H581" s="8">
        <f>COUNTIFS('All Papers'!$D:$D,"*"&amp;$A581&amp;"*",'All Papers'!$G:$G,"*"&amp;Table1[[#Headers],[Resource Management-PS]]&amp;"*")</f>
        <v>0</v>
      </c>
      <c r="I581" s="8">
        <f>COUNTIFS('All Papers'!$D:$D,"*"&amp;$A581&amp;"*",'All Papers'!$G:$G,"*"&amp;Table1[[#Headers],[SLA Management]]&amp;"*")</f>
        <v>0</v>
      </c>
      <c r="J581" s="8">
        <f>COUNTIFS('All Papers'!$D:$D,"*"&amp;$A581&amp;"*",'All Papers'!$G:$G,"*"&amp;Table1[[#Headers],[Big Data]]&amp;"*")</f>
        <v>0</v>
      </c>
      <c r="K581" s="8">
        <f>COUNTIFS('All Papers'!$D:$D,"*"&amp;$A581&amp;"*",'All Papers'!$G:$G,"*"&amp;Table1[[#Headers],[Energy Management]]&amp;"*")</f>
        <v>0</v>
      </c>
      <c r="L581" s="8">
        <f>COUNTIFS('All Papers'!$D:$D,"*"&amp;$A581&amp;"*",'All Papers'!$G:$G,"*"&amp;Table1[[#Headers],[Monitoring]]&amp;"*")</f>
        <v>0</v>
      </c>
      <c r="M581" s="8">
        <f>COUNTIFS('All Papers'!$D:$D,"*"&amp;$A581&amp;"*",'All Papers'!$G:$G,"*"&amp;Table1[[#Headers],[Pricing]]&amp;"*")</f>
        <v>0</v>
      </c>
    </row>
    <row r="582" spans="1:13" x14ac:dyDescent="0.25">
      <c r="A582" s="8" t="s">
        <v>3015</v>
      </c>
      <c r="B582" s="8">
        <f>COUNTIF('All Papers'!D:D,"*"&amp;Table1[[#This Row],[Name]]&amp;"*")</f>
        <v>1</v>
      </c>
      <c r="C582" s="8">
        <f>COUNTIFS('All Papers'!$D:$D,"*"&amp;$A582&amp;"*",'All Papers'!$G:$G,"*"&amp;Table1[[#Headers],[Composition]]&amp;"*")</f>
        <v>0</v>
      </c>
      <c r="D582" s="8">
        <f>COUNTIFS('All Papers'!$D:$D,"*"&amp;$A582&amp;"*",'All Papers'!$G:$G,"*"&amp;Table1[[#Headers],[Discovery]]&amp;"*")</f>
        <v>0</v>
      </c>
      <c r="E582" s="8">
        <f>COUNTIFS('All Papers'!$D:$D,"*"&amp;$A582&amp;"*",'All Papers'!$G:$G,"*"&amp;Table1[[#Headers],[Selection]]&amp;"*")</f>
        <v>1</v>
      </c>
      <c r="F582" s="8">
        <f>COUNTIFS('All Papers'!$D:$D,"*"&amp;$A582&amp;"*",'All Papers'!$G:$G,"*"&amp;Table1[[#Headers],[Recommendation]]&amp;"*")</f>
        <v>0</v>
      </c>
      <c r="G582" s="8">
        <f>COUNTIFS('All Papers'!$D:$D,"*"&amp;$A582&amp;"*",'All Papers'!$G:$G,"*"&amp;Table1[[#Headers],[Resource Management-CS]]&amp;"*")</f>
        <v>1</v>
      </c>
      <c r="H582" s="8">
        <f>COUNTIFS('All Papers'!$D:$D,"*"&amp;$A582&amp;"*",'All Papers'!$G:$G,"*"&amp;Table1[[#Headers],[Resource Management-PS]]&amp;"*")</f>
        <v>0</v>
      </c>
      <c r="I582" s="8">
        <f>COUNTIFS('All Papers'!$D:$D,"*"&amp;$A582&amp;"*",'All Papers'!$G:$G,"*"&amp;Table1[[#Headers],[SLA Management]]&amp;"*")</f>
        <v>0</v>
      </c>
      <c r="J582" s="8">
        <f>COUNTIFS('All Papers'!$D:$D,"*"&amp;$A582&amp;"*",'All Papers'!$G:$G,"*"&amp;Table1[[#Headers],[Big Data]]&amp;"*")</f>
        <v>0</v>
      </c>
      <c r="K582" s="8">
        <f>COUNTIFS('All Papers'!$D:$D,"*"&amp;$A582&amp;"*",'All Papers'!$G:$G,"*"&amp;Table1[[#Headers],[Energy Management]]&amp;"*")</f>
        <v>0</v>
      </c>
      <c r="L582" s="8">
        <f>COUNTIFS('All Papers'!$D:$D,"*"&amp;$A582&amp;"*",'All Papers'!$G:$G,"*"&amp;Table1[[#Headers],[Monitoring]]&amp;"*")</f>
        <v>0</v>
      </c>
      <c r="M582" s="8">
        <f>COUNTIFS('All Papers'!$D:$D,"*"&amp;$A582&amp;"*",'All Papers'!$G:$G,"*"&amp;Table1[[#Headers],[Pricing]]&amp;"*")</f>
        <v>0</v>
      </c>
    </row>
    <row r="583" spans="1:13" x14ac:dyDescent="0.25">
      <c r="A583" s="8" t="s">
        <v>3016</v>
      </c>
      <c r="B583" s="8">
        <f>COUNTIF('All Papers'!D:D,"*"&amp;Table1[[#This Row],[Name]]&amp;"*")</f>
        <v>1</v>
      </c>
      <c r="C583" s="8">
        <f>COUNTIFS('All Papers'!$D:$D,"*"&amp;$A583&amp;"*",'All Papers'!$G:$G,"*"&amp;Table1[[#Headers],[Composition]]&amp;"*")</f>
        <v>0</v>
      </c>
      <c r="D583" s="8">
        <f>COUNTIFS('All Papers'!$D:$D,"*"&amp;$A583&amp;"*",'All Papers'!$G:$G,"*"&amp;Table1[[#Headers],[Discovery]]&amp;"*")</f>
        <v>0</v>
      </c>
      <c r="E583" s="8">
        <f>COUNTIFS('All Papers'!$D:$D,"*"&amp;$A583&amp;"*",'All Papers'!$G:$G,"*"&amp;Table1[[#Headers],[Selection]]&amp;"*")</f>
        <v>1</v>
      </c>
      <c r="F583" s="8">
        <f>COUNTIFS('All Papers'!$D:$D,"*"&amp;$A583&amp;"*",'All Papers'!$G:$G,"*"&amp;Table1[[#Headers],[Recommendation]]&amp;"*")</f>
        <v>0</v>
      </c>
      <c r="G583" s="8">
        <f>COUNTIFS('All Papers'!$D:$D,"*"&amp;$A583&amp;"*",'All Papers'!$G:$G,"*"&amp;Table1[[#Headers],[Resource Management-CS]]&amp;"*")</f>
        <v>1</v>
      </c>
      <c r="H583" s="8">
        <f>COUNTIFS('All Papers'!$D:$D,"*"&amp;$A583&amp;"*",'All Papers'!$G:$G,"*"&amp;Table1[[#Headers],[Resource Management-PS]]&amp;"*")</f>
        <v>0</v>
      </c>
      <c r="I583" s="8">
        <f>COUNTIFS('All Papers'!$D:$D,"*"&amp;$A583&amp;"*",'All Papers'!$G:$G,"*"&amp;Table1[[#Headers],[SLA Management]]&amp;"*")</f>
        <v>0</v>
      </c>
      <c r="J583" s="8">
        <f>COUNTIFS('All Papers'!$D:$D,"*"&amp;$A583&amp;"*",'All Papers'!$G:$G,"*"&amp;Table1[[#Headers],[Big Data]]&amp;"*")</f>
        <v>0</v>
      </c>
      <c r="K583" s="8">
        <f>COUNTIFS('All Papers'!$D:$D,"*"&amp;$A583&amp;"*",'All Papers'!$G:$G,"*"&amp;Table1[[#Headers],[Energy Management]]&amp;"*")</f>
        <v>0</v>
      </c>
      <c r="L583" s="8">
        <f>COUNTIFS('All Papers'!$D:$D,"*"&amp;$A583&amp;"*",'All Papers'!$G:$G,"*"&amp;Table1[[#Headers],[Monitoring]]&amp;"*")</f>
        <v>0</v>
      </c>
      <c r="M583" s="8">
        <f>COUNTIFS('All Papers'!$D:$D,"*"&amp;$A583&amp;"*",'All Papers'!$G:$G,"*"&amp;Table1[[#Headers],[Pricing]]&amp;"*")</f>
        <v>0</v>
      </c>
    </row>
    <row r="584" spans="1:13" x14ac:dyDescent="0.25">
      <c r="A584" s="8" t="s">
        <v>3017</v>
      </c>
      <c r="B584" s="8">
        <f>COUNTIF('All Papers'!D:D,"*"&amp;Table1[[#This Row],[Name]]&amp;"*")</f>
        <v>1</v>
      </c>
      <c r="C584" s="8">
        <f>COUNTIFS('All Papers'!$D:$D,"*"&amp;$A584&amp;"*",'All Papers'!$G:$G,"*"&amp;Table1[[#Headers],[Composition]]&amp;"*")</f>
        <v>0</v>
      </c>
      <c r="D584" s="8">
        <f>COUNTIFS('All Papers'!$D:$D,"*"&amp;$A584&amp;"*",'All Papers'!$G:$G,"*"&amp;Table1[[#Headers],[Discovery]]&amp;"*")</f>
        <v>1</v>
      </c>
      <c r="E584" s="8">
        <f>COUNTIFS('All Papers'!$D:$D,"*"&amp;$A584&amp;"*",'All Papers'!$G:$G,"*"&amp;Table1[[#Headers],[Selection]]&amp;"*")</f>
        <v>1</v>
      </c>
      <c r="F584" s="8">
        <f>COUNTIFS('All Papers'!$D:$D,"*"&amp;$A584&amp;"*",'All Papers'!$G:$G,"*"&amp;Table1[[#Headers],[Recommendation]]&amp;"*")</f>
        <v>0</v>
      </c>
      <c r="G584" s="8">
        <f>COUNTIFS('All Papers'!$D:$D,"*"&amp;$A584&amp;"*",'All Papers'!$G:$G,"*"&amp;Table1[[#Headers],[Resource Management-CS]]&amp;"*")</f>
        <v>0</v>
      </c>
      <c r="H584" s="8">
        <f>COUNTIFS('All Papers'!$D:$D,"*"&amp;$A584&amp;"*",'All Papers'!$G:$G,"*"&amp;Table1[[#Headers],[Resource Management-PS]]&amp;"*")</f>
        <v>0</v>
      </c>
      <c r="I584" s="8">
        <f>COUNTIFS('All Papers'!$D:$D,"*"&amp;$A584&amp;"*",'All Papers'!$G:$G,"*"&amp;Table1[[#Headers],[SLA Management]]&amp;"*")</f>
        <v>0</v>
      </c>
      <c r="J584" s="8">
        <f>COUNTIFS('All Papers'!$D:$D,"*"&amp;$A584&amp;"*",'All Papers'!$G:$G,"*"&amp;Table1[[#Headers],[Big Data]]&amp;"*")</f>
        <v>0</v>
      </c>
      <c r="K584" s="8">
        <f>COUNTIFS('All Papers'!$D:$D,"*"&amp;$A584&amp;"*",'All Papers'!$G:$G,"*"&amp;Table1[[#Headers],[Energy Management]]&amp;"*")</f>
        <v>0</v>
      </c>
      <c r="L584" s="8">
        <f>COUNTIFS('All Papers'!$D:$D,"*"&amp;$A584&amp;"*",'All Papers'!$G:$G,"*"&amp;Table1[[#Headers],[Monitoring]]&amp;"*")</f>
        <v>0</v>
      </c>
      <c r="M584" s="8">
        <f>COUNTIFS('All Papers'!$D:$D,"*"&amp;$A584&amp;"*",'All Papers'!$G:$G,"*"&amp;Table1[[#Headers],[Pricing]]&amp;"*")</f>
        <v>0</v>
      </c>
    </row>
    <row r="585" spans="1:13" x14ac:dyDescent="0.25">
      <c r="A585" s="8" t="s">
        <v>3018</v>
      </c>
      <c r="B585" s="8">
        <f>COUNTIF('All Papers'!D:D,"*"&amp;Table1[[#This Row],[Name]]&amp;"*")</f>
        <v>1</v>
      </c>
      <c r="C585" s="8">
        <f>COUNTIFS('All Papers'!$D:$D,"*"&amp;$A585&amp;"*",'All Papers'!$G:$G,"*"&amp;Table1[[#Headers],[Composition]]&amp;"*")</f>
        <v>0</v>
      </c>
      <c r="D585" s="8">
        <f>COUNTIFS('All Papers'!$D:$D,"*"&amp;$A585&amp;"*",'All Papers'!$G:$G,"*"&amp;Table1[[#Headers],[Discovery]]&amp;"*")</f>
        <v>1</v>
      </c>
      <c r="E585" s="8">
        <f>COUNTIFS('All Papers'!$D:$D,"*"&amp;$A585&amp;"*",'All Papers'!$G:$G,"*"&amp;Table1[[#Headers],[Selection]]&amp;"*")</f>
        <v>1</v>
      </c>
      <c r="F585" s="8">
        <f>COUNTIFS('All Papers'!$D:$D,"*"&amp;$A585&amp;"*",'All Papers'!$G:$G,"*"&amp;Table1[[#Headers],[Recommendation]]&amp;"*")</f>
        <v>0</v>
      </c>
      <c r="G585" s="8">
        <f>COUNTIFS('All Papers'!$D:$D,"*"&amp;$A585&amp;"*",'All Papers'!$G:$G,"*"&amp;Table1[[#Headers],[Resource Management-CS]]&amp;"*")</f>
        <v>0</v>
      </c>
      <c r="H585" s="8">
        <f>COUNTIFS('All Papers'!$D:$D,"*"&amp;$A585&amp;"*",'All Papers'!$G:$G,"*"&amp;Table1[[#Headers],[Resource Management-PS]]&amp;"*")</f>
        <v>0</v>
      </c>
      <c r="I585" s="8">
        <f>COUNTIFS('All Papers'!$D:$D,"*"&amp;$A585&amp;"*",'All Papers'!$G:$G,"*"&amp;Table1[[#Headers],[SLA Management]]&amp;"*")</f>
        <v>0</v>
      </c>
      <c r="J585" s="8">
        <f>COUNTIFS('All Papers'!$D:$D,"*"&amp;$A585&amp;"*",'All Papers'!$G:$G,"*"&amp;Table1[[#Headers],[Big Data]]&amp;"*")</f>
        <v>0</v>
      </c>
      <c r="K585" s="8">
        <f>COUNTIFS('All Papers'!$D:$D,"*"&amp;$A585&amp;"*",'All Papers'!$G:$G,"*"&amp;Table1[[#Headers],[Energy Management]]&amp;"*")</f>
        <v>0</v>
      </c>
      <c r="L585" s="8">
        <f>COUNTIFS('All Papers'!$D:$D,"*"&amp;$A585&amp;"*",'All Papers'!$G:$G,"*"&amp;Table1[[#Headers],[Monitoring]]&amp;"*")</f>
        <v>0</v>
      </c>
      <c r="M585" s="8">
        <f>COUNTIFS('All Papers'!$D:$D,"*"&amp;$A585&amp;"*",'All Papers'!$G:$G,"*"&amp;Table1[[#Headers],[Pricing]]&amp;"*")</f>
        <v>0</v>
      </c>
    </row>
    <row r="586" spans="1:13" x14ac:dyDescent="0.25">
      <c r="A586" s="8" t="s">
        <v>3019</v>
      </c>
      <c r="B586" s="8">
        <f>COUNTIF('All Papers'!D:D,"*"&amp;Table1[[#This Row],[Name]]&amp;"*")</f>
        <v>1</v>
      </c>
      <c r="C586" s="8">
        <f>COUNTIFS('All Papers'!$D:$D,"*"&amp;$A586&amp;"*",'All Papers'!$G:$G,"*"&amp;Table1[[#Headers],[Composition]]&amp;"*")</f>
        <v>0</v>
      </c>
      <c r="D586" s="8">
        <f>COUNTIFS('All Papers'!$D:$D,"*"&amp;$A586&amp;"*",'All Papers'!$G:$G,"*"&amp;Table1[[#Headers],[Discovery]]&amp;"*")</f>
        <v>1</v>
      </c>
      <c r="E586" s="8">
        <f>COUNTIFS('All Papers'!$D:$D,"*"&amp;$A586&amp;"*",'All Papers'!$G:$G,"*"&amp;Table1[[#Headers],[Selection]]&amp;"*")</f>
        <v>1</v>
      </c>
      <c r="F586" s="8">
        <f>COUNTIFS('All Papers'!$D:$D,"*"&amp;$A586&amp;"*",'All Papers'!$G:$G,"*"&amp;Table1[[#Headers],[Recommendation]]&amp;"*")</f>
        <v>0</v>
      </c>
      <c r="G586" s="8">
        <f>COUNTIFS('All Papers'!$D:$D,"*"&amp;$A586&amp;"*",'All Papers'!$G:$G,"*"&amp;Table1[[#Headers],[Resource Management-CS]]&amp;"*")</f>
        <v>0</v>
      </c>
      <c r="H586" s="8">
        <f>COUNTIFS('All Papers'!$D:$D,"*"&amp;$A586&amp;"*",'All Papers'!$G:$G,"*"&amp;Table1[[#Headers],[Resource Management-PS]]&amp;"*")</f>
        <v>0</v>
      </c>
      <c r="I586" s="8">
        <f>COUNTIFS('All Papers'!$D:$D,"*"&amp;$A586&amp;"*",'All Papers'!$G:$G,"*"&amp;Table1[[#Headers],[SLA Management]]&amp;"*")</f>
        <v>0</v>
      </c>
      <c r="J586" s="8">
        <f>COUNTIFS('All Papers'!$D:$D,"*"&amp;$A586&amp;"*",'All Papers'!$G:$G,"*"&amp;Table1[[#Headers],[Big Data]]&amp;"*")</f>
        <v>0</v>
      </c>
      <c r="K586" s="8">
        <f>COUNTIFS('All Papers'!$D:$D,"*"&amp;$A586&amp;"*",'All Papers'!$G:$G,"*"&amp;Table1[[#Headers],[Energy Management]]&amp;"*")</f>
        <v>0</v>
      </c>
      <c r="L586" s="8">
        <f>COUNTIFS('All Papers'!$D:$D,"*"&amp;$A586&amp;"*",'All Papers'!$G:$G,"*"&amp;Table1[[#Headers],[Monitoring]]&amp;"*")</f>
        <v>0</v>
      </c>
      <c r="M586" s="8">
        <f>COUNTIFS('All Papers'!$D:$D,"*"&amp;$A586&amp;"*",'All Papers'!$G:$G,"*"&amp;Table1[[#Headers],[Pricing]]&amp;"*")</f>
        <v>0</v>
      </c>
    </row>
    <row r="587" spans="1:13" x14ac:dyDescent="0.25">
      <c r="A587" s="8" t="s">
        <v>3020</v>
      </c>
      <c r="B587" s="8">
        <f>COUNTIF('All Papers'!D:D,"*"&amp;Table1[[#This Row],[Name]]&amp;"*")</f>
        <v>1</v>
      </c>
      <c r="C587" s="8">
        <f>COUNTIFS('All Papers'!$D:$D,"*"&amp;$A587&amp;"*",'All Papers'!$G:$G,"*"&amp;Table1[[#Headers],[Composition]]&amp;"*")</f>
        <v>0</v>
      </c>
      <c r="D587" s="8">
        <f>COUNTIFS('All Papers'!$D:$D,"*"&amp;$A587&amp;"*",'All Papers'!$G:$G,"*"&amp;Table1[[#Headers],[Discovery]]&amp;"*")</f>
        <v>0</v>
      </c>
      <c r="E587" s="8">
        <f>COUNTIFS('All Papers'!$D:$D,"*"&amp;$A587&amp;"*",'All Papers'!$G:$G,"*"&amp;Table1[[#Headers],[Selection]]&amp;"*")</f>
        <v>0</v>
      </c>
      <c r="F587" s="8">
        <f>COUNTIFS('All Papers'!$D:$D,"*"&amp;$A587&amp;"*",'All Papers'!$G:$G,"*"&amp;Table1[[#Headers],[Recommendation]]&amp;"*")</f>
        <v>0</v>
      </c>
      <c r="G587" s="8">
        <f>COUNTIFS('All Papers'!$D:$D,"*"&amp;$A587&amp;"*",'All Papers'!$G:$G,"*"&amp;Table1[[#Headers],[Resource Management-CS]]&amp;"*")</f>
        <v>0</v>
      </c>
      <c r="H587" s="8">
        <f>COUNTIFS('All Papers'!$D:$D,"*"&amp;$A587&amp;"*",'All Papers'!$G:$G,"*"&amp;Table1[[#Headers],[Resource Management-PS]]&amp;"*")</f>
        <v>0</v>
      </c>
      <c r="I587" s="8">
        <f>COUNTIFS('All Papers'!$D:$D,"*"&amp;$A587&amp;"*",'All Papers'!$G:$G,"*"&amp;Table1[[#Headers],[SLA Management]]&amp;"*")</f>
        <v>0</v>
      </c>
      <c r="J587" s="8">
        <f>COUNTIFS('All Papers'!$D:$D,"*"&amp;$A587&amp;"*",'All Papers'!$G:$G,"*"&amp;Table1[[#Headers],[Big Data]]&amp;"*")</f>
        <v>0</v>
      </c>
      <c r="K587" s="8">
        <f>COUNTIFS('All Papers'!$D:$D,"*"&amp;$A587&amp;"*",'All Papers'!$G:$G,"*"&amp;Table1[[#Headers],[Energy Management]]&amp;"*")</f>
        <v>0</v>
      </c>
      <c r="L587" s="8">
        <f>COUNTIFS('All Papers'!$D:$D,"*"&amp;$A587&amp;"*",'All Papers'!$G:$G,"*"&amp;Table1[[#Headers],[Monitoring]]&amp;"*")</f>
        <v>0</v>
      </c>
      <c r="M587" s="8">
        <f>COUNTIFS('All Papers'!$D:$D,"*"&amp;$A587&amp;"*",'All Papers'!$G:$G,"*"&amp;Table1[[#Headers],[Pricing]]&amp;"*")</f>
        <v>1</v>
      </c>
    </row>
    <row r="588" spans="1:13" x14ac:dyDescent="0.25">
      <c r="A588" s="8" t="s">
        <v>3021</v>
      </c>
      <c r="B588" s="8">
        <f>COUNTIF('All Papers'!D:D,"*"&amp;Table1[[#This Row],[Name]]&amp;"*")</f>
        <v>1</v>
      </c>
      <c r="C588" s="8">
        <f>COUNTIFS('All Papers'!$D:$D,"*"&amp;$A588&amp;"*",'All Papers'!$G:$G,"*"&amp;Table1[[#Headers],[Composition]]&amp;"*")</f>
        <v>0</v>
      </c>
      <c r="D588" s="8">
        <f>COUNTIFS('All Papers'!$D:$D,"*"&amp;$A588&amp;"*",'All Papers'!$G:$G,"*"&amp;Table1[[#Headers],[Discovery]]&amp;"*")</f>
        <v>0</v>
      </c>
      <c r="E588" s="8">
        <f>COUNTIFS('All Papers'!$D:$D,"*"&amp;$A588&amp;"*",'All Papers'!$G:$G,"*"&amp;Table1[[#Headers],[Selection]]&amp;"*")</f>
        <v>0</v>
      </c>
      <c r="F588" s="8">
        <f>COUNTIFS('All Papers'!$D:$D,"*"&amp;$A588&amp;"*",'All Papers'!$G:$G,"*"&amp;Table1[[#Headers],[Recommendation]]&amp;"*")</f>
        <v>0</v>
      </c>
      <c r="G588" s="8">
        <f>COUNTIFS('All Papers'!$D:$D,"*"&amp;$A588&amp;"*",'All Papers'!$G:$G,"*"&amp;Table1[[#Headers],[Resource Management-CS]]&amp;"*")</f>
        <v>0</v>
      </c>
      <c r="H588" s="8">
        <f>COUNTIFS('All Papers'!$D:$D,"*"&amp;$A588&amp;"*",'All Papers'!$G:$G,"*"&amp;Table1[[#Headers],[Resource Management-PS]]&amp;"*")</f>
        <v>0</v>
      </c>
      <c r="I588" s="8">
        <f>COUNTIFS('All Papers'!$D:$D,"*"&amp;$A588&amp;"*",'All Papers'!$G:$G,"*"&amp;Table1[[#Headers],[SLA Management]]&amp;"*")</f>
        <v>0</v>
      </c>
      <c r="J588" s="8">
        <f>COUNTIFS('All Papers'!$D:$D,"*"&amp;$A588&amp;"*",'All Papers'!$G:$G,"*"&amp;Table1[[#Headers],[Big Data]]&amp;"*")</f>
        <v>0</v>
      </c>
      <c r="K588" s="8">
        <f>COUNTIFS('All Papers'!$D:$D,"*"&amp;$A588&amp;"*",'All Papers'!$G:$G,"*"&amp;Table1[[#Headers],[Energy Management]]&amp;"*")</f>
        <v>0</v>
      </c>
      <c r="L588" s="8">
        <f>COUNTIFS('All Papers'!$D:$D,"*"&amp;$A588&amp;"*",'All Papers'!$G:$G,"*"&amp;Table1[[#Headers],[Monitoring]]&amp;"*")</f>
        <v>0</v>
      </c>
      <c r="M588" s="8">
        <f>COUNTIFS('All Papers'!$D:$D,"*"&amp;$A588&amp;"*",'All Papers'!$G:$G,"*"&amp;Table1[[#Headers],[Pricing]]&amp;"*")</f>
        <v>1</v>
      </c>
    </row>
    <row r="589" spans="1:13" x14ac:dyDescent="0.25">
      <c r="A589" s="8" t="s">
        <v>3022</v>
      </c>
      <c r="B589" s="8">
        <f>COUNTIF('All Papers'!D:D,"*"&amp;Table1[[#This Row],[Name]]&amp;"*")</f>
        <v>1</v>
      </c>
      <c r="C589" s="8">
        <f>COUNTIFS('All Papers'!$D:$D,"*"&amp;$A589&amp;"*",'All Papers'!$G:$G,"*"&amp;Table1[[#Headers],[Composition]]&amp;"*")</f>
        <v>0</v>
      </c>
      <c r="D589" s="8">
        <f>COUNTIFS('All Papers'!$D:$D,"*"&amp;$A589&amp;"*",'All Papers'!$G:$G,"*"&amp;Table1[[#Headers],[Discovery]]&amp;"*")</f>
        <v>0</v>
      </c>
      <c r="E589" s="8">
        <f>COUNTIFS('All Papers'!$D:$D,"*"&amp;$A589&amp;"*",'All Papers'!$G:$G,"*"&amp;Table1[[#Headers],[Selection]]&amp;"*")</f>
        <v>0</v>
      </c>
      <c r="F589" s="8">
        <f>COUNTIFS('All Papers'!$D:$D,"*"&amp;$A589&amp;"*",'All Papers'!$G:$G,"*"&amp;Table1[[#Headers],[Recommendation]]&amp;"*")</f>
        <v>0</v>
      </c>
      <c r="G589" s="8">
        <f>COUNTIFS('All Papers'!$D:$D,"*"&amp;$A589&amp;"*",'All Papers'!$G:$G,"*"&amp;Table1[[#Headers],[Resource Management-CS]]&amp;"*")</f>
        <v>0</v>
      </c>
      <c r="H589" s="8">
        <f>COUNTIFS('All Papers'!$D:$D,"*"&amp;$A589&amp;"*",'All Papers'!$G:$G,"*"&amp;Table1[[#Headers],[Resource Management-PS]]&amp;"*")</f>
        <v>0</v>
      </c>
      <c r="I589" s="8">
        <f>COUNTIFS('All Papers'!$D:$D,"*"&amp;$A589&amp;"*",'All Papers'!$G:$G,"*"&amp;Table1[[#Headers],[SLA Management]]&amp;"*")</f>
        <v>0</v>
      </c>
      <c r="J589" s="8">
        <f>COUNTIFS('All Papers'!$D:$D,"*"&amp;$A589&amp;"*",'All Papers'!$G:$G,"*"&amp;Table1[[#Headers],[Big Data]]&amp;"*")</f>
        <v>0</v>
      </c>
      <c r="K589" s="8">
        <f>COUNTIFS('All Papers'!$D:$D,"*"&amp;$A589&amp;"*",'All Papers'!$G:$G,"*"&amp;Table1[[#Headers],[Energy Management]]&amp;"*")</f>
        <v>0</v>
      </c>
      <c r="L589" s="8">
        <f>COUNTIFS('All Papers'!$D:$D,"*"&amp;$A589&amp;"*",'All Papers'!$G:$G,"*"&amp;Table1[[#Headers],[Monitoring]]&amp;"*")</f>
        <v>0</v>
      </c>
      <c r="M589" s="8">
        <f>COUNTIFS('All Papers'!$D:$D,"*"&amp;$A589&amp;"*",'All Papers'!$G:$G,"*"&amp;Table1[[#Headers],[Pricing]]&amp;"*")</f>
        <v>1</v>
      </c>
    </row>
    <row r="590" spans="1:13" x14ac:dyDescent="0.25">
      <c r="A590" s="8" t="s">
        <v>3023</v>
      </c>
      <c r="B590" s="8">
        <f>COUNTIF('All Papers'!D:D,"*"&amp;Table1[[#This Row],[Name]]&amp;"*")</f>
        <v>1</v>
      </c>
      <c r="C590" s="8">
        <f>COUNTIFS('All Papers'!$D:$D,"*"&amp;$A590&amp;"*",'All Papers'!$G:$G,"*"&amp;Table1[[#Headers],[Composition]]&amp;"*")</f>
        <v>0</v>
      </c>
      <c r="D590" s="8">
        <f>COUNTIFS('All Papers'!$D:$D,"*"&amp;$A590&amp;"*",'All Papers'!$G:$G,"*"&amp;Table1[[#Headers],[Discovery]]&amp;"*")</f>
        <v>0</v>
      </c>
      <c r="E590" s="8">
        <f>COUNTIFS('All Papers'!$D:$D,"*"&amp;$A590&amp;"*",'All Papers'!$G:$G,"*"&amp;Table1[[#Headers],[Selection]]&amp;"*")</f>
        <v>0</v>
      </c>
      <c r="F590" s="8">
        <f>COUNTIFS('All Papers'!$D:$D,"*"&amp;$A590&amp;"*",'All Papers'!$G:$G,"*"&amp;Table1[[#Headers],[Recommendation]]&amp;"*")</f>
        <v>0</v>
      </c>
      <c r="G590" s="8">
        <f>COUNTIFS('All Papers'!$D:$D,"*"&amp;$A590&amp;"*",'All Papers'!$G:$G,"*"&amp;Table1[[#Headers],[Resource Management-CS]]&amp;"*")</f>
        <v>0</v>
      </c>
      <c r="H590" s="8">
        <f>COUNTIFS('All Papers'!$D:$D,"*"&amp;$A590&amp;"*",'All Papers'!$G:$G,"*"&amp;Table1[[#Headers],[Resource Management-PS]]&amp;"*")</f>
        <v>0</v>
      </c>
      <c r="I590" s="8">
        <f>COUNTIFS('All Papers'!$D:$D,"*"&amp;$A590&amp;"*",'All Papers'!$G:$G,"*"&amp;Table1[[#Headers],[SLA Management]]&amp;"*")</f>
        <v>0</v>
      </c>
      <c r="J590" s="8">
        <f>COUNTIFS('All Papers'!$D:$D,"*"&amp;$A590&amp;"*",'All Papers'!$G:$G,"*"&amp;Table1[[#Headers],[Big Data]]&amp;"*")</f>
        <v>0</v>
      </c>
      <c r="K590" s="8">
        <f>COUNTIFS('All Papers'!$D:$D,"*"&amp;$A590&amp;"*",'All Papers'!$G:$G,"*"&amp;Table1[[#Headers],[Energy Management]]&amp;"*")</f>
        <v>0</v>
      </c>
      <c r="L590" s="8">
        <f>COUNTIFS('All Papers'!$D:$D,"*"&amp;$A590&amp;"*",'All Papers'!$G:$G,"*"&amp;Table1[[#Headers],[Monitoring]]&amp;"*")</f>
        <v>0</v>
      </c>
      <c r="M590" s="8">
        <f>COUNTIFS('All Papers'!$D:$D,"*"&amp;$A590&amp;"*",'All Papers'!$G:$G,"*"&amp;Table1[[#Headers],[Pricing]]&amp;"*")</f>
        <v>1</v>
      </c>
    </row>
    <row r="591" spans="1:13" x14ac:dyDescent="0.25">
      <c r="A591" s="8" t="s">
        <v>3024</v>
      </c>
      <c r="B591" s="8">
        <f>COUNTIF('All Papers'!D:D,"*"&amp;Table1[[#This Row],[Name]]&amp;"*")</f>
        <v>1</v>
      </c>
      <c r="C591" s="8">
        <f>COUNTIFS('All Papers'!$D:$D,"*"&amp;$A591&amp;"*",'All Papers'!$G:$G,"*"&amp;Table1[[#Headers],[Composition]]&amp;"*")</f>
        <v>0</v>
      </c>
      <c r="D591" s="8">
        <f>COUNTIFS('All Papers'!$D:$D,"*"&amp;$A591&amp;"*",'All Papers'!$G:$G,"*"&amp;Table1[[#Headers],[Discovery]]&amp;"*")</f>
        <v>0</v>
      </c>
      <c r="E591" s="8">
        <f>COUNTIFS('All Papers'!$D:$D,"*"&amp;$A591&amp;"*",'All Papers'!$G:$G,"*"&amp;Table1[[#Headers],[Selection]]&amp;"*")</f>
        <v>0</v>
      </c>
      <c r="F591" s="8">
        <f>COUNTIFS('All Papers'!$D:$D,"*"&amp;$A591&amp;"*",'All Papers'!$G:$G,"*"&amp;Table1[[#Headers],[Recommendation]]&amp;"*")</f>
        <v>1</v>
      </c>
      <c r="G591" s="8">
        <f>COUNTIFS('All Papers'!$D:$D,"*"&amp;$A591&amp;"*",'All Papers'!$G:$G,"*"&amp;Table1[[#Headers],[Resource Management-CS]]&amp;"*")</f>
        <v>0</v>
      </c>
      <c r="H591" s="8">
        <f>COUNTIFS('All Papers'!$D:$D,"*"&amp;$A591&amp;"*",'All Papers'!$G:$G,"*"&amp;Table1[[#Headers],[Resource Management-PS]]&amp;"*")</f>
        <v>0</v>
      </c>
      <c r="I591" s="8">
        <f>COUNTIFS('All Papers'!$D:$D,"*"&amp;$A591&amp;"*",'All Papers'!$G:$G,"*"&amp;Table1[[#Headers],[SLA Management]]&amp;"*")</f>
        <v>0</v>
      </c>
      <c r="J591" s="8">
        <f>COUNTIFS('All Papers'!$D:$D,"*"&amp;$A591&amp;"*",'All Papers'!$G:$G,"*"&amp;Table1[[#Headers],[Big Data]]&amp;"*")</f>
        <v>0</v>
      </c>
      <c r="K591" s="8">
        <f>COUNTIFS('All Papers'!$D:$D,"*"&amp;$A591&amp;"*",'All Papers'!$G:$G,"*"&amp;Table1[[#Headers],[Energy Management]]&amp;"*")</f>
        <v>0</v>
      </c>
      <c r="L591" s="8">
        <f>COUNTIFS('All Papers'!$D:$D,"*"&amp;$A591&amp;"*",'All Papers'!$G:$G,"*"&amp;Table1[[#Headers],[Monitoring]]&amp;"*")</f>
        <v>0</v>
      </c>
      <c r="M591" s="8">
        <f>COUNTIFS('All Papers'!$D:$D,"*"&amp;$A591&amp;"*",'All Papers'!$G:$G,"*"&amp;Table1[[#Headers],[Pricing]]&amp;"*")</f>
        <v>0</v>
      </c>
    </row>
    <row r="592" spans="1:13" x14ac:dyDescent="0.25">
      <c r="A592" s="8" t="s">
        <v>3025</v>
      </c>
      <c r="B592" s="8">
        <f>COUNTIF('All Papers'!D:D,"*"&amp;Table1[[#This Row],[Name]]&amp;"*")</f>
        <v>1</v>
      </c>
      <c r="C592" s="8">
        <f>COUNTIFS('All Papers'!$D:$D,"*"&amp;$A592&amp;"*",'All Papers'!$G:$G,"*"&amp;Table1[[#Headers],[Composition]]&amp;"*")</f>
        <v>0</v>
      </c>
      <c r="D592" s="8">
        <f>COUNTIFS('All Papers'!$D:$D,"*"&amp;$A592&amp;"*",'All Papers'!$G:$G,"*"&amp;Table1[[#Headers],[Discovery]]&amp;"*")</f>
        <v>0</v>
      </c>
      <c r="E592" s="8">
        <f>COUNTIFS('All Papers'!$D:$D,"*"&amp;$A592&amp;"*",'All Papers'!$G:$G,"*"&amp;Table1[[#Headers],[Selection]]&amp;"*")</f>
        <v>0</v>
      </c>
      <c r="F592" s="8">
        <f>COUNTIFS('All Papers'!$D:$D,"*"&amp;$A592&amp;"*",'All Papers'!$G:$G,"*"&amp;Table1[[#Headers],[Recommendation]]&amp;"*")</f>
        <v>0</v>
      </c>
      <c r="G592" s="8">
        <f>COUNTIFS('All Papers'!$D:$D,"*"&amp;$A592&amp;"*",'All Papers'!$G:$G,"*"&amp;Table1[[#Headers],[Resource Management-CS]]&amp;"*")</f>
        <v>1</v>
      </c>
      <c r="H592" s="8">
        <f>COUNTIFS('All Papers'!$D:$D,"*"&amp;$A592&amp;"*",'All Papers'!$G:$G,"*"&amp;Table1[[#Headers],[Resource Management-PS]]&amp;"*")</f>
        <v>0</v>
      </c>
      <c r="I592" s="8">
        <f>COUNTIFS('All Papers'!$D:$D,"*"&amp;$A592&amp;"*",'All Papers'!$G:$G,"*"&amp;Table1[[#Headers],[SLA Management]]&amp;"*")</f>
        <v>0</v>
      </c>
      <c r="J592" s="8">
        <f>COUNTIFS('All Papers'!$D:$D,"*"&amp;$A592&amp;"*",'All Papers'!$G:$G,"*"&amp;Table1[[#Headers],[Big Data]]&amp;"*")</f>
        <v>0</v>
      </c>
      <c r="K592" s="8">
        <f>COUNTIFS('All Papers'!$D:$D,"*"&amp;$A592&amp;"*",'All Papers'!$G:$G,"*"&amp;Table1[[#Headers],[Energy Management]]&amp;"*")</f>
        <v>0</v>
      </c>
      <c r="L592" s="8">
        <f>COUNTIFS('All Papers'!$D:$D,"*"&amp;$A592&amp;"*",'All Papers'!$G:$G,"*"&amp;Table1[[#Headers],[Monitoring]]&amp;"*")</f>
        <v>0</v>
      </c>
      <c r="M592" s="8">
        <f>COUNTIFS('All Papers'!$D:$D,"*"&amp;$A592&amp;"*",'All Papers'!$G:$G,"*"&amp;Table1[[#Headers],[Pricing]]&amp;"*")</f>
        <v>0</v>
      </c>
    </row>
    <row r="593" spans="1:13" x14ac:dyDescent="0.25">
      <c r="A593" s="8" t="s">
        <v>3026</v>
      </c>
      <c r="B593" s="8">
        <f>COUNTIF('All Papers'!D:D,"*"&amp;Table1[[#This Row],[Name]]&amp;"*")</f>
        <v>1</v>
      </c>
      <c r="C593" s="8">
        <f>COUNTIFS('All Papers'!$D:$D,"*"&amp;$A593&amp;"*",'All Papers'!$G:$G,"*"&amp;Table1[[#Headers],[Composition]]&amp;"*")</f>
        <v>0</v>
      </c>
      <c r="D593" s="8">
        <f>COUNTIFS('All Papers'!$D:$D,"*"&amp;$A593&amp;"*",'All Papers'!$G:$G,"*"&amp;Table1[[#Headers],[Discovery]]&amp;"*")</f>
        <v>0</v>
      </c>
      <c r="E593" s="8">
        <f>COUNTIFS('All Papers'!$D:$D,"*"&amp;$A593&amp;"*",'All Papers'!$G:$G,"*"&amp;Table1[[#Headers],[Selection]]&amp;"*")</f>
        <v>0</v>
      </c>
      <c r="F593" s="8">
        <f>COUNTIFS('All Papers'!$D:$D,"*"&amp;$A593&amp;"*",'All Papers'!$G:$G,"*"&amp;Table1[[#Headers],[Recommendation]]&amp;"*")</f>
        <v>0</v>
      </c>
      <c r="G593" s="8">
        <f>COUNTIFS('All Papers'!$D:$D,"*"&amp;$A593&amp;"*",'All Papers'!$G:$G,"*"&amp;Table1[[#Headers],[Resource Management-CS]]&amp;"*")</f>
        <v>1</v>
      </c>
      <c r="H593" s="8">
        <f>COUNTIFS('All Papers'!$D:$D,"*"&amp;$A593&amp;"*",'All Papers'!$G:$G,"*"&amp;Table1[[#Headers],[Resource Management-PS]]&amp;"*")</f>
        <v>0</v>
      </c>
      <c r="I593" s="8">
        <f>COUNTIFS('All Papers'!$D:$D,"*"&amp;$A593&amp;"*",'All Papers'!$G:$G,"*"&amp;Table1[[#Headers],[SLA Management]]&amp;"*")</f>
        <v>0</v>
      </c>
      <c r="J593" s="8">
        <f>COUNTIFS('All Papers'!$D:$D,"*"&amp;$A593&amp;"*",'All Papers'!$G:$G,"*"&amp;Table1[[#Headers],[Big Data]]&amp;"*")</f>
        <v>0</v>
      </c>
      <c r="K593" s="8">
        <f>COUNTIFS('All Papers'!$D:$D,"*"&amp;$A593&amp;"*",'All Papers'!$G:$G,"*"&amp;Table1[[#Headers],[Energy Management]]&amp;"*")</f>
        <v>0</v>
      </c>
      <c r="L593" s="8">
        <f>COUNTIFS('All Papers'!$D:$D,"*"&amp;$A593&amp;"*",'All Papers'!$G:$G,"*"&amp;Table1[[#Headers],[Monitoring]]&amp;"*")</f>
        <v>0</v>
      </c>
      <c r="M593" s="8">
        <f>COUNTIFS('All Papers'!$D:$D,"*"&amp;$A593&amp;"*",'All Papers'!$G:$G,"*"&amp;Table1[[#Headers],[Pricing]]&amp;"*")</f>
        <v>0</v>
      </c>
    </row>
    <row r="594" spans="1:13" x14ac:dyDescent="0.25">
      <c r="A594" s="8" t="s">
        <v>3027</v>
      </c>
      <c r="B594" s="8">
        <f>COUNTIF('All Papers'!D:D,"*"&amp;Table1[[#This Row],[Name]]&amp;"*")</f>
        <v>1</v>
      </c>
      <c r="C594" s="8">
        <f>COUNTIFS('All Papers'!$D:$D,"*"&amp;$A594&amp;"*",'All Papers'!$G:$G,"*"&amp;Table1[[#Headers],[Composition]]&amp;"*")</f>
        <v>0</v>
      </c>
      <c r="D594" s="8">
        <f>COUNTIFS('All Papers'!$D:$D,"*"&amp;$A594&amp;"*",'All Papers'!$G:$G,"*"&amp;Table1[[#Headers],[Discovery]]&amp;"*")</f>
        <v>0</v>
      </c>
      <c r="E594" s="8">
        <f>COUNTIFS('All Papers'!$D:$D,"*"&amp;$A594&amp;"*",'All Papers'!$G:$G,"*"&amp;Table1[[#Headers],[Selection]]&amp;"*")</f>
        <v>0</v>
      </c>
      <c r="F594" s="8">
        <f>COUNTIFS('All Papers'!$D:$D,"*"&amp;$A594&amp;"*",'All Papers'!$G:$G,"*"&amp;Table1[[#Headers],[Recommendation]]&amp;"*")</f>
        <v>0</v>
      </c>
      <c r="G594" s="8">
        <f>COUNTIFS('All Papers'!$D:$D,"*"&amp;$A594&amp;"*",'All Papers'!$G:$G,"*"&amp;Table1[[#Headers],[Resource Management-CS]]&amp;"*")</f>
        <v>1</v>
      </c>
      <c r="H594" s="8">
        <f>COUNTIFS('All Papers'!$D:$D,"*"&amp;$A594&amp;"*",'All Papers'!$G:$G,"*"&amp;Table1[[#Headers],[Resource Management-PS]]&amp;"*")</f>
        <v>0</v>
      </c>
      <c r="I594" s="8">
        <f>COUNTIFS('All Papers'!$D:$D,"*"&amp;$A594&amp;"*",'All Papers'!$G:$G,"*"&amp;Table1[[#Headers],[SLA Management]]&amp;"*")</f>
        <v>0</v>
      </c>
      <c r="J594" s="8">
        <f>COUNTIFS('All Papers'!$D:$D,"*"&amp;$A594&amp;"*",'All Papers'!$G:$G,"*"&amp;Table1[[#Headers],[Big Data]]&amp;"*")</f>
        <v>0</v>
      </c>
      <c r="K594" s="8">
        <f>COUNTIFS('All Papers'!$D:$D,"*"&amp;$A594&amp;"*",'All Papers'!$G:$G,"*"&amp;Table1[[#Headers],[Energy Management]]&amp;"*")</f>
        <v>0</v>
      </c>
      <c r="L594" s="8">
        <f>COUNTIFS('All Papers'!$D:$D,"*"&amp;$A594&amp;"*",'All Papers'!$G:$G,"*"&amp;Table1[[#Headers],[Monitoring]]&amp;"*")</f>
        <v>0</v>
      </c>
      <c r="M594" s="8">
        <f>COUNTIFS('All Papers'!$D:$D,"*"&amp;$A594&amp;"*",'All Papers'!$G:$G,"*"&amp;Table1[[#Headers],[Pricing]]&amp;"*")</f>
        <v>0</v>
      </c>
    </row>
    <row r="595" spans="1:13" x14ac:dyDescent="0.25">
      <c r="A595" s="8" t="s">
        <v>3028</v>
      </c>
      <c r="B595" s="8">
        <f>COUNTIF('All Papers'!D:D,"*"&amp;Table1[[#This Row],[Name]]&amp;"*")</f>
        <v>1</v>
      </c>
      <c r="C595" s="8">
        <f>COUNTIFS('All Papers'!$D:$D,"*"&amp;$A595&amp;"*",'All Papers'!$G:$G,"*"&amp;Table1[[#Headers],[Composition]]&amp;"*")</f>
        <v>0</v>
      </c>
      <c r="D595" s="8">
        <f>COUNTIFS('All Papers'!$D:$D,"*"&amp;$A595&amp;"*",'All Papers'!$G:$G,"*"&amp;Table1[[#Headers],[Discovery]]&amp;"*")</f>
        <v>0</v>
      </c>
      <c r="E595" s="8">
        <f>COUNTIFS('All Papers'!$D:$D,"*"&amp;$A595&amp;"*",'All Papers'!$G:$G,"*"&amp;Table1[[#Headers],[Selection]]&amp;"*")</f>
        <v>0</v>
      </c>
      <c r="F595" s="8">
        <f>COUNTIFS('All Papers'!$D:$D,"*"&amp;$A595&amp;"*",'All Papers'!$G:$G,"*"&amp;Table1[[#Headers],[Recommendation]]&amp;"*")</f>
        <v>0</v>
      </c>
      <c r="G595" s="8">
        <f>COUNTIFS('All Papers'!$D:$D,"*"&amp;$A595&amp;"*",'All Papers'!$G:$G,"*"&amp;Table1[[#Headers],[Resource Management-CS]]&amp;"*")</f>
        <v>1</v>
      </c>
      <c r="H595" s="8">
        <f>COUNTIFS('All Papers'!$D:$D,"*"&amp;$A595&amp;"*",'All Papers'!$G:$G,"*"&amp;Table1[[#Headers],[Resource Management-PS]]&amp;"*")</f>
        <v>0</v>
      </c>
      <c r="I595" s="8">
        <f>COUNTIFS('All Papers'!$D:$D,"*"&amp;$A595&amp;"*",'All Papers'!$G:$G,"*"&amp;Table1[[#Headers],[SLA Management]]&amp;"*")</f>
        <v>0</v>
      </c>
      <c r="J595" s="8">
        <f>COUNTIFS('All Papers'!$D:$D,"*"&amp;$A595&amp;"*",'All Papers'!$G:$G,"*"&amp;Table1[[#Headers],[Big Data]]&amp;"*")</f>
        <v>0</v>
      </c>
      <c r="K595" s="8">
        <f>COUNTIFS('All Papers'!$D:$D,"*"&amp;$A595&amp;"*",'All Papers'!$G:$G,"*"&amp;Table1[[#Headers],[Energy Management]]&amp;"*")</f>
        <v>0</v>
      </c>
      <c r="L595" s="8">
        <f>COUNTIFS('All Papers'!$D:$D,"*"&amp;$A595&amp;"*",'All Papers'!$G:$G,"*"&amp;Table1[[#Headers],[Monitoring]]&amp;"*")</f>
        <v>0</v>
      </c>
      <c r="M595" s="8">
        <f>COUNTIFS('All Papers'!$D:$D,"*"&amp;$A595&amp;"*",'All Papers'!$G:$G,"*"&amp;Table1[[#Headers],[Pricing]]&amp;"*")</f>
        <v>0</v>
      </c>
    </row>
    <row r="596" spans="1:13" x14ac:dyDescent="0.25">
      <c r="A596" s="8" t="s">
        <v>3029</v>
      </c>
      <c r="B596" s="8">
        <f>COUNTIF('All Papers'!D:D,"*"&amp;Table1[[#This Row],[Name]]&amp;"*")</f>
        <v>1</v>
      </c>
      <c r="C596" s="8">
        <f>COUNTIFS('All Papers'!$D:$D,"*"&amp;$A596&amp;"*",'All Papers'!$G:$G,"*"&amp;Table1[[#Headers],[Composition]]&amp;"*")</f>
        <v>0</v>
      </c>
      <c r="D596" s="8">
        <f>COUNTIFS('All Papers'!$D:$D,"*"&amp;$A596&amp;"*",'All Papers'!$G:$G,"*"&amp;Table1[[#Headers],[Discovery]]&amp;"*")</f>
        <v>0</v>
      </c>
      <c r="E596" s="8">
        <f>COUNTIFS('All Papers'!$D:$D,"*"&amp;$A596&amp;"*",'All Papers'!$G:$G,"*"&amp;Table1[[#Headers],[Selection]]&amp;"*")</f>
        <v>0</v>
      </c>
      <c r="F596" s="8">
        <f>COUNTIFS('All Papers'!$D:$D,"*"&amp;$A596&amp;"*",'All Papers'!$G:$G,"*"&amp;Table1[[#Headers],[Recommendation]]&amp;"*")</f>
        <v>0</v>
      </c>
      <c r="G596" s="8">
        <f>COUNTIFS('All Papers'!$D:$D,"*"&amp;$A596&amp;"*",'All Papers'!$G:$G,"*"&amp;Table1[[#Headers],[Resource Management-CS]]&amp;"*")</f>
        <v>1</v>
      </c>
      <c r="H596" s="8">
        <f>COUNTIFS('All Papers'!$D:$D,"*"&amp;$A596&amp;"*",'All Papers'!$G:$G,"*"&amp;Table1[[#Headers],[Resource Management-PS]]&amp;"*")</f>
        <v>0</v>
      </c>
      <c r="I596" s="8">
        <f>COUNTIFS('All Papers'!$D:$D,"*"&amp;$A596&amp;"*",'All Papers'!$G:$G,"*"&amp;Table1[[#Headers],[SLA Management]]&amp;"*")</f>
        <v>0</v>
      </c>
      <c r="J596" s="8">
        <f>COUNTIFS('All Papers'!$D:$D,"*"&amp;$A596&amp;"*",'All Papers'!$G:$G,"*"&amp;Table1[[#Headers],[Big Data]]&amp;"*")</f>
        <v>0</v>
      </c>
      <c r="K596" s="8">
        <f>COUNTIFS('All Papers'!$D:$D,"*"&amp;$A596&amp;"*",'All Papers'!$G:$G,"*"&amp;Table1[[#Headers],[Energy Management]]&amp;"*")</f>
        <v>0</v>
      </c>
      <c r="L596" s="8">
        <f>COUNTIFS('All Papers'!$D:$D,"*"&amp;$A596&amp;"*",'All Papers'!$G:$G,"*"&amp;Table1[[#Headers],[Monitoring]]&amp;"*")</f>
        <v>0</v>
      </c>
      <c r="M596" s="8">
        <f>COUNTIFS('All Papers'!$D:$D,"*"&amp;$A596&amp;"*",'All Papers'!$G:$G,"*"&amp;Table1[[#Headers],[Pricing]]&amp;"*")</f>
        <v>0</v>
      </c>
    </row>
    <row r="597" spans="1:13" x14ac:dyDescent="0.25">
      <c r="A597" s="8" t="s">
        <v>3030</v>
      </c>
      <c r="B597" s="8">
        <f>COUNTIF('All Papers'!D:D,"*"&amp;Table1[[#This Row],[Name]]&amp;"*")</f>
        <v>1</v>
      </c>
      <c r="C597" s="8">
        <f>COUNTIFS('All Papers'!$D:$D,"*"&amp;$A597&amp;"*",'All Papers'!$G:$G,"*"&amp;Table1[[#Headers],[Composition]]&amp;"*")</f>
        <v>0</v>
      </c>
      <c r="D597" s="8">
        <f>COUNTIFS('All Papers'!$D:$D,"*"&amp;$A597&amp;"*",'All Papers'!$G:$G,"*"&amp;Table1[[#Headers],[Discovery]]&amp;"*")</f>
        <v>0</v>
      </c>
      <c r="E597" s="8">
        <f>COUNTIFS('All Papers'!$D:$D,"*"&amp;$A597&amp;"*",'All Papers'!$G:$G,"*"&amp;Table1[[#Headers],[Selection]]&amp;"*")</f>
        <v>0</v>
      </c>
      <c r="F597" s="8">
        <f>COUNTIFS('All Papers'!$D:$D,"*"&amp;$A597&amp;"*",'All Papers'!$G:$G,"*"&amp;Table1[[#Headers],[Recommendation]]&amp;"*")</f>
        <v>0</v>
      </c>
      <c r="G597" s="8">
        <f>COUNTIFS('All Papers'!$D:$D,"*"&amp;$A597&amp;"*",'All Papers'!$G:$G,"*"&amp;Table1[[#Headers],[Resource Management-CS]]&amp;"*")</f>
        <v>1</v>
      </c>
      <c r="H597" s="8">
        <f>COUNTIFS('All Papers'!$D:$D,"*"&amp;$A597&amp;"*",'All Papers'!$G:$G,"*"&amp;Table1[[#Headers],[Resource Management-PS]]&amp;"*")</f>
        <v>0</v>
      </c>
      <c r="I597" s="8">
        <f>COUNTIFS('All Papers'!$D:$D,"*"&amp;$A597&amp;"*",'All Papers'!$G:$G,"*"&amp;Table1[[#Headers],[SLA Management]]&amp;"*")</f>
        <v>0</v>
      </c>
      <c r="J597" s="8">
        <f>COUNTIFS('All Papers'!$D:$D,"*"&amp;$A597&amp;"*",'All Papers'!$G:$G,"*"&amp;Table1[[#Headers],[Big Data]]&amp;"*")</f>
        <v>0</v>
      </c>
      <c r="K597" s="8">
        <f>COUNTIFS('All Papers'!$D:$D,"*"&amp;$A597&amp;"*",'All Papers'!$G:$G,"*"&amp;Table1[[#Headers],[Energy Management]]&amp;"*")</f>
        <v>0</v>
      </c>
      <c r="L597" s="8">
        <f>COUNTIFS('All Papers'!$D:$D,"*"&amp;$A597&amp;"*",'All Papers'!$G:$G,"*"&amp;Table1[[#Headers],[Monitoring]]&amp;"*")</f>
        <v>0</v>
      </c>
      <c r="M597" s="8">
        <f>COUNTIFS('All Papers'!$D:$D,"*"&amp;$A597&amp;"*",'All Papers'!$G:$G,"*"&amp;Table1[[#Headers],[Pricing]]&amp;"*")</f>
        <v>0</v>
      </c>
    </row>
    <row r="598" spans="1:13" x14ac:dyDescent="0.25">
      <c r="A598" s="8" t="s">
        <v>3031</v>
      </c>
      <c r="B598" s="8">
        <f>COUNTIF('All Papers'!D:D,"*"&amp;Table1[[#This Row],[Name]]&amp;"*")</f>
        <v>1</v>
      </c>
      <c r="C598" s="8">
        <f>COUNTIFS('All Papers'!$D:$D,"*"&amp;$A598&amp;"*",'All Papers'!$G:$G,"*"&amp;Table1[[#Headers],[Composition]]&amp;"*")</f>
        <v>0</v>
      </c>
      <c r="D598" s="8">
        <f>COUNTIFS('All Papers'!$D:$D,"*"&amp;$A598&amp;"*",'All Papers'!$G:$G,"*"&amp;Table1[[#Headers],[Discovery]]&amp;"*")</f>
        <v>0</v>
      </c>
      <c r="E598" s="8">
        <f>COUNTIFS('All Papers'!$D:$D,"*"&amp;$A598&amp;"*",'All Papers'!$G:$G,"*"&amp;Table1[[#Headers],[Selection]]&amp;"*")</f>
        <v>0</v>
      </c>
      <c r="F598" s="8">
        <f>COUNTIFS('All Papers'!$D:$D,"*"&amp;$A598&amp;"*",'All Papers'!$G:$G,"*"&amp;Table1[[#Headers],[Recommendation]]&amp;"*")</f>
        <v>0</v>
      </c>
      <c r="G598" s="8">
        <f>COUNTIFS('All Papers'!$D:$D,"*"&amp;$A598&amp;"*",'All Papers'!$G:$G,"*"&amp;Table1[[#Headers],[Resource Management-CS]]&amp;"*")</f>
        <v>1</v>
      </c>
      <c r="H598" s="8">
        <f>COUNTIFS('All Papers'!$D:$D,"*"&amp;$A598&amp;"*",'All Papers'!$G:$G,"*"&amp;Table1[[#Headers],[Resource Management-PS]]&amp;"*")</f>
        <v>0</v>
      </c>
      <c r="I598" s="8">
        <f>COUNTIFS('All Papers'!$D:$D,"*"&amp;$A598&amp;"*",'All Papers'!$G:$G,"*"&amp;Table1[[#Headers],[SLA Management]]&amp;"*")</f>
        <v>0</v>
      </c>
      <c r="J598" s="8">
        <f>COUNTIFS('All Papers'!$D:$D,"*"&amp;$A598&amp;"*",'All Papers'!$G:$G,"*"&amp;Table1[[#Headers],[Big Data]]&amp;"*")</f>
        <v>0</v>
      </c>
      <c r="K598" s="8">
        <f>COUNTIFS('All Papers'!$D:$D,"*"&amp;$A598&amp;"*",'All Papers'!$G:$G,"*"&amp;Table1[[#Headers],[Energy Management]]&amp;"*")</f>
        <v>0</v>
      </c>
      <c r="L598" s="8">
        <f>COUNTIFS('All Papers'!$D:$D,"*"&amp;$A598&amp;"*",'All Papers'!$G:$G,"*"&amp;Table1[[#Headers],[Monitoring]]&amp;"*")</f>
        <v>0</v>
      </c>
      <c r="M598" s="8">
        <f>COUNTIFS('All Papers'!$D:$D,"*"&amp;$A598&amp;"*",'All Papers'!$G:$G,"*"&amp;Table1[[#Headers],[Pricing]]&amp;"*")</f>
        <v>0</v>
      </c>
    </row>
    <row r="599" spans="1:13" x14ac:dyDescent="0.25">
      <c r="A599" s="8" t="s">
        <v>3032</v>
      </c>
      <c r="B599" s="8">
        <f>COUNTIF('All Papers'!D:D,"*"&amp;Table1[[#This Row],[Name]]&amp;"*")</f>
        <v>1</v>
      </c>
      <c r="C599" s="8">
        <f>COUNTIFS('All Papers'!$D:$D,"*"&amp;$A599&amp;"*",'All Papers'!$G:$G,"*"&amp;Table1[[#Headers],[Composition]]&amp;"*")</f>
        <v>0</v>
      </c>
      <c r="D599" s="8">
        <f>COUNTIFS('All Papers'!$D:$D,"*"&amp;$A599&amp;"*",'All Papers'!$G:$G,"*"&amp;Table1[[#Headers],[Discovery]]&amp;"*")</f>
        <v>0</v>
      </c>
      <c r="E599" s="8">
        <f>COUNTIFS('All Papers'!$D:$D,"*"&amp;$A599&amp;"*",'All Papers'!$G:$G,"*"&amp;Table1[[#Headers],[Selection]]&amp;"*")</f>
        <v>0</v>
      </c>
      <c r="F599" s="8">
        <f>COUNTIFS('All Papers'!$D:$D,"*"&amp;$A599&amp;"*",'All Papers'!$G:$G,"*"&amp;Table1[[#Headers],[Recommendation]]&amp;"*")</f>
        <v>0</v>
      </c>
      <c r="G599" s="8">
        <f>COUNTIFS('All Papers'!$D:$D,"*"&amp;$A599&amp;"*",'All Papers'!$G:$G,"*"&amp;Table1[[#Headers],[Resource Management-CS]]&amp;"*")</f>
        <v>1</v>
      </c>
      <c r="H599" s="8">
        <f>COUNTIFS('All Papers'!$D:$D,"*"&amp;$A599&amp;"*",'All Papers'!$G:$G,"*"&amp;Table1[[#Headers],[Resource Management-PS]]&amp;"*")</f>
        <v>0</v>
      </c>
      <c r="I599" s="8">
        <f>COUNTIFS('All Papers'!$D:$D,"*"&amp;$A599&amp;"*",'All Papers'!$G:$G,"*"&amp;Table1[[#Headers],[SLA Management]]&amp;"*")</f>
        <v>0</v>
      </c>
      <c r="J599" s="8">
        <f>COUNTIFS('All Papers'!$D:$D,"*"&amp;$A599&amp;"*",'All Papers'!$G:$G,"*"&amp;Table1[[#Headers],[Big Data]]&amp;"*")</f>
        <v>0</v>
      </c>
      <c r="K599" s="8">
        <f>COUNTIFS('All Papers'!$D:$D,"*"&amp;$A599&amp;"*",'All Papers'!$G:$G,"*"&amp;Table1[[#Headers],[Energy Management]]&amp;"*")</f>
        <v>0</v>
      </c>
      <c r="L599" s="8">
        <f>COUNTIFS('All Papers'!$D:$D,"*"&amp;$A599&amp;"*",'All Papers'!$G:$G,"*"&amp;Table1[[#Headers],[Monitoring]]&amp;"*")</f>
        <v>0</v>
      </c>
      <c r="M599" s="8">
        <f>COUNTIFS('All Papers'!$D:$D,"*"&amp;$A599&amp;"*",'All Papers'!$G:$G,"*"&amp;Table1[[#Headers],[Pricing]]&amp;"*")</f>
        <v>1</v>
      </c>
    </row>
    <row r="600" spans="1:13" x14ac:dyDescent="0.25">
      <c r="A600" s="8" t="s">
        <v>3033</v>
      </c>
      <c r="B600" s="8">
        <f>COUNTIF('All Papers'!D:D,"*"&amp;Table1[[#This Row],[Name]]&amp;"*")</f>
        <v>1</v>
      </c>
      <c r="C600" s="8">
        <f>COUNTIFS('All Papers'!$D:$D,"*"&amp;$A600&amp;"*",'All Papers'!$G:$G,"*"&amp;Table1[[#Headers],[Composition]]&amp;"*")</f>
        <v>0</v>
      </c>
      <c r="D600" s="8">
        <f>COUNTIFS('All Papers'!$D:$D,"*"&amp;$A600&amp;"*",'All Papers'!$G:$G,"*"&amp;Table1[[#Headers],[Discovery]]&amp;"*")</f>
        <v>0</v>
      </c>
      <c r="E600" s="8">
        <f>COUNTIFS('All Papers'!$D:$D,"*"&amp;$A600&amp;"*",'All Papers'!$G:$G,"*"&amp;Table1[[#Headers],[Selection]]&amp;"*")</f>
        <v>0</v>
      </c>
      <c r="F600" s="8">
        <f>COUNTIFS('All Papers'!$D:$D,"*"&amp;$A600&amp;"*",'All Papers'!$G:$G,"*"&amp;Table1[[#Headers],[Recommendation]]&amp;"*")</f>
        <v>0</v>
      </c>
      <c r="G600" s="8">
        <f>COUNTIFS('All Papers'!$D:$D,"*"&amp;$A600&amp;"*",'All Papers'!$G:$G,"*"&amp;Table1[[#Headers],[Resource Management-CS]]&amp;"*")</f>
        <v>1</v>
      </c>
      <c r="H600" s="8">
        <f>COUNTIFS('All Papers'!$D:$D,"*"&amp;$A600&amp;"*",'All Papers'!$G:$G,"*"&amp;Table1[[#Headers],[Resource Management-PS]]&amp;"*")</f>
        <v>0</v>
      </c>
      <c r="I600" s="8">
        <f>COUNTIFS('All Papers'!$D:$D,"*"&amp;$A600&amp;"*",'All Papers'!$G:$G,"*"&amp;Table1[[#Headers],[SLA Management]]&amp;"*")</f>
        <v>0</v>
      </c>
      <c r="J600" s="8">
        <f>COUNTIFS('All Papers'!$D:$D,"*"&amp;$A600&amp;"*",'All Papers'!$G:$G,"*"&amp;Table1[[#Headers],[Big Data]]&amp;"*")</f>
        <v>0</v>
      </c>
      <c r="K600" s="8">
        <f>COUNTIFS('All Papers'!$D:$D,"*"&amp;$A600&amp;"*",'All Papers'!$G:$G,"*"&amp;Table1[[#Headers],[Energy Management]]&amp;"*")</f>
        <v>0</v>
      </c>
      <c r="L600" s="8">
        <f>COUNTIFS('All Papers'!$D:$D,"*"&amp;$A600&amp;"*",'All Papers'!$G:$G,"*"&amp;Table1[[#Headers],[Monitoring]]&amp;"*")</f>
        <v>0</v>
      </c>
      <c r="M600" s="8">
        <f>COUNTIFS('All Papers'!$D:$D,"*"&amp;$A600&amp;"*",'All Papers'!$G:$G,"*"&amp;Table1[[#Headers],[Pricing]]&amp;"*")</f>
        <v>1</v>
      </c>
    </row>
    <row r="601" spans="1:13" x14ac:dyDescent="0.25">
      <c r="A601" s="8" t="s">
        <v>3034</v>
      </c>
      <c r="B601" s="8">
        <f>COUNTIF('All Papers'!D:D,"*"&amp;Table1[[#This Row],[Name]]&amp;"*")</f>
        <v>1</v>
      </c>
      <c r="C601" s="8">
        <f>COUNTIFS('All Papers'!$D:$D,"*"&amp;$A601&amp;"*",'All Papers'!$G:$G,"*"&amp;Table1[[#Headers],[Composition]]&amp;"*")</f>
        <v>0</v>
      </c>
      <c r="D601" s="8">
        <f>COUNTIFS('All Papers'!$D:$D,"*"&amp;$A601&amp;"*",'All Papers'!$G:$G,"*"&amp;Table1[[#Headers],[Discovery]]&amp;"*")</f>
        <v>0</v>
      </c>
      <c r="E601" s="8">
        <f>COUNTIFS('All Papers'!$D:$D,"*"&amp;$A601&amp;"*",'All Papers'!$G:$G,"*"&amp;Table1[[#Headers],[Selection]]&amp;"*")</f>
        <v>0</v>
      </c>
      <c r="F601" s="8">
        <f>COUNTIFS('All Papers'!$D:$D,"*"&amp;$A601&amp;"*",'All Papers'!$G:$G,"*"&amp;Table1[[#Headers],[Recommendation]]&amp;"*")</f>
        <v>0</v>
      </c>
      <c r="G601" s="8">
        <f>COUNTIFS('All Papers'!$D:$D,"*"&amp;$A601&amp;"*",'All Papers'!$G:$G,"*"&amp;Table1[[#Headers],[Resource Management-CS]]&amp;"*")</f>
        <v>1</v>
      </c>
      <c r="H601" s="8">
        <f>COUNTIFS('All Papers'!$D:$D,"*"&amp;$A601&amp;"*",'All Papers'!$G:$G,"*"&amp;Table1[[#Headers],[Resource Management-PS]]&amp;"*")</f>
        <v>0</v>
      </c>
      <c r="I601" s="8">
        <f>COUNTIFS('All Papers'!$D:$D,"*"&amp;$A601&amp;"*",'All Papers'!$G:$G,"*"&amp;Table1[[#Headers],[SLA Management]]&amp;"*")</f>
        <v>0</v>
      </c>
      <c r="J601" s="8">
        <f>COUNTIFS('All Papers'!$D:$D,"*"&amp;$A601&amp;"*",'All Papers'!$G:$G,"*"&amp;Table1[[#Headers],[Big Data]]&amp;"*")</f>
        <v>0</v>
      </c>
      <c r="K601" s="8">
        <f>COUNTIFS('All Papers'!$D:$D,"*"&amp;$A601&amp;"*",'All Papers'!$G:$G,"*"&amp;Table1[[#Headers],[Energy Management]]&amp;"*")</f>
        <v>0</v>
      </c>
      <c r="L601" s="8">
        <f>COUNTIFS('All Papers'!$D:$D,"*"&amp;$A601&amp;"*",'All Papers'!$G:$G,"*"&amp;Table1[[#Headers],[Monitoring]]&amp;"*")</f>
        <v>0</v>
      </c>
      <c r="M601" s="8">
        <f>COUNTIFS('All Papers'!$D:$D,"*"&amp;$A601&amp;"*",'All Papers'!$G:$G,"*"&amp;Table1[[#Headers],[Pricing]]&amp;"*")</f>
        <v>1</v>
      </c>
    </row>
    <row r="602" spans="1:13" x14ac:dyDescent="0.25">
      <c r="A602" s="8" t="s">
        <v>3035</v>
      </c>
      <c r="B602" s="8">
        <f>COUNTIF('All Papers'!D:D,"*"&amp;Table1[[#This Row],[Name]]&amp;"*")</f>
        <v>1</v>
      </c>
      <c r="C602" s="8">
        <f>COUNTIFS('All Papers'!$D:$D,"*"&amp;$A602&amp;"*",'All Papers'!$G:$G,"*"&amp;Table1[[#Headers],[Composition]]&amp;"*")</f>
        <v>0</v>
      </c>
      <c r="D602" s="8">
        <f>COUNTIFS('All Papers'!$D:$D,"*"&amp;$A602&amp;"*",'All Papers'!$G:$G,"*"&amp;Table1[[#Headers],[Discovery]]&amp;"*")</f>
        <v>0</v>
      </c>
      <c r="E602" s="8">
        <f>COUNTIFS('All Papers'!$D:$D,"*"&amp;$A602&amp;"*",'All Papers'!$G:$G,"*"&amp;Table1[[#Headers],[Selection]]&amp;"*")</f>
        <v>1</v>
      </c>
      <c r="F602" s="8">
        <f>COUNTIFS('All Papers'!$D:$D,"*"&amp;$A602&amp;"*",'All Papers'!$G:$G,"*"&amp;Table1[[#Headers],[Recommendation]]&amp;"*")</f>
        <v>0</v>
      </c>
      <c r="G602" s="8">
        <f>COUNTIFS('All Papers'!$D:$D,"*"&amp;$A602&amp;"*",'All Papers'!$G:$G,"*"&amp;Table1[[#Headers],[Resource Management-CS]]&amp;"*")</f>
        <v>1</v>
      </c>
      <c r="H602" s="8">
        <f>COUNTIFS('All Papers'!$D:$D,"*"&amp;$A602&amp;"*",'All Papers'!$G:$G,"*"&amp;Table1[[#Headers],[Resource Management-PS]]&amp;"*")</f>
        <v>0</v>
      </c>
      <c r="I602" s="8">
        <f>COUNTIFS('All Papers'!$D:$D,"*"&amp;$A602&amp;"*",'All Papers'!$G:$G,"*"&amp;Table1[[#Headers],[SLA Management]]&amp;"*")</f>
        <v>0</v>
      </c>
      <c r="J602" s="8">
        <f>COUNTIFS('All Papers'!$D:$D,"*"&amp;$A602&amp;"*",'All Papers'!$G:$G,"*"&amp;Table1[[#Headers],[Big Data]]&amp;"*")</f>
        <v>0</v>
      </c>
      <c r="K602" s="8">
        <f>COUNTIFS('All Papers'!$D:$D,"*"&amp;$A602&amp;"*",'All Papers'!$G:$G,"*"&amp;Table1[[#Headers],[Energy Management]]&amp;"*")</f>
        <v>0</v>
      </c>
      <c r="L602" s="8">
        <f>COUNTIFS('All Papers'!$D:$D,"*"&amp;$A602&amp;"*",'All Papers'!$G:$G,"*"&amp;Table1[[#Headers],[Monitoring]]&amp;"*")</f>
        <v>0</v>
      </c>
      <c r="M602" s="8">
        <f>COUNTIFS('All Papers'!$D:$D,"*"&amp;$A602&amp;"*",'All Papers'!$G:$G,"*"&amp;Table1[[#Headers],[Pricing]]&amp;"*")</f>
        <v>0</v>
      </c>
    </row>
    <row r="603" spans="1:13" x14ac:dyDescent="0.25">
      <c r="A603" s="8" t="s">
        <v>3036</v>
      </c>
      <c r="B603" s="8">
        <f>COUNTIF('All Papers'!D:D,"*"&amp;Table1[[#This Row],[Name]]&amp;"*")</f>
        <v>1</v>
      </c>
      <c r="C603" s="8">
        <f>COUNTIFS('All Papers'!$D:$D,"*"&amp;$A603&amp;"*",'All Papers'!$G:$G,"*"&amp;Table1[[#Headers],[Composition]]&amp;"*")</f>
        <v>0</v>
      </c>
      <c r="D603" s="8">
        <f>COUNTIFS('All Papers'!$D:$D,"*"&amp;$A603&amp;"*",'All Papers'!$G:$G,"*"&amp;Table1[[#Headers],[Discovery]]&amp;"*")</f>
        <v>0</v>
      </c>
      <c r="E603" s="8">
        <f>COUNTIFS('All Papers'!$D:$D,"*"&amp;$A603&amp;"*",'All Papers'!$G:$G,"*"&amp;Table1[[#Headers],[Selection]]&amp;"*")</f>
        <v>1</v>
      </c>
      <c r="F603" s="8">
        <f>COUNTIFS('All Papers'!$D:$D,"*"&amp;$A603&amp;"*",'All Papers'!$G:$G,"*"&amp;Table1[[#Headers],[Recommendation]]&amp;"*")</f>
        <v>0</v>
      </c>
      <c r="G603" s="8">
        <f>COUNTIFS('All Papers'!$D:$D,"*"&amp;$A603&amp;"*",'All Papers'!$G:$G,"*"&amp;Table1[[#Headers],[Resource Management-CS]]&amp;"*")</f>
        <v>1</v>
      </c>
      <c r="H603" s="8">
        <f>COUNTIFS('All Papers'!$D:$D,"*"&amp;$A603&amp;"*",'All Papers'!$G:$G,"*"&amp;Table1[[#Headers],[Resource Management-PS]]&amp;"*")</f>
        <v>0</v>
      </c>
      <c r="I603" s="8">
        <f>COUNTIFS('All Papers'!$D:$D,"*"&amp;$A603&amp;"*",'All Papers'!$G:$G,"*"&amp;Table1[[#Headers],[SLA Management]]&amp;"*")</f>
        <v>0</v>
      </c>
      <c r="J603" s="8">
        <f>COUNTIFS('All Papers'!$D:$D,"*"&amp;$A603&amp;"*",'All Papers'!$G:$G,"*"&amp;Table1[[#Headers],[Big Data]]&amp;"*")</f>
        <v>0</v>
      </c>
      <c r="K603" s="8">
        <f>COUNTIFS('All Papers'!$D:$D,"*"&amp;$A603&amp;"*",'All Papers'!$G:$G,"*"&amp;Table1[[#Headers],[Energy Management]]&amp;"*")</f>
        <v>0</v>
      </c>
      <c r="L603" s="8">
        <f>COUNTIFS('All Papers'!$D:$D,"*"&amp;$A603&amp;"*",'All Papers'!$G:$G,"*"&amp;Table1[[#Headers],[Monitoring]]&amp;"*")</f>
        <v>0</v>
      </c>
      <c r="M603" s="8">
        <f>COUNTIFS('All Papers'!$D:$D,"*"&amp;$A603&amp;"*",'All Papers'!$G:$G,"*"&amp;Table1[[#Headers],[Pricing]]&amp;"*")</f>
        <v>0</v>
      </c>
    </row>
    <row r="604" spans="1:13" x14ac:dyDescent="0.25">
      <c r="A604" s="8" t="s">
        <v>3037</v>
      </c>
      <c r="B604" s="8">
        <f>COUNTIF('All Papers'!D:D,"*"&amp;Table1[[#This Row],[Name]]&amp;"*")</f>
        <v>1</v>
      </c>
      <c r="C604" s="8">
        <f>COUNTIFS('All Papers'!$D:$D,"*"&amp;$A604&amp;"*",'All Papers'!$G:$G,"*"&amp;Table1[[#Headers],[Composition]]&amp;"*")</f>
        <v>0</v>
      </c>
      <c r="D604" s="8">
        <f>COUNTIFS('All Papers'!$D:$D,"*"&amp;$A604&amp;"*",'All Papers'!$G:$G,"*"&amp;Table1[[#Headers],[Discovery]]&amp;"*")</f>
        <v>0</v>
      </c>
      <c r="E604" s="8">
        <f>COUNTIFS('All Papers'!$D:$D,"*"&amp;$A604&amp;"*",'All Papers'!$G:$G,"*"&amp;Table1[[#Headers],[Selection]]&amp;"*")</f>
        <v>1</v>
      </c>
      <c r="F604" s="8">
        <f>COUNTIFS('All Papers'!$D:$D,"*"&amp;$A604&amp;"*",'All Papers'!$G:$G,"*"&amp;Table1[[#Headers],[Recommendation]]&amp;"*")</f>
        <v>0</v>
      </c>
      <c r="G604" s="8">
        <f>COUNTIFS('All Papers'!$D:$D,"*"&amp;$A604&amp;"*",'All Papers'!$G:$G,"*"&amp;Table1[[#Headers],[Resource Management-CS]]&amp;"*")</f>
        <v>1</v>
      </c>
      <c r="H604" s="8">
        <f>COUNTIFS('All Papers'!$D:$D,"*"&amp;$A604&amp;"*",'All Papers'!$G:$G,"*"&amp;Table1[[#Headers],[Resource Management-PS]]&amp;"*")</f>
        <v>0</v>
      </c>
      <c r="I604" s="8">
        <f>COUNTIFS('All Papers'!$D:$D,"*"&amp;$A604&amp;"*",'All Papers'!$G:$G,"*"&amp;Table1[[#Headers],[SLA Management]]&amp;"*")</f>
        <v>0</v>
      </c>
      <c r="J604" s="8">
        <f>COUNTIFS('All Papers'!$D:$D,"*"&amp;$A604&amp;"*",'All Papers'!$G:$G,"*"&amp;Table1[[#Headers],[Big Data]]&amp;"*")</f>
        <v>0</v>
      </c>
      <c r="K604" s="8">
        <f>COUNTIFS('All Papers'!$D:$D,"*"&amp;$A604&amp;"*",'All Papers'!$G:$G,"*"&amp;Table1[[#Headers],[Energy Management]]&amp;"*")</f>
        <v>0</v>
      </c>
      <c r="L604" s="8">
        <f>COUNTIFS('All Papers'!$D:$D,"*"&amp;$A604&amp;"*",'All Papers'!$G:$G,"*"&amp;Table1[[#Headers],[Monitoring]]&amp;"*")</f>
        <v>0</v>
      </c>
      <c r="M604" s="8">
        <f>COUNTIFS('All Papers'!$D:$D,"*"&amp;$A604&amp;"*",'All Papers'!$G:$G,"*"&amp;Table1[[#Headers],[Pricing]]&amp;"*")</f>
        <v>0</v>
      </c>
    </row>
    <row r="605" spans="1:13" x14ac:dyDescent="0.25">
      <c r="A605" s="8" t="s">
        <v>3038</v>
      </c>
      <c r="B605" s="8">
        <f>COUNTIF('All Papers'!D:D,"*"&amp;Table1[[#This Row],[Name]]&amp;"*")</f>
        <v>1</v>
      </c>
      <c r="C605" s="8">
        <f>COUNTIFS('All Papers'!$D:$D,"*"&amp;$A605&amp;"*",'All Papers'!$G:$G,"*"&amp;Table1[[#Headers],[Composition]]&amp;"*")</f>
        <v>0</v>
      </c>
      <c r="D605" s="8">
        <f>COUNTIFS('All Papers'!$D:$D,"*"&amp;$A605&amp;"*",'All Papers'!$G:$G,"*"&amp;Table1[[#Headers],[Discovery]]&amp;"*")</f>
        <v>0</v>
      </c>
      <c r="E605" s="8">
        <f>COUNTIFS('All Papers'!$D:$D,"*"&amp;$A605&amp;"*",'All Papers'!$G:$G,"*"&amp;Table1[[#Headers],[Selection]]&amp;"*")</f>
        <v>1</v>
      </c>
      <c r="F605" s="8">
        <f>COUNTIFS('All Papers'!$D:$D,"*"&amp;$A605&amp;"*",'All Papers'!$G:$G,"*"&amp;Table1[[#Headers],[Recommendation]]&amp;"*")</f>
        <v>0</v>
      </c>
      <c r="G605" s="8">
        <f>COUNTIFS('All Papers'!$D:$D,"*"&amp;$A605&amp;"*",'All Papers'!$G:$G,"*"&amp;Table1[[#Headers],[Resource Management-CS]]&amp;"*")</f>
        <v>1</v>
      </c>
      <c r="H605" s="8">
        <f>COUNTIFS('All Papers'!$D:$D,"*"&amp;$A605&amp;"*",'All Papers'!$G:$G,"*"&amp;Table1[[#Headers],[Resource Management-PS]]&amp;"*")</f>
        <v>0</v>
      </c>
      <c r="I605" s="8">
        <f>COUNTIFS('All Papers'!$D:$D,"*"&amp;$A605&amp;"*",'All Papers'!$G:$G,"*"&amp;Table1[[#Headers],[SLA Management]]&amp;"*")</f>
        <v>0</v>
      </c>
      <c r="J605" s="8">
        <f>COUNTIFS('All Papers'!$D:$D,"*"&amp;$A605&amp;"*",'All Papers'!$G:$G,"*"&amp;Table1[[#Headers],[Big Data]]&amp;"*")</f>
        <v>0</v>
      </c>
      <c r="K605" s="8">
        <f>COUNTIFS('All Papers'!$D:$D,"*"&amp;$A605&amp;"*",'All Papers'!$G:$G,"*"&amp;Table1[[#Headers],[Energy Management]]&amp;"*")</f>
        <v>0</v>
      </c>
      <c r="L605" s="8">
        <f>COUNTIFS('All Papers'!$D:$D,"*"&amp;$A605&amp;"*",'All Papers'!$G:$G,"*"&amp;Table1[[#Headers],[Monitoring]]&amp;"*")</f>
        <v>0</v>
      </c>
      <c r="M605" s="8">
        <f>COUNTIFS('All Papers'!$D:$D,"*"&amp;$A605&amp;"*",'All Papers'!$G:$G,"*"&amp;Table1[[#Headers],[Pricing]]&amp;"*")</f>
        <v>0</v>
      </c>
    </row>
    <row r="606" spans="1:13" x14ac:dyDescent="0.25">
      <c r="A606" s="8" t="s">
        <v>3039</v>
      </c>
      <c r="B606" s="8">
        <f>COUNTIF('All Papers'!D:D,"*"&amp;Table1[[#This Row],[Name]]&amp;"*")</f>
        <v>1</v>
      </c>
      <c r="C606" s="8">
        <f>COUNTIFS('All Papers'!$D:$D,"*"&amp;$A606&amp;"*",'All Papers'!$G:$G,"*"&amp;Table1[[#Headers],[Composition]]&amp;"*")</f>
        <v>0</v>
      </c>
      <c r="D606" s="8">
        <f>COUNTIFS('All Papers'!$D:$D,"*"&amp;$A606&amp;"*",'All Papers'!$G:$G,"*"&amp;Table1[[#Headers],[Discovery]]&amp;"*")</f>
        <v>0</v>
      </c>
      <c r="E606" s="8">
        <f>COUNTIFS('All Papers'!$D:$D,"*"&amp;$A606&amp;"*",'All Papers'!$G:$G,"*"&amp;Table1[[#Headers],[Selection]]&amp;"*")</f>
        <v>1</v>
      </c>
      <c r="F606" s="8">
        <f>COUNTIFS('All Papers'!$D:$D,"*"&amp;$A606&amp;"*",'All Papers'!$G:$G,"*"&amp;Table1[[#Headers],[Recommendation]]&amp;"*")</f>
        <v>0</v>
      </c>
      <c r="G606" s="8">
        <f>COUNTIFS('All Papers'!$D:$D,"*"&amp;$A606&amp;"*",'All Papers'!$G:$G,"*"&amp;Table1[[#Headers],[Resource Management-CS]]&amp;"*")</f>
        <v>1</v>
      </c>
      <c r="H606" s="8">
        <f>COUNTIFS('All Papers'!$D:$D,"*"&amp;$A606&amp;"*",'All Papers'!$G:$G,"*"&amp;Table1[[#Headers],[Resource Management-PS]]&amp;"*")</f>
        <v>0</v>
      </c>
      <c r="I606" s="8">
        <f>COUNTIFS('All Papers'!$D:$D,"*"&amp;$A606&amp;"*",'All Papers'!$G:$G,"*"&amp;Table1[[#Headers],[SLA Management]]&amp;"*")</f>
        <v>0</v>
      </c>
      <c r="J606" s="8">
        <f>COUNTIFS('All Papers'!$D:$D,"*"&amp;$A606&amp;"*",'All Papers'!$G:$G,"*"&amp;Table1[[#Headers],[Big Data]]&amp;"*")</f>
        <v>0</v>
      </c>
      <c r="K606" s="8">
        <f>COUNTIFS('All Papers'!$D:$D,"*"&amp;$A606&amp;"*",'All Papers'!$G:$G,"*"&amp;Table1[[#Headers],[Energy Management]]&amp;"*")</f>
        <v>0</v>
      </c>
      <c r="L606" s="8">
        <f>COUNTIFS('All Papers'!$D:$D,"*"&amp;$A606&amp;"*",'All Papers'!$G:$G,"*"&amp;Table1[[#Headers],[Monitoring]]&amp;"*")</f>
        <v>0</v>
      </c>
      <c r="M606" s="8">
        <f>COUNTIFS('All Papers'!$D:$D,"*"&amp;$A606&amp;"*",'All Papers'!$G:$G,"*"&amp;Table1[[#Headers],[Pricing]]&amp;"*")</f>
        <v>0</v>
      </c>
    </row>
    <row r="607" spans="1:13" x14ac:dyDescent="0.25">
      <c r="A607" s="8" t="s">
        <v>3040</v>
      </c>
      <c r="B607" s="8">
        <f>COUNTIF('All Papers'!D:D,"*"&amp;Table1[[#This Row],[Name]]&amp;"*")</f>
        <v>1</v>
      </c>
      <c r="C607" s="8">
        <f>COUNTIFS('All Papers'!$D:$D,"*"&amp;$A607&amp;"*",'All Papers'!$G:$G,"*"&amp;Table1[[#Headers],[Composition]]&amp;"*")</f>
        <v>0</v>
      </c>
      <c r="D607" s="8">
        <f>COUNTIFS('All Papers'!$D:$D,"*"&amp;$A607&amp;"*",'All Papers'!$G:$G,"*"&amp;Table1[[#Headers],[Discovery]]&amp;"*")</f>
        <v>0</v>
      </c>
      <c r="E607" s="8">
        <f>COUNTIFS('All Papers'!$D:$D,"*"&amp;$A607&amp;"*",'All Papers'!$G:$G,"*"&amp;Table1[[#Headers],[Selection]]&amp;"*")</f>
        <v>0</v>
      </c>
      <c r="F607" s="8">
        <f>COUNTIFS('All Papers'!$D:$D,"*"&amp;$A607&amp;"*",'All Papers'!$G:$G,"*"&amp;Table1[[#Headers],[Recommendation]]&amp;"*")</f>
        <v>0</v>
      </c>
      <c r="G607" s="8">
        <f>COUNTIFS('All Papers'!$D:$D,"*"&amp;$A607&amp;"*",'All Papers'!$G:$G,"*"&amp;Table1[[#Headers],[Resource Management-CS]]&amp;"*")</f>
        <v>0</v>
      </c>
      <c r="H607" s="8">
        <f>COUNTIFS('All Papers'!$D:$D,"*"&amp;$A607&amp;"*",'All Papers'!$G:$G,"*"&amp;Table1[[#Headers],[Resource Management-PS]]&amp;"*")</f>
        <v>1</v>
      </c>
      <c r="I607" s="8">
        <f>COUNTIFS('All Papers'!$D:$D,"*"&amp;$A607&amp;"*",'All Papers'!$G:$G,"*"&amp;Table1[[#Headers],[SLA Management]]&amp;"*")</f>
        <v>0</v>
      </c>
      <c r="J607" s="8">
        <f>COUNTIFS('All Papers'!$D:$D,"*"&amp;$A607&amp;"*",'All Papers'!$G:$G,"*"&amp;Table1[[#Headers],[Big Data]]&amp;"*")</f>
        <v>0</v>
      </c>
      <c r="K607" s="8">
        <f>COUNTIFS('All Papers'!$D:$D,"*"&amp;$A607&amp;"*",'All Papers'!$G:$G,"*"&amp;Table1[[#Headers],[Energy Management]]&amp;"*")</f>
        <v>0</v>
      </c>
      <c r="L607" s="8">
        <f>COUNTIFS('All Papers'!$D:$D,"*"&amp;$A607&amp;"*",'All Papers'!$G:$G,"*"&amp;Table1[[#Headers],[Monitoring]]&amp;"*")</f>
        <v>0</v>
      </c>
      <c r="M607" s="8">
        <f>COUNTIFS('All Papers'!$D:$D,"*"&amp;$A607&amp;"*",'All Papers'!$G:$G,"*"&amp;Table1[[#Headers],[Pricing]]&amp;"*")</f>
        <v>1</v>
      </c>
    </row>
    <row r="608" spans="1:13" x14ac:dyDescent="0.25">
      <c r="A608" s="8" t="s">
        <v>3041</v>
      </c>
      <c r="B608" s="8">
        <f>COUNTIF('All Papers'!D:D,"*"&amp;Table1[[#This Row],[Name]]&amp;"*")</f>
        <v>1</v>
      </c>
      <c r="C608" s="8">
        <f>COUNTIFS('All Papers'!$D:$D,"*"&amp;$A608&amp;"*",'All Papers'!$G:$G,"*"&amp;Table1[[#Headers],[Composition]]&amp;"*")</f>
        <v>0</v>
      </c>
      <c r="D608" s="8">
        <f>COUNTIFS('All Papers'!$D:$D,"*"&amp;$A608&amp;"*",'All Papers'!$G:$G,"*"&amp;Table1[[#Headers],[Discovery]]&amp;"*")</f>
        <v>0</v>
      </c>
      <c r="E608" s="8">
        <f>COUNTIFS('All Papers'!$D:$D,"*"&amp;$A608&amp;"*",'All Papers'!$G:$G,"*"&amp;Table1[[#Headers],[Selection]]&amp;"*")</f>
        <v>0</v>
      </c>
      <c r="F608" s="8">
        <f>COUNTIFS('All Papers'!$D:$D,"*"&amp;$A608&amp;"*",'All Papers'!$G:$G,"*"&amp;Table1[[#Headers],[Recommendation]]&amp;"*")</f>
        <v>0</v>
      </c>
      <c r="G608" s="8">
        <f>COUNTIFS('All Papers'!$D:$D,"*"&amp;$A608&amp;"*",'All Papers'!$G:$G,"*"&amp;Table1[[#Headers],[Resource Management-CS]]&amp;"*")</f>
        <v>0</v>
      </c>
      <c r="H608" s="8">
        <f>COUNTIFS('All Papers'!$D:$D,"*"&amp;$A608&amp;"*",'All Papers'!$G:$G,"*"&amp;Table1[[#Headers],[Resource Management-PS]]&amp;"*")</f>
        <v>1</v>
      </c>
      <c r="I608" s="8">
        <f>COUNTIFS('All Papers'!$D:$D,"*"&amp;$A608&amp;"*",'All Papers'!$G:$G,"*"&amp;Table1[[#Headers],[SLA Management]]&amp;"*")</f>
        <v>0</v>
      </c>
      <c r="J608" s="8">
        <f>COUNTIFS('All Papers'!$D:$D,"*"&amp;$A608&amp;"*",'All Papers'!$G:$G,"*"&amp;Table1[[#Headers],[Big Data]]&amp;"*")</f>
        <v>0</v>
      </c>
      <c r="K608" s="8">
        <f>COUNTIFS('All Papers'!$D:$D,"*"&amp;$A608&amp;"*",'All Papers'!$G:$G,"*"&amp;Table1[[#Headers],[Energy Management]]&amp;"*")</f>
        <v>0</v>
      </c>
      <c r="L608" s="8">
        <f>COUNTIFS('All Papers'!$D:$D,"*"&amp;$A608&amp;"*",'All Papers'!$G:$G,"*"&amp;Table1[[#Headers],[Monitoring]]&amp;"*")</f>
        <v>0</v>
      </c>
      <c r="M608" s="8">
        <f>COUNTIFS('All Papers'!$D:$D,"*"&amp;$A608&amp;"*",'All Papers'!$G:$G,"*"&amp;Table1[[#Headers],[Pricing]]&amp;"*")</f>
        <v>1</v>
      </c>
    </row>
    <row r="609" spans="1:13" x14ac:dyDescent="0.25">
      <c r="A609" s="8" t="s">
        <v>3042</v>
      </c>
      <c r="B609" s="8">
        <f>COUNTIF('All Papers'!D:D,"*"&amp;Table1[[#This Row],[Name]]&amp;"*")</f>
        <v>1</v>
      </c>
      <c r="C609" s="8">
        <f>COUNTIFS('All Papers'!$D:$D,"*"&amp;$A609&amp;"*",'All Papers'!$G:$G,"*"&amp;Table1[[#Headers],[Composition]]&amp;"*")</f>
        <v>0</v>
      </c>
      <c r="D609" s="8">
        <f>COUNTIFS('All Papers'!$D:$D,"*"&amp;$A609&amp;"*",'All Papers'!$G:$G,"*"&amp;Table1[[#Headers],[Discovery]]&amp;"*")</f>
        <v>0</v>
      </c>
      <c r="E609" s="8">
        <f>COUNTIFS('All Papers'!$D:$D,"*"&amp;$A609&amp;"*",'All Papers'!$G:$G,"*"&amp;Table1[[#Headers],[Selection]]&amp;"*")</f>
        <v>0</v>
      </c>
      <c r="F609" s="8">
        <f>COUNTIFS('All Papers'!$D:$D,"*"&amp;$A609&amp;"*",'All Papers'!$G:$G,"*"&amp;Table1[[#Headers],[Recommendation]]&amp;"*")</f>
        <v>0</v>
      </c>
      <c r="G609" s="8">
        <f>COUNTIFS('All Papers'!$D:$D,"*"&amp;$A609&amp;"*",'All Papers'!$G:$G,"*"&amp;Table1[[#Headers],[Resource Management-CS]]&amp;"*")</f>
        <v>0</v>
      </c>
      <c r="H609" s="8">
        <f>COUNTIFS('All Papers'!$D:$D,"*"&amp;$A609&amp;"*",'All Papers'!$G:$G,"*"&amp;Table1[[#Headers],[Resource Management-PS]]&amp;"*")</f>
        <v>1</v>
      </c>
      <c r="I609" s="8">
        <f>COUNTIFS('All Papers'!$D:$D,"*"&amp;$A609&amp;"*",'All Papers'!$G:$G,"*"&amp;Table1[[#Headers],[SLA Management]]&amp;"*")</f>
        <v>0</v>
      </c>
      <c r="J609" s="8">
        <f>COUNTIFS('All Papers'!$D:$D,"*"&amp;$A609&amp;"*",'All Papers'!$G:$G,"*"&amp;Table1[[#Headers],[Big Data]]&amp;"*")</f>
        <v>0</v>
      </c>
      <c r="K609" s="8">
        <f>COUNTIFS('All Papers'!$D:$D,"*"&amp;$A609&amp;"*",'All Papers'!$G:$G,"*"&amp;Table1[[#Headers],[Energy Management]]&amp;"*")</f>
        <v>0</v>
      </c>
      <c r="L609" s="8">
        <f>COUNTIFS('All Papers'!$D:$D,"*"&amp;$A609&amp;"*",'All Papers'!$G:$G,"*"&amp;Table1[[#Headers],[Monitoring]]&amp;"*")</f>
        <v>0</v>
      </c>
      <c r="M609" s="8">
        <f>COUNTIFS('All Papers'!$D:$D,"*"&amp;$A609&amp;"*",'All Papers'!$G:$G,"*"&amp;Table1[[#Headers],[Pricing]]&amp;"*")</f>
        <v>1</v>
      </c>
    </row>
    <row r="610" spans="1:13" x14ac:dyDescent="0.25">
      <c r="A610" s="8" t="s">
        <v>3043</v>
      </c>
      <c r="B610" s="8">
        <f>COUNTIF('All Papers'!D:D,"*"&amp;Table1[[#This Row],[Name]]&amp;"*")</f>
        <v>1</v>
      </c>
      <c r="C610" s="8">
        <f>COUNTIFS('All Papers'!$D:$D,"*"&amp;$A610&amp;"*",'All Papers'!$G:$G,"*"&amp;Table1[[#Headers],[Composition]]&amp;"*")</f>
        <v>0</v>
      </c>
      <c r="D610" s="8">
        <f>COUNTIFS('All Papers'!$D:$D,"*"&amp;$A610&amp;"*",'All Papers'!$G:$G,"*"&amp;Table1[[#Headers],[Discovery]]&amp;"*")</f>
        <v>0</v>
      </c>
      <c r="E610" s="8">
        <f>COUNTIFS('All Papers'!$D:$D,"*"&amp;$A610&amp;"*",'All Papers'!$G:$G,"*"&amp;Table1[[#Headers],[Selection]]&amp;"*")</f>
        <v>0</v>
      </c>
      <c r="F610" s="8">
        <f>COUNTIFS('All Papers'!$D:$D,"*"&amp;$A610&amp;"*",'All Papers'!$G:$G,"*"&amp;Table1[[#Headers],[Recommendation]]&amp;"*")</f>
        <v>0</v>
      </c>
      <c r="G610" s="8">
        <f>COUNTIFS('All Papers'!$D:$D,"*"&amp;$A610&amp;"*",'All Papers'!$G:$G,"*"&amp;Table1[[#Headers],[Resource Management-CS]]&amp;"*")</f>
        <v>1</v>
      </c>
      <c r="H610" s="8">
        <f>COUNTIFS('All Papers'!$D:$D,"*"&amp;$A610&amp;"*",'All Papers'!$G:$G,"*"&amp;Table1[[#Headers],[Resource Management-PS]]&amp;"*")</f>
        <v>0</v>
      </c>
      <c r="I610" s="8">
        <f>COUNTIFS('All Papers'!$D:$D,"*"&amp;$A610&amp;"*",'All Papers'!$G:$G,"*"&amp;Table1[[#Headers],[SLA Management]]&amp;"*")</f>
        <v>0</v>
      </c>
      <c r="J610" s="8">
        <f>COUNTIFS('All Papers'!$D:$D,"*"&amp;$A610&amp;"*",'All Papers'!$G:$G,"*"&amp;Table1[[#Headers],[Big Data]]&amp;"*")</f>
        <v>0</v>
      </c>
      <c r="K610" s="8">
        <f>COUNTIFS('All Papers'!$D:$D,"*"&amp;$A610&amp;"*",'All Papers'!$G:$G,"*"&amp;Table1[[#Headers],[Energy Management]]&amp;"*")</f>
        <v>0</v>
      </c>
      <c r="L610" s="8">
        <f>COUNTIFS('All Papers'!$D:$D,"*"&amp;$A610&amp;"*",'All Papers'!$G:$G,"*"&amp;Table1[[#Headers],[Monitoring]]&amp;"*")</f>
        <v>0</v>
      </c>
      <c r="M610" s="8">
        <f>COUNTIFS('All Papers'!$D:$D,"*"&amp;$A610&amp;"*",'All Papers'!$G:$G,"*"&amp;Table1[[#Headers],[Pricing]]&amp;"*")</f>
        <v>0</v>
      </c>
    </row>
    <row r="611" spans="1:13" x14ac:dyDescent="0.25">
      <c r="A611" s="8" t="s">
        <v>3044</v>
      </c>
      <c r="B611" s="8">
        <f>COUNTIF('All Papers'!D:D,"*"&amp;Table1[[#This Row],[Name]]&amp;"*")</f>
        <v>1</v>
      </c>
      <c r="C611" s="8">
        <f>COUNTIFS('All Papers'!$D:$D,"*"&amp;$A611&amp;"*",'All Papers'!$G:$G,"*"&amp;Table1[[#Headers],[Composition]]&amp;"*")</f>
        <v>0</v>
      </c>
      <c r="D611" s="8">
        <f>COUNTIFS('All Papers'!$D:$D,"*"&amp;$A611&amp;"*",'All Papers'!$G:$G,"*"&amp;Table1[[#Headers],[Discovery]]&amp;"*")</f>
        <v>0</v>
      </c>
      <c r="E611" s="8">
        <f>COUNTIFS('All Papers'!$D:$D,"*"&amp;$A611&amp;"*",'All Papers'!$G:$G,"*"&amp;Table1[[#Headers],[Selection]]&amp;"*")</f>
        <v>0</v>
      </c>
      <c r="F611" s="8">
        <f>COUNTIFS('All Papers'!$D:$D,"*"&amp;$A611&amp;"*",'All Papers'!$G:$G,"*"&amp;Table1[[#Headers],[Recommendation]]&amp;"*")</f>
        <v>0</v>
      </c>
      <c r="G611" s="8">
        <f>COUNTIFS('All Papers'!$D:$D,"*"&amp;$A611&amp;"*",'All Papers'!$G:$G,"*"&amp;Table1[[#Headers],[Resource Management-CS]]&amp;"*")</f>
        <v>1</v>
      </c>
      <c r="H611" s="8">
        <f>COUNTIFS('All Papers'!$D:$D,"*"&amp;$A611&amp;"*",'All Papers'!$G:$G,"*"&amp;Table1[[#Headers],[Resource Management-PS]]&amp;"*")</f>
        <v>0</v>
      </c>
      <c r="I611" s="8">
        <f>COUNTIFS('All Papers'!$D:$D,"*"&amp;$A611&amp;"*",'All Papers'!$G:$G,"*"&amp;Table1[[#Headers],[SLA Management]]&amp;"*")</f>
        <v>0</v>
      </c>
      <c r="J611" s="8">
        <f>COUNTIFS('All Papers'!$D:$D,"*"&amp;$A611&amp;"*",'All Papers'!$G:$G,"*"&amp;Table1[[#Headers],[Big Data]]&amp;"*")</f>
        <v>0</v>
      </c>
      <c r="K611" s="8">
        <f>COUNTIFS('All Papers'!$D:$D,"*"&amp;$A611&amp;"*",'All Papers'!$G:$G,"*"&amp;Table1[[#Headers],[Energy Management]]&amp;"*")</f>
        <v>0</v>
      </c>
      <c r="L611" s="8">
        <f>COUNTIFS('All Papers'!$D:$D,"*"&amp;$A611&amp;"*",'All Papers'!$G:$G,"*"&amp;Table1[[#Headers],[Monitoring]]&amp;"*")</f>
        <v>0</v>
      </c>
      <c r="M611" s="8">
        <f>COUNTIFS('All Papers'!$D:$D,"*"&amp;$A611&amp;"*",'All Papers'!$G:$G,"*"&amp;Table1[[#Headers],[Pricing]]&amp;"*")</f>
        <v>0</v>
      </c>
    </row>
    <row r="612" spans="1:13" x14ac:dyDescent="0.25">
      <c r="A612" s="8" t="s">
        <v>3045</v>
      </c>
      <c r="B612" s="8">
        <f>COUNTIF('All Papers'!D:D,"*"&amp;Table1[[#This Row],[Name]]&amp;"*")</f>
        <v>1</v>
      </c>
      <c r="C612" s="8">
        <f>COUNTIFS('All Papers'!$D:$D,"*"&amp;$A612&amp;"*",'All Papers'!$G:$G,"*"&amp;Table1[[#Headers],[Composition]]&amp;"*")</f>
        <v>0</v>
      </c>
      <c r="D612" s="8">
        <f>COUNTIFS('All Papers'!$D:$D,"*"&amp;$A612&amp;"*",'All Papers'!$G:$G,"*"&amp;Table1[[#Headers],[Discovery]]&amp;"*")</f>
        <v>0</v>
      </c>
      <c r="E612" s="8">
        <f>COUNTIFS('All Papers'!$D:$D,"*"&amp;$A612&amp;"*",'All Papers'!$G:$G,"*"&amp;Table1[[#Headers],[Selection]]&amp;"*")</f>
        <v>0</v>
      </c>
      <c r="F612" s="8">
        <f>COUNTIFS('All Papers'!$D:$D,"*"&amp;$A612&amp;"*",'All Papers'!$G:$G,"*"&amp;Table1[[#Headers],[Recommendation]]&amp;"*")</f>
        <v>0</v>
      </c>
      <c r="G612" s="8">
        <f>COUNTIFS('All Papers'!$D:$D,"*"&amp;$A612&amp;"*",'All Papers'!$G:$G,"*"&amp;Table1[[#Headers],[Resource Management-CS]]&amp;"*")</f>
        <v>1</v>
      </c>
      <c r="H612" s="8">
        <f>COUNTIFS('All Papers'!$D:$D,"*"&amp;$A612&amp;"*",'All Papers'!$G:$G,"*"&amp;Table1[[#Headers],[Resource Management-PS]]&amp;"*")</f>
        <v>0</v>
      </c>
      <c r="I612" s="8">
        <f>COUNTIFS('All Papers'!$D:$D,"*"&amp;$A612&amp;"*",'All Papers'!$G:$G,"*"&amp;Table1[[#Headers],[SLA Management]]&amp;"*")</f>
        <v>0</v>
      </c>
      <c r="J612" s="8">
        <f>COUNTIFS('All Papers'!$D:$D,"*"&amp;$A612&amp;"*",'All Papers'!$G:$G,"*"&amp;Table1[[#Headers],[Big Data]]&amp;"*")</f>
        <v>0</v>
      </c>
      <c r="K612" s="8">
        <f>COUNTIFS('All Papers'!$D:$D,"*"&amp;$A612&amp;"*",'All Papers'!$G:$G,"*"&amp;Table1[[#Headers],[Energy Management]]&amp;"*")</f>
        <v>0</v>
      </c>
      <c r="L612" s="8">
        <f>COUNTIFS('All Papers'!$D:$D,"*"&amp;$A612&amp;"*",'All Papers'!$G:$G,"*"&amp;Table1[[#Headers],[Monitoring]]&amp;"*")</f>
        <v>0</v>
      </c>
      <c r="M612" s="8">
        <f>COUNTIFS('All Papers'!$D:$D,"*"&amp;$A612&amp;"*",'All Papers'!$G:$G,"*"&amp;Table1[[#Headers],[Pricing]]&amp;"*")</f>
        <v>0</v>
      </c>
    </row>
    <row r="613" spans="1:13" x14ac:dyDescent="0.25">
      <c r="A613" s="8" t="s">
        <v>3046</v>
      </c>
      <c r="B613" s="8">
        <f>COUNTIF('All Papers'!D:D,"*"&amp;Table1[[#This Row],[Name]]&amp;"*")</f>
        <v>1</v>
      </c>
      <c r="C613" s="8">
        <f>COUNTIFS('All Papers'!$D:$D,"*"&amp;$A613&amp;"*",'All Papers'!$G:$G,"*"&amp;Table1[[#Headers],[Composition]]&amp;"*")</f>
        <v>0</v>
      </c>
      <c r="D613" s="8">
        <f>COUNTIFS('All Papers'!$D:$D,"*"&amp;$A613&amp;"*",'All Papers'!$G:$G,"*"&amp;Table1[[#Headers],[Discovery]]&amp;"*")</f>
        <v>0</v>
      </c>
      <c r="E613" s="8">
        <f>COUNTIFS('All Papers'!$D:$D,"*"&amp;$A613&amp;"*",'All Papers'!$G:$G,"*"&amp;Table1[[#Headers],[Selection]]&amp;"*")</f>
        <v>0</v>
      </c>
      <c r="F613" s="8">
        <f>COUNTIFS('All Papers'!$D:$D,"*"&amp;$A613&amp;"*",'All Papers'!$G:$G,"*"&amp;Table1[[#Headers],[Recommendation]]&amp;"*")</f>
        <v>0</v>
      </c>
      <c r="G613" s="8">
        <f>COUNTIFS('All Papers'!$D:$D,"*"&amp;$A613&amp;"*",'All Papers'!$G:$G,"*"&amp;Table1[[#Headers],[Resource Management-CS]]&amp;"*")</f>
        <v>1</v>
      </c>
      <c r="H613" s="8">
        <f>COUNTIFS('All Papers'!$D:$D,"*"&amp;$A613&amp;"*",'All Papers'!$G:$G,"*"&amp;Table1[[#Headers],[Resource Management-PS]]&amp;"*")</f>
        <v>0</v>
      </c>
      <c r="I613" s="8">
        <f>COUNTIFS('All Papers'!$D:$D,"*"&amp;$A613&amp;"*",'All Papers'!$G:$G,"*"&amp;Table1[[#Headers],[SLA Management]]&amp;"*")</f>
        <v>0</v>
      </c>
      <c r="J613" s="8">
        <f>COUNTIFS('All Papers'!$D:$D,"*"&amp;$A613&amp;"*",'All Papers'!$G:$G,"*"&amp;Table1[[#Headers],[Big Data]]&amp;"*")</f>
        <v>0</v>
      </c>
      <c r="K613" s="8">
        <f>COUNTIFS('All Papers'!$D:$D,"*"&amp;$A613&amp;"*",'All Papers'!$G:$G,"*"&amp;Table1[[#Headers],[Energy Management]]&amp;"*")</f>
        <v>0</v>
      </c>
      <c r="L613" s="8">
        <f>COUNTIFS('All Papers'!$D:$D,"*"&amp;$A613&amp;"*",'All Papers'!$G:$G,"*"&amp;Table1[[#Headers],[Monitoring]]&amp;"*")</f>
        <v>0</v>
      </c>
      <c r="M613" s="8">
        <f>COUNTIFS('All Papers'!$D:$D,"*"&amp;$A613&amp;"*",'All Papers'!$G:$G,"*"&amp;Table1[[#Headers],[Pricing]]&amp;"*")</f>
        <v>0</v>
      </c>
    </row>
    <row r="614" spans="1:13" x14ac:dyDescent="0.25">
      <c r="A614" s="8" t="s">
        <v>3047</v>
      </c>
      <c r="B614" s="8">
        <f>COUNTIF('All Papers'!D:D,"*"&amp;Table1[[#This Row],[Name]]&amp;"*")</f>
        <v>1</v>
      </c>
      <c r="C614" s="8">
        <f>COUNTIFS('All Papers'!$D:$D,"*"&amp;$A614&amp;"*",'All Papers'!$G:$G,"*"&amp;Table1[[#Headers],[Composition]]&amp;"*")</f>
        <v>0</v>
      </c>
      <c r="D614" s="8">
        <f>COUNTIFS('All Papers'!$D:$D,"*"&amp;$A614&amp;"*",'All Papers'!$G:$G,"*"&amp;Table1[[#Headers],[Discovery]]&amp;"*")</f>
        <v>0</v>
      </c>
      <c r="E614" s="8">
        <f>COUNTIFS('All Papers'!$D:$D,"*"&amp;$A614&amp;"*",'All Papers'!$G:$G,"*"&amp;Table1[[#Headers],[Selection]]&amp;"*")</f>
        <v>0</v>
      </c>
      <c r="F614" s="8">
        <f>COUNTIFS('All Papers'!$D:$D,"*"&amp;$A614&amp;"*",'All Papers'!$G:$G,"*"&amp;Table1[[#Headers],[Recommendation]]&amp;"*")</f>
        <v>0</v>
      </c>
      <c r="G614" s="8">
        <f>COUNTIFS('All Papers'!$D:$D,"*"&amp;$A614&amp;"*",'All Papers'!$G:$G,"*"&amp;Table1[[#Headers],[Resource Management-CS]]&amp;"*")</f>
        <v>1</v>
      </c>
      <c r="H614" s="8">
        <f>COUNTIFS('All Papers'!$D:$D,"*"&amp;$A614&amp;"*",'All Papers'!$G:$G,"*"&amp;Table1[[#Headers],[Resource Management-PS]]&amp;"*")</f>
        <v>0</v>
      </c>
      <c r="I614" s="8">
        <f>COUNTIFS('All Papers'!$D:$D,"*"&amp;$A614&amp;"*",'All Papers'!$G:$G,"*"&amp;Table1[[#Headers],[SLA Management]]&amp;"*")</f>
        <v>0</v>
      </c>
      <c r="J614" s="8">
        <f>COUNTIFS('All Papers'!$D:$D,"*"&amp;$A614&amp;"*",'All Papers'!$G:$G,"*"&amp;Table1[[#Headers],[Big Data]]&amp;"*")</f>
        <v>0</v>
      </c>
      <c r="K614" s="8">
        <f>COUNTIFS('All Papers'!$D:$D,"*"&amp;$A614&amp;"*",'All Papers'!$G:$G,"*"&amp;Table1[[#Headers],[Energy Management]]&amp;"*")</f>
        <v>0</v>
      </c>
      <c r="L614" s="8">
        <f>COUNTIFS('All Papers'!$D:$D,"*"&amp;$A614&amp;"*",'All Papers'!$G:$G,"*"&amp;Table1[[#Headers],[Monitoring]]&amp;"*")</f>
        <v>0</v>
      </c>
      <c r="M614" s="8">
        <f>COUNTIFS('All Papers'!$D:$D,"*"&amp;$A614&amp;"*",'All Papers'!$G:$G,"*"&amp;Table1[[#Headers],[Pricing]]&amp;"*")</f>
        <v>0</v>
      </c>
    </row>
    <row r="615" spans="1:13" x14ac:dyDescent="0.25">
      <c r="A615" s="8" t="s">
        <v>3048</v>
      </c>
      <c r="B615" s="8">
        <f>COUNTIF('All Papers'!D:D,"*"&amp;Table1[[#This Row],[Name]]&amp;"*")</f>
        <v>1</v>
      </c>
      <c r="C615" s="8">
        <f>COUNTIFS('All Papers'!$D:$D,"*"&amp;$A615&amp;"*",'All Papers'!$G:$G,"*"&amp;Table1[[#Headers],[Composition]]&amp;"*")</f>
        <v>0</v>
      </c>
      <c r="D615" s="8">
        <f>COUNTIFS('All Papers'!$D:$D,"*"&amp;$A615&amp;"*",'All Papers'!$G:$G,"*"&amp;Table1[[#Headers],[Discovery]]&amp;"*")</f>
        <v>0</v>
      </c>
      <c r="E615" s="8">
        <f>COUNTIFS('All Papers'!$D:$D,"*"&amp;$A615&amp;"*",'All Papers'!$G:$G,"*"&amp;Table1[[#Headers],[Selection]]&amp;"*")</f>
        <v>0</v>
      </c>
      <c r="F615" s="8">
        <f>COUNTIFS('All Papers'!$D:$D,"*"&amp;$A615&amp;"*",'All Papers'!$G:$G,"*"&amp;Table1[[#Headers],[Recommendation]]&amp;"*")</f>
        <v>0</v>
      </c>
      <c r="G615" s="8">
        <f>COUNTIFS('All Papers'!$D:$D,"*"&amp;$A615&amp;"*",'All Papers'!$G:$G,"*"&amp;Table1[[#Headers],[Resource Management-CS]]&amp;"*")</f>
        <v>1</v>
      </c>
      <c r="H615" s="8">
        <f>COUNTIFS('All Papers'!$D:$D,"*"&amp;$A615&amp;"*",'All Papers'!$G:$G,"*"&amp;Table1[[#Headers],[Resource Management-PS]]&amp;"*")</f>
        <v>0</v>
      </c>
      <c r="I615" s="8">
        <f>COUNTIFS('All Papers'!$D:$D,"*"&amp;$A615&amp;"*",'All Papers'!$G:$G,"*"&amp;Table1[[#Headers],[SLA Management]]&amp;"*")</f>
        <v>0</v>
      </c>
      <c r="J615" s="8">
        <f>COUNTIFS('All Papers'!$D:$D,"*"&amp;$A615&amp;"*",'All Papers'!$G:$G,"*"&amp;Table1[[#Headers],[Big Data]]&amp;"*")</f>
        <v>0</v>
      </c>
      <c r="K615" s="8">
        <f>COUNTIFS('All Papers'!$D:$D,"*"&amp;$A615&amp;"*",'All Papers'!$G:$G,"*"&amp;Table1[[#Headers],[Energy Management]]&amp;"*")</f>
        <v>0</v>
      </c>
      <c r="L615" s="8">
        <f>COUNTIFS('All Papers'!$D:$D,"*"&amp;$A615&amp;"*",'All Papers'!$G:$G,"*"&amp;Table1[[#Headers],[Monitoring]]&amp;"*")</f>
        <v>0</v>
      </c>
      <c r="M615" s="8">
        <f>COUNTIFS('All Papers'!$D:$D,"*"&amp;$A615&amp;"*",'All Papers'!$G:$G,"*"&amp;Table1[[#Headers],[Pricing]]&amp;"*")</f>
        <v>0</v>
      </c>
    </row>
    <row r="616" spans="1:13" x14ac:dyDescent="0.25">
      <c r="A616" s="8" t="s">
        <v>3049</v>
      </c>
      <c r="B616" s="8">
        <f>COUNTIF('All Papers'!D:D,"*"&amp;Table1[[#This Row],[Name]]&amp;"*")</f>
        <v>1</v>
      </c>
      <c r="C616" s="8">
        <f>COUNTIFS('All Papers'!$D:$D,"*"&amp;$A616&amp;"*",'All Papers'!$G:$G,"*"&amp;Table1[[#Headers],[Composition]]&amp;"*")</f>
        <v>0</v>
      </c>
      <c r="D616" s="8">
        <f>COUNTIFS('All Papers'!$D:$D,"*"&amp;$A616&amp;"*",'All Papers'!$G:$G,"*"&amp;Table1[[#Headers],[Discovery]]&amp;"*")</f>
        <v>0</v>
      </c>
      <c r="E616" s="8">
        <f>COUNTIFS('All Papers'!$D:$D,"*"&amp;$A616&amp;"*",'All Papers'!$G:$G,"*"&amp;Table1[[#Headers],[Selection]]&amp;"*")</f>
        <v>0</v>
      </c>
      <c r="F616" s="8">
        <f>COUNTIFS('All Papers'!$D:$D,"*"&amp;$A616&amp;"*",'All Papers'!$G:$G,"*"&amp;Table1[[#Headers],[Recommendation]]&amp;"*")</f>
        <v>0</v>
      </c>
      <c r="G616" s="8">
        <f>COUNTIFS('All Papers'!$D:$D,"*"&amp;$A616&amp;"*",'All Papers'!$G:$G,"*"&amp;Table1[[#Headers],[Resource Management-CS]]&amp;"*")</f>
        <v>1</v>
      </c>
      <c r="H616" s="8">
        <f>COUNTIFS('All Papers'!$D:$D,"*"&amp;$A616&amp;"*",'All Papers'!$G:$G,"*"&amp;Table1[[#Headers],[Resource Management-PS]]&amp;"*")</f>
        <v>0</v>
      </c>
      <c r="I616" s="8">
        <f>COUNTIFS('All Papers'!$D:$D,"*"&amp;$A616&amp;"*",'All Papers'!$G:$G,"*"&amp;Table1[[#Headers],[SLA Management]]&amp;"*")</f>
        <v>0</v>
      </c>
      <c r="J616" s="8">
        <f>COUNTIFS('All Papers'!$D:$D,"*"&amp;$A616&amp;"*",'All Papers'!$G:$G,"*"&amp;Table1[[#Headers],[Big Data]]&amp;"*")</f>
        <v>0</v>
      </c>
      <c r="K616" s="8">
        <f>COUNTIFS('All Papers'!$D:$D,"*"&amp;$A616&amp;"*",'All Papers'!$G:$G,"*"&amp;Table1[[#Headers],[Energy Management]]&amp;"*")</f>
        <v>0</v>
      </c>
      <c r="L616" s="8">
        <f>COUNTIFS('All Papers'!$D:$D,"*"&amp;$A616&amp;"*",'All Papers'!$G:$G,"*"&amp;Table1[[#Headers],[Monitoring]]&amp;"*")</f>
        <v>0</v>
      </c>
      <c r="M616" s="8">
        <f>COUNTIFS('All Papers'!$D:$D,"*"&amp;$A616&amp;"*",'All Papers'!$G:$G,"*"&amp;Table1[[#Headers],[Pricing]]&amp;"*")</f>
        <v>0</v>
      </c>
    </row>
    <row r="617" spans="1:13" x14ac:dyDescent="0.25">
      <c r="A617" s="8" t="s">
        <v>3050</v>
      </c>
      <c r="B617" s="8">
        <f>COUNTIF('All Papers'!D:D,"*"&amp;Table1[[#This Row],[Name]]&amp;"*")</f>
        <v>1</v>
      </c>
      <c r="C617" s="8">
        <f>COUNTIFS('All Papers'!$D:$D,"*"&amp;$A617&amp;"*",'All Papers'!$G:$G,"*"&amp;Table1[[#Headers],[Composition]]&amp;"*")</f>
        <v>0</v>
      </c>
      <c r="D617" s="8">
        <f>COUNTIFS('All Papers'!$D:$D,"*"&amp;$A617&amp;"*",'All Papers'!$G:$G,"*"&amp;Table1[[#Headers],[Discovery]]&amp;"*")</f>
        <v>0</v>
      </c>
      <c r="E617" s="8">
        <f>COUNTIFS('All Papers'!$D:$D,"*"&amp;$A617&amp;"*",'All Papers'!$G:$G,"*"&amp;Table1[[#Headers],[Selection]]&amp;"*")</f>
        <v>0</v>
      </c>
      <c r="F617" s="8">
        <f>COUNTIFS('All Papers'!$D:$D,"*"&amp;$A617&amp;"*",'All Papers'!$G:$G,"*"&amp;Table1[[#Headers],[Recommendation]]&amp;"*")</f>
        <v>0</v>
      </c>
      <c r="G617" s="8">
        <f>COUNTIFS('All Papers'!$D:$D,"*"&amp;$A617&amp;"*",'All Papers'!$G:$G,"*"&amp;Table1[[#Headers],[Resource Management-CS]]&amp;"*")</f>
        <v>1</v>
      </c>
      <c r="H617" s="8">
        <f>COUNTIFS('All Papers'!$D:$D,"*"&amp;$A617&amp;"*",'All Papers'!$G:$G,"*"&amp;Table1[[#Headers],[Resource Management-PS]]&amp;"*")</f>
        <v>0</v>
      </c>
      <c r="I617" s="8">
        <f>COUNTIFS('All Papers'!$D:$D,"*"&amp;$A617&amp;"*",'All Papers'!$G:$G,"*"&amp;Table1[[#Headers],[SLA Management]]&amp;"*")</f>
        <v>0</v>
      </c>
      <c r="J617" s="8">
        <f>COUNTIFS('All Papers'!$D:$D,"*"&amp;$A617&amp;"*",'All Papers'!$G:$G,"*"&amp;Table1[[#Headers],[Big Data]]&amp;"*")</f>
        <v>0</v>
      </c>
      <c r="K617" s="8">
        <f>COUNTIFS('All Papers'!$D:$D,"*"&amp;$A617&amp;"*",'All Papers'!$G:$G,"*"&amp;Table1[[#Headers],[Energy Management]]&amp;"*")</f>
        <v>0</v>
      </c>
      <c r="L617" s="8">
        <f>COUNTIFS('All Papers'!$D:$D,"*"&amp;$A617&amp;"*",'All Papers'!$G:$G,"*"&amp;Table1[[#Headers],[Monitoring]]&amp;"*")</f>
        <v>0</v>
      </c>
      <c r="M617" s="8">
        <f>COUNTIFS('All Papers'!$D:$D,"*"&amp;$A617&amp;"*",'All Papers'!$G:$G,"*"&amp;Table1[[#Headers],[Pricing]]&amp;"*")</f>
        <v>0</v>
      </c>
    </row>
    <row r="618" spans="1:13" x14ac:dyDescent="0.25">
      <c r="A618" s="8" t="s">
        <v>3051</v>
      </c>
      <c r="B618" s="8">
        <f>COUNTIF('All Papers'!D:D,"*"&amp;Table1[[#This Row],[Name]]&amp;"*")</f>
        <v>1</v>
      </c>
      <c r="C618" s="8">
        <f>COUNTIFS('All Papers'!$D:$D,"*"&amp;$A618&amp;"*",'All Papers'!$G:$G,"*"&amp;Table1[[#Headers],[Composition]]&amp;"*")</f>
        <v>0</v>
      </c>
      <c r="D618" s="8">
        <f>COUNTIFS('All Papers'!$D:$D,"*"&amp;$A618&amp;"*",'All Papers'!$G:$G,"*"&amp;Table1[[#Headers],[Discovery]]&amp;"*")</f>
        <v>0</v>
      </c>
      <c r="E618" s="8">
        <f>COUNTIFS('All Papers'!$D:$D,"*"&amp;$A618&amp;"*",'All Papers'!$G:$G,"*"&amp;Table1[[#Headers],[Selection]]&amp;"*")</f>
        <v>0</v>
      </c>
      <c r="F618" s="8">
        <f>COUNTIFS('All Papers'!$D:$D,"*"&amp;$A618&amp;"*",'All Papers'!$G:$G,"*"&amp;Table1[[#Headers],[Recommendation]]&amp;"*")</f>
        <v>0</v>
      </c>
      <c r="G618" s="8">
        <f>COUNTIFS('All Papers'!$D:$D,"*"&amp;$A618&amp;"*",'All Papers'!$G:$G,"*"&amp;Table1[[#Headers],[Resource Management-CS]]&amp;"*")</f>
        <v>1</v>
      </c>
      <c r="H618" s="8">
        <f>COUNTIFS('All Papers'!$D:$D,"*"&amp;$A618&amp;"*",'All Papers'!$G:$G,"*"&amp;Table1[[#Headers],[Resource Management-PS]]&amp;"*")</f>
        <v>0</v>
      </c>
      <c r="I618" s="8">
        <f>COUNTIFS('All Papers'!$D:$D,"*"&amp;$A618&amp;"*",'All Papers'!$G:$G,"*"&amp;Table1[[#Headers],[SLA Management]]&amp;"*")</f>
        <v>0</v>
      </c>
      <c r="J618" s="8">
        <f>COUNTIFS('All Papers'!$D:$D,"*"&amp;$A618&amp;"*",'All Papers'!$G:$G,"*"&amp;Table1[[#Headers],[Big Data]]&amp;"*")</f>
        <v>0</v>
      </c>
      <c r="K618" s="8">
        <f>COUNTIFS('All Papers'!$D:$D,"*"&amp;$A618&amp;"*",'All Papers'!$G:$G,"*"&amp;Table1[[#Headers],[Energy Management]]&amp;"*")</f>
        <v>0</v>
      </c>
      <c r="L618" s="8">
        <f>COUNTIFS('All Papers'!$D:$D,"*"&amp;$A618&amp;"*",'All Papers'!$G:$G,"*"&amp;Table1[[#Headers],[Monitoring]]&amp;"*")</f>
        <v>0</v>
      </c>
      <c r="M618" s="8">
        <f>COUNTIFS('All Papers'!$D:$D,"*"&amp;$A618&amp;"*",'All Papers'!$G:$G,"*"&amp;Table1[[#Headers],[Pricing]]&amp;"*")</f>
        <v>0</v>
      </c>
    </row>
    <row r="619" spans="1:13" x14ac:dyDescent="0.25">
      <c r="A619" s="8" t="s">
        <v>3052</v>
      </c>
      <c r="B619" s="8">
        <f>COUNTIF('All Papers'!D:D,"*"&amp;Table1[[#This Row],[Name]]&amp;"*")</f>
        <v>1</v>
      </c>
      <c r="C619" s="8">
        <f>COUNTIFS('All Papers'!$D:$D,"*"&amp;$A619&amp;"*",'All Papers'!$G:$G,"*"&amp;Table1[[#Headers],[Composition]]&amp;"*")</f>
        <v>0</v>
      </c>
      <c r="D619" s="8">
        <f>COUNTIFS('All Papers'!$D:$D,"*"&amp;$A619&amp;"*",'All Papers'!$G:$G,"*"&amp;Table1[[#Headers],[Discovery]]&amp;"*")</f>
        <v>0</v>
      </c>
      <c r="E619" s="8">
        <f>COUNTIFS('All Papers'!$D:$D,"*"&amp;$A619&amp;"*",'All Papers'!$G:$G,"*"&amp;Table1[[#Headers],[Selection]]&amp;"*")</f>
        <v>0</v>
      </c>
      <c r="F619" s="8">
        <f>COUNTIFS('All Papers'!$D:$D,"*"&amp;$A619&amp;"*",'All Papers'!$G:$G,"*"&amp;Table1[[#Headers],[Recommendation]]&amp;"*")</f>
        <v>0</v>
      </c>
      <c r="G619" s="8">
        <f>COUNTIFS('All Papers'!$D:$D,"*"&amp;$A619&amp;"*",'All Papers'!$G:$G,"*"&amp;Table1[[#Headers],[Resource Management-CS]]&amp;"*")</f>
        <v>1</v>
      </c>
      <c r="H619" s="8">
        <f>COUNTIFS('All Papers'!$D:$D,"*"&amp;$A619&amp;"*",'All Papers'!$G:$G,"*"&amp;Table1[[#Headers],[Resource Management-PS]]&amp;"*")</f>
        <v>0</v>
      </c>
      <c r="I619" s="8">
        <f>COUNTIFS('All Papers'!$D:$D,"*"&amp;$A619&amp;"*",'All Papers'!$G:$G,"*"&amp;Table1[[#Headers],[SLA Management]]&amp;"*")</f>
        <v>0</v>
      </c>
      <c r="J619" s="8">
        <f>COUNTIFS('All Papers'!$D:$D,"*"&amp;$A619&amp;"*",'All Papers'!$G:$G,"*"&amp;Table1[[#Headers],[Big Data]]&amp;"*")</f>
        <v>0</v>
      </c>
      <c r="K619" s="8">
        <f>COUNTIFS('All Papers'!$D:$D,"*"&amp;$A619&amp;"*",'All Papers'!$G:$G,"*"&amp;Table1[[#Headers],[Energy Management]]&amp;"*")</f>
        <v>0</v>
      </c>
      <c r="L619" s="8">
        <f>COUNTIFS('All Papers'!$D:$D,"*"&amp;$A619&amp;"*",'All Papers'!$G:$G,"*"&amp;Table1[[#Headers],[Monitoring]]&amp;"*")</f>
        <v>0</v>
      </c>
      <c r="M619" s="8">
        <f>COUNTIFS('All Papers'!$D:$D,"*"&amp;$A619&amp;"*",'All Papers'!$G:$G,"*"&amp;Table1[[#Headers],[Pricing]]&amp;"*")</f>
        <v>0</v>
      </c>
    </row>
    <row r="620" spans="1:13" x14ac:dyDescent="0.25">
      <c r="A620" s="8" t="s">
        <v>3053</v>
      </c>
      <c r="B620" s="8">
        <f>COUNTIF('All Papers'!D:D,"*"&amp;Table1[[#This Row],[Name]]&amp;"*")</f>
        <v>1</v>
      </c>
      <c r="C620" s="8">
        <f>COUNTIFS('All Papers'!$D:$D,"*"&amp;$A620&amp;"*",'All Papers'!$G:$G,"*"&amp;Table1[[#Headers],[Composition]]&amp;"*")</f>
        <v>0</v>
      </c>
      <c r="D620" s="8">
        <f>COUNTIFS('All Papers'!$D:$D,"*"&amp;$A620&amp;"*",'All Papers'!$G:$G,"*"&amp;Table1[[#Headers],[Discovery]]&amp;"*")</f>
        <v>0</v>
      </c>
      <c r="E620" s="8">
        <f>COUNTIFS('All Papers'!$D:$D,"*"&amp;$A620&amp;"*",'All Papers'!$G:$G,"*"&amp;Table1[[#Headers],[Selection]]&amp;"*")</f>
        <v>0</v>
      </c>
      <c r="F620" s="8">
        <f>COUNTIFS('All Papers'!$D:$D,"*"&amp;$A620&amp;"*",'All Papers'!$G:$G,"*"&amp;Table1[[#Headers],[Recommendation]]&amp;"*")</f>
        <v>0</v>
      </c>
      <c r="G620" s="8">
        <f>COUNTIFS('All Papers'!$D:$D,"*"&amp;$A620&amp;"*",'All Papers'!$G:$G,"*"&amp;Table1[[#Headers],[Resource Management-CS]]&amp;"*")</f>
        <v>1</v>
      </c>
      <c r="H620" s="8">
        <f>COUNTIFS('All Papers'!$D:$D,"*"&amp;$A620&amp;"*",'All Papers'!$G:$G,"*"&amp;Table1[[#Headers],[Resource Management-PS]]&amp;"*")</f>
        <v>0</v>
      </c>
      <c r="I620" s="8">
        <f>COUNTIFS('All Papers'!$D:$D,"*"&amp;$A620&amp;"*",'All Papers'!$G:$G,"*"&amp;Table1[[#Headers],[SLA Management]]&amp;"*")</f>
        <v>0</v>
      </c>
      <c r="J620" s="8">
        <f>COUNTIFS('All Papers'!$D:$D,"*"&amp;$A620&amp;"*",'All Papers'!$G:$G,"*"&amp;Table1[[#Headers],[Big Data]]&amp;"*")</f>
        <v>0</v>
      </c>
      <c r="K620" s="8">
        <f>COUNTIFS('All Papers'!$D:$D,"*"&amp;$A620&amp;"*",'All Papers'!$G:$G,"*"&amp;Table1[[#Headers],[Energy Management]]&amp;"*")</f>
        <v>0</v>
      </c>
      <c r="L620" s="8">
        <f>COUNTIFS('All Papers'!$D:$D,"*"&amp;$A620&amp;"*",'All Papers'!$G:$G,"*"&amp;Table1[[#Headers],[Monitoring]]&amp;"*")</f>
        <v>0</v>
      </c>
      <c r="M620" s="8">
        <f>COUNTIFS('All Papers'!$D:$D,"*"&amp;$A620&amp;"*",'All Papers'!$G:$G,"*"&amp;Table1[[#Headers],[Pricing]]&amp;"*")</f>
        <v>0</v>
      </c>
    </row>
    <row r="621" spans="1:13" x14ac:dyDescent="0.25">
      <c r="A621" s="8" t="s">
        <v>3054</v>
      </c>
      <c r="B621" s="8">
        <f>COUNTIF('All Papers'!D:D,"*"&amp;Table1[[#This Row],[Name]]&amp;"*")</f>
        <v>1</v>
      </c>
      <c r="C621" s="8">
        <f>COUNTIFS('All Papers'!$D:$D,"*"&amp;$A621&amp;"*",'All Papers'!$G:$G,"*"&amp;Table1[[#Headers],[Composition]]&amp;"*")</f>
        <v>0</v>
      </c>
      <c r="D621" s="8">
        <f>COUNTIFS('All Papers'!$D:$D,"*"&amp;$A621&amp;"*",'All Papers'!$G:$G,"*"&amp;Table1[[#Headers],[Discovery]]&amp;"*")</f>
        <v>0</v>
      </c>
      <c r="E621" s="8">
        <f>COUNTIFS('All Papers'!$D:$D,"*"&amp;$A621&amp;"*",'All Papers'!$G:$G,"*"&amp;Table1[[#Headers],[Selection]]&amp;"*")</f>
        <v>0</v>
      </c>
      <c r="F621" s="8">
        <f>COUNTIFS('All Papers'!$D:$D,"*"&amp;$A621&amp;"*",'All Papers'!$G:$G,"*"&amp;Table1[[#Headers],[Recommendation]]&amp;"*")</f>
        <v>0</v>
      </c>
      <c r="G621" s="8">
        <f>COUNTIFS('All Papers'!$D:$D,"*"&amp;$A621&amp;"*",'All Papers'!$G:$G,"*"&amp;Table1[[#Headers],[Resource Management-CS]]&amp;"*")</f>
        <v>1</v>
      </c>
      <c r="H621" s="8">
        <f>COUNTIFS('All Papers'!$D:$D,"*"&amp;$A621&amp;"*",'All Papers'!$G:$G,"*"&amp;Table1[[#Headers],[Resource Management-PS]]&amp;"*")</f>
        <v>0</v>
      </c>
      <c r="I621" s="8">
        <f>COUNTIFS('All Papers'!$D:$D,"*"&amp;$A621&amp;"*",'All Papers'!$G:$G,"*"&amp;Table1[[#Headers],[SLA Management]]&amp;"*")</f>
        <v>0</v>
      </c>
      <c r="J621" s="8">
        <f>COUNTIFS('All Papers'!$D:$D,"*"&amp;$A621&amp;"*",'All Papers'!$G:$G,"*"&amp;Table1[[#Headers],[Big Data]]&amp;"*")</f>
        <v>0</v>
      </c>
      <c r="K621" s="8">
        <f>COUNTIFS('All Papers'!$D:$D,"*"&amp;$A621&amp;"*",'All Papers'!$G:$G,"*"&amp;Table1[[#Headers],[Energy Management]]&amp;"*")</f>
        <v>0</v>
      </c>
      <c r="L621" s="8">
        <f>COUNTIFS('All Papers'!$D:$D,"*"&amp;$A621&amp;"*",'All Papers'!$G:$G,"*"&amp;Table1[[#Headers],[Monitoring]]&amp;"*")</f>
        <v>0</v>
      </c>
      <c r="M621" s="8">
        <f>COUNTIFS('All Papers'!$D:$D,"*"&amp;$A621&amp;"*",'All Papers'!$G:$G,"*"&amp;Table1[[#Headers],[Pricing]]&amp;"*")</f>
        <v>0</v>
      </c>
    </row>
    <row r="622" spans="1:13" x14ac:dyDescent="0.25">
      <c r="A622" s="8" t="s">
        <v>3055</v>
      </c>
      <c r="B622" s="8">
        <f>COUNTIF('All Papers'!D:D,"*"&amp;Table1[[#This Row],[Name]]&amp;"*")</f>
        <v>1</v>
      </c>
      <c r="C622" s="8">
        <f>COUNTIFS('All Papers'!$D:$D,"*"&amp;$A622&amp;"*",'All Papers'!$G:$G,"*"&amp;Table1[[#Headers],[Composition]]&amp;"*")</f>
        <v>0</v>
      </c>
      <c r="D622" s="8">
        <f>COUNTIFS('All Papers'!$D:$D,"*"&amp;$A622&amp;"*",'All Papers'!$G:$G,"*"&amp;Table1[[#Headers],[Discovery]]&amp;"*")</f>
        <v>0</v>
      </c>
      <c r="E622" s="8">
        <f>COUNTIFS('All Papers'!$D:$D,"*"&amp;$A622&amp;"*",'All Papers'!$G:$G,"*"&amp;Table1[[#Headers],[Selection]]&amp;"*")</f>
        <v>0</v>
      </c>
      <c r="F622" s="8">
        <f>COUNTIFS('All Papers'!$D:$D,"*"&amp;$A622&amp;"*",'All Papers'!$G:$G,"*"&amp;Table1[[#Headers],[Recommendation]]&amp;"*")</f>
        <v>0</v>
      </c>
      <c r="G622" s="8">
        <f>COUNTIFS('All Papers'!$D:$D,"*"&amp;$A622&amp;"*",'All Papers'!$G:$G,"*"&amp;Table1[[#Headers],[Resource Management-CS]]&amp;"*")</f>
        <v>1</v>
      </c>
      <c r="H622" s="8">
        <f>COUNTIFS('All Papers'!$D:$D,"*"&amp;$A622&amp;"*",'All Papers'!$G:$G,"*"&amp;Table1[[#Headers],[Resource Management-PS]]&amp;"*")</f>
        <v>0</v>
      </c>
      <c r="I622" s="8">
        <f>COUNTIFS('All Papers'!$D:$D,"*"&amp;$A622&amp;"*",'All Papers'!$G:$G,"*"&amp;Table1[[#Headers],[SLA Management]]&amp;"*")</f>
        <v>0</v>
      </c>
      <c r="J622" s="8">
        <f>COUNTIFS('All Papers'!$D:$D,"*"&amp;$A622&amp;"*",'All Papers'!$G:$G,"*"&amp;Table1[[#Headers],[Big Data]]&amp;"*")</f>
        <v>0</v>
      </c>
      <c r="K622" s="8">
        <f>COUNTIFS('All Papers'!$D:$D,"*"&amp;$A622&amp;"*",'All Papers'!$G:$G,"*"&amp;Table1[[#Headers],[Energy Management]]&amp;"*")</f>
        <v>0</v>
      </c>
      <c r="L622" s="8">
        <f>COUNTIFS('All Papers'!$D:$D,"*"&amp;$A622&amp;"*",'All Papers'!$G:$G,"*"&amp;Table1[[#Headers],[Monitoring]]&amp;"*")</f>
        <v>0</v>
      </c>
      <c r="M622" s="8">
        <f>COUNTIFS('All Papers'!$D:$D,"*"&amp;$A622&amp;"*",'All Papers'!$G:$G,"*"&amp;Table1[[#Headers],[Pricing]]&amp;"*")</f>
        <v>0</v>
      </c>
    </row>
    <row r="623" spans="1:13" x14ac:dyDescent="0.25">
      <c r="A623" s="8" t="s">
        <v>3056</v>
      </c>
      <c r="B623" s="8">
        <f>COUNTIF('All Papers'!D:D,"*"&amp;Table1[[#This Row],[Name]]&amp;"*")</f>
        <v>1</v>
      </c>
      <c r="C623" s="8">
        <f>COUNTIFS('All Papers'!$D:$D,"*"&amp;$A623&amp;"*",'All Papers'!$G:$G,"*"&amp;Table1[[#Headers],[Composition]]&amp;"*")</f>
        <v>0</v>
      </c>
      <c r="D623" s="8">
        <f>COUNTIFS('All Papers'!$D:$D,"*"&amp;$A623&amp;"*",'All Papers'!$G:$G,"*"&amp;Table1[[#Headers],[Discovery]]&amp;"*")</f>
        <v>0</v>
      </c>
      <c r="E623" s="8">
        <f>COUNTIFS('All Papers'!$D:$D,"*"&amp;$A623&amp;"*",'All Papers'!$G:$G,"*"&amp;Table1[[#Headers],[Selection]]&amp;"*")</f>
        <v>0</v>
      </c>
      <c r="F623" s="8">
        <f>COUNTIFS('All Papers'!$D:$D,"*"&amp;$A623&amp;"*",'All Papers'!$G:$G,"*"&amp;Table1[[#Headers],[Recommendation]]&amp;"*")</f>
        <v>0</v>
      </c>
      <c r="G623" s="8">
        <f>COUNTIFS('All Papers'!$D:$D,"*"&amp;$A623&amp;"*",'All Papers'!$G:$G,"*"&amp;Table1[[#Headers],[Resource Management-CS]]&amp;"*")</f>
        <v>1</v>
      </c>
      <c r="H623" s="8">
        <f>COUNTIFS('All Papers'!$D:$D,"*"&amp;$A623&amp;"*",'All Papers'!$G:$G,"*"&amp;Table1[[#Headers],[Resource Management-PS]]&amp;"*")</f>
        <v>0</v>
      </c>
      <c r="I623" s="8">
        <f>COUNTIFS('All Papers'!$D:$D,"*"&amp;$A623&amp;"*",'All Papers'!$G:$G,"*"&amp;Table1[[#Headers],[SLA Management]]&amp;"*")</f>
        <v>0</v>
      </c>
      <c r="J623" s="8">
        <f>COUNTIFS('All Papers'!$D:$D,"*"&amp;$A623&amp;"*",'All Papers'!$G:$G,"*"&amp;Table1[[#Headers],[Big Data]]&amp;"*")</f>
        <v>0</v>
      </c>
      <c r="K623" s="8">
        <f>COUNTIFS('All Papers'!$D:$D,"*"&amp;$A623&amp;"*",'All Papers'!$G:$G,"*"&amp;Table1[[#Headers],[Energy Management]]&amp;"*")</f>
        <v>0</v>
      </c>
      <c r="L623" s="8">
        <f>COUNTIFS('All Papers'!$D:$D,"*"&amp;$A623&amp;"*",'All Papers'!$G:$G,"*"&amp;Table1[[#Headers],[Monitoring]]&amp;"*")</f>
        <v>0</v>
      </c>
      <c r="M623" s="8">
        <f>COUNTIFS('All Papers'!$D:$D,"*"&amp;$A623&amp;"*",'All Papers'!$G:$G,"*"&amp;Table1[[#Headers],[Pricing]]&amp;"*")</f>
        <v>0</v>
      </c>
    </row>
    <row r="624" spans="1:13" x14ac:dyDescent="0.25">
      <c r="A624" s="8" t="s">
        <v>3057</v>
      </c>
      <c r="B624" s="8">
        <f>COUNTIF('All Papers'!D:D,"*"&amp;Table1[[#This Row],[Name]]&amp;"*")</f>
        <v>1</v>
      </c>
      <c r="C624" s="8">
        <f>COUNTIFS('All Papers'!$D:$D,"*"&amp;$A624&amp;"*",'All Papers'!$G:$G,"*"&amp;Table1[[#Headers],[Composition]]&amp;"*")</f>
        <v>0</v>
      </c>
      <c r="D624" s="8">
        <f>COUNTIFS('All Papers'!$D:$D,"*"&amp;$A624&amp;"*",'All Papers'!$G:$G,"*"&amp;Table1[[#Headers],[Discovery]]&amp;"*")</f>
        <v>0</v>
      </c>
      <c r="E624" s="8">
        <f>COUNTIFS('All Papers'!$D:$D,"*"&amp;$A624&amp;"*",'All Papers'!$G:$G,"*"&amp;Table1[[#Headers],[Selection]]&amp;"*")</f>
        <v>0</v>
      </c>
      <c r="F624" s="8">
        <f>COUNTIFS('All Papers'!$D:$D,"*"&amp;$A624&amp;"*",'All Papers'!$G:$G,"*"&amp;Table1[[#Headers],[Recommendation]]&amp;"*")</f>
        <v>0</v>
      </c>
      <c r="G624" s="8">
        <f>COUNTIFS('All Papers'!$D:$D,"*"&amp;$A624&amp;"*",'All Papers'!$G:$G,"*"&amp;Table1[[#Headers],[Resource Management-CS]]&amp;"*")</f>
        <v>1</v>
      </c>
      <c r="H624" s="8">
        <f>COUNTIFS('All Papers'!$D:$D,"*"&amp;$A624&amp;"*",'All Papers'!$G:$G,"*"&amp;Table1[[#Headers],[Resource Management-PS]]&amp;"*")</f>
        <v>0</v>
      </c>
      <c r="I624" s="8">
        <f>COUNTIFS('All Papers'!$D:$D,"*"&amp;$A624&amp;"*",'All Papers'!$G:$G,"*"&amp;Table1[[#Headers],[SLA Management]]&amp;"*")</f>
        <v>0</v>
      </c>
      <c r="J624" s="8">
        <f>COUNTIFS('All Papers'!$D:$D,"*"&amp;$A624&amp;"*",'All Papers'!$G:$G,"*"&amp;Table1[[#Headers],[Big Data]]&amp;"*")</f>
        <v>0</v>
      </c>
      <c r="K624" s="8">
        <f>COUNTIFS('All Papers'!$D:$D,"*"&amp;$A624&amp;"*",'All Papers'!$G:$G,"*"&amp;Table1[[#Headers],[Energy Management]]&amp;"*")</f>
        <v>0</v>
      </c>
      <c r="L624" s="8">
        <f>COUNTIFS('All Papers'!$D:$D,"*"&amp;$A624&amp;"*",'All Papers'!$G:$G,"*"&amp;Table1[[#Headers],[Monitoring]]&amp;"*")</f>
        <v>0</v>
      </c>
      <c r="M624" s="8">
        <f>COUNTIFS('All Papers'!$D:$D,"*"&amp;$A624&amp;"*",'All Papers'!$G:$G,"*"&amp;Table1[[#Headers],[Pricing]]&amp;"*")</f>
        <v>0</v>
      </c>
    </row>
    <row r="625" spans="1:13" x14ac:dyDescent="0.25">
      <c r="A625" s="8" t="s">
        <v>3058</v>
      </c>
      <c r="B625" s="8">
        <f>COUNTIF('All Papers'!D:D,"*"&amp;Table1[[#This Row],[Name]]&amp;"*")</f>
        <v>1</v>
      </c>
      <c r="C625" s="8">
        <f>COUNTIFS('All Papers'!$D:$D,"*"&amp;$A625&amp;"*",'All Papers'!$G:$G,"*"&amp;Table1[[#Headers],[Composition]]&amp;"*")</f>
        <v>0</v>
      </c>
      <c r="D625" s="8">
        <f>COUNTIFS('All Papers'!$D:$D,"*"&amp;$A625&amp;"*",'All Papers'!$G:$G,"*"&amp;Table1[[#Headers],[Discovery]]&amp;"*")</f>
        <v>0</v>
      </c>
      <c r="E625" s="8">
        <f>COUNTIFS('All Papers'!$D:$D,"*"&amp;$A625&amp;"*",'All Papers'!$G:$G,"*"&amp;Table1[[#Headers],[Selection]]&amp;"*")</f>
        <v>0</v>
      </c>
      <c r="F625" s="8">
        <f>COUNTIFS('All Papers'!$D:$D,"*"&amp;$A625&amp;"*",'All Papers'!$G:$G,"*"&amp;Table1[[#Headers],[Recommendation]]&amp;"*")</f>
        <v>0</v>
      </c>
      <c r="G625" s="8">
        <f>COUNTIFS('All Papers'!$D:$D,"*"&amp;$A625&amp;"*",'All Papers'!$G:$G,"*"&amp;Table1[[#Headers],[Resource Management-CS]]&amp;"*")</f>
        <v>1</v>
      </c>
      <c r="H625" s="8">
        <f>COUNTIFS('All Papers'!$D:$D,"*"&amp;$A625&amp;"*",'All Papers'!$G:$G,"*"&amp;Table1[[#Headers],[Resource Management-PS]]&amp;"*")</f>
        <v>0</v>
      </c>
      <c r="I625" s="8">
        <f>COUNTIFS('All Papers'!$D:$D,"*"&amp;$A625&amp;"*",'All Papers'!$G:$G,"*"&amp;Table1[[#Headers],[SLA Management]]&amp;"*")</f>
        <v>0</v>
      </c>
      <c r="J625" s="8">
        <f>COUNTIFS('All Papers'!$D:$D,"*"&amp;$A625&amp;"*",'All Papers'!$G:$G,"*"&amp;Table1[[#Headers],[Big Data]]&amp;"*")</f>
        <v>0</v>
      </c>
      <c r="K625" s="8">
        <f>COUNTIFS('All Papers'!$D:$D,"*"&amp;$A625&amp;"*",'All Papers'!$G:$G,"*"&amp;Table1[[#Headers],[Energy Management]]&amp;"*")</f>
        <v>0</v>
      </c>
      <c r="L625" s="8">
        <f>COUNTIFS('All Papers'!$D:$D,"*"&amp;$A625&amp;"*",'All Papers'!$G:$G,"*"&amp;Table1[[#Headers],[Monitoring]]&amp;"*")</f>
        <v>0</v>
      </c>
      <c r="M625" s="8">
        <f>COUNTIFS('All Papers'!$D:$D,"*"&amp;$A625&amp;"*",'All Papers'!$G:$G,"*"&amp;Table1[[#Headers],[Pricing]]&amp;"*")</f>
        <v>0</v>
      </c>
    </row>
    <row r="626" spans="1:13" x14ac:dyDescent="0.25">
      <c r="A626" s="8" t="s">
        <v>3059</v>
      </c>
      <c r="B626" s="8">
        <f>COUNTIF('All Papers'!D:D,"*"&amp;Table1[[#This Row],[Name]]&amp;"*")</f>
        <v>1</v>
      </c>
      <c r="C626" s="8">
        <f>COUNTIFS('All Papers'!$D:$D,"*"&amp;$A626&amp;"*",'All Papers'!$G:$G,"*"&amp;Table1[[#Headers],[Composition]]&amp;"*")</f>
        <v>0</v>
      </c>
      <c r="D626" s="8">
        <f>COUNTIFS('All Papers'!$D:$D,"*"&amp;$A626&amp;"*",'All Papers'!$G:$G,"*"&amp;Table1[[#Headers],[Discovery]]&amp;"*")</f>
        <v>0</v>
      </c>
      <c r="E626" s="8">
        <f>COUNTIFS('All Papers'!$D:$D,"*"&amp;$A626&amp;"*",'All Papers'!$G:$G,"*"&amp;Table1[[#Headers],[Selection]]&amp;"*")</f>
        <v>0</v>
      </c>
      <c r="F626" s="8">
        <f>COUNTIFS('All Papers'!$D:$D,"*"&amp;$A626&amp;"*",'All Papers'!$G:$G,"*"&amp;Table1[[#Headers],[Recommendation]]&amp;"*")</f>
        <v>0</v>
      </c>
      <c r="G626" s="8">
        <f>COUNTIFS('All Papers'!$D:$D,"*"&amp;$A626&amp;"*",'All Papers'!$G:$G,"*"&amp;Table1[[#Headers],[Resource Management-CS]]&amp;"*")</f>
        <v>1</v>
      </c>
      <c r="H626" s="8">
        <f>COUNTIFS('All Papers'!$D:$D,"*"&amp;$A626&amp;"*",'All Papers'!$G:$G,"*"&amp;Table1[[#Headers],[Resource Management-PS]]&amp;"*")</f>
        <v>0</v>
      </c>
      <c r="I626" s="8">
        <f>COUNTIFS('All Papers'!$D:$D,"*"&amp;$A626&amp;"*",'All Papers'!$G:$G,"*"&amp;Table1[[#Headers],[SLA Management]]&amp;"*")</f>
        <v>0</v>
      </c>
      <c r="J626" s="8">
        <f>COUNTIFS('All Papers'!$D:$D,"*"&amp;$A626&amp;"*",'All Papers'!$G:$G,"*"&amp;Table1[[#Headers],[Big Data]]&amp;"*")</f>
        <v>0</v>
      </c>
      <c r="K626" s="8">
        <f>COUNTIFS('All Papers'!$D:$D,"*"&amp;$A626&amp;"*",'All Papers'!$G:$G,"*"&amp;Table1[[#Headers],[Energy Management]]&amp;"*")</f>
        <v>0</v>
      </c>
      <c r="L626" s="8">
        <f>COUNTIFS('All Papers'!$D:$D,"*"&amp;$A626&amp;"*",'All Papers'!$G:$G,"*"&amp;Table1[[#Headers],[Monitoring]]&amp;"*")</f>
        <v>0</v>
      </c>
      <c r="M626" s="8">
        <f>COUNTIFS('All Papers'!$D:$D,"*"&amp;$A626&amp;"*",'All Papers'!$G:$G,"*"&amp;Table1[[#Headers],[Pricing]]&amp;"*")</f>
        <v>0</v>
      </c>
    </row>
    <row r="627" spans="1:13" x14ac:dyDescent="0.25">
      <c r="A627" s="8" t="s">
        <v>3060</v>
      </c>
      <c r="B627" s="8">
        <f>COUNTIF('All Papers'!D:D,"*"&amp;Table1[[#This Row],[Name]]&amp;"*")</f>
        <v>1</v>
      </c>
      <c r="C627" s="8">
        <f>COUNTIFS('All Papers'!$D:$D,"*"&amp;$A627&amp;"*",'All Papers'!$G:$G,"*"&amp;Table1[[#Headers],[Composition]]&amp;"*")</f>
        <v>0</v>
      </c>
      <c r="D627" s="8">
        <f>COUNTIFS('All Papers'!$D:$D,"*"&amp;$A627&amp;"*",'All Papers'!$G:$G,"*"&amp;Table1[[#Headers],[Discovery]]&amp;"*")</f>
        <v>0</v>
      </c>
      <c r="E627" s="8">
        <f>COUNTIFS('All Papers'!$D:$D,"*"&amp;$A627&amp;"*",'All Papers'!$G:$G,"*"&amp;Table1[[#Headers],[Selection]]&amp;"*")</f>
        <v>0</v>
      </c>
      <c r="F627" s="8">
        <f>COUNTIFS('All Papers'!$D:$D,"*"&amp;$A627&amp;"*",'All Papers'!$G:$G,"*"&amp;Table1[[#Headers],[Recommendation]]&amp;"*")</f>
        <v>0</v>
      </c>
      <c r="G627" s="8">
        <f>COUNTIFS('All Papers'!$D:$D,"*"&amp;$A627&amp;"*",'All Papers'!$G:$G,"*"&amp;Table1[[#Headers],[Resource Management-CS]]&amp;"*")</f>
        <v>1</v>
      </c>
      <c r="H627" s="8">
        <f>COUNTIFS('All Papers'!$D:$D,"*"&amp;$A627&amp;"*",'All Papers'!$G:$G,"*"&amp;Table1[[#Headers],[Resource Management-PS]]&amp;"*")</f>
        <v>0</v>
      </c>
      <c r="I627" s="8">
        <f>COUNTIFS('All Papers'!$D:$D,"*"&amp;$A627&amp;"*",'All Papers'!$G:$G,"*"&amp;Table1[[#Headers],[SLA Management]]&amp;"*")</f>
        <v>0</v>
      </c>
      <c r="J627" s="8">
        <f>COUNTIFS('All Papers'!$D:$D,"*"&amp;$A627&amp;"*",'All Papers'!$G:$G,"*"&amp;Table1[[#Headers],[Big Data]]&amp;"*")</f>
        <v>0</v>
      </c>
      <c r="K627" s="8">
        <f>COUNTIFS('All Papers'!$D:$D,"*"&amp;$A627&amp;"*",'All Papers'!$G:$G,"*"&amp;Table1[[#Headers],[Energy Management]]&amp;"*")</f>
        <v>0</v>
      </c>
      <c r="L627" s="8">
        <f>COUNTIFS('All Papers'!$D:$D,"*"&amp;$A627&amp;"*",'All Papers'!$G:$G,"*"&amp;Table1[[#Headers],[Monitoring]]&amp;"*")</f>
        <v>0</v>
      </c>
      <c r="M627" s="8">
        <f>COUNTIFS('All Papers'!$D:$D,"*"&amp;$A627&amp;"*",'All Papers'!$G:$G,"*"&amp;Table1[[#Headers],[Pricing]]&amp;"*")</f>
        <v>0</v>
      </c>
    </row>
    <row r="628" spans="1:13" x14ac:dyDescent="0.25">
      <c r="A628" s="8" t="s">
        <v>3061</v>
      </c>
      <c r="B628" s="8">
        <f>COUNTIF('All Papers'!D:D,"*"&amp;Table1[[#This Row],[Name]]&amp;"*")</f>
        <v>1</v>
      </c>
      <c r="C628" s="8">
        <f>COUNTIFS('All Papers'!$D:$D,"*"&amp;$A628&amp;"*",'All Papers'!$G:$G,"*"&amp;Table1[[#Headers],[Composition]]&amp;"*")</f>
        <v>0</v>
      </c>
      <c r="D628" s="8">
        <f>COUNTIFS('All Papers'!$D:$D,"*"&amp;$A628&amp;"*",'All Papers'!$G:$G,"*"&amp;Table1[[#Headers],[Discovery]]&amp;"*")</f>
        <v>0</v>
      </c>
      <c r="E628" s="8">
        <f>COUNTIFS('All Papers'!$D:$D,"*"&amp;$A628&amp;"*",'All Papers'!$G:$G,"*"&amp;Table1[[#Headers],[Selection]]&amp;"*")</f>
        <v>0</v>
      </c>
      <c r="F628" s="8">
        <f>COUNTIFS('All Papers'!$D:$D,"*"&amp;$A628&amp;"*",'All Papers'!$G:$G,"*"&amp;Table1[[#Headers],[Recommendation]]&amp;"*")</f>
        <v>0</v>
      </c>
      <c r="G628" s="8">
        <f>COUNTIFS('All Papers'!$D:$D,"*"&amp;$A628&amp;"*",'All Papers'!$G:$G,"*"&amp;Table1[[#Headers],[Resource Management-CS]]&amp;"*")</f>
        <v>1</v>
      </c>
      <c r="H628" s="8">
        <f>COUNTIFS('All Papers'!$D:$D,"*"&amp;$A628&amp;"*",'All Papers'!$G:$G,"*"&amp;Table1[[#Headers],[Resource Management-PS]]&amp;"*")</f>
        <v>0</v>
      </c>
      <c r="I628" s="8">
        <f>COUNTIFS('All Papers'!$D:$D,"*"&amp;$A628&amp;"*",'All Papers'!$G:$G,"*"&amp;Table1[[#Headers],[SLA Management]]&amp;"*")</f>
        <v>0</v>
      </c>
      <c r="J628" s="8">
        <f>COUNTIFS('All Papers'!$D:$D,"*"&amp;$A628&amp;"*",'All Papers'!$G:$G,"*"&amp;Table1[[#Headers],[Big Data]]&amp;"*")</f>
        <v>0</v>
      </c>
      <c r="K628" s="8">
        <f>COUNTIFS('All Papers'!$D:$D,"*"&amp;$A628&amp;"*",'All Papers'!$G:$G,"*"&amp;Table1[[#Headers],[Energy Management]]&amp;"*")</f>
        <v>0</v>
      </c>
      <c r="L628" s="8">
        <f>COUNTIFS('All Papers'!$D:$D,"*"&amp;$A628&amp;"*",'All Papers'!$G:$G,"*"&amp;Table1[[#Headers],[Monitoring]]&amp;"*")</f>
        <v>0</v>
      </c>
      <c r="M628" s="8">
        <f>COUNTIFS('All Papers'!$D:$D,"*"&amp;$A628&amp;"*",'All Papers'!$G:$G,"*"&amp;Table1[[#Headers],[Pricing]]&amp;"*")</f>
        <v>0</v>
      </c>
    </row>
    <row r="629" spans="1:13" x14ac:dyDescent="0.25">
      <c r="A629" s="8" t="s">
        <v>3062</v>
      </c>
      <c r="B629" s="8">
        <f>COUNTIF('All Papers'!D:D,"*"&amp;Table1[[#This Row],[Name]]&amp;"*")</f>
        <v>1</v>
      </c>
      <c r="C629" s="8">
        <f>COUNTIFS('All Papers'!$D:$D,"*"&amp;$A629&amp;"*",'All Papers'!$G:$G,"*"&amp;Table1[[#Headers],[Composition]]&amp;"*")</f>
        <v>0</v>
      </c>
      <c r="D629" s="8">
        <f>COUNTIFS('All Papers'!$D:$D,"*"&amp;$A629&amp;"*",'All Papers'!$G:$G,"*"&amp;Table1[[#Headers],[Discovery]]&amp;"*")</f>
        <v>0</v>
      </c>
      <c r="E629" s="8">
        <f>COUNTIFS('All Papers'!$D:$D,"*"&amp;$A629&amp;"*",'All Papers'!$G:$G,"*"&amp;Table1[[#Headers],[Selection]]&amp;"*")</f>
        <v>0</v>
      </c>
      <c r="F629" s="8">
        <f>COUNTIFS('All Papers'!$D:$D,"*"&amp;$A629&amp;"*",'All Papers'!$G:$G,"*"&amp;Table1[[#Headers],[Recommendation]]&amp;"*")</f>
        <v>0</v>
      </c>
      <c r="G629" s="8">
        <f>COUNTIFS('All Papers'!$D:$D,"*"&amp;$A629&amp;"*",'All Papers'!$G:$G,"*"&amp;Table1[[#Headers],[Resource Management-CS]]&amp;"*")</f>
        <v>1</v>
      </c>
      <c r="H629" s="8">
        <f>COUNTIFS('All Papers'!$D:$D,"*"&amp;$A629&amp;"*",'All Papers'!$G:$G,"*"&amp;Table1[[#Headers],[Resource Management-PS]]&amp;"*")</f>
        <v>0</v>
      </c>
      <c r="I629" s="8">
        <f>COUNTIFS('All Papers'!$D:$D,"*"&amp;$A629&amp;"*",'All Papers'!$G:$G,"*"&amp;Table1[[#Headers],[SLA Management]]&amp;"*")</f>
        <v>0</v>
      </c>
      <c r="J629" s="8">
        <f>COUNTIFS('All Papers'!$D:$D,"*"&amp;$A629&amp;"*",'All Papers'!$G:$G,"*"&amp;Table1[[#Headers],[Big Data]]&amp;"*")</f>
        <v>0</v>
      </c>
      <c r="K629" s="8">
        <f>COUNTIFS('All Papers'!$D:$D,"*"&amp;$A629&amp;"*",'All Papers'!$G:$G,"*"&amp;Table1[[#Headers],[Energy Management]]&amp;"*")</f>
        <v>0</v>
      </c>
      <c r="L629" s="8">
        <f>COUNTIFS('All Papers'!$D:$D,"*"&amp;$A629&amp;"*",'All Papers'!$G:$G,"*"&amp;Table1[[#Headers],[Monitoring]]&amp;"*")</f>
        <v>0</v>
      </c>
      <c r="M629" s="8">
        <f>COUNTIFS('All Papers'!$D:$D,"*"&amp;$A629&amp;"*",'All Papers'!$G:$G,"*"&amp;Table1[[#Headers],[Pricing]]&amp;"*")</f>
        <v>0</v>
      </c>
    </row>
    <row r="630" spans="1:13" x14ac:dyDescent="0.25">
      <c r="A630" s="8" t="s">
        <v>3063</v>
      </c>
      <c r="B630" s="8">
        <f>COUNTIF('All Papers'!D:D,"*"&amp;Table1[[#This Row],[Name]]&amp;"*")</f>
        <v>1</v>
      </c>
      <c r="C630" s="8">
        <f>COUNTIFS('All Papers'!$D:$D,"*"&amp;$A630&amp;"*",'All Papers'!$G:$G,"*"&amp;Table1[[#Headers],[Composition]]&amp;"*")</f>
        <v>0</v>
      </c>
      <c r="D630" s="8">
        <f>COUNTIFS('All Papers'!$D:$D,"*"&amp;$A630&amp;"*",'All Papers'!$G:$G,"*"&amp;Table1[[#Headers],[Discovery]]&amp;"*")</f>
        <v>0</v>
      </c>
      <c r="E630" s="8">
        <f>COUNTIFS('All Papers'!$D:$D,"*"&amp;$A630&amp;"*",'All Papers'!$G:$G,"*"&amp;Table1[[#Headers],[Selection]]&amp;"*")</f>
        <v>0</v>
      </c>
      <c r="F630" s="8">
        <f>COUNTIFS('All Papers'!$D:$D,"*"&amp;$A630&amp;"*",'All Papers'!$G:$G,"*"&amp;Table1[[#Headers],[Recommendation]]&amp;"*")</f>
        <v>0</v>
      </c>
      <c r="G630" s="8">
        <f>COUNTIFS('All Papers'!$D:$D,"*"&amp;$A630&amp;"*",'All Papers'!$G:$G,"*"&amp;Table1[[#Headers],[Resource Management-CS]]&amp;"*")</f>
        <v>0</v>
      </c>
      <c r="H630" s="8">
        <f>COUNTIFS('All Papers'!$D:$D,"*"&amp;$A630&amp;"*",'All Papers'!$G:$G,"*"&amp;Table1[[#Headers],[Resource Management-PS]]&amp;"*")</f>
        <v>1</v>
      </c>
      <c r="I630" s="8">
        <f>COUNTIFS('All Papers'!$D:$D,"*"&amp;$A630&amp;"*",'All Papers'!$G:$G,"*"&amp;Table1[[#Headers],[SLA Management]]&amp;"*")</f>
        <v>0</v>
      </c>
      <c r="J630" s="8">
        <f>COUNTIFS('All Papers'!$D:$D,"*"&amp;$A630&amp;"*",'All Papers'!$G:$G,"*"&amp;Table1[[#Headers],[Big Data]]&amp;"*")</f>
        <v>0</v>
      </c>
      <c r="K630" s="8">
        <f>COUNTIFS('All Papers'!$D:$D,"*"&amp;$A630&amp;"*",'All Papers'!$G:$G,"*"&amp;Table1[[#Headers],[Energy Management]]&amp;"*")</f>
        <v>0</v>
      </c>
      <c r="L630" s="8">
        <f>COUNTIFS('All Papers'!$D:$D,"*"&amp;$A630&amp;"*",'All Papers'!$G:$G,"*"&amp;Table1[[#Headers],[Monitoring]]&amp;"*")</f>
        <v>0</v>
      </c>
      <c r="M630" s="8">
        <f>COUNTIFS('All Papers'!$D:$D,"*"&amp;$A630&amp;"*",'All Papers'!$G:$G,"*"&amp;Table1[[#Headers],[Pricing]]&amp;"*")</f>
        <v>0</v>
      </c>
    </row>
    <row r="631" spans="1:13" x14ac:dyDescent="0.25">
      <c r="A631" s="8" t="s">
        <v>3064</v>
      </c>
      <c r="B631" s="8">
        <f>COUNTIF('All Papers'!D:D,"*"&amp;Table1[[#This Row],[Name]]&amp;"*")</f>
        <v>1</v>
      </c>
      <c r="C631" s="8">
        <f>COUNTIFS('All Papers'!$D:$D,"*"&amp;$A631&amp;"*",'All Papers'!$G:$G,"*"&amp;Table1[[#Headers],[Composition]]&amp;"*")</f>
        <v>0</v>
      </c>
      <c r="D631" s="8">
        <f>COUNTIFS('All Papers'!$D:$D,"*"&amp;$A631&amp;"*",'All Papers'!$G:$G,"*"&amp;Table1[[#Headers],[Discovery]]&amp;"*")</f>
        <v>0</v>
      </c>
      <c r="E631" s="8">
        <f>COUNTIFS('All Papers'!$D:$D,"*"&amp;$A631&amp;"*",'All Papers'!$G:$G,"*"&amp;Table1[[#Headers],[Selection]]&amp;"*")</f>
        <v>0</v>
      </c>
      <c r="F631" s="8">
        <f>COUNTIFS('All Papers'!$D:$D,"*"&amp;$A631&amp;"*",'All Papers'!$G:$G,"*"&amp;Table1[[#Headers],[Recommendation]]&amp;"*")</f>
        <v>0</v>
      </c>
      <c r="G631" s="8">
        <f>COUNTIFS('All Papers'!$D:$D,"*"&amp;$A631&amp;"*",'All Papers'!$G:$G,"*"&amp;Table1[[#Headers],[Resource Management-CS]]&amp;"*")</f>
        <v>0</v>
      </c>
      <c r="H631" s="8">
        <f>COUNTIFS('All Papers'!$D:$D,"*"&amp;$A631&amp;"*",'All Papers'!$G:$G,"*"&amp;Table1[[#Headers],[Resource Management-PS]]&amp;"*")</f>
        <v>1</v>
      </c>
      <c r="I631" s="8">
        <f>COUNTIFS('All Papers'!$D:$D,"*"&amp;$A631&amp;"*",'All Papers'!$G:$G,"*"&amp;Table1[[#Headers],[SLA Management]]&amp;"*")</f>
        <v>0</v>
      </c>
      <c r="J631" s="8">
        <f>COUNTIFS('All Papers'!$D:$D,"*"&amp;$A631&amp;"*",'All Papers'!$G:$G,"*"&amp;Table1[[#Headers],[Big Data]]&amp;"*")</f>
        <v>0</v>
      </c>
      <c r="K631" s="8">
        <f>COUNTIFS('All Papers'!$D:$D,"*"&amp;$A631&amp;"*",'All Papers'!$G:$G,"*"&amp;Table1[[#Headers],[Energy Management]]&amp;"*")</f>
        <v>0</v>
      </c>
      <c r="L631" s="8">
        <f>COUNTIFS('All Papers'!$D:$D,"*"&amp;$A631&amp;"*",'All Papers'!$G:$G,"*"&amp;Table1[[#Headers],[Monitoring]]&amp;"*")</f>
        <v>0</v>
      </c>
      <c r="M631" s="8">
        <f>COUNTIFS('All Papers'!$D:$D,"*"&amp;$A631&amp;"*",'All Papers'!$G:$G,"*"&amp;Table1[[#Headers],[Pricing]]&amp;"*")</f>
        <v>0</v>
      </c>
    </row>
    <row r="632" spans="1:13" x14ac:dyDescent="0.25">
      <c r="A632" s="8" t="s">
        <v>3065</v>
      </c>
      <c r="B632" s="8">
        <f>COUNTIF('All Papers'!D:D,"*"&amp;Table1[[#This Row],[Name]]&amp;"*")</f>
        <v>1</v>
      </c>
      <c r="C632" s="8">
        <f>COUNTIFS('All Papers'!$D:$D,"*"&amp;$A632&amp;"*",'All Papers'!$G:$G,"*"&amp;Table1[[#Headers],[Composition]]&amp;"*")</f>
        <v>0</v>
      </c>
      <c r="D632" s="8">
        <f>COUNTIFS('All Papers'!$D:$D,"*"&amp;$A632&amp;"*",'All Papers'!$G:$G,"*"&amp;Table1[[#Headers],[Discovery]]&amp;"*")</f>
        <v>0</v>
      </c>
      <c r="E632" s="8">
        <f>COUNTIFS('All Papers'!$D:$D,"*"&amp;$A632&amp;"*",'All Papers'!$G:$G,"*"&amp;Table1[[#Headers],[Selection]]&amp;"*")</f>
        <v>0</v>
      </c>
      <c r="F632" s="8">
        <f>COUNTIFS('All Papers'!$D:$D,"*"&amp;$A632&amp;"*",'All Papers'!$G:$G,"*"&amp;Table1[[#Headers],[Recommendation]]&amp;"*")</f>
        <v>0</v>
      </c>
      <c r="G632" s="8">
        <f>COUNTIFS('All Papers'!$D:$D,"*"&amp;$A632&amp;"*",'All Papers'!$G:$G,"*"&amp;Table1[[#Headers],[Resource Management-CS]]&amp;"*")</f>
        <v>0</v>
      </c>
      <c r="H632" s="8">
        <f>COUNTIFS('All Papers'!$D:$D,"*"&amp;$A632&amp;"*",'All Papers'!$G:$G,"*"&amp;Table1[[#Headers],[Resource Management-PS]]&amp;"*")</f>
        <v>1</v>
      </c>
      <c r="I632" s="8">
        <f>COUNTIFS('All Papers'!$D:$D,"*"&amp;$A632&amp;"*",'All Papers'!$G:$G,"*"&amp;Table1[[#Headers],[SLA Management]]&amp;"*")</f>
        <v>0</v>
      </c>
      <c r="J632" s="8">
        <f>COUNTIFS('All Papers'!$D:$D,"*"&amp;$A632&amp;"*",'All Papers'!$G:$G,"*"&amp;Table1[[#Headers],[Big Data]]&amp;"*")</f>
        <v>0</v>
      </c>
      <c r="K632" s="8">
        <f>COUNTIFS('All Papers'!$D:$D,"*"&amp;$A632&amp;"*",'All Papers'!$G:$G,"*"&amp;Table1[[#Headers],[Energy Management]]&amp;"*")</f>
        <v>0</v>
      </c>
      <c r="L632" s="8">
        <f>COUNTIFS('All Papers'!$D:$D,"*"&amp;$A632&amp;"*",'All Papers'!$G:$G,"*"&amp;Table1[[#Headers],[Monitoring]]&amp;"*")</f>
        <v>0</v>
      </c>
      <c r="M632" s="8">
        <f>COUNTIFS('All Papers'!$D:$D,"*"&amp;$A632&amp;"*",'All Papers'!$G:$G,"*"&amp;Table1[[#Headers],[Pricing]]&amp;"*")</f>
        <v>0</v>
      </c>
    </row>
    <row r="633" spans="1:13" x14ac:dyDescent="0.25">
      <c r="A633" s="8" t="s">
        <v>3066</v>
      </c>
      <c r="B633" s="8">
        <f>COUNTIF('All Papers'!D:D,"*"&amp;Table1[[#This Row],[Name]]&amp;"*")</f>
        <v>1</v>
      </c>
      <c r="C633" s="8">
        <f>COUNTIFS('All Papers'!$D:$D,"*"&amp;$A633&amp;"*",'All Papers'!$G:$G,"*"&amp;Table1[[#Headers],[Composition]]&amp;"*")</f>
        <v>0</v>
      </c>
      <c r="D633" s="8">
        <f>COUNTIFS('All Papers'!$D:$D,"*"&amp;$A633&amp;"*",'All Papers'!$G:$G,"*"&amp;Table1[[#Headers],[Discovery]]&amp;"*")</f>
        <v>0</v>
      </c>
      <c r="E633" s="8">
        <f>COUNTIFS('All Papers'!$D:$D,"*"&amp;$A633&amp;"*",'All Papers'!$G:$G,"*"&amp;Table1[[#Headers],[Selection]]&amp;"*")</f>
        <v>0</v>
      </c>
      <c r="F633" s="8">
        <f>COUNTIFS('All Papers'!$D:$D,"*"&amp;$A633&amp;"*",'All Papers'!$G:$G,"*"&amp;Table1[[#Headers],[Recommendation]]&amp;"*")</f>
        <v>0</v>
      </c>
      <c r="G633" s="8">
        <f>COUNTIFS('All Papers'!$D:$D,"*"&amp;$A633&amp;"*",'All Papers'!$G:$G,"*"&amp;Table1[[#Headers],[Resource Management-CS]]&amp;"*")</f>
        <v>0</v>
      </c>
      <c r="H633" s="8">
        <f>COUNTIFS('All Papers'!$D:$D,"*"&amp;$A633&amp;"*",'All Papers'!$G:$G,"*"&amp;Table1[[#Headers],[Resource Management-PS]]&amp;"*")</f>
        <v>1</v>
      </c>
      <c r="I633" s="8">
        <f>COUNTIFS('All Papers'!$D:$D,"*"&amp;$A633&amp;"*",'All Papers'!$G:$G,"*"&amp;Table1[[#Headers],[SLA Management]]&amp;"*")</f>
        <v>0</v>
      </c>
      <c r="J633" s="8">
        <f>COUNTIFS('All Papers'!$D:$D,"*"&amp;$A633&amp;"*",'All Papers'!$G:$G,"*"&amp;Table1[[#Headers],[Big Data]]&amp;"*")</f>
        <v>0</v>
      </c>
      <c r="K633" s="8">
        <f>COUNTIFS('All Papers'!$D:$D,"*"&amp;$A633&amp;"*",'All Papers'!$G:$G,"*"&amp;Table1[[#Headers],[Energy Management]]&amp;"*")</f>
        <v>0</v>
      </c>
      <c r="L633" s="8">
        <f>COUNTIFS('All Papers'!$D:$D,"*"&amp;$A633&amp;"*",'All Papers'!$G:$G,"*"&amp;Table1[[#Headers],[Monitoring]]&amp;"*")</f>
        <v>0</v>
      </c>
      <c r="M633" s="8">
        <f>COUNTIFS('All Papers'!$D:$D,"*"&amp;$A633&amp;"*",'All Papers'!$G:$G,"*"&amp;Table1[[#Headers],[Pricing]]&amp;"*")</f>
        <v>0</v>
      </c>
    </row>
    <row r="634" spans="1:13" x14ac:dyDescent="0.25">
      <c r="A634" s="8" t="s">
        <v>3067</v>
      </c>
      <c r="B634" s="8">
        <f>COUNTIF('All Papers'!D:D,"*"&amp;Table1[[#This Row],[Name]]&amp;"*")</f>
        <v>1</v>
      </c>
      <c r="C634" s="8">
        <f>COUNTIFS('All Papers'!$D:$D,"*"&amp;$A634&amp;"*",'All Papers'!$G:$G,"*"&amp;Table1[[#Headers],[Composition]]&amp;"*")</f>
        <v>0</v>
      </c>
      <c r="D634" s="8">
        <f>COUNTIFS('All Papers'!$D:$D,"*"&amp;$A634&amp;"*",'All Papers'!$G:$G,"*"&amp;Table1[[#Headers],[Discovery]]&amp;"*")</f>
        <v>0</v>
      </c>
      <c r="E634" s="8">
        <f>COUNTIFS('All Papers'!$D:$D,"*"&amp;$A634&amp;"*",'All Papers'!$G:$G,"*"&amp;Table1[[#Headers],[Selection]]&amp;"*")</f>
        <v>1</v>
      </c>
      <c r="F634" s="8">
        <f>COUNTIFS('All Papers'!$D:$D,"*"&amp;$A634&amp;"*",'All Papers'!$G:$G,"*"&amp;Table1[[#Headers],[Recommendation]]&amp;"*")</f>
        <v>0</v>
      </c>
      <c r="G634" s="8">
        <f>COUNTIFS('All Papers'!$D:$D,"*"&amp;$A634&amp;"*",'All Papers'!$G:$G,"*"&amp;Table1[[#Headers],[Resource Management-CS]]&amp;"*")</f>
        <v>0</v>
      </c>
      <c r="H634" s="8">
        <f>COUNTIFS('All Papers'!$D:$D,"*"&amp;$A634&amp;"*",'All Papers'!$G:$G,"*"&amp;Table1[[#Headers],[Resource Management-PS]]&amp;"*")</f>
        <v>0</v>
      </c>
      <c r="I634" s="8">
        <f>COUNTIFS('All Papers'!$D:$D,"*"&amp;$A634&amp;"*",'All Papers'!$G:$G,"*"&amp;Table1[[#Headers],[SLA Management]]&amp;"*")</f>
        <v>0</v>
      </c>
      <c r="J634" s="8">
        <f>COUNTIFS('All Papers'!$D:$D,"*"&amp;$A634&amp;"*",'All Papers'!$G:$G,"*"&amp;Table1[[#Headers],[Big Data]]&amp;"*")</f>
        <v>0</v>
      </c>
      <c r="K634" s="8">
        <f>COUNTIFS('All Papers'!$D:$D,"*"&amp;$A634&amp;"*",'All Papers'!$G:$G,"*"&amp;Table1[[#Headers],[Energy Management]]&amp;"*")</f>
        <v>0</v>
      </c>
      <c r="L634" s="8">
        <f>COUNTIFS('All Papers'!$D:$D,"*"&amp;$A634&amp;"*",'All Papers'!$G:$G,"*"&amp;Table1[[#Headers],[Monitoring]]&amp;"*")</f>
        <v>0</v>
      </c>
      <c r="M634" s="8">
        <f>COUNTIFS('All Papers'!$D:$D,"*"&amp;$A634&amp;"*",'All Papers'!$G:$G,"*"&amp;Table1[[#Headers],[Pricing]]&amp;"*")</f>
        <v>0</v>
      </c>
    </row>
    <row r="635" spans="1:13" x14ac:dyDescent="0.25">
      <c r="A635" s="8" t="s">
        <v>3068</v>
      </c>
      <c r="B635" s="8">
        <f>COUNTIF('All Papers'!D:D,"*"&amp;Table1[[#This Row],[Name]]&amp;"*")</f>
        <v>1</v>
      </c>
      <c r="C635" s="8">
        <f>COUNTIFS('All Papers'!$D:$D,"*"&amp;$A635&amp;"*",'All Papers'!$G:$G,"*"&amp;Table1[[#Headers],[Composition]]&amp;"*")</f>
        <v>0</v>
      </c>
      <c r="D635" s="8">
        <f>COUNTIFS('All Papers'!$D:$D,"*"&amp;$A635&amp;"*",'All Papers'!$G:$G,"*"&amp;Table1[[#Headers],[Discovery]]&amp;"*")</f>
        <v>0</v>
      </c>
      <c r="E635" s="8">
        <f>COUNTIFS('All Papers'!$D:$D,"*"&amp;$A635&amp;"*",'All Papers'!$G:$G,"*"&amp;Table1[[#Headers],[Selection]]&amp;"*")</f>
        <v>1</v>
      </c>
      <c r="F635" s="8">
        <f>COUNTIFS('All Papers'!$D:$D,"*"&amp;$A635&amp;"*",'All Papers'!$G:$G,"*"&amp;Table1[[#Headers],[Recommendation]]&amp;"*")</f>
        <v>0</v>
      </c>
      <c r="G635" s="8">
        <f>COUNTIFS('All Papers'!$D:$D,"*"&amp;$A635&amp;"*",'All Papers'!$G:$G,"*"&amp;Table1[[#Headers],[Resource Management-CS]]&amp;"*")</f>
        <v>0</v>
      </c>
      <c r="H635" s="8">
        <f>COUNTIFS('All Papers'!$D:$D,"*"&amp;$A635&amp;"*",'All Papers'!$G:$G,"*"&amp;Table1[[#Headers],[Resource Management-PS]]&amp;"*")</f>
        <v>0</v>
      </c>
      <c r="I635" s="8">
        <f>COUNTIFS('All Papers'!$D:$D,"*"&amp;$A635&amp;"*",'All Papers'!$G:$G,"*"&amp;Table1[[#Headers],[SLA Management]]&amp;"*")</f>
        <v>0</v>
      </c>
      <c r="J635" s="8">
        <f>COUNTIFS('All Papers'!$D:$D,"*"&amp;$A635&amp;"*",'All Papers'!$G:$G,"*"&amp;Table1[[#Headers],[Big Data]]&amp;"*")</f>
        <v>0</v>
      </c>
      <c r="K635" s="8">
        <f>COUNTIFS('All Papers'!$D:$D,"*"&amp;$A635&amp;"*",'All Papers'!$G:$G,"*"&amp;Table1[[#Headers],[Energy Management]]&amp;"*")</f>
        <v>0</v>
      </c>
      <c r="L635" s="8">
        <f>COUNTIFS('All Papers'!$D:$D,"*"&amp;$A635&amp;"*",'All Papers'!$G:$G,"*"&amp;Table1[[#Headers],[Monitoring]]&amp;"*")</f>
        <v>0</v>
      </c>
      <c r="M635" s="8">
        <f>COUNTIFS('All Papers'!$D:$D,"*"&amp;$A635&amp;"*",'All Papers'!$G:$G,"*"&amp;Table1[[#Headers],[Pricing]]&amp;"*")</f>
        <v>0</v>
      </c>
    </row>
    <row r="636" spans="1:13" x14ac:dyDescent="0.25">
      <c r="A636" s="8" t="s">
        <v>3069</v>
      </c>
      <c r="B636" s="8">
        <f>COUNTIF('All Papers'!D:D,"*"&amp;Table1[[#This Row],[Name]]&amp;"*")</f>
        <v>1</v>
      </c>
      <c r="C636" s="8">
        <f>COUNTIFS('All Papers'!$D:$D,"*"&amp;$A636&amp;"*",'All Papers'!$G:$G,"*"&amp;Table1[[#Headers],[Composition]]&amp;"*")</f>
        <v>0</v>
      </c>
      <c r="D636" s="8">
        <f>COUNTIFS('All Papers'!$D:$D,"*"&amp;$A636&amp;"*",'All Papers'!$G:$G,"*"&amp;Table1[[#Headers],[Discovery]]&amp;"*")</f>
        <v>0</v>
      </c>
      <c r="E636" s="8">
        <f>COUNTIFS('All Papers'!$D:$D,"*"&amp;$A636&amp;"*",'All Papers'!$G:$G,"*"&amp;Table1[[#Headers],[Selection]]&amp;"*")</f>
        <v>1</v>
      </c>
      <c r="F636" s="8">
        <f>COUNTIFS('All Papers'!$D:$D,"*"&amp;$A636&amp;"*",'All Papers'!$G:$G,"*"&amp;Table1[[#Headers],[Recommendation]]&amp;"*")</f>
        <v>0</v>
      </c>
      <c r="G636" s="8">
        <f>COUNTIFS('All Papers'!$D:$D,"*"&amp;$A636&amp;"*",'All Papers'!$G:$G,"*"&amp;Table1[[#Headers],[Resource Management-CS]]&amp;"*")</f>
        <v>0</v>
      </c>
      <c r="H636" s="8">
        <f>COUNTIFS('All Papers'!$D:$D,"*"&amp;$A636&amp;"*",'All Papers'!$G:$G,"*"&amp;Table1[[#Headers],[Resource Management-PS]]&amp;"*")</f>
        <v>0</v>
      </c>
      <c r="I636" s="8">
        <f>COUNTIFS('All Papers'!$D:$D,"*"&amp;$A636&amp;"*",'All Papers'!$G:$G,"*"&amp;Table1[[#Headers],[SLA Management]]&amp;"*")</f>
        <v>0</v>
      </c>
      <c r="J636" s="8">
        <f>COUNTIFS('All Papers'!$D:$D,"*"&amp;$A636&amp;"*",'All Papers'!$G:$G,"*"&amp;Table1[[#Headers],[Big Data]]&amp;"*")</f>
        <v>0</v>
      </c>
      <c r="K636" s="8">
        <f>COUNTIFS('All Papers'!$D:$D,"*"&amp;$A636&amp;"*",'All Papers'!$G:$G,"*"&amp;Table1[[#Headers],[Energy Management]]&amp;"*")</f>
        <v>0</v>
      </c>
      <c r="L636" s="8">
        <f>COUNTIFS('All Papers'!$D:$D,"*"&amp;$A636&amp;"*",'All Papers'!$G:$G,"*"&amp;Table1[[#Headers],[Monitoring]]&amp;"*")</f>
        <v>0</v>
      </c>
      <c r="M636" s="8">
        <f>COUNTIFS('All Papers'!$D:$D,"*"&amp;$A636&amp;"*",'All Papers'!$G:$G,"*"&amp;Table1[[#Headers],[Pricing]]&amp;"*")</f>
        <v>0</v>
      </c>
    </row>
    <row r="637" spans="1:13" x14ac:dyDescent="0.25">
      <c r="A637" s="8" t="s">
        <v>3070</v>
      </c>
      <c r="B637" s="8">
        <f>COUNTIF('All Papers'!D:D,"*"&amp;Table1[[#This Row],[Name]]&amp;"*")</f>
        <v>1</v>
      </c>
      <c r="C637" s="8">
        <f>COUNTIFS('All Papers'!$D:$D,"*"&amp;$A637&amp;"*",'All Papers'!$G:$G,"*"&amp;Table1[[#Headers],[Composition]]&amp;"*")</f>
        <v>0</v>
      </c>
      <c r="D637" s="8">
        <f>COUNTIFS('All Papers'!$D:$D,"*"&amp;$A637&amp;"*",'All Papers'!$G:$G,"*"&amp;Table1[[#Headers],[Discovery]]&amp;"*")</f>
        <v>0</v>
      </c>
      <c r="E637" s="8">
        <f>COUNTIFS('All Papers'!$D:$D,"*"&amp;$A637&amp;"*",'All Papers'!$G:$G,"*"&amp;Table1[[#Headers],[Selection]]&amp;"*")</f>
        <v>1</v>
      </c>
      <c r="F637" s="8">
        <f>COUNTIFS('All Papers'!$D:$D,"*"&amp;$A637&amp;"*",'All Papers'!$G:$G,"*"&amp;Table1[[#Headers],[Recommendation]]&amp;"*")</f>
        <v>0</v>
      </c>
      <c r="G637" s="8">
        <f>COUNTIFS('All Papers'!$D:$D,"*"&amp;$A637&amp;"*",'All Papers'!$G:$G,"*"&amp;Table1[[#Headers],[Resource Management-CS]]&amp;"*")</f>
        <v>0</v>
      </c>
      <c r="H637" s="8">
        <f>COUNTIFS('All Papers'!$D:$D,"*"&amp;$A637&amp;"*",'All Papers'!$G:$G,"*"&amp;Table1[[#Headers],[Resource Management-PS]]&amp;"*")</f>
        <v>0</v>
      </c>
      <c r="I637" s="8">
        <f>COUNTIFS('All Papers'!$D:$D,"*"&amp;$A637&amp;"*",'All Papers'!$G:$G,"*"&amp;Table1[[#Headers],[SLA Management]]&amp;"*")</f>
        <v>0</v>
      </c>
      <c r="J637" s="8">
        <f>COUNTIFS('All Papers'!$D:$D,"*"&amp;$A637&amp;"*",'All Papers'!$G:$G,"*"&amp;Table1[[#Headers],[Big Data]]&amp;"*")</f>
        <v>0</v>
      </c>
      <c r="K637" s="8">
        <f>COUNTIFS('All Papers'!$D:$D,"*"&amp;$A637&amp;"*",'All Papers'!$G:$G,"*"&amp;Table1[[#Headers],[Energy Management]]&amp;"*")</f>
        <v>0</v>
      </c>
      <c r="L637" s="8">
        <f>COUNTIFS('All Papers'!$D:$D,"*"&amp;$A637&amp;"*",'All Papers'!$G:$G,"*"&amp;Table1[[#Headers],[Monitoring]]&amp;"*")</f>
        <v>0</v>
      </c>
      <c r="M637" s="8">
        <f>COUNTIFS('All Papers'!$D:$D,"*"&amp;$A637&amp;"*",'All Papers'!$G:$G,"*"&amp;Table1[[#Headers],[Pricing]]&amp;"*")</f>
        <v>0</v>
      </c>
    </row>
    <row r="638" spans="1:13" x14ac:dyDescent="0.25">
      <c r="A638" s="8" t="s">
        <v>3071</v>
      </c>
      <c r="B638" s="8">
        <f>COUNTIF('All Papers'!D:D,"*"&amp;Table1[[#This Row],[Name]]&amp;"*")</f>
        <v>1</v>
      </c>
      <c r="C638" s="8">
        <f>COUNTIFS('All Papers'!$D:$D,"*"&amp;$A638&amp;"*",'All Papers'!$G:$G,"*"&amp;Table1[[#Headers],[Composition]]&amp;"*")</f>
        <v>0</v>
      </c>
      <c r="D638" s="8">
        <f>COUNTIFS('All Papers'!$D:$D,"*"&amp;$A638&amp;"*",'All Papers'!$G:$G,"*"&amp;Table1[[#Headers],[Discovery]]&amp;"*")</f>
        <v>0</v>
      </c>
      <c r="E638" s="8">
        <f>COUNTIFS('All Papers'!$D:$D,"*"&amp;$A638&amp;"*",'All Papers'!$G:$G,"*"&amp;Table1[[#Headers],[Selection]]&amp;"*")</f>
        <v>0</v>
      </c>
      <c r="F638" s="8">
        <f>COUNTIFS('All Papers'!$D:$D,"*"&amp;$A638&amp;"*",'All Papers'!$G:$G,"*"&amp;Table1[[#Headers],[Recommendation]]&amp;"*")</f>
        <v>0</v>
      </c>
      <c r="G638" s="8">
        <f>COUNTIFS('All Papers'!$D:$D,"*"&amp;$A638&amp;"*",'All Papers'!$G:$G,"*"&amp;Table1[[#Headers],[Resource Management-CS]]&amp;"*")</f>
        <v>1</v>
      </c>
      <c r="H638" s="8">
        <f>COUNTIFS('All Papers'!$D:$D,"*"&amp;$A638&amp;"*",'All Papers'!$G:$G,"*"&amp;Table1[[#Headers],[Resource Management-PS]]&amp;"*")</f>
        <v>0</v>
      </c>
      <c r="I638" s="8">
        <f>COUNTIFS('All Papers'!$D:$D,"*"&amp;$A638&amp;"*",'All Papers'!$G:$G,"*"&amp;Table1[[#Headers],[SLA Management]]&amp;"*")</f>
        <v>0</v>
      </c>
      <c r="J638" s="8">
        <f>COUNTIFS('All Papers'!$D:$D,"*"&amp;$A638&amp;"*",'All Papers'!$G:$G,"*"&amp;Table1[[#Headers],[Big Data]]&amp;"*")</f>
        <v>0</v>
      </c>
      <c r="K638" s="8">
        <f>COUNTIFS('All Papers'!$D:$D,"*"&amp;$A638&amp;"*",'All Papers'!$G:$G,"*"&amp;Table1[[#Headers],[Energy Management]]&amp;"*")</f>
        <v>0</v>
      </c>
      <c r="L638" s="8">
        <f>COUNTIFS('All Papers'!$D:$D,"*"&amp;$A638&amp;"*",'All Papers'!$G:$G,"*"&amp;Table1[[#Headers],[Monitoring]]&amp;"*")</f>
        <v>0</v>
      </c>
      <c r="M638" s="8">
        <f>COUNTIFS('All Papers'!$D:$D,"*"&amp;$A638&amp;"*",'All Papers'!$G:$G,"*"&amp;Table1[[#Headers],[Pricing]]&amp;"*")</f>
        <v>0</v>
      </c>
    </row>
    <row r="639" spans="1:13" x14ac:dyDescent="0.25">
      <c r="A639" s="8" t="s">
        <v>3072</v>
      </c>
      <c r="B639" s="8">
        <f>COUNTIF('All Papers'!D:D,"*"&amp;Table1[[#This Row],[Name]]&amp;"*")</f>
        <v>1</v>
      </c>
      <c r="C639" s="8">
        <f>COUNTIFS('All Papers'!$D:$D,"*"&amp;$A639&amp;"*",'All Papers'!$G:$G,"*"&amp;Table1[[#Headers],[Composition]]&amp;"*")</f>
        <v>0</v>
      </c>
      <c r="D639" s="8">
        <f>COUNTIFS('All Papers'!$D:$D,"*"&amp;$A639&amp;"*",'All Papers'!$G:$G,"*"&amp;Table1[[#Headers],[Discovery]]&amp;"*")</f>
        <v>0</v>
      </c>
      <c r="E639" s="8">
        <f>COUNTIFS('All Papers'!$D:$D,"*"&amp;$A639&amp;"*",'All Papers'!$G:$G,"*"&amp;Table1[[#Headers],[Selection]]&amp;"*")</f>
        <v>0</v>
      </c>
      <c r="F639" s="8">
        <f>COUNTIFS('All Papers'!$D:$D,"*"&amp;$A639&amp;"*",'All Papers'!$G:$G,"*"&amp;Table1[[#Headers],[Recommendation]]&amp;"*")</f>
        <v>0</v>
      </c>
      <c r="G639" s="8">
        <f>COUNTIFS('All Papers'!$D:$D,"*"&amp;$A639&amp;"*",'All Papers'!$G:$G,"*"&amp;Table1[[#Headers],[Resource Management-CS]]&amp;"*")</f>
        <v>1</v>
      </c>
      <c r="H639" s="8">
        <f>COUNTIFS('All Papers'!$D:$D,"*"&amp;$A639&amp;"*",'All Papers'!$G:$G,"*"&amp;Table1[[#Headers],[Resource Management-PS]]&amp;"*")</f>
        <v>0</v>
      </c>
      <c r="I639" s="8">
        <f>COUNTIFS('All Papers'!$D:$D,"*"&amp;$A639&amp;"*",'All Papers'!$G:$G,"*"&amp;Table1[[#Headers],[SLA Management]]&amp;"*")</f>
        <v>0</v>
      </c>
      <c r="J639" s="8">
        <f>COUNTIFS('All Papers'!$D:$D,"*"&amp;$A639&amp;"*",'All Papers'!$G:$G,"*"&amp;Table1[[#Headers],[Big Data]]&amp;"*")</f>
        <v>0</v>
      </c>
      <c r="K639" s="8">
        <f>COUNTIFS('All Papers'!$D:$D,"*"&amp;$A639&amp;"*",'All Papers'!$G:$G,"*"&amp;Table1[[#Headers],[Energy Management]]&amp;"*")</f>
        <v>0</v>
      </c>
      <c r="L639" s="8">
        <f>COUNTIFS('All Papers'!$D:$D,"*"&amp;$A639&amp;"*",'All Papers'!$G:$G,"*"&amp;Table1[[#Headers],[Monitoring]]&amp;"*")</f>
        <v>0</v>
      </c>
      <c r="M639" s="8">
        <f>COUNTIFS('All Papers'!$D:$D,"*"&amp;$A639&amp;"*",'All Papers'!$G:$G,"*"&amp;Table1[[#Headers],[Pricing]]&amp;"*")</f>
        <v>0</v>
      </c>
    </row>
    <row r="640" spans="1:13" x14ac:dyDescent="0.25">
      <c r="A640" s="8" t="s">
        <v>3073</v>
      </c>
      <c r="B640" s="8">
        <f>COUNTIF('All Papers'!D:D,"*"&amp;Table1[[#This Row],[Name]]&amp;"*")</f>
        <v>1</v>
      </c>
      <c r="C640" s="8">
        <f>COUNTIFS('All Papers'!$D:$D,"*"&amp;$A640&amp;"*",'All Papers'!$G:$G,"*"&amp;Table1[[#Headers],[Composition]]&amp;"*")</f>
        <v>0</v>
      </c>
      <c r="D640" s="8">
        <f>COUNTIFS('All Papers'!$D:$D,"*"&amp;$A640&amp;"*",'All Papers'!$G:$G,"*"&amp;Table1[[#Headers],[Discovery]]&amp;"*")</f>
        <v>0</v>
      </c>
      <c r="E640" s="8">
        <f>COUNTIFS('All Papers'!$D:$D,"*"&amp;$A640&amp;"*",'All Papers'!$G:$G,"*"&amp;Table1[[#Headers],[Selection]]&amp;"*")</f>
        <v>1</v>
      </c>
      <c r="F640" s="8">
        <f>COUNTIFS('All Papers'!$D:$D,"*"&amp;$A640&amp;"*",'All Papers'!$G:$G,"*"&amp;Table1[[#Headers],[Recommendation]]&amp;"*")</f>
        <v>0</v>
      </c>
      <c r="G640" s="8">
        <f>COUNTIFS('All Papers'!$D:$D,"*"&amp;$A640&amp;"*",'All Papers'!$G:$G,"*"&amp;Table1[[#Headers],[Resource Management-CS]]&amp;"*")</f>
        <v>0</v>
      </c>
      <c r="H640" s="8">
        <f>COUNTIFS('All Papers'!$D:$D,"*"&amp;$A640&amp;"*",'All Papers'!$G:$G,"*"&amp;Table1[[#Headers],[Resource Management-PS]]&amp;"*")</f>
        <v>0</v>
      </c>
      <c r="I640" s="8">
        <f>COUNTIFS('All Papers'!$D:$D,"*"&amp;$A640&amp;"*",'All Papers'!$G:$G,"*"&amp;Table1[[#Headers],[SLA Management]]&amp;"*")</f>
        <v>0</v>
      </c>
      <c r="J640" s="8">
        <f>COUNTIFS('All Papers'!$D:$D,"*"&amp;$A640&amp;"*",'All Papers'!$G:$G,"*"&amp;Table1[[#Headers],[Big Data]]&amp;"*")</f>
        <v>0</v>
      </c>
      <c r="K640" s="8">
        <f>COUNTIFS('All Papers'!$D:$D,"*"&amp;$A640&amp;"*",'All Papers'!$G:$G,"*"&amp;Table1[[#Headers],[Energy Management]]&amp;"*")</f>
        <v>0</v>
      </c>
      <c r="L640" s="8">
        <f>COUNTIFS('All Papers'!$D:$D,"*"&amp;$A640&amp;"*",'All Papers'!$G:$G,"*"&amp;Table1[[#Headers],[Monitoring]]&amp;"*")</f>
        <v>0</v>
      </c>
      <c r="M640" s="8">
        <f>COUNTIFS('All Papers'!$D:$D,"*"&amp;$A640&amp;"*",'All Papers'!$G:$G,"*"&amp;Table1[[#Headers],[Pricing]]&amp;"*")</f>
        <v>0</v>
      </c>
    </row>
    <row r="641" spans="1:13" x14ac:dyDescent="0.25">
      <c r="A641" s="8" t="s">
        <v>3074</v>
      </c>
      <c r="B641" s="8">
        <f>COUNTIF('All Papers'!D:D,"*"&amp;Table1[[#This Row],[Name]]&amp;"*")</f>
        <v>1</v>
      </c>
      <c r="C641" s="8">
        <f>COUNTIFS('All Papers'!$D:$D,"*"&amp;$A641&amp;"*",'All Papers'!$G:$G,"*"&amp;Table1[[#Headers],[Composition]]&amp;"*")</f>
        <v>0</v>
      </c>
      <c r="D641" s="8">
        <f>COUNTIFS('All Papers'!$D:$D,"*"&amp;$A641&amp;"*",'All Papers'!$G:$G,"*"&amp;Table1[[#Headers],[Discovery]]&amp;"*")</f>
        <v>0</v>
      </c>
      <c r="E641" s="8">
        <f>COUNTIFS('All Papers'!$D:$D,"*"&amp;$A641&amp;"*",'All Papers'!$G:$G,"*"&amp;Table1[[#Headers],[Selection]]&amp;"*")</f>
        <v>1</v>
      </c>
      <c r="F641" s="8">
        <f>COUNTIFS('All Papers'!$D:$D,"*"&amp;$A641&amp;"*",'All Papers'!$G:$G,"*"&amp;Table1[[#Headers],[Recommendation]]&amp;"*")</f>
        <v>0</v>
      </c>
      <c r="G641" s="8">
        <f>COUNTIFS('All Papers'!$D:$D,"*"&amp;$A641&amp;"*",'All Papers'!$G:$G,"*"&amp;Table1[[#Headers],[Resource Management-CS]]&amp;"*")</f>
        <v>0</v>
      </c>
      <c r="H641" s="8">
        <f>COUNTIFS('All Papers'!$D:$D,"*"&amp;$A641&amp;"*",'All Papers'!$G:$G,"*"&amp;Table1[[#Headers],[Resource Management-PS]]&amp;"*")</f>
        <v>0</v>
      </c>
      <c r="I641" s="8">
        <f>COUNTIFS('All Papers'!$D:$D,"*"&amp;$A641&amp;"*",'All Papers'!$G:$G,"*"&amp;Table1[[#Headers],[SLA Management]]&amp;"*")</f>
        <v>0</v>
      </c>
      <c r="J641" s="8">
        <f>COUNTIFS('All Papers'!$D:$D,"*"&amp;$A641&amp;"*",'All Papers'!$G:$G,"*"&amp;Table1[[#Headers],[Big Data]]&amp;"*")</f>
        <v>0</v>
      </c>
      <c r="K641" s="8">
        <f>COUNTIFS('All Papers'!$D:$D,"*"&amp;$A641&amp;"*",'All Papers'!$G:$G,"*"&amp;Table1[[#Headers],[Energy Management]]&amp;"*")</f>
        <v>0</v>
      </c>
      <c r="L641" s="8">
        <f>COUNTIFS('All Papers'!$D:$D,"*"&amp;$A641&amp;"*",'All Papers'!$G:$G,"*"&amp;Table1[[#Headers],[Monitoring]]&amp;"*")</f>
        <v>0</v>
      </c>
      <c r="M641" s="8">
        <f>COUNTIFS('All Papers'!$D:$D,"*"&amp;$A641&amp;"*",'All Papers'!$G:$G,"*"&amp;Table1[[#Headers],[Pricing]]&amp;"*")</f>
        <v>0</v>
      </c>
    </row>
    <row r="642" spans="1:13" x14ac:dyDescent="0.25">
      <c r="A642" s="8" t="s">
        <v>3075</v>
      </c>
      <c r="B642" s="8">
        <f>COUNTIF('All Papers'!D:D,"*"&amp;Table1[[#This Row],[Name]]&amp;"*")</f>
        <v>1</v>
      </c>
      <c r="C642" s="8">
        <f>COUNTIFS('All Papers'!$D:$D,"*"&amp;$A642&amp;"*",'All Papers'!$G:$G,"*"&amp;Table1[[#Headers],[Composition]]&amp;"*")</f>
        <v>0</v>
      </c>
      <c r="D642" s="8">
        <f>COUNTIFS('All Papers'!$D:$D,"*"&amp;$A642&amp;"*",'All Papers'!$G:$G,"*"&amp;Table1[[#Headers],[Discovery]]&amp;"*")</f>
        <v>1</v>
      </c>
      <c r="E642" s="8">
        <f>COUNTIFS('All Papers'!$D:$D,"*"&amp;$A642&amp;"*",'All Papers'!$G:$G,"*"&amp;Table1[[#Headers],[Selection]]&amp;"*")</f>
        <v>1</v>
      </c>
      <c r="F642" s="8">
        <f>COUNTIFS('All Papers'!$D:$D,"*"&amp;$A642&amp;"*",'All Papers'!$G:$G,"*"&amp;Table1[[#Headers],[Recommendation]]&amp;"*")</f>
        <v>0</v>
      </c>
      <c r="G642" s="8">
        <f>COUNTIFS('All Papers'!$D:$D,"*"&amp;$A642&amp;"*",'All Papers'!$G:$G,"*"&amp;Table1[[#Headers],[Resource Management-CS]]&amp;"*")</f>
        <v>0</v>
      </c>
      <c r="H642" s="8">
        <f>COUNTIFS('All Papers'!$D:$D,"*"&amp;$A642&amp;"*",'All Papers'!$G:$G,"*"&amp;Table1[[#Headers],[Resource Management-PS]]&amp;"*")</f>
        <v>0</v>
      </c>
      <c r="I642" s="8">
        <f>COUNTIFS('All Papers'!$D:$D,"*"&amp;$A642&amp;"*",'All Papers'!$G:$G,"*"&amp;Table1[[#Headers],[SLA Management]]&amp;"*")</f>
        <v>0</v>
      </c>
      <c r="J642" s="8">
        <f>COUNTIFS('All Papers'!$D:$D,"*"&amp;$A642&amp;"*",'All Papers'!$G:$G,"*"&amp;Table1[[#Headers],[Big Data]]&amp;"*")</f>
        <v>0</v>
      </c>
      <c r="K642" s="8">
        <f>COUNTIFS('All Papers'!$D:$D,"*"&amp;$A642&amp;"*",'All Papers'!$G:$G,"*"&amp;Table1[[#Headers],[Energy Management]]&amp;"*")</f>
        <v>0</v>
      </c>
      <c r="L642" s="8">
        <f>COUNTIFS('All Papers'!$D:$D,"*"&amp;$A642&amp;"*",'All Papers'!$G:$G,"*"&amp;Table1[[#Headers],[Monitoring]]&amp;"*")</f>
        <v>0</v>
      </c>
      <c r="M642" s="8">
        <f>COUNTIFS('All Papers'!$D:$D,"*"&amp;$A642&amp;"*",'All Papers'!$G:$G,"*"&amp;Table1[[#Headers],[Pricing]]&amp;"*")</f>
        <v>0</v>
      </c>
    </row>
    <row r="643" spans="1:13" x14ac:dyDescent="0.25">
      <c r="A643" s="8" t="s">
        <v>3076</v>
      </c>
      <c r="B643" s="8">
        <f>COUNTIF('All Papers'!D:D,"*"&amp;Table1[[#This Row],[Name]]&amp;"*")</f>
        <v>1</v>
      </c>
      <c r="C643" s="8">
        <f>COUNTIFS('All Papers'!$D:$D,"*"&amp;$A643&amp;"*",'All Papers'!$G:$G,"*"&amp;Table1[[#Headers],[Composition]]&amp;"*")</f>
        <v>0</v>
      </c>
      <c r="D643" s="8">
        <f>COUNTIFS('All Papers'!$D:$D,"*"&amp;$A643&amp;"*",'All Papers'!$G:$G,"*"&amp;Table1[[#Headers],[Discovery]]&amp;"*")</f>
        <v>1</v>
      </c>
      <c r="E643" s="8">
        <f>COUNTIFS('All Papers'!$D:$D,"*"&amp;$A643&amp;"*",'All Papers'!$G:$G,"*"&amp;Table1[[#Headers],[Selection]]&amp;"*")</f>
        <v>1</v>
      </c>
      <c r="F643" s="8">
        <f>COUNTIFS('All Papers'!$D:$D,"*"&amp;$A643&amp;"*",'All Papers'!$G:$G,"*"&amp;Table1[[#Headers],[Recommendation]]&amp;"*")</f>
        <v>0</v>
      </c>
      <c r="G643" s="8">
        <f>COUNTIFS('All Papers'!$D:$D,"*"&amp;$A643&amp;"*",'All Papers'!$G:$G,"*"&amp;Table1[[#Headers],[Resource Management-CS]]&amp;"*")</f>
        <v>0</v>
      </c>
      <c r="H643" s="8">
        <f>COUNTIFS('All Papers'!$D:$D,"*"&amp;$A643&amp;"*",'All Papers'!$G:$G,"*"&amp;Table1[[#Headers],[Resource Management-PS]]&amp;"*")</f>
        <v>0</v>
      </c>
      <c r="I643" s="8">
        <f>COUNTIFS('All Papers'!$D:$D,"*"&amp;$A643&amp;"*",'All Papers'!$G:$G,"*"&amp;Table1[[#Headers],[SLA Management]]&amp;"*")</f>
        <v>0</v>
      </c>
      <c r="J643" s="8">
        <f>COUNTIFS('All Papers'!$D:$D,"*"&amp;$A643&amp;"*",'All Papers'!$G:$G,"*"&amp;Table1[[#Headers],[Big Data]]&amp;"*")</f>
        <v>0</v>
      </c>
      <c r="K643" s="8">
        <f>COUNTIFS('All Papers'!$D:$D,"*"&amp;$A643&amp;"*",'All Papers'!$G:$G,"*"&amp;Table1[[#Headers],[Energy Management]]&amp;"*")</f>
        <v>0</v>
      </c>
      <c r="L643" s="8">
        <f>COUNTIFS('All Papers'!$D:$D,"*"&amp;$A643&amp;"*",'All Papers'!$G:$G,"*"&amp;Table1[[#Headers],[Monitoring]]&amp;"*")</f>
        <v>0</v>
      </c>
      <c r="M643" s="8">
        <f>COUNTIFS('All Papers'!$D:$D,"*"&amp;$A643&amp;"*",'All Papers'!$G:$G,"*"&amp;Table1[[#Headers],[Pricing]]&amp;"*")</f>
        <v>0</v>
      </c>
    </row>
    <row r="644" spans="1:13" x14ac:dyDescent="0.25">
      <c r="A644" s="8" t="s">
        <v>3077</v>
      </c>
      <c r="B644" s="8">
        <f>COUNTIF('All Papers'!D:D,"*"&amp;Table1[[#This Row],[Name]]&amp;"*")</f>
        <v>1</v>
      </c>
      <c r="C644" s="8">
        <f>COUNTIFS('All Papers'!$D:$D,"*"&amp;$A644&amp;"*",'All Papers'!$G:$G,"*"&amp;Table1[[#Headers],[Composition]]&amp;"*")</f>
        <v>0</v>
      </c>
      <c r="D644" s="8">
        <f>COUNTIFS('All Papers'!$D:$D,"*"&amp;$A644&amp;"*",'All Papers'!$G:$G,"*"&amp;Table1[[#Headers],[Discovery]]&amp;"*")</f>
        <v>1</v>
      </c>
      <c r="E644" s="8">
        <f>COUNTIFS('All Papers'!$D:$D,"*"&amp;$A644&amp;"*",'All Papers'!$G:$G,"*"&amp;Table1[[#Headers],[Selection]]&amp;"*")</f>
        <v>1</v>
      </c>
      <c r="F644" s="8">
        <f>COUNTIFS('All Papers'!$D:$D,"*"&amp;$A644&amp;"*",'All Papers'!$G:$G,"*"&amp;Table1[[#Headers],[Recommendation]]&amp;"*")</f>
        <v>0</v>
      </c>
      <c r="G644" s="8">
        <f>COUNTIFS('All Papers'!$D:$D,"*"&amp;$A644&amp;"*",'All Papers'!$G:$G,"*"&amp;Table1[[#Headers],[Resource Management-CS]]&amp;"*")</f>
        <v>0</v>
      </c>
      <c r="H644" s="8">
        <f>COUNTIFS('All Papers'!$D:$D,"*"&amp;$A644&amp;"*",'All Papers'!$G:$G,"*"&amp;Table1[[#Headers],[Resource Management-PS]]&amp;"*")</f>
        <v>0</v>
      </c>
      <c r="I644" s="8">
        <f>COUNTIFS('All Papers'!$D:$D,"*"&amp;$A644&amp;"*",'All Papers'!$G:$G,"*"&amp;Table1[[#Headers],[SLA Management]]&amp;"*")</f>
        <v>0</v>
      </c>
      <c r="J644" s="8">
        <f>COUNTIFS('All Papers'!$D:$D,"*"&amp;$A644&amp;"*",'All Papers'!$G:$G,"*"&amp;Table1[[#Headers],[Big Data]]&amp;"*")</f>
        <v>0</v>
      </c>
      <c r="K644" s="8">
        <f>COUNTIFS('All Papers'!$D:$D,"*"&amp;$A644&amp;"*",'All Papers'!$G:$G,"*"&amp;Table1[[#Headers],[Energy Management]]&amp;"*")</f>
        <v>0</v>
      </c>
      <c r="L644" s="8">
        <f>COUNTIFS('All Papers'!$D:$D,"*"&amp;$A644&amp;"*",'All Papers'!$G:$G,"*"&amp;Table1[[#Headers],[Monitoring]]&amp;"*")</f>
        <v>0</v>
      </c>
      <c r="M644" s="8">
        <f>COUNTIFS('All Papers'!$D:$D,"*"&amp;$A644&amp;"*",'All Papers'!$G:$G,"*"&amp;Table1[[#Headers],[Pricing]]&amp;"*")</f>
        <v>0</v>
      </c>
    </row>
    <row r="645" spans="1:13" x14ac:dyDescent="0.25">
      <c r="A645" s="8" t="s">
        <v>3078</v>
      </c>
      <c r="B645" s="8">
        <f>COUNTIF('All Papers'!D:D,"*"&amp;Table1[[#This Row],[Name]]&amp;"*")</f>
        <v>1</v>
      </c>
      <c r="C645" s="8">
        <f>COUNTIFS('All Papers'!$D:$D,"*"&amp;$A645&amp;"*",'All Papers'!$G:$G,"*"&amp;Table1[[#Headers],[Composition]]&amp;"*")</f>
        <v>0</v>
      </c>
      <c r="D645" s="8">
        <f>COUNTIFS('All Papers'!$D:$D,"*"&amp;$A645&amp;"*",'All Papers'!$G:$G,"*"&amp;Table1[[#Headers],[Discovery]]&amp;"*")</f>
        <v>1</v>
      </c>
      <c r="E645" s="8">
        <f>COUNTIFS('All Papers'!$D:$D,"*"&amp;$A645&amp;"*",'All Papers'!$G:$G,"*"&amp;Table1[[#Headers],[Selection]]&amp;"*")</f>
        <v>1</v>
      </c>
      <c r="F645" s="8">
        <f>COUNTIFS('All Papers'!$D:$D,"*"&amp;$A645&amp;"*",'All Papers'!$G:$G,"*"&amp;Table1[[#Headers],[Recommendation]]&amp;"*")</f>
        <v>0</v>
      </c>
      <c r="G645" s="8">
        <f>COUNTIFS('All Papers'!$D:$D,"*"&amp;$A645&amp;"*",'All Papers'!$G:$G,"*"&amp;Table1[[#Headers],[Resource Management-CS]]&amp;"*")</f>
        <v>0</v>
      </c>
      <c r="H645" s="8">
        <f>COUNTIFS('All Papers'!$D:$D,"*"&amp;$A645&amp;"*",'All Papers'!$G:$G,"*"&amp;Table1[[#Headers],[Resource Management-PS]]&amp;"*")</f>
        <v>0</v>
      </c>
      <c r="I645" s="8">
        <f>COUNTIFS('All Papers'!$D:$D,"*"&amp;$A645&amp;"*",'All Papers'!$G:$G,"*"&amp;Table1[[#Headers],[SLA Management]]&amp;"*")</f>
        <v>0</v>
      </c>
      <c r="J645" s="8">
        <f>COUNTIFS('All Papers'!$D:$D,"*"&amp;$A645&amp;"*",'All Papers'!$G:$G,"*"&amp;Table1[[#Headers],[Big Data]]&amp;"*")</f>
        <v>0</v>
      </c>
      <c r="K645" s="8">
        <f>COUNTIFS('All Papers'!$D:$D,"*"&amp;$A645&amp;"*",'All Papers'!$G:$G,"*"&amp;Table1[[#Headers],[Energy Management]]&amp;"*")</f>
        <v>0</v>
      </c>
      <c r="L645" s="8">
        <f>COUNTIFS('All Papers'!$D:$D,"*"&amp;$A645&amp;"*",'All Papers'!$G:$G,"*"&amp;Table1[[#Headers],[Monitoring]]&amp;"*")</f>
        <v>0</v>
      </c>
      <c r="M645" s="8">
        <f>COUNTIFS('All Papers'!$D:$D,"*"&amp;$A645&amp;"*",'All Papers'!$G:$G,"*"&amp;Table1[[#Headers],[Pricing]]&amp;"*")</f>
        <v>0</v>
      </c>
    </row>
    <row r="646" spans="1:13" x14ac:dyDescent="0.25">
      <c r="A646" s="8" t="s">
        <v>3079</v>
      </c>
      <c r="B646" s="8">
        <f>COUNTIF('All Papers'!D:D,"*"&amp;Table1[[#This Row],[Name]]&amp;"*")</f>
        <v>1</v>
      </c>
      <c r="C646" s="8">
        <f>COUNTIFS('All Papers'!$D:$D,"*"&amp;$A646&amp;"*",'All Papers'!$G:$G,"*"&amp;Table1[[#Headers],[Composition]]&amp;"*")</f>
        <v>0</v>
      </c>
      <c r="D646" s="8">
        <f>COUNTIFS('All Papers'!$D:$D,"*"&amp;$A646&amp;"*",'All Papers'!$G:$G,"*"&amp;Table1[[#Headers],[Discovery]]&amp;"*")</f>
        <v>1</v>
      </c>
      <c r="E646" s="8">
        <f>COUNTIFS('All Papers'!$D:$D,"*"&amp;$A646&amp;"*",'All Papers'!$G:$G,"*"&amp;Table1[[#Headers],[Selection]]&amp;"*")</f>
        <v>1</v>
      </c>
      <c r="F646" s="8">
        <f>COUNTIFS('All Papers'!$D:$D,"*"&amp;$A646&amp;"*",'All Papers'!$G:$G,"*"&amp;Table1[[#Headers],[Recommendation]]&amp;"*")</f>
        <v>0</v>
      </c>
      <c r="G646" s="8">
        <f>COUNTIFS('All Papers'!$D:$D,"*"&amp;$A646&amp;"*",'All Papers'!$G:$G,"*"&amp;Table1[[#Headers],[Resource Management-CS]]&amp;"*")</f>
        <v>0</v>
      </c>
      <c r="H646" s="8">
        <f>COUNTIFS('All Papers'!$D:$D,"*"&amp;$A646&amp;"*",'All Papers'!$G:$G,"*"&amp;Table1[[#Headers],[Resource Management-PS]]&amp;"*")</f>
        <v>0</v>
      </c>
      <c r="I646" s="8">
        <f>COUNTIFS('All Papers'!$D:$D,"*"&amp;$A646&amp;"*",'All Papers'!$G:$G,"*"&amp;Table1[[#Headers],[SLA Management]]&amp;"*")</f>
        <v>0</v>
      </c>
      <c r="J646" s="8">
        <f>COUNTIFS('All Papers'!$D:$D,"*"&amp;$A646&amp;"*",'All Papers'!$G:$G,"*"&amp;Table1[[#Headers],[Big Data]]&amp;"*")</f>
        <v>0</v>
      </c>
      <c r="K646" s="8">
        <f>COUNTIFS('All Papers'!$D:$D,"*"&amp;$A646&amp;"*",'All Papers'!$G:$G,"*"&amp;Table1[[#Headers],[Energy Management]]&amp;"*")</f>
        <v>0</v>
      </c>
      <c r="L646" s="8">
        <f>COUNTIFS('All Papers'!$D:$D,"*"&amp;$A646&amp;"*",'All Papers'!$G:$G,"*"&amp;Table1[[#Headers],[Monitoring]]&amp;"*")</f>
        <v>0</v>
      </c>
      <c r="M646" s="8">
        <f>COUNTIFS('All Papers'!$D:$D,"*"&amp;$A646&amp;"*",'All Papers'!$G:$G,"*"&amp;Table1[[#Headers],[Pricing]]&amp;"*")</f>
        <v>0</v>
      </c>
    </row>
    <row r="647" spans="1:13" x14ac:dyDescent="0.25">
      <c r="A647" s="8" t="s">
        <v>3080</v>
      </c>
      <c r="B647" s="8">
        <f>COUNTIF('All Papers'!D:D,"*"&amp;Table1[[#This Row],[Name]]&amp;"*")</f>
        <v>1</v>
      </c>
      <c r="C647" s="8">
        <f>COUNTIFS('All Papers'!$D:$D,"*"&amp;$A647&amp;"*",'All Papers'!$G:$G,"*"&amp;Table1[[#Headers],[Composition]]&amp;"*")</f>
        <v>1</v>
      </c>
      <c r="D647" s="8">
        <f>COUNTIFS('All Papers'!$D:$D,"*"&amp;$A647&amp;"*",'All Papers'!$G:$G,"*"&amp;Table1[[#Headers],[Discovery]]&amp;"*")</f>
        <v>0</v>
      </c>
      <c r="E647" s="8">
        <f>COUNTIFS('All Papers'!$D:$D,"*"&amp;$A647&amp;"*",'All Papers'!$G:$G,"*"&amp;Table1[[#Headers],[Selection]]&amp;"*")</f>
        <v>1</v>
      </c>
      <c r="F647" s="8">
        <f>COUNTIFS('All Papers'!$D:$D,"*"&amp;$A647&amp;"*",'All Papers'!$G:$G,"*"&amp;Table1[[#Headers],[Recommendation]]&amp;"*")</f>
        <v>0</v>
      </c>
      <c r="G647" s="8">
        <f>COUNTIFS('All Papers'!$D:$D,"*"&amp;$A647&amp;"*",'All Papers'!$G:$G,"*"&amp;Table1[[#Headers],[Resource Management-CS]]&amp;"*")</f>
        <v>0</v>
      </c>
      <c r="H647" s="8">
        <f>COUNTIFS('All Papers'!$D:$D,"*"&amp;$A647&amp;"*",'All Papers'!$G:$G,"*"&amp;Table1[[#Headers],[Resource Management-PS]]&amp;"*")</f>
        <v>0</v>
      </c>
      <c r="I647" s="8">
        <f>COUNTIFS('All Papers'!$D:$D,"*"&amp;$A647&amp;"*",'All Papers'!$G:$G,"*"&amp;Table1[[#Headers],[SLA Management]]&amp;"*")</f>
        <v>0</v>
      </c>
      <c r="J647" s="8">
        <f>COUNTIFS('All Papers'!$D:$D,"*"&amp;$A647&amp;"*",'All Papers'!$G:$G,"*"&amp;Table1[[#Headers],[Big Data]]&amp;"*")</f>
        <v>0</v>
      </c>
      <c r="K647" s="8">
        <f>COUNTIFS('All Papers'!$D:$D,"*"&amp;$A647&amp;"*",'All Papers'!$G:$G,"*"&amp;Table1[[#Headers],[Energy Management]]&amp;"*")</f>
        <v>0</v>
      </c>
      <c r="L647" s="8">
        <f>COUNTIFS('All Papers'!$D:$D,"*"&amp;$A647&amp;"*",'All Papers'!$G:$G,"*"&amp;Table1[[#Headers],[Monitoring]]&amp;"*")</f>
        <v>0</v>
      </c>
      <c r="M647" s="8">
        <f>COUNTIFS('All Papers'!$D:$D,"*"&amp;$A647&amp;"*",'All Papers'!$G:$G,"*"&amp;Table1[[#Headers],[Pricing]]&amp;"*")</f>
        <v>0</v>
      </c>
    </row>
    <row r="648" spans="1:13" x14ac:dyDescent="0.25">
      <c r="A648" s="8" t="s">
        <v>3081</v>
      </c>
      <c r="B648" s="8">
        <f>COUNTIF('All Papers'!D:D,"*"&amp;Table1[[#This Row],[Name]]&amp;"*")</f>
        <v>1</v>
      </c>
      <c r="C648" s="8">
        <f>COUNTIFS('All Papers'!$D:$D,"*"&amp;$A648&amp;"*",'All Papers'!$G:$G,"*"&amp;Table1[[#Headers],[Composition]]&amp;"*")</f>
        <v>1</v>
      </c>
      <c r="D648" s="8">
        <f>COUNTIFS('All Papers'!$D:$D,"*"&amp;$A648&amp;"*",'All Papers'!$G:$G,"*"&amp;Table1[[#Headers],[Discovery]]&amp;"*")</f>
        <v>0</v>
      </c>
      <c r="E648" s="8">
        <f>COUNTIFS('All Papers'!$D:$D,"*"&amp;$A648&amp;"*",'All Papers'!$G:$G,"*"&amp;Table1[[#Headers],[Selection]]&amp;"*")</f>
        <v>1</v>
      </c>
      <c r="F648" s="8">
        <f>COUNTIFS('All Papers'!$D:$D,"*"&amp;$A648&amp;"*",'All Papers'!$G:$G,"*"&amp;Table1[[#Headers],[Recommendation]]&amp;"*")</f>
        <v>0</v>
      </c>
      <c r="G648" s="8">
        <f>COUNTIFS('All Papers'!$D:$D,"*"&amp;$A648&amp;"*",'All Papers'!$G:$G,"*"&amp;Table1[[#Headers],[Resource Management-CS]]&amp;"*")</f>
        <v>0</v>
      </c>
      <c r="H648" s="8">
        <f>COUNTIFS('All Papers'!$D:$D,"*"&amp;$A648&amp;"*",'All Papers'!$G:$G,"*"&amp;Table1[[#Headers],[Resource Management-PS]]&amp;"*")</f>
        <v>0</v>
      </c>
      <c r="I648" s="8">
        <f>COUNTIFS('All Papers'!$D:$D,"*"&amp;$A648&amp;"*",'All Papers'!$G:$G,"*"&amp;Table1[[#Headers],[SLA Management]]&amp;"*")</f>
        <v>0</v>
      </c>
      <c r="J648" s="8">
        <f>COUNTIFS('All Papers'!$D:$D,"*"&amp;$A648&amp;"*",'All Papers'!$G:$G,"*"&amp;Table1[[#Headers],[Big Data]]&amp;"*")</f>
        <v>0</v>
      </c>
      <c r="K648" s="8">
        <f>COUNTIFS('All Papers'!$D:$D,"*"&amp;$A648&amp;"*",'All Papers'!$G:$G,"*"&amp;Table1[[#Headers],[Energy Management]]&amp;"*")</f>
        <v>0</v>
      </c>
      <c r="L648" s="8">
        <f>COUNTIFS('All Papers'!$D:$D,"*"&amp;$A648&amp;"*",'All Papers'!$G:$G,"*"&amp;Table1[[#Headers],[Monitoring]]&amp;"*")</f>
        <v>0</v>
      </c>
      <c r="M648" s="8">
        <f>COUNTIFS('All Papers'!$D:$D,"*"&amp;$A648&amp;"*",'All Papers'!$G:$G,"*"&amp;Table1[[#Headers],[Pricing]]&amp;"*")</f>
        <v>0</v>
      </c>
    </row>
    <row r="649" spans="1:13" x14ac:dyDescent="0.25">
      <c r="A649" s="8" t="s">
        <v>3082</v>
      </c>
      <c r="B649" s="8">
        <f>COUNTIF('All Papers'!D:D,"*"&amp;Table1[[#This Row],[Name]]&amp;"*")</f>
        <v>1</v>
      </c>
      <c r="C649" s="8">
        <f>COUNTIFS('All Papers'!$D:$D,"*"&amp;$A649&amp;"*",'All Papers'!$G:$G,"*"&amp;Table1[[#Headers],[Composition]]&amp;"*")</f>
        <v>0</v>
      </c>
      <c r="D649" s="8">
        <f>COUNTIFS('All Papers'!$D:$D,"*"&amp;$A649&amp;"*",'All Papers'!$G:$G,"*"&amp;Table1[[#Headers],[Discovery]]&amp;"*")</f>
        <v>0</v>
      </c>
      <c r="E649" s="8">
        <f>COUNTIFS('All Papers'!$D:$D,"*"&amp;$A649&amp;"*",'All Papers'!$G:$G,"*"&amp;Table1[[#Headers],[Selection]]&amp;"*")</f>
        <v>0</v>
      </c>
      <c r="F649" s="8">
        <f>COUNTIFS('All Papers'!$D:$D,"*"&amp;$A649&amp;"*",'All Papers'!$G:$G,"*"&amp;Table1[[#Headers],[Recommendation]]&amp;"*")</f>
        <v>0</v>
      </c>
      <c r="G649" s="8">
        <f>COUNTIFS('All Papers'!$D:$D,"*"&amp;$A649&amp;"*",'All Papers'!$G:$G,"*"&amp;Table1[[#Headers],[Resource Management-CS]]&amp;"*")</f>
        <v>1</v>
      </c>
      <c r="H649" s="8">
        <f>COUNTIFS('All Papers'!$D:$D,"*"&amp;$A649&amp;"*",'All Papers'!$G:$G,"*"&amp;Table1[[#Headers],[Resource Management-PS]]&amp;"*")</f>
        <v>0</v>
      </c>
      <c r="I649" s="8">
        <f>COUNTIFS('All Papers'!$D:$D,"*"&amp;$A649&amp;"*",'All Papers'!$G:$G,"*"&amp;Table1[[#Headers],[SLA Management]]&amp;"*")</f>
        <v>0</v>
      </c>
      <c r="J649" s="8">
        <f>COUNTIFS('All Papers'!$D:$D,"*"&amp;$A649&amp;"*",'All Papers'!$G:$G,"*"&amp;Table1[[#Headers],[Big Data]]&amp;"*")</f>
        <v>0</v>
      </c>
      <c r="K649" s="8">
        <f>COUNTIFS('All Papers'!$D:$D,"*"&amp;$A649&amp;"*",'All Papers'!$G:$G,"*"&amp;Table1[[#Headers],[Energy Management]]&amp;"*")</f>
        <v>0</v>
      </c>
      <c r="L649" s="8">
        <f>COUNTIFS('All Papers'!$D:$D,"*"&amp;$A649&amp;"*",'All Papers'!$G:$G,"*"&amp;Table1[[#Headers],[Monitoring]]&amp;"*")</f>
        <v>0</v>
      </c>
      <c r="M649" s="8">
        <f>COUNTIFS('All Papers'!$D:$D,"*"&amp;$A649&amp;"*",'All Papers'!$G:$G,"*"&amp;Table1[[#Headers],[Pricing]]&amp;"*")</f>
        <v>0</v>
      </c>
    </row>
    <row r="650" spans="1:13" x14ac:dyDescent="0.25">
      <c r="A650" s="8" t="s">
        <v>3083</v>
      </c>
      <c r="B650" s="8">
        <f>COUNTIF('All Papers'!D:D,"*"&amp;Table1[[#This Row],[Name]]&amp;"*")</f>
        <v>1</v>
      </c>
      <c r="C650" s="8">
        <f>COUNTIFS('All Papers'!$D:$D,"*"&amp;$A650&amp;"*",'All Papers'!$G:$G,"*"&amp;Table1[[#Headers],[Composition]]&amp;"*")</f>
        <v>0</v>
      </c>
      <c r="D650" s="8">
        <f>COUNTIFS('All Papers'!$D:$D,"*"&amp;$A650&amp;"*",'All Papers'!$G:$G,"*"&amp;Table1[[#Headers],[Discovery]]&amp;"*")</f>
        <v>0</v>
      </c>
      <c r="E650" s="8">
        <f>COUNTIFS('All Papers'!$D:$D,"*"&amp;$A650&amp;"*",'All Papers'!$G:$G,"*"&amp;Table1[[#Headers],[Selection]]&amp;"*")</f>
        <v>0</v>
      </c>
      <c r="F650" s="8">
        <f>COUNTIFS('All Papers'!$D:$D,"*"&amp;$A650&amp;"*",'All Papers'!$G:$G,"*"&amp;Table1[[#Headers],[Recommendation]]&amp;"*")</f>
        <v>0</v>
      </c>
      <c r="G650" s="8">
        <f>COUNTIFS('All Papers'!$D:$D,"*"&amp;$A650&amp;"*",'All Papers'!$G:$G,"*"&amp;Table1[[#Headers],[Resource Management-CS]]&amp;"*")</f>
        <v>1</v>
      </c>
      <c r="H650" s="8">
        <f>COUNTIFS('All Papers'!$D:$D,"*"&amp;$A650&amp;"*",'All Papers'!$G:$G,"*"&amp;Table1[[#Headers],[Resource Management-PS]]&amp;"*")</f>
        <v>0</v>
      </c>
      <c r="I650" s="8">
        <f>COUNTIFS('All Papers'!$D:$D,"*"&amp;$A650&amp;"*",'All Papers'!$G:$G,"*"&amp;Table1[[#Headers],[SLA Management]]&amp;"*")</f>
        <v>0</v>
      </c>
      <c r="J650" s="8">
        <f>COUNTIFS('All Papers'!$D:$D,"*"&amp;$A650&amp;"*",'All Papers'!$G:$G,"*"&amp;Table1[[#Headers],[Big Data]]&amp;"*")</f>
        <v>0</v>
      </c>
      <c r="K650" s="8">
        <f>COUNTIFS('All Papers'!$D:$D,"*"&amp;$A650&amp;"*",'All Papers'!$G:$G,"*"&amp;Table1[[#Headers],[Energy Management]]&amp;"*")</f>
        <v>0</v>
      </c>
      <c r="L650" s="8">
        <f>COUNTIFS('All Papers'!$D:$D,"*"&amp;$A650&amp;"*",'All Papers'!$G:$G,"*"&amp;Table1[[#Headers],[Monitoring]]&amp;"*")</f>
        <v>0</v>
      </c>
      <c r="M650" s="8">
        <f>COUNTIFS('All Papers'!$D:$D,"*"&amp;$A650&amp;"*",'All Papers'!$G:$G,"*"&amp;Table1[[#Headers],[Pricing]]&amp;"*")</f>
        <v>0</v>
      </c>
    </row>
    <row r="651" spans="1:13" x14ac:dyDescent="0.25">
      <c r="A651" s="8" t="s">
        <v>3084</v>
      </c>
      <c r="B651" s="8">
        <f>COUNTIF('All Papers'!D:D,"*"&amp;Table1[[#This Row],[Name]]&amp;"*")</f>
        <v>1</v>
      </c>
      <c r="C651" s="8">
        <f>COUNTIFS('All Papers'!$D:$D,"*"&amp;$A651&amp;"*",'All Papers'!$G:$G,"*"&amp;Table1[[#Headers],[Composition]]&amp;"*")</f>
        <v>0</v>
      </c>
      <c r="D651" s="8">
        <f>COUNTIFS('All Papers'!$D:$D,"*"&amp;$A651&amp;"*",'All Papers'!$G:$G,"*"&amp;Table1[[#Headers],[Discovery]]&amp;"*")</f>
        <v>0</v>
      </c>
      <c r="E651" s="8">
        <f>COUNTIFS('All Papers'!$D:$D,"*"&amp;$A651&amp;"*",'All Papers'!$G:$G,"*"&amp;Table1[[#Headers],[Selection]]&amp;"*")</f>
        <v>0</v>
      </c>
      <c r="F651" s="8">
        <f>COUNTIFS('All Papers'!$D:$D,"*"&amp;$A651&amp;"*",'All Papers'!$G:$G,"*"&amp;Table1[[#Headers],[Recommendation]]&amp;"*")</f>
        <v>0</v>
      </c>
      <c r="G651" s="8">
        <f>COUNTIFS('All Papers'!$D:$D,"*"&amp;$A651&amp;"*",'All Papers'!$G:$G,"*"&amp;Table1[[#Headers],[Resource Management-CS]]&amp;"*")</f>
        <v>1</v>
      </c>
      <c r="H651" s="8">
        <f>COUNTIFS('All Papers'!$D:$D,"*"&amp;$A651&amp;"*",'All Papers'!$G:$G,"*"&amp;Table1[[#Headers],[Resource Management-PS]]&amp;"*")</f>
        <v>0</v>
      </c>
      <c r="I651" s="8">
        <f>COUNTIFS('All Papers'!$D:$D,"*"&amp;$A651&amp;"*",'All Papers'!$G:$G,"*"&amp;Table1[[#Headers],[SLA Management]]&amp;"*")</f>
        <v>0</v>
      </c>
      <c r="J651" s="8">
        <f>COUNTIFS('All Papers'!$D:$D,"*"&amp;$A651&amp;"*",'All Papers'!$G:$G,"*"&amp;Table1[[#Headers],[Big Data]]&amp;"*")</f>
        <v>0</v>
      </c>
      <c r="K651" s="8">
        <f>COUNTIFS('All Papers'!$D:$D,"*"&amp;$A651&amp;"*",'All Papers'!$G:$G,"*"&amp;Table1[[#Headers],[Energy Management]]&amp;"*")</f>
        <v>0</v>
      </c>
      <c r="L651" s="8">
        <f>COUNTIFS('All Papers'!$D:$D,"*"&amp;$A651&amp;"*",'All Papers'!$G:$G,"*"&amp;Table1[[#Headers],[Monitoring]]&amp;"*")</f>
        <v>0</v>
      </c>
      <c r="M651" s="8">
        <f>COUNTIFS('All Papers'!$D:$D,"*"&amp;$A651&amp;"*",'All Papers'!$G:$G,"*"&amp;Table1[[#Headers],[Pricing]]&amp;"*")</f>
        <v>0</v>
      </c>
    </row>
    <row r="652" spans="1:13" x14ac:dyDescent="0.25">
      <c r="A652" s="8" t="s">
        <v>3085</v>
      </c>
      <c r="B652" s="8">
        <f>COUNTIF('All Papers'!D:D,"*"&amp;Table1[[#This Row],[Name]]&amp;"*")</f>
        <v>1</v>
      </c>
      <c r="C652" s="8">
        <f>COUNTIFS('All Papers'!$D:$D,"*"&amp;$A652&amp;"*",'All Papers'!$G:$G,"*"&amp;Table1[[#Headers],[Composition]]&amp;"*")</f>
        <v>0</v>
      </c>
      <c r="D652" s="8">
        <f>COUNTIFS('All Papers'!$D:$D,"*"&amp;$A652&amp;"*",'All Papers'!$G:$G,"*"&amp;Table1[[#Headers],[Discovery]]&amp;"*")</f>
        <v>0</v>
      </c>
      <c r="E652" s="8">
        <f>COUNTIFS('All Papers'!$D:$D,"*"&amp;$A652&amp;"*",'All Papers'!$G:$G,"*"&amp;Table1[[#Headers],[Selection]]&amp;"*")</f>
        <v>0</v>
      </c>
      <c r="F652" s="8">
        <f>COUNTIFS('All Papers'!$D:$D,"*"&amp;$A652&amp;"*",'All Papers'!$G:$G,"*"&amp;Table1[[#Headers],[Recommendation]]&amp;"*")</f>
        <v>0</v>
      </c>
      <c r="G652" s="8">
        <f>COUNTIFS('All Papers'!$D:$D,"*"&amp;$A652&amp;"*",'All Papers'!$G:$G,"*"&amp;Table1[[#Headers],[Resource Management-CS]]&amp;"*")</f>
        <v>1</v>
      </c>
      <c r="H652" s="8">
        <f>COUNTIFS('All Papers'!$D:$D,"*"&amp;$A652&amp;"*",'All Papers'!$G:$G,"*"&amp;Table1[[#Headers],[Resource Management-PS]]&amp;"*")</f>
        <v>0</v>
      </c>
      <c r="I652" s="8">
        <f>COUNTIFS('All Papers'!$D:$D,"*"&amp;$A652&amp;"*",'All Papers'!$G:$G,"*"&amp;Table1[[#Headers],[SLA Management]]&amp;"*")</f>
        <v>0</v>
      </c>
      <c r="J652" s="8">
        <f>COUNTIFS('All Papers'!$D:$D,"*"&amp;$A652&amp;"*",'All Papers'!$G:$G,"*"&amp;Table1[[#Headers],[Big Data]]&amp;"*")</f>
        <v>0</v>
      </c>
      <c r="K652" s="8">
        <f>COUNTIFS('All Papers'!$D:$D,"*"&amp;$A652&amp;"*",'All Papers'!$G:$G,"*"&amp;Table1[[#Headers],[Energy Management]]&amp;"*")</f>
        <v>0</v>
      </c>
      <c r="L652" s="8">
        <f>COUNTIFS('All Papers'!$D:$D,"*"&amp;$A652&amp;"*",'All Papers'!$G:$G,"*"&amp;Table1[[#Headers],[Monitoring]]&amp;"*")</f>
        <v>0</v>
      </c>
      <c r="M652" s="8">
        <f>COUNTIFS('All Papers'!$D:$D,"*"&amp;$A652&amp;"*",'All Papers'!$G:$G,"*"&amp;Table1[[#Headers],[Pricing]]&amp;"*")</f>
        <v>0</v>
      </c>
    </row>
    <row r="653" spans="1:13" x14ac:dyDescent="0.25">
      <c r="A653" s="8" t="s">
        <v>3086</v>
      </c>
      <c r="B653" s="8">
        <f>COUNTIF('All Papers'!D:D,"*"&amp;Table1[[#This Row],[Name]]&amp;"*")</f>
        <v>1</v>
      </c>
      <c r="C653" s="8">
        <f>COUNTIFS('All Papers'!$D:$D,"*"&amp;$A653&amp;"*",'All Papers'!$G:$G,"*"&amp;Table1[[#Headers],[Composition]]&amp;"*")</f>
        <v>0</v>
      </c>
      <c r="D653" s="8">
        <f>COUNTIFS('All Papers'!$D:$D,"*"&amp;$A653&amp;"*",'All Papers'!$G:$G,"*"&amp;Table1[[#Headers],[Discovery]]&amp;"*")</f>
        <v>0</v>
      </c>
      <c r="E653" s="8">
        <f>COUNTIFS('All Papers'!$D:$D,"*"&amp;$A653&amp;"*",'All Papers'!$G:$G,"*"&amp;Table1[[#Headers],[Selection]]&amp;"*")</f>
        <v>0</v>
      </c>
      <c r="F653" s="8">
        <f>COUNTIFS('All Papers'!$D:$D,"*"&amp;$A653&amp;"*",'All Papers'!$G:$G,"*"&amp;Table1[[#Headers],[Recommendation]]&amp;"*")</f>
        <v>0</v>
      </c>
      <c r="G653" s="8">
        <f>COUNTIFS('All Papers'!$D:$D,"*"&amp;$A653&amp;"*",'All Papers'!$G:$G,"*"&amp;Table1[[#Headers],[Resource Management-CS]]&amp;"*")</f>
        <v>1</v>
      </c>
      <c r="H653" s="8">
        <f>COUNTIFS('All Papers'!$D:$D,"*"&amp;$A653&amp;"*",'All Papers'!$G:$G,"*"&amp;Table1[[#Headers],[Resource Management-PS]]&amp;"*")</f>
        <v>0</v>
      </c>
      <c r="I653" s="8">
        <f>COUNTIFS('All Papers'!$D:$D,"*"&amp;$A653&amp;"*",'All Papers'!$G:$G,"*"&amp;Table1[[#Headers],[SLA Management]]&amp;"*")</f>
        <v>0</v>
      </c>
      <c r="J653" s="8">
        <f>COUNTIFS('All Papers'!$D:$D,"*"&amp;$A653&amp;"*",'All Papers'!$G:$G,"*"&amp;Table1[[#Headers],[Big Data]]&amp;"*")</f>
        <v>0</v>
      </c>
      <c r="K653" s="8">
        <f>COUNTIFS('All Papers'!$D:$D,"*"&amp;$A653&amp;"*",'All Papers'!$G:$G,"*"&amp;Table1[[#Headers],[Energy Management]]&amp;"*")</f>
        <v>0</v>
      </c>
      <c r="L653" s="8">
        <f>COUNTIFS('All Papers'!$D:$D,"*"&amp;$A653&amp;"*",'All Papers'!$G:$G,"*"&amp;Table1[[#Headers],[Monitoring]]&amp;"*")</f>
        <v>0</v>
      </c>
      <c r="M653" s="8">
        <f>COUNTIFS('All Papers'!$D:$D,"*"&amp;$A653&amp;"*",'All Papers'!$G:$G,"*"&amp;Table1[[#Headers],[Pricing]]&amp;"*")</f>
        <v>0</v>
      </c>
    </row>
    <row r="654" spans="1:13" x14ac:dyDescent="0.25">
      <c r="A654" s="8" t="s">
        <v>3087</v>
      </c>
      <c r="B654" s="8">
        <f>COUNTIF('All Papers'!D:D,"*"&amp;Table1[[#This Row],[Name]]&amp;"*")</f>
        <v>1</v>
      </c>
      <c r="C654" s="8">
        <f>COUNTIFS('All Papers'!$D:$D,"*"&amp;$A654&amp;"*",'All Papers'!$G:$G,"*"&amp;Table1[[#Headers],[Composition]]&amp;"*")</f>
        <v>0</v>
      </c>
      <c r="D654" s="8">
        <f>COUNTIFS('All Papers'!$D:$D,"*"&amp;$A654&amp;"*",'All Papers'!$G:$G,"*"&amp;Table1[[#Headers],[Discovery]]&amp;"*")</f>
        <v>0</v>
      </c>
      <c r="E654" s="8">
        <f>COUNTIFS('All Papers'!$D:$D,"*"&amp;$A654&amp;"*",'All Papers'!$G:$G,"*"&amp;Table1[[#Headers],[Selection]]&amp;"*")</f>
        <v>0</v>
      </c>
      <c r="F654" s="8">
        <f>COUNTIFS('All Papers'!$D:$D,"*"&amp;$A654&amp;"*",'All Papers'!$G:$G,"*"&amp;Table1[[#Headers],[Recommendation]]&amp;"*")</f>
        <v>0</v>
      </c>
      <c r="G654" s="8">
        <f>COUNTIFS('All Papers'!$D:$D,"*"&amp;$A654&amp;"*",'All Papers'!$G:$G,"*"&amp;Table1[[#Headers],[Resource Management-CS]]&amp;"*")</f>
        <v>1</v>
      </c>
      <c r="H654" s="8">
        <f>COUNTIFS('All Papers'!$D:$D,"*"&amp;$A654&amp;"*",'All Papers'!$G:$G,"*"&amp;Table1[[#Headers],[Resource Management-PS]]&amp;"*")</f>
        <v>0</v>
      </c>
      <c r="I654" s="8">
        <f>COUNTIFS('All Papers'!$D:$D,"*"&amp;$A654&amp;"*",'All Papers'!$G:$G,"*"&amp;Table1[[#Headers],[SLA Management]]&amp;"*")</f>
        <v>0</v>
      </c>
      <c r="J654" s="8">
        <f>COUNTIFS('All Papers'!$D:$D,"*"&amp;$A654&amp;"*",'All Papers'!$G:$G,"*"&amp;Table1[[#Headers],[Big Data]]&amp;"*")</f>
        <v>0</v>
      </c>
      <c r="K654" s="8">
        <f>COUNTIFS('All Papers'!$D:$D,"*"&amp;$A654&amp;"*",'All Papers'!$G:$G,"*"&amp;Table1[[#Headers],[Energy Management]]&amp;"*")</f>
        <v>0</v>
      </c>
      <c r="L654" s="8">
        <f>COUNTIFS('All Papers'!$D:$D,"*"&amp;$A654&amp;"*",'All Papers'!$G:$G,"*"&amp;Table1[[#Headers],[Monitoring]]&amp;"*")</f>
        <v>0</v>
      </c>
      <c r="M654" s="8">
        <f>COUNTIFS('All Papers'!$D:$D,"*"&amp;$A654&amp;"*",'All Papers'!$G:$G,"*"&amp;Table1[[#Headers],[Pricing]]&amp;"*")</f>
        <v>0</v>
      </c>
    </row>
    <row r="655" spans="1:13" x14ac:dyDescent="0.25">
      <c r="A655" s="8" t="s">
        <v>3088</v>
      </c>
      <c r="B655" s="8">
        <f>COUNTIF('All Papers'!D:D,"*"&amp;Table1[[#This Row],[Name]]&amp;"*")</f>
        <v>1</v>
      </c>
      <c r="C655" s="8">
        <f>COUNTIFS('All Papers'!$D:$D,"*"&amp;$A655&amp;"*",'All Papers'!$G:$G,"*"&amp;Table1[[#Headers],[Composition]]&amp;"*")</f>
        <v>0</v>
      </c>
      <c r="D655" s="8">
        <f>COUNTIFS('All Papers'!$D:$D,"*"&amp;$A655&amp;"*",'All Papers'!$G:$G,"*"&amp;Table1[[#Headers],[Discovery]]&amp;"*")</f>
        <v>0</v>
      </c>
      <c r="E655" s="8">
        <f>COUNTIFS('All Papers'!$D:$D,"*"&amp;$A655&amp;"*",'All Papers'!$G:$G,"*"&amp;Table1[[#Headers],[Selection]]&amp;"*")</f>
        <v>0</v>
      </c>
      <c r="F655" s="8">
        <f>COUNTIFS('All Papers'!$D:$D,"*"&amp;$A655&amp;"*",'All Papers'!$G:$G,"*"&amp;Table1[[#Headers],[Recommendation]]&amp;"*")</f>
        <v>0</v>
      </c>
      <c r="G655" s="8">
        <f>COUNTIFS('All Papers'!$D:$D,"*"&amp;$A655&amp;"*",'All Papers'!$G:$G,"*"&amp;Table1[[#Headers],[Resource Management-CS]]&amp;"*")</f>
        <v>1</v>
      </c>
      <c r="H655" s="8">
        <f>COUNTIFS('All Papers'!$D:$D,"*"&amp;$A655&amp;"*",'All Papers'!$G:$G,"*"&amp;Table1[[#Headers],[Resource Management-PS]]&amp;"*")</f>
        <v>0</v>
      </c>
      <c r="I655" s="8">
        <f>COUNTIFS('All Papers'!$D:$D,"*"&amp;$A655&amp;"*",'All Papers'!$G:$G,"*"&amp;Table1[[#Headers],[SLA Management]]&amp;"*")</f>
        <v>0</v>
      </c>
      <c r="J655" s="8">
        <f>COUNTIFS('All Papers'!$D:$D,"*"&amp;$A655&amp;"*",'All Papers'!$G:$G,"*"&amp;Table1[[#Headers],[Big Data]]&amp;"*")</f>
        <v>0</v>
      </c>
      <c r="K655" s="8">
        <f>COUNTIFS('All Papers'!$D:$D,"*"&amp;$A655&amp;"*",'All Papers'!$G:$G,"*"&amp;Table1[[#Headers],[Energy Management]]&amp;"*")</f>
        <v>0</v>
      </c>
      <c r="L655" s="8">
        <f>COUNTIFS('All Papers'!$D:$D,"*"&amp;$A655&amp;"*",'All Papers'!$G:$G,"*"&amp;Table1[[#Headers],[Monitoring]]&amp;"*")</f>
        <v>0</v>
      </c>
      <c r="M655" s="8">
        <f>COUNTIFS('All Papers'!$D:$D,"*"&amp;$A655&amp;"*",'All Papers'!$G:$G,"*"&amp;Table1[[#Headers],[Pricing]]&amp;"*")</f>
        <v>0</v>
      </c>
    </row>
    <row r="656" spans="1:13" x14ac:dyDescent="0.25">
      <c r="A656" s="8" t="s">
        <v>3089</v>
      </c>
      <c r="B656" s="8">
        <f>COUNTIF('All Papers'!D:D,"*"&amp;Table1[[#This Row],[Name]]&amp;"*")</f>
        <v>1</v>
      </c>
      <c r="C656" s="8">
        <f>COUNTIFS('All Papers'!$D:$D,"*"&amp;$A656&amp;"*",'All Papers'!$G:$G,"*"&amp;Table1[[#Headers],[Composition]]&amp;"*")</f>
        <v>0</v>
      </c>
      <c r="D656" s="8">
        <f>COUNTIFS('All Papers'!$D:$D,"*"&amp;$A656&amp;"*",'All Papers'!$G:$G,"*"&amp;Table1[[#Headers],[Discovery]]&amp;"*")</f>
        <v>0</v>
      </c>
      <c r="E656" s="8">
        <f>COUNTIFS('All Papers'!$D:$D,"*"&amp;$A656&amp;"*",'All Papers'!$G:$G,"*"&amp;Table1[[#Headers],[Selection]]&amp;"*")</f>
        <v>0</v>
      </c>
      <c r="F656" s="8">
        <f>COUNTIFS('All Papers'!$D:$D,"*"&amp;$A656&amp;"*",'All Papers'!$G:$G,"*"&amp;Table1[[#Headers],[Recommendation]]&amp;"*")</f>
        <v>0</v>
      </c>
      <c r="G656" s="8">
        <f>COUNTIFS('All Papers'!$D:$D,"*"&amp;$A656&amp;"*",'All Papers'!$G:$G,"*"&amp;Table1[[#Headers],[Resource Management-CS]]&amp;"*")</f>
        <v>1</v>
      </c>
      <c r="H656" s="8">
        <f>COUNTIFS('All Papers'!$D:$D,"*"&amp;$A656&amp;"*",'All Papers'!$G:$G,"*"&amp;Table1[[#Headers],[Resource Management-PS]]&amp;"*")</f>
        <v>0</v>
      </c>
      <c r="I656" s="8">
        <f>COUNTIFS('All Papers'!$D:$D,"*"&amp;$A656&amp;"*",'All Papers'!$G:$G,"*"&amp;Table1[[#Headers],[SLA Management]]&amp;"*")</f>
        <v>0</v>
      </c>
      <c r="J656" s="8">
        <f>COUNTIFS('All Papers'!$D:$D,"*"&amp;$A656&amp;"*",'All Papers'!$G:$G,"*"&amp;Table1[[#Headers],[Big Data]]&amp;"*")</f>
        <v>0</v>
      </c>
      <c r="K656" s="8">
        <f>COUNTIFS('All Papers'!$D:$D,"*"&amp;$A656&amp;"*",'All Papers'!$G:$G,"*"&amp;Table1[[#Headers],[Energy Management]]&amp;"*")</f>
        <v>0</v>
      </c>
      <c r="L656" s="8">
        <f>COUNTIFS('All Papers'!$D:$D,"*"&amp;$A656&amp;"*",'All Papers'!$G:$G,"*"&amp;Table1[[#Headers],[Monitoring]]&amp;"*")</f>
        <v>0</v>
      </c>
      <c r="M656" s="8">
        <f>COUNTIFS('All Papers'!$D:$D,"*"&amp;$A656&amp;"*",'All Papers'!$G:$G,"*"&amp;Table1[[#Headers],[Pricing]]&amp;"*")</f>
        <v>0</v>
      </c>
    </row>
    <row r="657" spans="1:13" x14ac:dyDescent="0.25">
      <c r="A657" s="8" t="s">
        <v>3090</v>
      </c>
      <c r="B657" s="8">
        <f>COUNTIF('All Papers'!D:D,"*"&amp;Table1[[#This Row],[Name]]&amp;"*")</f>
        <v>1</v>
      </c>
      <c r="C657" s="8">
        <f>COUNTIFS('All Papers'!$D:$D,"*"&amp;$A657&amp;"*",'All Papers'!$G:$G,"*"&amp;Table1[[#Headers],[Composition]]&amp;"*")</f>
        <v>0</v>
      </c>
      <c r="D657" s="8">
        <f>COUNTIFS('All Papers'!$D:$D,"*"&amp;$A657&amp;"*",'All Papers'!$G:$G,"*"&amp;Table1[[#Headers],[Discovery]]&amp;"*")</f>
        <v>0</v>
      </c>
      <c r="E657" s="8">
        <f>COUNTIFS('All Papers'!$D:$D,"*"&amp;$A657&amp;"*",'All Papers'!$G:$G,"*"&amp;Table1[[#Headers],[Selection]]&amp;"*")</f>
        <v>0</v>
      </c>
      <c r="F657" s="8">
        <f>COUNTIFS('All Papers'!$D:$D,"*"&amp;$A657&amp;"*",'All Papers'!$G:$G,"*"&amp;Table1[[#Headers],[Recommendation]]&amp;"*")</f>
        <v>0</v>
      </c>
      <c r="G657" s="8">
        <f>COUNTIFS('All Papers'!$D:$D,"*"&amp;$A657&amp;"*",'All Papers'!$G:$G,"*"&amp;Table1[[#Headers],[Resource Management-CS]]&amp;"*")</f>
        <v>0</v>
      </c>
      <c r="H657" s="8">
        <f>COUNTIFS('All Papers'!$D:$D,"*"&amp;$A657&amp;"*",'All Papers'!$G:$G,"*"&amp;Table1[[#Headers],[Resource Management-PS]]&amp;"*")</f>
        <v>1</v>
      </c>
      <c r="I657" s="8">
        <f>COUNTIFS('All Papers'!$D:$D,"*"&amp;$A657&amp;"*",'All Papers'!$G:$G,"*"&amp;Table1[[#Headers],[SLA Management]]&amp;"*")</f>
        <v>0</v>
      </c>
      <c r="J657" s="8">
        <f>COUNTIFS('All Papers'!$D:$D,"*"&amp;$A657&amp;"*",'All Papers'!$G:$G,"*"&amp;Table1[[#Headers],[Big Data]]&amp;"*")</f>
        <v>0</v>
      </c>
      <c r="K657" s="8">
        <f>COUNTIFS('All Papers'!$D:$D,"*"&amp;$A657&amp;"*",'All Papers'!$G:$G,"*"&amp;Table1[[#Headers],[Energy Management]]&amp;"*")</f>
        <v>0</v>
      </c>
      <c r="L657" s="8">
        <f>COUNTIFS('All Papers'!$D:$D,"*"&amp;$A657&amp;"*",'All Papers'!$G:$G,"*"&amp;Table1[[#Headers],[Monitoring]]&amp;"*")</f>
        <v>0</v>
      </c>
      <c r="M657" s="8">
        <f>COUNTIFS('All Papers'!$D:$D,"*"&amp;$A657&amp;"*",'All Papers'!$G:$G,"*"&amp;Table1[[#Headers],[Pricing]]&amp;"*")</f>
        <v>0</v>
      </c>
    </row>
    <row r="658" spans="1:13" x14ac:dyDescent="0.25">
      <c r="A658" s="8" t="s">
        <v>3091</v>
      </c>
      <c r="B658" s="8">
        <f>COUNTIF('All Papers'!D:D,"*"&amp;Table1[[#This Row],[Name]]&amp;"*")</f>
        <v>1</v>
      </c>
      <c r="C658" s="8">
        <f>COUNTIFS('All Papers'!$D:$D,"*"&amp;$A658&amp;"*",'All Papers'!$G:$G,"*"&amp;Table1[[#Headers],[Composition]]&amp;"*")</f>
        <v>0</v>
      </c>
      <c r="D658" s="8">
        <f>COUNTIFS('All Papers'!$D:$D,"*"&amp;$A658&amp;"*",'All Papers'!$G:$G,"*"&amp;Table1[[#Headers],[Discovery]]&amp;"*")</f>
        <v>0</v>
      </c>
      <c r="E658" s="8">
        <f>COUNTIFS('All Papers'!$D:$D,"*"&amp;$A658&amp;"*",'All Papers'!$G:$G,"*"&amp;Table1[[#Headers],[Selection]]&amp;"*")</f>
        <v>0</v>
      </c>
      <c r="F658" s="8">
        <f>COUNTIFS('All Papers'!$D:$D,"*"&amp;$A658&amp;"*",'All Papers'!$G:$G,"*"&amp;Table1[[#Headers],[Recommendation]]&amp;"*")</f>
        <v>0</v>
      </c>
      <c r="G658" s="8">
        <f>COUNTIFS('All Papers'!$D:$D,"*"&amp;$A658&amp;"*",'All Papers'!$G:$G,"*"&amp;Table1[[#Headers],[Resource Management-CS]]&amp;"*")</f>
        <v>0</v>
      </c>
      <c r="H658" s="8">
        <f>COUNTIFS('All Papers'!$D:$D,"*"&amp;$A658&amp;"*",'All Papers'!$G:$G,"*"&amp;Table1[[#Headers],[Resource Management-PS]]&amp;"*")</f>
        <v>1</v>
      </c>
      <c r="I658" s="8">
        <f>COUNTIFS('All Papers'!$D:$D,"*"&amp;$A658&amp;"*",'All Papers'!$G:$G,"*"&amp;Table1[[#Headers],[SLA Management]]&amp;"*")</f>
        <v>0</v>
      </c>
      <c r="J658" s="8">
        <f>COUNTIFS('All Papers'!$D:$D,"*"&amp;$A658&amp;"*",'All Papers'!$G:$G,"*"&amp;Table1[[#Headers],[Big Data]]&amp;"*")</f>
        <v>0</v>
      </c>
      <c r="K658" s="8">
        <f>COUNTIFS('All Papers'!$D:$D,"*"&amp;$A658&amp;"*",'All Papers'!$G:$G,"*"&amp;Table1[[#Headers],[Energy Management]]&amp;"*")</f>
        <v>0</v>
      </c>
      <c r="L658" s="8">
        <f>COUNTIFS('All Papers'!$D:$D,"*"&amp;$A658&amp;"*",'All Papers'!$G:$G,"*"&amp;Table1[[#Headers],[Monitoring]]&amp;"*")</f>
        <v>0</v>
      </c>
      <c r="M658" s="8">
        <f>COUNTIFS('All Papers'!$D:$D,"*"&amp;$A658&amp;"*",'All Papers'!$G:$G,"*"&amp;Table1[[#Headers],[Pricing]]&amp;"*")</f>
        <v>0</v>
      </c>
    </row>
    <row r="659" spans="1:13" x14ac:dyDescent="0.25">
      <c r="A659" s="8" t="s">
        <v>3092</v>
      </c>
      <c r="B659" s="8">
        <f>COUNTIF('All Papers'!D:D,"*"&amp;Table1[[#This Row],[Name]]&amp;"*")</f>
        <v>1</v>
      </c>
      <c r="C659" s="8">
        <f>COUNTIFS('All Papers'!$D:$D,"*"&amp;$A659&amp;"*",'All Papers'!$G:$G,"*"&amp;Table1[[#Headers],[Composition]]&amp;"*")</f>
        <v>0</v>
      </c>
      <c r="D659" s="8">
        <f>COUNTIFS('All Papers'!$D:$D,"*"&amp;$A659&amp;"*",'All Papers'!$G:$G,"*"&amp;Table1[[#Headers],[Discovery]]&amp;"*")</f>
        <v>0</v>
      </c>
      <c r="E659" s="8">
        <f>COUNTIFS('All Papers'!$D:$D,"*"&amp;$A659&amp;"*",'All Papers'!$G:$G,"*"&amp;Table1[[#Headers],[Selection]]&amp;"*")</f>
        <v>0</v>
      </c>
      <c r="F659" s="8">
        <f>COUNTIFS('All Papers'!$D:$D,"*"&amp;$A659&amp;"*",'All Papers'!$G:$G,"*"&amp;Table1[[#Headers],[Recommendation]]&amp;"*")</f>
        <v>0</v>
      </c>
      <c r="G659" s="8">
        <f>COUNTIFS('All Papers'!$D:$D,"*"&amp;$A659&amp;"*",'All Papers'!$G:$G,"*"&amp;Table1[[#Headers],[Resource Management-CS]]&amp;"*")</f>
        <v>0</v>
      </c>
      <c r="H659" s="8">
        <f>COUNTIFS('All Papers'!$D:$D,"*"&amp;$A659&amp;"*",'All Papers'!$G:$G,"*"&amp;Table1[[#Headers],[Resource Management-PS]]&amp;"*")</f>
        <v>1</v>
      </c>
      <c r="I659" s="8">
        <f>COUNTIFS('All Papers'!$D:$D,"*"&amp;$A659&amp;"*",'All Papers'!$G:$G,"*"&amp;Table1[[#Headers],[SLA Management]]&amp;"*")</f>
        <v>0</v>
      </c>
      <c r="J659" s="8">
        <f>COUNTIFS('All Papers'!$D:$D,"*"&amp;$A659&amp;"*",'All Papers'!$G:$G,"*"&amp;Table1[[#Headers],[Big Data]]&amp;"*")</f>
        <v>0</v>
      </c>
      <c r="K659" s="8">
        <f>COUNTIFS('All Papers'!$D:$D,"*"&amp;$A659&amp;"*",'All Papers'!$G:$G,"*"&amp;Table1[[#Headers],[Energy Management]]&amp;"*")</f>
        <v>0</v>
      </c>
      <c r="L659" s="8">
        <f>COUNTIFS('All Papers'!$D:$D,"*"&amp;$A659&amp;"*",'All Papers'!$G:$G,"*"&amp;Table1[[#Headers],[Monitoring]]&amp;"*")</f>
        <v>0</v>
      </c>
      <c r="M659" s="8">
        <f>COUNTIFS('All Papers'!$D:$D,"*"&amp;$A659&amp;"*",'All Papers'!$G:$G,"*"&amp;Table1[[#Headers],[Pricing]]&amp;"*")</f>
        <v>0</v>
      </c>
    </row>
    <row r="660" spans="1:13" x14ac:dyDescent="0.25">
      <c r="A660" s="8" t="s">
        <v>3093</v>
      </c>
      <c r="B660" s="8">
        <f>COUNTIF('All Papers'!D:D,"*"&amp;Table1[[#This Row],[Name]]&amp;"*")</f>
        <v>1</v>
      </c>
      <c r="C660" s="8">
        <f>COUNTIFS('All Papers'!$D:$D,"*"&amp;$A660&amp;"*",'All Papers'!$G:$G,"*"&amp;Table1[[#Headers],[Composition]]&amp;"*")</f>
        <v>1</v>
      </c>
      <c r="D660" s="8">
        <f>COUNTIFS('All Papers'!$D:$D,"*"&amp;$A660&amp;"*",'All Papers'!$G:$G,"*"&amp;Table1[[#Headers],[Discovery]]&amp;"*")</f>
        <v>0</v>
      </c>
      <c r="E660" s="8">
        <f>COUNTIFS('All Papers'!$D:$D,"*"&amp;$A660&amp;"*",'All Papers'!$G:$G,"*"&amp;Table1[[#Headers],[Selection]]&amp;"*")</f>
        <v>0</v>
      </c>
      <c r="F660" s="8">
        <f>COUNTIFS('All Papers'!$D:$D,"*"&amp;$A660&amp;"*",'All Papers'!$G:$G,"*"&amp;Table1[[#Headers],[Recommendation]]&amp;"*")</f>
        <v>0</v>
      </c>
      <c r="G660" s="8">
        <f>COUNTIFS('All Papers'!$D:$D,"*"&amp;$A660&amp;"*",'All Papers'!$G:$G,"*"&amp;Table1[[#Headers],[Resource Management-CS]]&amp;"*")</f>
        <v>0</v>
      </c>
      <c r="H660" s="8">
        <f>COUNTIFS('All Papers'!$D:$D,"*"&amp;$A660&amp;"*",'All Papers'!$G:$G,"*"&amp;Table1[[#Headers],[Resource Management-PS]]&amp;"*")</f>
        <v>0</v>
      </c>
      <c r="I660" s="8">
        <f>COUNTIFS('All Papers'!$D:$D,"*"&amp;$A660&amp;"*",'All Papers'!$G:$G,"*"&amp;Table1[[#Headers],[SLA Management]]&amp;"*")</f>
        <v>0</v>
      </c>
      <c r="J660" s="8">
        <f>COUNTIFS('All Papers'!$D:$D,"*"&amp;$A660&amp;"*",'All Papers'!$G:$G,"*"&amp;Table1[[#Headers],[Big Data]]&amp;"*")</f>
        <v>0</v>
      </c>
      <c r="K660" s="8">
        <f>COUNTIFS('All Papers'!$D:$D,"*"&amp;$A660&amp;"*",'All Papers'!$G:$G,"*"&amp;Table1[[#Headers],[Energy Management]]&amp;"*")</f>
        <v>0</v>
      </c>
      <c r="L660" s="8">
        <f>COUNTIFS('All Papers'!$D:$D,"*"&amp;$A660&amp;"*",'All Papers'!$G:$G,"*"&amp;Table1[[#Headers],[Monitoring]]&amp;"*")</f>
        <v>0</v>
      </c>
      <c r="M660" s="8">
        <f>COUNTIFS('All Papers'!$D:$D,"*"&amp;$A660&amp;"*",'All Papers'!$G:$G,"*"&amp;Table1[[#Headers],[Pricing]]&amp;"*")</f>
        <v>0</v>
      </c>
    </row>
    <row r="661" spans="1:13" x14ac:dyDescent="0.25">
      <c r="A661" s="8" t="s">
        <v>3094</v>
      </c>
      <c r="B661" s="8">
        <f>COUNTIF('All Papers'!D:D,"*"&amp;Table1[[#This Row],[Name]]&amp;"*")</f>
        <v>1</v>
      </c>
      <c r="C661" s="8">
        <f>COUNTIFS('All Papers'!$D:$D,"*"&amp;$A661&amp;"*",'All Papers'!$G:$G,"*"&amp;Table1[[#Headers],[Composition]]&amp;"*")</f>
        <v>1</v>
      </c>
      <c r="D661" s="8">
        <f>COUNTIFS('All Papers'!$D:$D,"*"&amp;$A661&amp;"*",'All Papers'!$G:$G,"*"&amp;Table1[[#Headers],[Discovery]]&amp;"*")</f>
        <v>0</v>
      </c>
      <c r="E661" s="8">
        <f>COUNTIFS('All Papers'!$D:$D,"*"&amp;$A661&amp;"*",'All Papers'!$G:$G,"*"&amp;Table1[[#Headers],[Selection]]&amp;"*")</f>
        <v>0</v>
      </c>
      <c r="F661" s="8">
        <f>COUNTIFS('All Papers'!$D:$D,"*"&amp;$A661&amp;"*",'All Papers'!$G:$G,"*"&amp;Table1[[#Headers],[Recommendation]]&amp;"*")</f>
        <v>0</v>
      </c>
      <c r="G661" s="8">
        <f>COUNTIFS('All Papers'!$D:$D,"*"&amp;$A661&amp;"*",'All Papers'!$G:$G,"*"&amp;Table1[[#Headers],[Resource Management-CS]]&amp;"*")</f>
        <v>0</v>
      </c>
      <c r="H661" s="8">
        <f>COUNTIFS('All Papers'!$D:$D,"*"&amp;$A661&amp;"*",'All Papers'!$G:$G,"*"&amp;Table1[[#Headers],[Resource Management-PS]]&amp;"*")</f>
        <v>0</v>
      </c>
      <c r="I661" s="8">
        <f>COUNTIFS('All Papers'!$D:$D,"*"&amp;$A661&amp;"*",'All Papers'!$G:$G,"*"&amp;Table1[[#Headers],[SLA Management]]&amp;"*")</f>
        <v>0</v>
      </c>
      <c r="J661" s="8">
        <f>COUNTIFS('All Papers'!$D:$D,"*"&amp;$A661&amp;"*",'All Papers'!$G:$G,"*"&amp;Table1[[#Headers],[Big Data]]&amp;"*")</f>
        <v>0</v>
      </c>
      <c r="K661" s="8">
        <f>COUNTIFS('All Papers'!$D:$D,"*"&amp;$A661&amp;"*",'All Papers'!$G:$G,"*"&amp;Table1[[#Headers],[Energy Management]]&amp;"*")</f>
        <v>0</v>
      </c>
      <c r="L661" s="8">
        <f>COUNTIFS('All Papers'!$D:$D,"*"&amp;$A661&amp;"*",'All Papers'!$G:$G,"*"&amp;Table1[[#Headers],[Monitoring]]&amp;"*")</f>
        <v>0</v>
      </c>
      <c r="M661" s="8">
        <f>COUNTIFS('All Papers'!$D:$D,"*"&amp;$A661&amp;"*",'All Papers'!$G:$G,"*"&amp;Table1[[#Headers],[Pricing]]&amp;"*")</f>
        <v>0</v>
      </c>
    </row>
    <row r="662" spans="1:13" x14ac:dyDescent="0.25">
      <c r="A662" s="8" t="s">
        <v>3095</v>
      </c>
      <c r="B662" s="8">
        <f>COUNTIF('All Papers'!D:D,"*"&amp;Table1[[#This Row],[Name]]&amp;"*")</f>
        <v>1</v>
      </c>
      <c r="C662" s="8">
        <f>COUNTIFS('All Papers'!$D:$D,"*"&amp;$A662&amp;"*",'All Papers'!$G:$G,"*"&amp;Table1[[#Headers],[Composition]]&amp;"*")</f>
        <v>0</v>
      </c>
      <c r="D662" s="8">
        <f>COUNTIFS('All Papers'!$D:$D,"*"&amp;$A662&amp;"*",'All Papers'!$G:$G,"*"&amp;Table1[[#Headers],[Discovery]]&amp;"*")</f>
        <v>0</v>
      </c>
      <c r="E662" s="8">
        <f>COUNTIFS('All Papers'!$D:$D,"*"&amp;$A662&amp;"*",'All Papers'!$G:$G,"*"&amp;Table1[[#Headers],[Selection]]&amp;"*")</f>
        <v>0</v>
      </c>
      <c r="F662" s="8">
        <f>COUNTIFS('All Papers'!$D:$D,"*"&amp;$A662&amp;"*",'All Papers'!$G:$G,"*"&amp;Table1[[#Headers],[Recommendation]]&amp;"*")</f>
        <v>0</v>
      </c>
      <c r="G662" s="8">
        <f>COUNTIFS('All Papers'!$D:$D,"*"&amp;$A662&amp;"*",'All Papers'!$G:$G,"*"&amp;Table1[[#Headers],[Resource Management-CS]]&amp;"*")</f>
        <v>1</v>
      </c>
      <c r="H662" s="8">
        <f>COUNTIFS('All Papers'!$D:$D,"*"&amp;$A662&amp;"*",'All Papers'!$G:$G,"*"&amp;Table1[[#Headers],[Resource Management-PS]]&amp;"*")</f>
        <v>0</v>
      </c>
      <c r="I662" s="8">
        <f>COUNTIFS('All Papers'!$D:$D,"*"&amp;$A662&amp;"*",'All Papers'!$G:$G,"*"&amp;Table1[[#Headers],[SLA Management]]&amp;"*")</f>
        <v>0</v>
      </c>
      <c r="J662" s="8">
        <f>COUNTIFS('All Papers'!$D:$D,"*"&amp;$A662&amp;"*",'All Papers'!$G:$G,"*"&amp;Table1[[#Headers],[Big Data]]&amp;"*")</f>
        <v>0</v>
      </c>
      <c r="K662" s="8">
        <f>COUNTIFS('All Papers'!$D:$D,"*"&amp;$A662&amp;"*",'All Papers'!$G:$G,"*"&amp;Table1[[#Headers],[Energy Management]]&amp;"*")</f>
        <v>0</v>
      </c>
      <c r="L662" s="8">
        <f>COUNTIFS('All Papers'!$D:$D,"*"&amp;$A662&amp;"*",'All Papers'!$G:$G,"*"&amp;Table1[[#Headers],[Monitoring]]&amp;"*")</f>
        <v>0</v>
      </c>
      <c r="M662" s="8">
        <f>COUNTIFS('All Papers'!$D:$D,"*"&amp;$A662&amp;"*",'All Papers'!$G:$G,"*"&amp;Table1[[#Headers],[Pricing]]&amp;"*")</f>
        <v>0</v>
      </c>
    </row>
    <row r="663" spans="1:13" x14ac:dyDescent="0.25">
      <c r="A663" s="8" t="s">
        <v>3096</v>
      </c>
      <c r="B663" s="8">
        <f>COUNTIF('All Papers'!D:D,"*"&amp;Table1[[#This Row],[Name]]&amp;"*")</f>
        <v>1</v>
      </c>
      <c r="C663" s="8">
        <f>COUNTIFS('All Papers'!$D:$D,"*"&amp;$A663&amp;"*",'All Papers'!$G:$G,"*"&amp;Table1[[#Headers],[Composition]]&amp;"*")</f>
        <v>0</v>
      </c>
      <c r="D663" s="8">
        <f>COUNTIFS('All Papers'!$D:$D,"*"&amp;$A663&amp;"*",'All Papers'!$G:$G,"*"&amp;Table1[[#Headers],[Discovery]]&amp;"*")</f>
        <v>0</v>
      </c>
      <c r="E663" s="8">
        <f>COUNTIFS('All Papers'!$D:$D,"*"&amp;$A663&amp;"*",'All Papers'!$G:$G,"*"&amp;Table1[[#Headers],[Selection]]&amp;"*")</f>
        <v>0</v>
      </c>
      <c r="F663" s="8">
        <f>COUNTIFS('All Papers'!$D:$D,"*"&amp;$A663&amp;"*",'All Papers'!$G:$G,"*"&amp;Table1[[#Headers],[Recommendation]]&amp;"*")</f>
        <v>0</v>
      </c>
      <c r="G663" s="8">
        <f>COUNTIFS('All Papers'!$D:$D,"*"&amp;$A663&amp;"*",'All Papers'!$G:$G,"*"&amp;Table1[[#Headers],[Resource Management-CS]]&amp;"*")</f>
        <v>1</v>
      </c>
      <c r="H663" s="8">
        <f>COUNTIFS('All Papers'!$D:$D,"*"&amp;$A663&amp;"*",'All Papers'!$G:$G,"*"&amp;Table1[[#Headers],[Resource Management-PS]]&amp;"*")</f>
        <v>0</v>
      </c>
      <c r="I663" s="8">
        <f>COUNTIFS('All Papers'!$D:$D,"*"&amp;$A663&amp;"*",'All Papers'!$G:$G,"*"&amp;Table1[[#Headers],[SLA Management]]&amp;"*")</f>
        <v>0</v>
      </c>
      <c r="J663" s="8">
        <f>COUNTIFS('All Papers'!$D:$D,"*"&amp;$A663&amp;"*",'All Papers'!$G:$G,"*"&amp;Table1[[#Headers],[Big Data]]&amp;"*")</f>
        <v>0</v>
      </c>
      <c r="K663" s="8">
        <f>COUNTIFS('All Papers'!$D:$D,"*"&amp;$A663&amp;"*",'All Papers'!$G:$G,"*"&amp;Table1[[#Headers],[Energy Management]]&amp;"*")</f>
        <v>0</v>
      </c>
      <c r="L663" s="8">
        <f>COUNTIFS('All Papers'!$D:$D,"*"&amp;$A663&amp;"*",'All Papers'!$G:$G,"*"&amp;Table1[[#Headers],[Monitoring]]&amp;"*")</f>
        <v>0</v>
      </c>
      <c r="M663" s="8">
        <f>COUNTIFS('All Papers'!$D:$D,"*"&amp;$A663&amp;"*",'All Papers'!$G:$G,"*"&amp;Table1[[#Headers],[Pricing]]&amp;"*")</f>
        <v>0</v>
      </c>
    </row>
    <row r="664" spans="1:13" x14ac:dyDescent="0.25">
      <c r="A664" s="8" t="s">
        <v>3097</v>
      </c>
      <c r="B664" s="8">
        <f>COUNTIF('All Papers'!D:D,"*"&amp;Table1[[#This Row],[Name]]&amp;"*")</f>
        <v>1</v>
      </c>
      <c r="C664" s="8">
        <f>COUNTIFS('All Papers'!$D:$D,"*"&amp;$A664&amp;"*",'All Papers'!$G:$G,"*"&amp;Table1[[#Headers],[Composition]]&amp;"*")</f>
        <v>0</v>
      </c>
      <c r="D664" s="8">
        <f>COUNTIFS('All Papers'!$D:$D,"*"&amp;$A664&amp;"*",'All Papers'!$G:$G,"*"&amp;Table1[[#Headers],[Discovery]]&amp;"*")</f>
        <v>0</v>
      </c>
      <c r="E664" s="8">
        <f>COUNTIFS('All Papers'!$D:$D,"*"&amp;$A664&amp;"*",'All Papers'!$G:$G,"*"&amp;Table1[[#Headers],[Selection]]&amp;"*")</f>
        <v>0</v>
      </c>
      <c r="F664" s="8">
        <f>COUNTIFS('All Papers'!$D:$D,"*"&amp;$A664&amp;"*",'All Papers'!$G:$G,"*"&amp;Table1[[#Headers],[Recommendation]]&amp;"*")</f>
        <v>0</v>
      </c>
      <c r="G664" s="8">
        <f>COUNTIFS('All Papers'!$D:$D,"*"&amp;$A664&amp;"*",'All Papers'!$G:$G,"*"&amp;Table1[[#Headers],[Resource Management-CS]]&amp;"*")</f>
        <v>1</v>
      </c>
      <c r="H664" s="8">
        <f>COUNTIFS('All Papers'!$D:$D,"*"&amp;$A664&amp;"*",'All Papers'!$G:$G,"*"&amp;Table1[[#Headers],[Resource Management-PS]]&amp;"*")</f>
        <v>0</v>
      </c>
      <c r="I664" s="8">
        <f>COUNTIFS('All Papers'!$D:$D,"*"&amp;$A664&amp;"*",'All Papers'!$G:$G,"*"&amp;Table1[[#Headers],[SLA Management]]&amp;"*")</f>
        <v>0</v>
      </c>
      <c r="J664" s="8">
        <f>COUNTIFS('All Papers'!$D:$D,"*"&amp;$A664&amp;"*",'All Papers'!$G:$G,"*"&amp;Table1[[#Headers],[Big Data]]&amp;"*")</f>
        <v>0</v>
      </c>
      <c r="K664" s="8">
        <f>COUNTIFS('All Papers'!$D:$D,"*"&amp;$A664&amp;"*",'All Papers'!$G:$G,"*"&amp;Table1[[#Headers],[Energy Management]]&amp;"*")</f>
        <v>0</v>
      </c>
      <c r="L664" s="8">
        <f>COUNTIFS('All Papers'!$D:$D,"*"&amp;$A664&amp;"*",'All Papers'!$G:$G,"*"&amp;Table1[[#Headers],[Monitoring]]&amp;"*")</f>
        <v>0</v>
      </c>
      <c r="M664" s="8">
        <f>COUNTIFS('All Papers'!$D:$D,"*"&amp;$A664&amp;"*",'All Papers'!$G:$G,"*"&amp;Table1[[#Headers],[Pricing]]&amp;"*")</f>
        <v>1</v>
      </c>
    </row>
    <row r="665" spans="1:13" x14ac:dyDescent="0.25">
      <c r="A665" s="8" t="s">
        <v>3098</v>
      </c>
      <c r="B665" s="8">
        <f>COUNTIF('All Papers'!D:D,"*"&amp;Table1[[#This Row],[Name]]&amp;"*")</f>
        <v>1</v>
      </c>
      <c r="C665" s="8">
        <f>COUNTIFS('All Papers'!$D:$D,"*"&amp;$A665&amp;"*",'All Papers'!$G:$G,"*"&amp;Table1[[#Headers],[Composition]]&amp;"*")</f>
        <v>0</v>
      </c>
      <c r="D665" s="8">
        <f>COUNTIFS('All Papers'!$D:$D,"*"&amp;$A665&amp;"*",'All Papers'!$G:$G,"*"&amp;Table1[[#Headers],[Discovery]]&amp;"*")</f>
        <v>0</v>
      </c>
      <c r="E665" s="8">
        <f>COUNTIFS('All Papers'!$D:$D,"*"&amp;$A665&amp;"*",'All Papers'!$G:$G,"*"&amp;Table1[[#Headers],[Selection]]&amp;"*")</f>
        <v>0</v>
      </c>
      <c r="F665" s="8">
        <f>COUNTIFS('All Papers'!$D:$D,"*"&amp;$A665&amp;"*",'All Papers'!$G:$G,"*"&amp;Table1[[#Headers],[Recommendation]]&amp;"*")</f>
        <v>0</v>
      </c>
      <c r="G665" s="8">
        <f>COUNTIFS('All Papers'!$D:$D,"*"&amp;$A665&amp;"*",'All Papers'!$G:$G,"*"&amp;Table1[[#Headers],[Resource Management-CS]]&amp;"*")</f>
        <v>1</v>
      </c>
      <c r="H665" s="8">
        <f>COUNTIFS('All Papers'!$D:$D,"*"&amp;$A665&amp;"*",'All Papers'!$G:$G,"*"&amp;Table1[[#Headers],[Resource Management-PS]]&amp;"*")</f>
        <v>0</v>
      </c>
      <c r="I665" s="8">
        <f>COUNTIFS('All Papers'!$D:$D,"*"&amp;$A665&amp;"*",'All Papers'!$G:$G,"*"&amp;Table1[[#Headers],[SLA Management]]&amp;"*")</f>
        <v>0</v>
      </c>
      <c r="J665" s="8">
        <f>COUNTIFS('All Papers'!$D:$D,"*"&amp;$A665&amp;"*",'All Papers'!$G:$G,"*"&amp;Table1[[#Headers],[Big Data]]&amp;"*")</f>
        <v>0</v>
      </c>
      <c r="K665" s="8">
        <f>COUNTIFS('All Papers'!$D:$D,"*"&amp;$A665&amp;"*",'All Papers'!$G:$G,"*"&amp;Table1[[#Headers],[Energy Management]]&amp;"*")</f>
        <v>0</v>
      </c>
      <c r="L665" s="8">
        <f>COUNTIFS('All Papers'!$D:$D,"*"&amp;$A665&amp;"*",'All Papers'!$G:$G,"*"&amp;Table1[[#Headers],[Monitoring]]&amp;"*")</f>
        <v>0</v>
      </c>
      <c r="M665" s="8">
        <f>COUNTIFS('All Papers'!$D:$D,"*"&amp;$A665&amp;"*",'All Papers'!$G:$G,"*"&amp;Table1[[#Headers],[Pricing]]&amp;"*")</f>
        <v>0</v>
      </c>
    </row>
    <row r="666" spans="1:13" x14ac:dyDescent="0.25">
      <c r="A666" s="8" t="s">
        <v>3099</v>
      </c>
      <c r="B666" s="8">
        <f>COUNTIF('All Papers'!D:D,"*"&amp;Table1[[#This Row],[Name]]&amp;"*")</f>
        <v>1</v>
      </c>
      <c r="C666" s="8">
        <f>COUNTIFS('All Papers'!$D:$D,"*"&amp;$A666&amp;"*",'All Papers'!$G:$G,"*"&amp;Table1[[#Headers],[Composition]]&amp;"*")</f>
        <v>0</v>
      </c>
      <c r="D666" s="8">
        <f>COUNTIFS('All Papers'!$D:$D,"*"&amp;$A666&amp;"*",'All Papers'!$G:$G,"*"&amp;Table1[[#Headers],[Discovery]]&amp;"*")</f>
        <v>0</v>
      </c>
      <c r="E666" s="8">
        <f>COUNTIFS('All Papers'!$D:$D,"*"&amp;$A666&amp;"*",'All Papers'!$G:$G,"*"&amp;Table1[[#Headers],[Selection]]&amp;"*")</f>
        <v>0</v>
      </c>
      <c r="F666" s="8">
        <f>COUNTIFS('All Papers'!$D:$D,"*"&amp;$A666&amp;"*",'All Papers'!$G:$G,"*"&amp;Table1[[#Headers],[Recommendation]]&amp;"*")</f>
        <v>0</v>
      </c>
      <c r="G666" s="8">
        <f>COUNTIFS('All Papers'!$D:$D,"*"&amp;$A666&amp;"*",'All Papers'!$G:$G,"*"&amp;Table1[[#Headers],[Resource Management-CS]]&amp;"*")</f>
        <v>1</v>
      </c>
      <c r="H666" s="8">
        <f>COUNTIFS('All Papers'!$D:$D,"*"&amp;$A666&amp;"*",'All Papers'!$G:$G,"*"&amp;Table1[[#Headers],[Resource Management-PS]]&amp;"*")</f>
        <v>0</v>
      </c>
      <c r="I666" s="8">
        <f>COUNTIFS('All Papers'!$D:$D,"*"&amp;$A666&amp;"*",'All Papers'!$G:$G,"*"&amp;Table1[[#Headers],[SLA Management]]&amp;"*")</f>
        <v>0</v>
      </c>
      <c r="J666" s="8">
        <f>COUNTIFS('All Papers'!$D:$D,"*"&amp;$A666&amp;"*",'All Papers'!$G:$G,"*"&amp;Table1[[#Headers],[Big Data]]&amp;"*")</f>
        <v>0</v>
      </c>
      <c r="K666" s="8">
        <f>COUNTIFS('All Papers'!$D:$D,"*"&amp;$A666&amp;"*",'All Papers'!$G:$G,"*"&amp;Table1[[#Headers],[Energy Management]]&amp;"*")</f>
        <v>0</v>
      </c>
      <c r="L666" s="8">
        <f>COUNTIFS('All Papers'!$D:$D,"*"&amp;$A666&amp;"*",'All Papers'!$G:$G,"*"&amp;Table1[[#Headers],[Monitoring]]&amp;"*")</f>
        <v>0</v>
      </c>
      <c r="M666" s="8">
        <f>COUNTIFS('All Papers'!$D:$D,"*"&amp;$A666&amp;"*",'All Papers'!$G:$G,"*"&amp;Table1[[#Headers],[Pricing]]&amp;"*")</f>
        <v>0</v>
      </c>
    </row>
    <row r="667" spans="1:13" x14ac:dyDescent="0.25">
      <c r="A667" s="8" t="s">
        <v>3100</v>
      </c>
      <c r="B667" s="8">
        <f>COUNTIF('All Papers'!D:D,"*"&amp;Table1[[#This Row],[Name]]&amp;"*")</f>
        <v>1</v>
      </c>
      <c r="C667" s="8">
        <f>COUNTIFS('All Papers'!$D:$D,"*"&amp;$A667&amp;"*",'All Papers'!$G:$G,"*"&amp;Table1[[#Headers],[Composition]]&amp;"*")</f>
        <v>0</v>
      </c>
      <c r="D667" s="8">
        <f>COUNTIFS('All Papers'!$D:$D,"*"&amp;$A667&amp;"*",'All Papers'!$G:$G,"*"&amp;Table1[[#Headers],[Discovery]]&amp;"*")</f>
        <v>0</v>
      </c>
      <c r="E667" s="8">
        <f>COUNTIFS('All Papers'!$D:$D,"*"&amp;$A667&amp;"*",'All Papers'!$G:$G,"*"&amp;Table1[[#Headers],[Selection]]&amp;"*")</f>
        <v>0</v>
      </c>
      <c r="F667" s="8">
        <f>COUNTIFS('All Papers'!$D:$D,"*"&amp;$A667&amp;"*",'All Papers'!$G:$G,"*"&amp;Table1[[#Headers],[Recommendation]]&amp;"*")</f>
        <v>0</v>
      </c>
      <c r="G667" s="8">
        <f>COUNTIFS('All Papers'!$D:$D,"*"&amp;$A667&amp;"*",'All Papers'!$G:$G,"*"&amp;Table1[[#Headers],[Resource Management-CS]]&amp;"*")</f>
        <v>1</v>
      </c>
      <c r="H667" s="8">
        <f>COUNTIFS('All Papers'!$D:$D,"*"&amp;$A667&amp;"*",'All Papers'!$G:$G,"*"&amp;Table1[[#Headers],[Resource Management-PS]]&amp;"*")</f>
        <v>0</v>
      </c>
      <c r="I667" s="8">
        <f>COUNTIFS('All Papers'!$D:$D,"*"&amp;$A667&amp;"*",'All Papers'!$G:$G,"*"&amp;Table1[[#Headers],[SLA Management]]&amp;"*")</f>
        <v>0</v>
      </c>
      <c r="J667" s="8">
        <f>COUNTIFS('All Papers'!$D:$D,"*"&amp;$A667&amp;"*",'All Papers'!$G:$G,"*"&amp;Table1[[#Headers],[Big Data]]&amp;"*")</f>
        <v>0</v>
      </c>
      <c r="K667" s="8">
        <f>COUNTIFS('All Papers'!$D:$D,"*"&amp;$A667&amp;"*",'All Papers'!$G:$G,"*"&amp;Table1[[#Headers],[Energy Management]]&amp;"*")</f>
        <v>0</v>
      </c>
      <c r="L667" s="8">
        <f>COUNTIFS('All Papers'!$D:$D,"*"&amp;$A667&amp;"*",'All Papers'!$G:$G,"*"&amp;Table1[[#Headers],[Monitoring]]&amp;"*")</f>
        <v>0</v>
      </c>
      <c r="M667" s="8">
        <f>COUNTIFS('All Papers'!$D:$D,"*"&amp;$A667&amp;"*",'All Papers'!$G:$G,"*"&amp;Table1[[#Headers],[Pricing]]&amp;"*")</f>
        <v>0</v>
      </c>
    </row>
    <row r="668" spans="1:13" x14ac:dyDescent="0.25">
      <c r="A668" s="8" t="s">
        <v>3101</v>
      </c>
      <c r="B668" s="8">
        <f>COUNTIF('All Papers'!D:D,"*"&amp;Table1[[#This Row],[Name]]&amp;"*")</f>
        <v>1</v>
      </c>
      <c r="C668" s="8">
        <f>COUNTIFS('All Papers'!$D:$D,"*"&amp;$A668&amp;"*",'All Papers'!$G:$G,"*"&amp;Table1[[#Headers],[Composition]]&amp;"*")</f>
        <v>0</v>
      </c>
      <c r="D668" s="8">
        <f>COUNTIFS('All Papers'!$D:$D,"*"&amp;$A668&amp;"*",'All Papers'!$G:$G,"*"&amp;Table1[[#Headers],[Discovery]]&amp;"*")</f>
        <v>0</v>
      </c>
      <c r="E668" s="8">
        <f>COUNTIFS('All Papers'!$D:$D,"*"&amp;$A668&amp;"*",'All Papers'!$G:$G,"*"&amp;Table1[[#Headers],[Selection]]&amp;"*")</f>
        <v>0</v>
      </c>
      <c r="F668" s="8">
        <f>COUNTIFS('All Papers'!$D:$D,"*"&amp;$A668&amp;"*",'All Papers'!$G:$G,"*"&amp;Table1[[#Headers],[Recommendation]]&amp;"*")</f>
        <v>0</v>
      </c>
      <c r="G668" s="8">
        <f>COUNTIFS('All Papers'!$D:$D,"*"&amp;$A668&amp;"*",'All Papers'!$G:$G,"*"&amp;Table1[[#Headers],[Resource Management-CS]]&amp;"*")</f>
        <v>1</v>
      </c>
      <c r="H668" s="8">
        <f>COUNTIFS('All Papers'!$D:$D,"*"&amp;$A668&amp;"*",'All Papers'!$G:$G,"*"&amp;Table1[[#Headers],[Resource Management-PS]]&amp;"*")</f>
        <v>0</v>
      </c>
      <c r="I668" s="8">
        <f>COUNTIFS('All Papers'!$D:$D,"*"&amp;$A668&amp;"*",'All Papers'!$G:$G,"*"&amp;Table1[[#Headers],[SLA Management]]&amp;"*")</f>
        <v>0</v>
      </c>
      <c r="J668" s="8">
        <f>COUNTIFS('All Papers'!$D:$D,"*"&amp;$A668&amp;"*",'All Papers'!$G:$G,"*"&amp;Table1[[#Headers],[Big Data]]&amp;"*")</f>
        <v>0</v>
      </c>
      <c r="K668" s="8">
        <f>COUNTIFS('All Papers'!$D:$D,"*"&amp;$A668&amp;"*",'All Papers'!$G:$G,"*"&amp;Table1[[#Headers],[Energy Management]]&amp;"*")</f>
        <v>0</v>
      </c>
      <c r="L668" s="8">
        <f>COUNTIFS('All Papers'!$D:$D,"*"&amp;$A668&amp;"*",'All Papers'!$G:$G,"*"&amp;Table1[[#Headers],[Monitoring]]&amp;"*")</f>
        <v>0</v>
      </c>
      <c r="M668" s="8">
        <f>COUNTIFS('All Papers'!$D:$D,"*"&amp;$A668&amp;"*",'All Papers'!$G:$G,"*"&amp;Table1[[#Headers],[Pricing]]&amp;"*")</f>
        <v>0</v>
      </c>
    </row>
    <row r="669" spans="1:13" x14ac:dyDescent="0.25">
      <c r="A669" s="8" t="s">
        <v>3102</v>
      </c>
      <c r="B669" s="8">
        <f>COUNTIF('All Papers'!D:D,"*"&amp;Table1[[#This Row],[Name]]&amp;"*")</f>
        <v>1</v>
      </c>
      <c r="C669" s="8">
        <f>COUNTIFS('All Papers'!$D:$D,"*"&amp;$A669&amp;"*",'All Papers'!$G:$G,"*"&amp;Table1[[#Headers],[Composition]]&amp;"*")</f>
        <v>0</v>
      </c>
      <c r="D669" s="8">
        <f>COUNTIFS('All Papers'!$D:$D,"*"&amp;$A669&amp;"*",'All Papers'!$G:$G,"*"&amp;Table1[[#Headers],[Discovery]]&amp;"*")</f>
        <v>0</v>
      </c>
      <c r="E669" s="8">
        <f>COUNTIFS('All Papers'!$D:$D,"*"&amp;$A669&amp;"*",'All Papers'!$G:$G,"*"&amp;Table1[[#Headers],[Selection]]&amp;"*")</f>
        <v>0</v>
      </c>
      <c r="F669" s="8">
        <f>COUNTIFS('All Papers'!$D:$D,"*"&amp;$A669&amp;"*",'All Papers'!$G:$G,"*"&amp;Table1[[#Headers],[Recommendation]]&amp;"*")</f>
        <v>0</v>
      </c>
      <c r="G669" s="8">
        <f>COUNTIFS('All Papers'!$D:$D,"*"&amp;$A669&amp;"*",'All Papers'!$G:$G,"*"&amp;Table1[[#Headers],[Resource Management-CS]]&amp;"*")</f>
        <v>1</v>
      </c>
      <c r="H669" s="8">
        <f>COUNTIFS('All Papers'!$D:$D,"*"&amp;$A669&amp;"*",'All Papers'!$G:$G,"*"&amp;Table1[[#Headers],[Resource Management-PS]]&amp;"*")</f>
        <v>0</v>
      </c>
      <c r="I669" s="8">
        <f>COUNTIFS('All Papers'!$D:$D,"*"&amp;$A669&amp;"*",'All Papers'!$G:$G,"*"&amp;Table1[[#Headers],[SLA Management]]&amp;"*")</f>
        <v>0</v>
      </c>
      <c r="J669" s="8">
        <f>COUNTIFS('All Papers'!$D:$D,"*"&amp;$A669&amp;"*",'All Papers'!$G:$G,"*"&amp;Table1[[#Headers],[Big Data]]&amp;"*")</f>
        <v>0</v>
      </c>
      <c r="K669" s="8">
        <f>COUNTIFS('All Papers'!$D:$D,"*"&amp;$A669&amp;"*",'All Papers'!$G:$G,"*"&amp;Table1[[#Headers],[Energy Management]]&amp;"*")</f>
        <v>0</v>
      </c>
      <c r="L669" s="8">
        <f>COUNTIFS('All Papers'!$D:$D,"*"&amp;$A669&amp;"*",'All Papers'!$G:$G,"*"&amp;Table1[[#Headers],[Monitoring]]&amp;"*")</f>
        <v>0</v>
      </c>
      <c r="M669" s="8">
        <f>COUNTIFS('All Papers'!$D:$D,"*"&amp;$A669&amp;"*",'All Papers'!$G:$G,"*"&amp;Table1[[#Headers],[Pricing]]&amp;"*")</f>
        <v>0</v>
      </c>
    </row>
    <row r="670" spans="1:13" x14ac:dyDescent="0.25">
      <c r="A670" s="8" t="s">
        <v>3103</v>
      </c>
      <c r="B670" s="8">
        <f>COUNTIF('All Papers'!D:D,"*"&amp;Table1[[#This Row],[Name]]&amp;"*")</f>
        <v>1</v>
      </c>
      <c r="C670" s="8">
        <f>COUNTIFS('All Papers'!$D:$D,"*"&amp;$A670&amp;"*",'All Papers'!$G:$G,"*"&amp;Table1[[#Headers],[Composition]]&amp;"*")</f>
        <v>0</v>
      </c>
      <c r="D670" s="8">
        <f>COUNTIFS('All Papers'!$D:$D,"*"&amp;$A670&amp;"*",'All Papers'!$G:$G,"*"&amp;Table1[[#Headers],[Discovery]]&amp;"*")</f>
        <v>0</v>
      </c>
      <c r="E670" s="8">
        <f>COUNTIFS('All Papers'!$D:$D,"*"&amp;$A670&amp;"*",'All Papers'!$G:$G,"*"&amp;Table1[[#Headers],[Selection]]&amp;"*")</f>
        <v>0</v>
      </c>
      <c r="F670" s="8">
        <f>COUNTIFS('All Papers'!$D:$D,"*"&amp;$A670&amp;"*",'All Papers'!$G:$G,"*"&amp;Table1[[#Headers],[Recommendation]]&amp;"*")</f>
        <v>0</v>
      </c>
      <c r="G670" s="8">
        <f>COUNTIFS('All Papers'!$D:$D,"*"&amp;$A670&amp;"*",'All Papers'!$G:$G,"*"&amp;Table1[[#Headers],[Resource Management-CS]]&amp;"*")</f>
        <v>0</v>
      </c>
      <c r="H670" s="8">
        <f>COUNTIFS('All Papers'!$D:$D,"*"&amp;$A670&amp;"*",'All Papers'!$G:$G,"*"&amp;Table1[[#Headers],[Resource Management-PS]]&amp;"*")</f>
        <v>1</v>
      </c>
      <c r="I670" s="8">
        <f>COUNTIFS('All Papers'!$D:$D,"*"&amp;$A670&amp;"*",'All Papers'!$G:$G,"*"&amp;Table1[[#Headers],[SLA Management]]&amp;"*")</f>
        <v>0</v>
      </c>
      <c r="J670" s="8">
        <f>COUNTIFS('All Papers'!$D:$D,"*"&amp;$A670&amp;"*",'All Papers'!$G:$G,"*"&amp;Table1[[#Headers],[Big Data]]&amp;"*")</f>
        <v>0</v>
      </c>
      <c r="K670" s="8">
        <f>COUNTIFS('All Papers'!$D:$D,"*"&amp;$A670&amp;"*",'All Papers'!$G:$G,"*"&amp;Table1[[#Headers],[Energy Management]]&amp;"*")</f>
        <v>0</v>
      </c>
      <c r="L670" s="8">
        <f>COUNTIFS('All Papers'!$D:$D,"*"&amp;$A670&amp;"*",'All Papers'!$G:$G,"*"&amp;Table1[[#Headers],[Monitoring]]&amp;"*")</f>
        <v>0</v>
      </c>
      <c r="M670" s="8">
        <f>COUNTIFS('All Papers'!$D:$D,"*"&amp;$A670&amp;"*",'All Papers'!$G:$G,"*"&amp;Table1[[#Headers],[Pricing]]&amp;"*")</f>
        <v>0</v>
      </c>
    </row>
    <row r="671" spans="1:13" x14ac:dyDescent="0.25">
      <c r="A671" s="8" t="s">
        <v>3104</v>
      </c>
      <c r="B671" s="8">
        <f>COUNTIF('All Papers'!D:D,"*"&amp;Table1[[#This Row],[Name]]&amp;"*")</f>
        <v>1</v>
      </c>
      <c r="C671" s="8">
        <f>COUNTIFS('All Papers'!$D:$D,"*"&amp;$A671&amp;"*",'All Papers'!$G:$G,"*"&amp;Table1[[#Headers],[Composition]]&amp;"*")</f>
        <v>0</v>
      </c>
      <c r="D671" s="8">
        <f>COUNTIFS('All Papers'!$D:$D,"*"&amp;$A671&amp;"*",'All Papers'!$G:$G,"*"&amp;Table1[[#Headers],[Discovery]]&amp;"*")</f>
        <v>0</v>
      </c>
      <c r="E671" s="8">
        <f>COUNTIFS('All Papers'!$D:$D,"*"&amp;$A671&amp;"*",'All Papers'!$G:$G,"*"&amp;Table1[[#Headers],[Selection]]&amp;"*")</f>
        <v>0</v>
      </c>
      <c r="F671" s="8">
        <f>COUNTIFS('All Papers'!$D:$D,"*"&amp;$A671&amp;"*",'All Papers'!$G:$G,"*"&amp;Table1[[#Headers],[Recommendation]]&amp;"*")</f>
        <v>0</v>
      </c>
      <c r="G671" s="8">
        <f>COUNTIFS('All Papers'!$D:$D,"*"&amp;$A671&amp;"*",'All Papers'!$G:$G,"*"&amp;Table1[[#Headers],[Resource Management-CS]]&amp;"*")</f>
        <v>0</v>
      </c>
      <c r="H671" s="8">
        <f>COUNTIFS('All Papers'!$D:$D,"*"&amp;$A671&amp;"*",'All Papers'!$G:$G,"*"&amp;Table1[[#Headers],[Resource Management-PS]]&amp;"*")</f>
        <v>1</v>
      </c>
      <c r="I671" s="8">
        <f>COUNTIFS('All Papers'!$D:$D,"*"&amp;$A671&amp;"*",'All Papers'!$G:$G,"*"&amp;Table1[[#Headers],[SLA Management]]&amp;"*")</f>
        <v>0</v>
      </c>
      <c r="J671" s="8">
        <f>COUNTIFS('All Papers'!$D:$D,"*"&amp;$A671&amp;"*",'All Papers'!$G:$G,"*"&amp;Table1[[#Headers],[Big Data]]&amp;"*")</f>
        <v>0</v>
      </c>
      <c r="K671" s="8">
        <f>COUNTIFS('All Papers'!$D:$D,"*"&amp;$A671&amp;"*",'All Papers'!$G:$G,"*"&amp;Table1[[#Headers],[Energy Management]]&amp;"*")</f>
        <v>0</v>
      </c>
      <c r="L671" s="8">
        <f>COUNTIFS('All Papers'!$D:$D,"*"&amp;$A671&amp;"*",'All Papers'!$G:$G,"*"&amp;Table1[[#Headers],[Monitoring]]&amp;"*")</f>
        <v>0</v>
      </c>
      <c r="M671" s="8">
        <f>COUNTIFS('All Papers'!$D:$D,"*"&amp;$A671&amp;"*",'All Papers'!$G:$G,"*"&amp;Table1[[#Headers],[Pricing]]&amp;"*")</f>
        <v>0</v>
      </c>
    </row>
    <row r="672" spans="1:13" x14ac:dyDescent="0.25">
      <c r="A672" s="8" t="s">
        <v>3105</v>
      </c>
      <c r="B672" s="8">
        <f>COUNTIF('All Papers'!D:D,"*"&amp;Table1[[#This Row],[Name]]&amp;"*")</f>
        <v>1</v>
      </c>
      <c r="C672" s="8">
        <f>COUNTIFS('All Papers'!$D:$D,"*"&amp;$A672&amp;"*",'All Papers'!$G:$G,"*"&amp;Table1[[#Headers],[Composition]]&amp;"*")</f>
        <v>0</v>
      </c>
      <c r="D672" s="8">
        <f>COUNTIFS('All Papers'!$D:$D,"*"&amp;$A672&amp;"*",'All Papers'!$G:$G,"*"&amp;Table1[[#Headers],[Discovery]]&amp;"*")</f>
        <v>0</v>
      </c>
      <c r="E672" s="8">
        <f>COUNTIFS('All Papers'!$D:$D,"*"&amp;$A672&amp;"*",'All Papers'!$G:$G,"*"&amp;Table1[[#Headers],[Selection]]&amp;"*")</f>
        <v>0</v>
      </c>
      <c r="F672" s="8">
        <f>COUNTIFS('All Papers'!$D:$D,"*"&amp;$A672&amp;"*",'All Papers'!$G:$G,"*"&amp;Table1[[#Headers],[Recommendation]]&amp;"*")</f>
        <v>0</v>
      </c>
      <c r="G672" s="8">
        <f>COUNTIFS('All Papers'!$D:$D,"*"&amp;$A672&amp;"*",'All Papers'!$G:$G,"*"&amp;Table1[[#Headers],[Resource Management-CS]]&amp;"*")</f>
        <v>0</v>
      </c>
      <c r="H672" s="8">
        <f>COUNTIFS('All Papers'!$D:$D,"*"&amp;$A672&amp;"*",'All Papers'!$G:$G,"*"&amp;Table1[[#Headers],[Resource Management-PS]]&amp;"*")</f>
        <v>1</v>
      </c>
      <c r="I672" s="8">
        <f>COUNTIFS('All Papers'!$D:$D,"*"&amp;$A672&amp;"*",'All Papers'!$G:$G,"*"&amp;Table1[[#Headers],[SLA Management]]&amp;"*")</f>
        <v>0</v>
      </c>
      <c r="J672" s="8">
        <f>COUNTIFS('All Papers'!$D:$D,"*"&amp;$A672&amp;"*",'All Papers'!$G:$G,"*"&amp;Table1[[#Headers],[Big Data]]&amp;"*")</f>
        <v>0</v>
      </c>
      <c r="K672" s="8">
        <f>COUNTIFS('All Papers'!$D:$D,"*"&amp;$A672&amp;"*",'All Papers'!$G:$G,"*"&amp;Table1[[#Headers],[Energy Management]]&amp;"*")</f>
        <v>0</v>
      </c>
      <c r="L672" s="8">
        <f>COUNTIFS('All Papers'!$D:$D,"*"&amp;$A672&amp;"*",'All Papers'!$G:$G,"*"&amp;Table1[[#Headers],[Monitoring]]&amp;"*")</f>
        <v>0</v>
      </c>
      <c r="M672" s="8">
        <f>COUNTIFS('All Papers'!$D:$D,"*"&amp;$A672&amp;"*",'All Papers'!$G:$G,"*"&amp;Table1[[#Headers],[Pricing]]&amp;"*")</f>
        <v>0</v>
      </c>
    </row>
    <row r="673" spans="1:13" x14ac:dyDescent="0.25">
      <c r="A673" s="8" t="s">
        <v>3106</v>
      </c>
      <c r="B673" s="8">
        <f>COUNTIF('All Papers'!D:D,"*"&amp;Table1[[#This Row],[Name]]&amp;"*")</f>
        <v>1</v>
      </c>
      <c r="C673" s="8">
        <f>COUNTIFS('All Papers'!$D:$D,"*"&amp;$A673&amp;"*",'All Papers'!$G:$G,"*"&amp;Table1[[#Headers],[Composition]]&amp;"*")</f>
        <v>0</v>
      </c>
      <c r="D673" s="8">
        <f>COUNTIFS('All Papers'!$D:$D,"*"&amp;$A673&amp;"*",'All Papers'!$G:$G,"*"&amp;Table1[[#Headers],[Discovery]]&amp;"*")</f>
        <v>0</v>
      </c>
      <c r="E673" s="8">
        <f>COUNTIFS('All Papers'!$D:$D,"*"&amp;$A673&amp;"*",'All Papers'!$G:$G,"*"&amp;Table1[[#Headers],[Selection]]&amp;"*")</f>
        <v>0</v>
      </c>
      <c r="F673" s="8">
        <f>COUNTIFS('All Papers'!$D:$D,"*"&amp;$A673&amp;"*",'All Papers'!$G:$G,"*"&amp;Table1[[#Headers],[Recommendation]]&amp;"*")</f>
        <v>0</v>
      </c>
      <c r="G673" s="8">
        <f>COUNTIFS('All Papers'!$D:$D,"*"&amp;$A673&amp;"*",'All Papers'!$G:$G,"*"&amp;Table1[[#Headers],[Resource Management-CS]]&amp;"*")</f>
        <v>0</v>
      </c>
      <c r="H673" s="8">
        <f>COUNTIFS('All Papers'!$D:$D,"*"&amp;$A673&amp;"*",'All Papers'!$G:$G,"*"&amp;Table1[[#Headers],[Resource Management-PS]]&amp;"*")</f>
        <v>1</v>
      </c>
      <c r="I673" s="8">
        <f>COUNTIFS('All Papers'!$D:$D,"*"&amp;$A673&amp;"*",'All Papers'!$G:$G,"*"&amp;Table1[[#Headers],[SLA Management]]&amp;"*")</f>
        <v>0</v>
      </c>
      <c r="J673" s="8">
        <f>COUNTIFS('All Papers'!$D:$D,"*"&amp;$A673&amp;"*",'All Papers'!$G:$G,"*"&amp;Table1[[#Headers],[Big Data]]&amp;"*")</f>
        <v>0</v>
      </c>
      <c r="K673" s="8">
        <f>COUNTIFS('All Papers'!$D:$D,"*"&amp;$A673&amp;"*",'All Papers'!$G:$G,"*"&amp;Table1[[#Headers],[Energy Management]]&amp;"*")</f>
        <v>0</v>
      </c>
      <c r="L673" s="8">
        <f>COUNTIFS('All Papers'!$D:$D,"*"&amp;$A673&amp;"*",'All Papers'!$G:$G,"*"&amp;Table1[[#Headers],[Monitoring]]&amp;"*")</f>
        <v>0</v>
      </c>
      <c r="M673" s="8">
        <f>COUNTIFS('All Papers'!$D:$D,"*"&amp;$A673&amp;"*",'All Papers'!$G:$G,"*"&amp;Table1[[#Headers],[Pricing]]&amp;"*")</f>
        <v>0</v>
      </c>
    </row>
    <row r="674" spans="1:13" x14ac:dyDescent="0.25">
      <c r="A674" s="8" t="s">
        <v>3107</v>
      </c>
      <c r="B674" s="8">
        <f>COUNTIF('All Papers'!D:D,"*"&amp;Table1[[#This Row],[Name]]&amp;"*")</f>
        <v>1</v>
      </c>
      <c r="C674" s="8">
        <f>COUNTIFS('All Papers'!$D:$D,"*"&amp;$A674&amp;"*",'All Papers'!$G:$G,"*"&amp;Table1[[#Headers],[Composition]]&amp;"*")</f>
        <v>0</v>
      </c>
      <c r="D674" s="8">
        <f>COUNTIFS('All Papers'!$D:$D,"*"&amp;$A674&amp;"*",'All Papers'!$G:$G,"*"&amp;Table1[[#Headers],[Discovery]]&amp;"*")</f>
        <v>0</v>
      </c>
      <c r="E674" s="8">
        <f>COUNTIFS('All Papers'!$D:$D,"*"&amp;$A674&amp;"*",'All Papers'!$G:$G,"*"&amp;Table1[[#Headers],[Selection]]&amp;"*")</f>
        <v>0</v>
      </c>
      <c r="F674" s="8">
        <f>COUNTIFS('All Papers'!$D:$D,"*"&amp;$A674&amp;"*",'All Papers'!$G:$G,"*"&amp;Table1[[#Headers],[Recommendation]]&amp;"*")</f>
        <v>0</v>
      </c>
      <c r="G674" s="8">
        <f>COUNTIFS('All Papers'!$D:$D,"*"&amp;$A674&amp;"*",'All Papers'!$G:$G,"*"&amp;Table1[[#Headers],[Resource Management-CS]]&amp;"*")</f>
        <v>0</v>
      </c>
      <c r="H674" s="8">
        <f>COUNTIFS('All Papers'!$D:$D,"*"&amp;$A674&amp;"*",'All Papers'!$G:$G,"*"&amp;Table1[[#Headers],[Resource Management-PS]]&amp;"*")</f>
        <v>1</v>
      </c>
      <c r="I674" s="8">
        <f>COUNTIFS('All Papers'!$D:$D,"*"&amp;$A674&amp;"*",'All Papers'!$G:$G,"*"&amp;Table1[[#Headers],[SLA Management]]&amp;"*")</f>
        <v>0</v>
      </c>
      <c r="J674" s="8">
        <f>COUNTIFS('All Papers'!$D:$D,"*"&amp;$A674&amp;"*",'All Papers'!$G:$G,"*"&amp;Table1[[#Headers],[Big Data]]&amp;"*")</f>
        <v>0</v>
      </c>
      <c r="K674" s="8">
        <f>COUNTIFS('All Papers'!$D:$D,"*"&amp;$A674&amp;"*",'All Papers'!$G:$G,"*"&amp;Table1[[#Headers],[Energy Management]]&amp;"*")</f>
        <v>0</v>
      </c>
      <c r="L674" s="8">
        <f>COUNTIFS('All Papers'!$D:$D,"*"&amp;$A674&amp;"*",'All Papers'!$G:$G,"*"&amp;Table1[[#Headers],[Monitoring]]&amp;"*")</f>
        <v>0</v>
      </c>
      <c r="M674" s="8">
        <f>COUNTIFS('All Papers'!$D:$D,"*"&amp;$A674&amp;"*",'All Papers'!$G:$G,"*"&amp;Table1[[#Headers],[Pricing]]&amp;"*")</f>
        <v>0</v>
      </c>
    </row>
    <row r="675" spans="1:13" x14ac:dyDescent="0.25">
      <c r="A675" s="8" t="s">
        <v>3108</v>
      </c>
      <c r="B675" s="8">
        <f>COUNTIF('All Papers'!D:D,"*"&amp;Table1[[#This Row],[Name]]&amp;"*")</f>
        <v>1</v>
      </c>
      <c r="C675" s="8">
        <f>COUNTIFS('All Papers'!$D:$D,"*"&amp;$A675&amp;"*",'All Papers'!$G:$G,"*"&amp;Table1[[#Headers],[Composition]]&amp;"*")</f>
        <v>1</v>
      </c>
      <c r="D675" s="8">
        <f>COUNTIFS('All Papers'!$D:$D,"*"&amp;$A675&amp;"*",'All Papers'!$G:$G,"*"&amp;Table1[[#Headers],[Discovery]]&amp;"*")</f>
        <v>0</v>
      </c>
      <c r="E675" s="8">
        <f>COUNTIFS('All Papers'!$D:$D,"*"&amp;$A675&amp;"*",'All Papers'!$G:$G,"*"&amp;Table1[[#Headers],[Selection]]&amp;"*")</f>
        <v>0</v>
      </c>
      <c r="F675" s="8">
        <f>COUNTIFS('All Papers'!$D:$D,"*"&amp;$A675&amp;"*",'All Papers'!$G:$G,"*"&amp;Table1[[#Headers],[Recommendation]]&amp;"*")</f>
        <v>1</v>
      </c>
      <c r="G675" s="8">
        <f>COUNTIFS('All Papers'!$D:$D,"*"&amp;$A675&amp;"*",'All Papers'!$G:$G,"*"&amp;Table1[[#Headers],[Resource Management-CS]]&amp;"*")</f>
        <v>0</v>
      </c>
      <c r="H675" s="8">
        <f>COUNTIFS('All Papers'!$D:$D,"*"&amp;$A675&amp;"*",'All Papers'!$G:$G,"*"&amp;Table1[[#Headers],[Resource Management-PS]]&amp;"*")</f>
        <v>0</v>
      </c>
      <c r="I675" s="8">
        <f>COUNTIFS('All Papers'!$D:$D,"*"&amp;$A675&amp;"*",'All Papers'!$G:$G,"*"&amp;Table1[[#Headers],[SLA Management]]&amp;"*")</f>
        <v>0</v>
      </c>
      <c r="J675" s="8">
        <f>COUNTIFS('All Papers'!$D:$D,"*"&amp;$A675&amp;"*",'All Papers'!$G:$G,"*"&amp;Table1[[#Headers],[Big Data]]&amp;"*")</f>
        <v>0</v>
      </c>
      <c r="K675" s="8">
        <f>COUNTIFS('All Papers'!$D:$D,"*"&amp;$A675&amp;"*",'All Papers'!$G:$G,"*"&amp;Table1[[#Headers],[Energy Management]]&amp;"*")</f>
        <v>0</v>
      </c>
      <c r="L675" s="8">
        <f>COUNTIFS('All Papers'!$D:$D,"*"&amp;$A675&amp;"*",'All Papers'!$G:$G,"*"&amp;Table1[[#Headers],[Monitoring]]&amp;"*")</f>
        <v>0</v>
      </c>
      <c r="M675" s="8">
        <f>COUNTIFS('All Papers'!$D:$D,"*"&amp;$A675&amp;"*",'All Papers'!$G:$G,"*"&amp;Table1[[#Headers],[Pricing]]&amp;"*")</f>
        <v>0</v>
      </c>
    </row>
    <row r="676" spans="1:13" x14ac:dyDescent="0.25">
      <c r="A676" s="8" t="s">
        <v>3109</v>
      </c>
      <c r="B676" s="8">
        <f>COUNTIF('All Papers'!D:D,"*"&amp;Table1[[#This Row],[Name]]&amp;"*")</f>
        <v>1</v>
      </c>
      <c r="C676" s="8">
        <f>COUNTIFS('All Papers'!$D:$D,"*"&amp;$A676&amp;"*",'All Papers'!$G:$G,"*"&amp;Table1[[#Headers],[Composition]]&amp;"*")</f>
        <v>1</v>
      </c>
      <c r="D676" s="8">
        <f>COUNTIFS('All Papers'!$D:$D,"*"&amp;$A676&amp;"*",'All Papers'!$G:$G,"*"&amp;Table1[[#Headers],[Discovery]]&amp;"*")</f>
        <v>0</v>
      </c>
      <c r="E676" s="8">
        <f>COUNTIFS('All Papers'!$D:$D,"*"&amp;$A676&amp;"*",'All Papers'!$G:$G,"*"&amp;Table1[[#Headers],[Selection]]&amp;"*")</f>
        <v>0</v>
      </c>
      <c r="F676" s="8">
        <f>COUNTIFS('All Papers'!$D:$D,"*"&amp;$A676&amp;"*",'All Papers'!$G:$G,"*"&amp;Table1[[#Headers],[Recommendation]]&amp;"*")</f>
        <v>1</v>
      </c>
      <c r="G676" s="8">
        <f>COUNTIFS('All Papers'!$D:$D,"*"&amp;$A676&amp;"*",'All Papers'!$G:$G,"*"&amp;Table1[[#Headers],[Resource Management-CS]]&amp;"*")</f>
        <v>0</v>
      </c>
      <c r="H676" s="8">
        <f>COUNTIFS('All Papers'!$D:$D,"*"&amp;$A676&amp;"*",'All Papers'!$G:$G,"*"&amp;Table1[[#Headers],[Resource Management-PS]]&amp;"*")</f>
        <v>0</v>
      </c>
      <c r="I676" s="8">
        <f>COUNTIFS('All Papers'!$D:$D,"*"&amp;$A676&amp;"*",'All Papers'!$G:$G,"*"&amp;Table1[[#Headers],[SLA Management]]&amp;"*")</f>
        <v>0</v>
      </c>
      <c r="J676" s="8">
        <f>COUNTIFS('All Papers'!$D:$D,"*"&amp;$A676&amp;"*",'All Papers'!$G:$G,"*"&amp;Table1[[#Headers],[Big Data]]&amp;"*")</f>
        <v>0</v>
      </c>
      <c r="K676" s="8">
        <f>COUNTIFS('All Papers'!$D:$D,"*"&amp;$A676&amp;"*",'All Papers'!$G:$G,"*"&amp;Table1[[#Headers],[Energy Management]]&amp;"*")</f>
        <v>0</v>
      </c>
      <c r="L676" s="8">
        <f>COUNTIFS('All Papers'!$D:$D,"*"&amp;$A676&amp;"*",'All Papers'!$G:$G,"*"&amp;Table1[[#Headers],[Monitoring]]&amp;"*")</f>
        <v>0</v>
      </c>
      <c r="M676" s="8">
        <f>COUNTIFS('All Papers'!$D:$D,"*"&amp;$A676&amp;"*",'All Papers'!$G:$G,"*"&amp;Table1[[#Headers],[Pricing]]&amp;"*")</f>
        <v>0</v>
      </c>
    </row>
    <row r="677" spans="1:13" x14ac:dyDescent="0.25">
      <c r="A677" s="8" t="s">
        <v>3110</v>
      </c>
      <c r="B677" s="8">
        <f>COUNTIF('All Papers'!D:D,"*"&amp;Table1[[#This Row],[Name]]&amp;"*")</f>
        <v>1</v>
      </c>
      <c r="C677" s="8">
        <f>COUNTIFS('All Papers'!$D:$D,"*"&amp;$A677&amp;"*",'All Papers'!$G:$G,"*"&amp;Table1[[#Headers],[Composition]]&amp;"*")</f>
        <v>0</v>
      </c>
      <c r="D677" s="8">
        <f>COUNTIFS('All Papers'!$D:$D,"*"&amp;$A677&amp;"*",'All Papers'!$G:$G,"*"&amp;Table1[[#Headers],[Discovery]]&amp;"*")</f>
        <v>0</v>
      </c>
      <c r="E677" s="8">
        <f>COUNTIFS('All Papers'!$D:$D,"*"&amp;$A677&amp;"*",'All Papers'!$G:$G,"*"&amp;Table1[[#Headers],[Selection]]&amp;"*")</f>
        <v>0</v>
      </c>
      <c r="F677" s="8">
        <f>COUNTIFS('All Papers'!$D:$D,"*"&amp;$A677&amp;"*",'All Papers'!$G:$G,"*"&amp;Table1[[#Headers],[Recommendation]]&amp;"*")</f>
        <v>0</v>
      </c>
      <c r="G677" s="8">
        <f>COUNTIFS('All Papers'!$D:$D,"*"&amp;$A677&amp;"*",'All Papers'!$G:$G,"*"&amp;Table1[[#Headers],[Resource Management-CS]]&amp;"*")</f>
        <v>1</v>
      </c>
      <c r="H677" s="8">
        <f>COUNTIFS('All Papers'!$D:$D,"*"&amp;$A677&amp;"*",'All Papers'!$G:$G,"*"&amp;Table1[[#Headers],[Resource Management-PS]]&amp;"*")</f>
        <v>0</v>
      </c>
      <c r="I677" s="8">
        <f>COUNTIFS('All Papers'!$D:$D,"*"&amp;$A677&amp;"*",'All Papers'!$G:$G,"*"&amp;Table1[[#Headers],[SLA Management]]&amp;"*")</f>
        <v>0</v>
      </c>
      <c r="J677" s="8">
        <f>COUNTIFS('All Papers'!$D:$D,"*"&amp;$A677&amp;"*",'All Papers'!$G:$G,"*"&amp;Table1[[#Headers],[Big Data]]&amp;"*")</f>
        <v>0</v>
      </c>
      <c r="K677" s="8">
        <f>COUNTIFS('All Papers'!$D:$D,"*"&amp;$A677&amp;"*",'All Papers'!$G:$G,"*"&amp;Table1[[#Headers],[Energy Management]]&amp;"*")</f>
        <v>0</v>
      </c>
      <c r="L677" s="8">
        <f>COUNTIFS('All Papers'!$D:$D,"*"&amp;$A677&amp;"*",'All Papers'!$G:$G,"*"&amp;Table1[[#Headers],[Monitoring]]&amp;"*")</f>
        <v>0</v>
      </c>
      <c r="M677" s="8">
        <f>COUNTIFS('All Papers'!$D:$D,"*"&amp;$A677&amp;"*",'All Papers'!$G:$G,"*"&amp;Table1[[#Headers],[Pricing]]&amp;"*")</f>
        <v>0</v>
      </c>
    </row>
    <row r="678" spans="1:13" x14ac:dyDescent="0.25">
      <c r="A678" s="8" t="s">
        <v>3111</v>
      </c>
      <c r="B678" s="8">
        <f>COUNTIF('All Papers'!D:D,"*"&amp;Table1[[#This Row],[Name]]&amp;"*")</f>
        <v>1</v>
      </c>
      <c r="C678" s="8">
        <f>COUNTIFS('All Papers'!$D:$D,"*"&amp;$A678&amp;"*",'All Papers'!$G:$G,"*"&amp;Table1[[#Headers],[Composition]]&amp;"*")</f>
        <v>0</v>
      </c>
      <c r="D678" s="8">
        <f>COUNTIFS('All Papers'!$D:$D,"*"&amp;$A678&amp;"*",'All Papers'!$G:$G,"*"&amp;Table1[[#Headers],[Discovery]]&amp;"*")</f>
        <v>0</v>
      </c>
      <c r="E678" s="8">
        <f>COUNTIFS('All Papers'!$D:$D,"*"&amp;$A678&amp;"*",'All Papers'!$G:$G,"*"&amp;Table1[[#Headers],[Selection]]&amp;"*")</f>
        <v>0</v>
      </c>
      <c r="F678" s="8">
        <f>COUNTIFS('All Papers'!$D:$D,"*"&amp;$A678&amp;"*",'All Papers'!$G:$G,"*"&amp;Table1[[#Headers],[Recommendation]]&amp;"*")</f>
        <v>0</v>
      </c>
      <c r="G678" s="8">
        <f>COUNTIFS('All Papers'!$D:$D,"*"&amp;$A678&amp;"*",'All Papers'!$G:$G,"*"&amp;Table1[[#Headers],[Resource Management-CS]]&amp;"*")</f>
        <v>1</v>
      </c>
      <c r="H678" s="8">
        <f>COUNTIFS('All Papers'!$D:$D,"*"&amp;$A678&amp;"*",'All Papers'!$G:$G,"*"&amp;Table1[[#Headers],[Resource Management-PS]]&amp;"*")</f>
        <v>0</v>
      </c>
      <c r="I678" s="8">
        <f>COUNTIFS('All Papers'!$D:$D,"*"&amp;$A678&amp;"*",'All Papers'!$G:$G,"*"&amp;Table1[[#Headers],[SLA Management]]&amp;"*")</f>
        <v>0</v>
      </c>
      <c r="J678" s="8">
        <f>COUNTIFS('All Papers'!$D:$D,"*"&amp;$A678&amp;"*",'All Papers'!$G:$G,"*"&amp;Table1[[#Headers],[Big Data]]&amp;"*")</f>
        <v>0</v>
      </c>
      <c r="K678" s="8">
        <f>COUNTIFS('All Papers'!$D:$D,"*"&amp;$A678&amp;"*",'All Papers'!$G:$G,"*"&amp;Table1[[#Headers],[Energy Management]]&amp;"*")</f>
        <v>0</v>
      </c>
      <c r="L678" s="8">
        <f>COUNTIFS('All Papers'!$D:$D,"*"&amp;$A678&amp;"*",'All Papers'!$G:$G,"*"&amp;Table1[[#Headers],[Monitoring]]&amp;"*")</f>
        <v>0</v>
      </c>
      <c r="M678" s="8">
        <f>COUNTIFS('All Papers'!$D:$D,"*"&amp;$A678&amp;"*",'All Papers'!$G:$G,"*"&amp;Table1[[#Headers],[Pricing]]&amp;"*")</f>
        <v>0</v>
      </c>
    </row>
    <row r="679" spans="1:13" x14ac:dyDescent="0.25">
      <c r="A679" s="8" t="s">
        <v>3112</v>
      </c>
      <c r="B679" s="8">
        <f>COUNTIF('All Papers'!D:D,"*"&amp;Table1[[#This Row],[Name]]&amp;"*")</f>
        <v>1</v>
      </c>
      <c r="C679" s="8">
        <f>COUNTIFS('All Papers'!$D:$D,"*"&amp;$A679&amp;"*",'All Papers'!$G:$G,"*"&amp;Table1[[#Headers],[Composition]]&amp;"*")</f>
        <v>0</v>
      </c>
      <c r="D679" s="8">
        <f>COUNTIFS('All Papers'!$D:$D,"*"&amp;$A679&amp;"*",'All Papers'!$G:$G,"*"&amp;Table1[[#Headers],[Discovery]]&amp;"*")</f>
        <v>0</v>
      </c>
      <c r="E679" s="8">
        <f>COUNTIFS('All Papers'!$D:$D,"*"&amp;$A679&amp;"*",'All Papers'!$G:$G,"*"&amp;Table1[[#Headers],[Selection]]&amp;"*")</f>
        <v>0</v>
      </c>
      <c r="F679" s="8">
        <f>COUNTIFS('All Papers'!$D:$D,"*"&amp;$A679&amp;"*",'All Papers'!$G:$G,"*"&amp;Table1[[#Headers],[Recommendation]]&amp;"*")</f>
        <v>0</v>
      </c>
      <c r="G679" s="8">
        <f>COUNTIFS('All Papers'!$D:$D,"*"&amp;$A679&amp;"*",'All Papers'!$G:$G,"*"&amp;Table1[[#Headers],[Resource Management-CS]]&amp;"*")</f>
        <v>1</v>
      </c>
      <c r="H679" s="8">
        <f>COUNTIFS('All Papers'!$D:$D,"*"&amp;$A679&amp;"*",'All Papers'!$G:$G,"*"&amp;Table1[[#Headers],[Resource Management-PS]]&amp;"*")</f>
        <v>0</v>
      </c>
      <c r="I679" s="8">
        <f>COUNTIFS('All Papers'!$D:$D,"*"&amp;$A679&amp;"*",'All Papers'!$G:$G,"*"&amp;Table1[[#Headers],[SLA Management]]&amp;"*")</f>
        <v>0</v>
      </c>
      <c r="J679" s="8">
        <f>COUNTIFS('All Papers'!$D:$D,"*"&amp;$A679&amp;"*",'All Papers'!$G:$G,"*"&amp;Table1[[#Headers],[Big Data]]&amp;"*")</f>
        <v>0</v>
      </c>
      <c r="K679" s="8">
        <f>COUNTIFS('All Papers'!$D:$D,"*"&amp;$A679&amp;"*",'All Papers'!$G:$G,"*"&amp;Table1[[#Headers],[Energy Management]]&amp;"*")</f>
        <v>0</v>
      </c>
      <c r="L679" s="8">
        <f>COUNTIFS('All Papers'!$D:$D,"*"&amp;$A679&amp;"*",'All Papers'!$G:$G,"*"&amp;Table1[[#Headers],[Monitoring]]&amp;"*")</f>
        <v>0</v>
      </c>
      <c r="M679" s="8">
        <f>COUNTIFS('All Papers'!$D:$D,"*"&amp;$A679&amp;"*",'All Papers'!$G:$G,"*"&amp;Table1[[#Headers],[Pricing]]&amp;"*")</f>
        <v>0</v>
      </c>
    </row>
    <row r="680" spans="1:13" x14ac:dyDescent="0.25">
      <c r="A680" s="8" t="s">
        <v>3113</v>
      </c>
      <c r="B680" s="8">
        <f>COUNTIF('All Papers'!D:D,"*"&amp;Table1[[#This Row],[Name]]&amp;"*")</f>
        <v>1</v>
      </c>
      <c r="C680" s="8">
        <f>COUNTIFS('All Papers'!$D:$D,"*"&amp;$A680&amp;"*",'All Papers'!$G:$G,"*"&amp;Table1[[#Headers],[Composition]]&amp;"*")</f>
        <v>0</v>
      </c>
      <c r="D680" s="8">
        <f>COUNTIFS('All Papers'!$D:$D,"*"&amp;$A680&amp;"*",'All Papers'!$G:$G,"*"&amp;Table1[[#Headers],[Discovery]]&amp;"*")</f>
        <v>0</v>
      </c>
      <c r="E680" s="8">
        <f>COUNTIFS('All Papers'!$D:$D,"*"&amp;$A680&amp;"*",'All Papers'!$G:$G,"*"&amp;Table1[[#Headers],[Selection]]&amp;"*")</f>
        <v>0</v>
      </c>
      <c r="F680" s="8">
        <f>COUNTIFS('All Papers'!$D:$D,"*"&amp;$A680&amp;"*",'All Papers'!$G:$G,"*"&amp;Table1[[#Headers],[Recommendation]]&amp;"*")</f>
        <v>0</v>
      </c>
      <c r="G680" s="8">
        <f>COUNTIFS('All Papers'!$D:$D,"*"&amp;$A680&amp;"*",'All Papers'!$G:$G,"*"&amp;Table1[[#Headers],[Resource Management-CS]]&amp;"*")</f>
        <v>1</v>
      </c>
      <c r="H680" s="8">
        <f>COUNTIFS('All Papers'!$D:$D,"*"&amp;$A680&amp;"*",'All Papers'!$G:$G,"*"&amp;Table1[[#Headers],[Resource Management-PS]]&amp;"*")</f>
        <v>0</v>
      </c>
      <c r="I680" s="8">
        <f>COUNTIFS('All Papers'!$D:$D,"*"&amp;$A680&amp;"*",'All Papers'!$G:$G,"*"&amp;Table1[[#Headers],[SLA Management]]&amp;"*")</f>
        <v>0</v>
      </c>
      <c r="J680" s="8">
        <f>COUNTIFS('All Papers'!$D:$D,"*"&amp;$A680&amp;"*",'All Papers'!$G:$G,"*"&amp;Table1[[#Headers],[Big Data]]&amp;"*")</f>
        <v>0</v>
      </c>
      <c r="K680" s="8">
        <f>COUNTIFS('All Papers'!$D:$D,"*"&amp;$A680&amp;"*",'All Papers'!$G:$G,"*"&amp;Table1[[#Headers],[Energy Management]]&amp;"*")</f>
        <v>0</v>
      </c>
      <c r="L680" s="8">
        <f>COUNTIFS('All Papers'!$D:$D,"*"&amp;$A680&amp;"*",'All Papers'!$G:$G,"*"&amp;Table1[[#Headers],[Monitoring]]&amp;"*")</f>
        <v>0</v>
      </c>
      <c r="M680" s="8">
        <f>COUNTIFS('All Papers'!$D:$D,"*"&amp;$A680&amp;"*",'All Papers'!$G:$G,"*"&amp;Table1[[#Headers],[Pricing]]&amp;"*")</f>
        <v>0</v>
      </c>
    </row>
    <row r="681" spans="1:13" x14ac:dyDescent="0.25">
      <c r="A681" s="8" t="s">
        <v>3114</v>
      </c>
      <c r="B681" s="8">
        <f>COUNTIF('All Papers'!D:D,"*"&amp;Table1[[#This Row],[Name]]&amp;"*")</f>
        <v>1</v>
      </c>
      <c r="C681" s="8">
        <f>COUNTIFS('All Papers'!$D:$D,"*"&amp;$A681&amp;"*",'All Papers'!$G:$G,"*"&amp;Table1[[#Headers],[Composition]]&amp;"*")</f>
        <v>0</v>
      </c>
      <c r="D681" s="8">
        <f>COUNTIFS('All Papers'!$D:$D,"*"&amp;$A681&amp;"*",'All Papers'!$G:$G,"*"&amp;Table1[[#Headers],[Discovery]]&amp;"*")</f>
        <v>0</v>
      </c>
      <c r="E681" s="8">
        <f>COUNTIFS('All Papers'!$D:$D,"*"&amp;$A681&amp;"*",'All Papers'!$G:$G,"*"&amp;Table1[[#Headers],[Selection]]&amp;"*")</f>
        <v>0</v>
      </c>
      <c r="F681" s="8">
        <f>COUNTIFS('All Papers'!$D:$D,"*"&amp;$A681&amp;"*",'All Papers'!$G:$G,"*"&amp;Table1[[#Headers],[Recommendation]]&amp;"*")</f>
        <v>0</v>
      </c>
      <c r="G681" s="8">
        <f>COUNTIFS('All Papers'!$D:$D,"*"&amp;$A681&amp;"*",'All Papers'!$G:$G,"*"&amp;Table1[[#Headers],[Resource Management-CS]]&amp;"*")</f>
        <v>1</v>
      </c>
      <c r="H681" s="8">
        <f>COUNTIFS('All Papers'!$D:$D,"*"&amp;$A681&amp;"*",'All Papers'!$G:$G,"*"&amp;Table1[[#Headers],[Resource Management-PS]]&amp;"*")</f>
        <v>0</v>
      </c>
      <c r="I681" s="8">
        <f>COUNTIFS('All Papers'!$D:$D,"*"&amp;$A681&amp;"*",'All Papers'!$G:$G,"*"&amp;Table1[[#Headers],[SLA Management]]&amp;"*")</f>
        <v>0</v>
      </c>
      <c r="J681" s="8">
        <f>COUNTIFS('All Papers'!$D:$D,"*"&amp;$A681&amp;"*",'All Papers'!$G:$G,"*"&amp;Table1[[#Headers],[Big Data]]&amp;"*")</f>
        <v>0</v>
      </c>
      <c r="K681" s="8">
        <f>COUNTIFS('All Papers'!$D:$D,"*"&amp;$A681&amp;"*",'All Papers'!$G:$G,"*"&amp;Table1[[#Headers],[Energy Management]]&amp;"*")</f>
        <v>0</v>
      </c>
      <c r="L681" s="8">
        <f>COUNTIFS('All Papers'!$D:$D,"*"&amp;$A681&amp;"*",'All Papers'!$G:$G,"*"&amp;Table1[[#Headers],[Monitoring]]&amp;"*")</f>
        <v>0</v>
      </c>
      <c r="M681" s="8">
        <f>COUNTIFS('All Papers'!$D:$D,"*"&amp;$A681&amp;"*",'All Papers'!$G:$G,"*"&amp;Table1[[#Headers],[Pricing]]&amp;"*")</f>
        <v>0</v>
      </c>
    </row>
    <row r="682" spans="1:13" x14ac:dyDescent="0.25">
      <c r="A682" s="8" t="s">
        <v>3115</v>
      </c>
      <c r="B682" s="8">
        <f>COUNTIF('All Papers'!D:D,"*"&amp;Table1[[#This Row],[Name]]&amp;"*")</f>
        <v>1</v>
      </c>
      <c r="C682" s="8">
        <f>COUNTIFS('All Papers'!$D:$D,"*"&amp;$A682&amp;"*",'All Papers'!$G:$G,"*"&amp;Table1[[#Headers],[Composition]]&amp;"*")</f>
        <v>0</v>
      </c>
      <c r="D682" s="8">
        <f>COUNTIFS('All Papers'!$D:$D,"*"&amp;$A682&amp;"*",'All Papers'!$G:$G,"*"&amp;Table1[[#Headers],[Discovery]]&amp;"*")</f>
        <v>0</v>
      </c>
      <c r="E682" s="8">
        <f>COUNTIFS('All Papers'!$D:$D,"*"&amp;$A682&amp;"*",'All Papers'!$G:$G,"*"&amp;Table1[[#Headers],[Selection]]&amp;"*")</f>
        <v>0</v>
      </c>
      <c r="F682" s="8">
        <f>COUNTIFS('All Papers'!$D:$D,"*"&amp;$A682&amp;"*",'All Papers'!$G:$G,"*"&amp;Table1[[#Headers],[Recommendation]]&amp;"*")</f>
        <v>0</v>
      </c>
      <c r="G682" s="8">
        <f>COUNTIFS('All Papers'!$D:$D,"*"&amp;$A682&amp;"*",'All Papers'!$G:$G,"*"&amp;Table1[[#Headers],[Resource Management-CS]]&amp;"*")</f>
        <v>1</v>
      </c>
      <c r="H682" s="8">
        <f>COUNTIFS('All Papers'!$D:$D,"*"&amp;$A682&amp;"*",'All Papers'!$G:$G,"*"&amp;Table1[[#Headers],[Resource Management-PS]]&amp;"*")</f>
        <v>0</v>
      </c>
      <c r="I682" s="8">
        <f>COUNTIFS('All Papers'!$D:$D,"*"&amp;$A682&amp;"*",'All Papers'!$G:$G,"*"&amp;Table1[[#Headers],[SLA Management]]&amp;"*")</f>
        <v>0</v>
      </c>
      <c r="J682" s="8">
        <f>COUNTIFS('All Papers'!$D:$D,"*"&amp;$A682&amp;"*",'All Papers'!$G:$G,"*"&amp;Table1[[#Headers],[Big Data]]&amp;"*")</f>
        <v>0</v>
      </c>
      <c r="K682" s="8">
        <f>COUNTIFS('All Papers'!$D:$D,"*"&amp;$A682&amp;"*",'All Papers'!$G:$G,"*"&amp;Table1[[#Headers],[Energy Management]]&amp;"*")</f>
        <v>0</v>
      </c>
      <c r="L682" s="8">
        <f>COUNTIFS('All Papers'!$D:$D,"*"&amp;$A682&amp;"*",'All Papers'!$G:$G,"*"&amp;Table1[[#Headers],[Monitoring]]&amp;"*")</f>
        <v>0</v>
      </c>
      <c r="M682" s="8">
        <f>COUNTIFS('All Papers'!$D:$D,"*"&amp;$A682&amp;"*",'All Papers'!$G:$G,"*"&amp;Table1[[#Headers],[Pricing]]&amp;"*")</f>
        <v>0</v>
      </c>
    </row>
    <row r="683" spans="1:13" x14ac:dyDescent="0.25">
      <c r="A683" s="8" t="s">
        <v>3116</v>
      </c>
      <c r="B683" s="8">
        <f>COUNTIF('All Papers'!D:D,"*"&amp;Table1[[#This Row],[Name]]&amp;"*")</f>
        <v>1</v>
      </c>
      <c r="C683" s="8">
        <f>COUNTIFS('All Papers'!$D:$D,"*"&amp;$A683&amp;"*",'All Papers'!$G:$G,"*"&amp;Table1[[#Headers],[Composition]]&amp;"*")</f>
        <v>0</v>
      </c>
      <c r="D683" s="8">
        <f>COUNTIFS('All Papers'!$D:$D,"*"&amp;$A683&amp;"*",'All Papers'!$G:$G,"*"&amp;Table1[[#Headers],[Discovery]]&amp;"*")</f>
        <v>0</v>
      </c>
      <c r="E683" s="8">
        <f>COUNTIFS('All Papers'!$D:$D,"*"&amp;$A683&amp;"*",'All Papers'!$G:$G,"*"&amp;Table1[[#Headers],[Selection]]&amp;"*")</f>
        <v>0</v>
      </c>
      <c r="F683" s="8">
        <f>COUNTIFS('All Papers'!$D:$D,"*"&amp;$A683&amp;"*",'All Papers'!$G:$G,"*"&amp;Table1[[#Headers],[Recommendation]]&amp;"*")</f>
        <v>0</v>
      </c>
      <c r="G683" s="8">
        <f>COUNTIFS('All Papers'!$D:$D,"*"&amp;$A683&amp;"*",'All Papers'!$G:$G,"*"&amp;Table1[[#Headers],[Resource Management-CS]]&amp;"*")</f>
        <v>1</v>
      </c>
      <c r="H683" s="8">
        <f>COUNTIFS('All Papers'!$D:$D,"*"&amp;$A683&amp;"*",'All Papers'!$G:$G,"*"&amp;Table1[[#Headers],[Resource Management-PS]]&amp;"*")</f>
        <v>0</v>
      </c>
      <c r="I683" s="8">
        <f>COUNTIFS('All Papers'!$D:$D,"*"&amp;$A683&amp;"*",'All Papers'!$G:$G,"*"&amp;Table1[[#Headers],[SLA Management]]&amp;"*")</f>
        <v>0</v>
      </c>
      <c r="J683" s="8">
        <f>COUNTIFS('All Papers'!$D:$D,"*"&amp;$A683&amp;"*",'All Papers'!$G:$G,"*"&amp;Table1[[#Headers],[Big Data]]&amp;"*")</f>
        <v>0</v>
      </c>
      <c r="K683" s="8">
        <f>COUNTIFS('All Papers'!$D:$D,"*"&amp;$A683&amp;"*",'All Papers'!$G:$G,"*"&amp;Table1[[#Headers],[Energy Management]]&amp;"*")</f>
        <v>0</v>
      </c>
      <c r="L683" s="8">
        <f>COUNTIFS('All Papers'!$D:$D,"*"&amp;$A683&amp;"*",'All Papers'!$G:$G,"*"&amp;Table1[[#Headers],[Monitoring]]&amp;"*")</f>
        <v>0</v>
      </c>
      <c r="M683" s="8">
        <f>COUNTIFS('All Papers'!$D:$D,"*"&amp;$A683&amp;"*",'All Papers'!$G:$G,"*"&amp;Table1[[#Headers],[Pricing]]&amp;"*")</f>
        <v>0</v>
      </c>
    </row>
    <row r="684" spans="1:13" x14ac:dyDescent="0.25">
      <c r="A684" s="8" t="s">
        <v>3117</v>
      </c>
      <c r="B684" s="8">
        <f>COUNTIF('All Papers'!D:D,"*"&amp;Table1[[#This Row],[Name]]&amp;"*")</f>
        <v>1</v>
      </c>
      <c r="C684" s="8">
        <f>COUNTIFS('All Papers'!$D:$D,"*"&amp;$A684&amp;"*",'All Papers'!$G:$G,"*"&amp;Table1[[#Headers],[Composition]]&amp;"*")</f>
        <v>0</v>
      </c>
      <c r="D684" s="8">
        <f>COUNTIFS('All Papers'!$D:$D,"*"&amp;$A684&amp;"*",'All Papers'!$G:$G,"*"&amp;Table1[[#Headers],[Discovery]]&amp;"*")</f>
        <v>0</v>
      </c>
      <c r="E684" s="8">
        <f>COUNTIFS('All Papers'!$D:$D,"*"&amp;$A684&amp;"*",'All Papers'!$G:$G,"*"&amp;Table1[[#Headers],[Selection]]&amp;"*")</f>
        <v>0</v>
      </c>
      <c r="F684" s="8">
        <f>COUNTIFS('All Papers'!$D:$D,"*"&amp;$A684&amp;"*",'All Papers'!$G:$G,"*"&amp;Table1[[#Headers],[Recommendation]]&amp;"*")</f>
        <v>0</v>
      </c>
      <c r="G684" s="8">
        <f>COUNTIFS('All Papers'!$D:$D,"*"&amp;$A684&amp;"*",'All Papers'!$G:$G,"*"&amp;Table1[[#Headers],[Resource Management-CS]]&amp;"*")</f>
        <v>1</v>
      </c>
      <c r="H684" s="8">
        <f>COUNTIFS('All Papers'!$D:$D,"*"&amp;$A684&amp;"*",'All Papers'!$G:$G,"*"&amp;Table1[[#Headers],[Resource Management-PS]]&amp;"*")</f>
        <v>0</v>
      </c>
      <c r="I684" s="8">
        <f>COUNTIFS('All Papers'!$D:$D,"*"&amp;$A684&amp;"*",'All Papers'!$G:$G,"*"&amp;Table1[[#Headers],[SLA Management]]&amp;"*")</f>
        <v>0</v>
      </c>
      <c r="J684" s="8">
        <f>COUNTIFS('All Papers'!$D:$D,"*"&amp;$A684&amp;"*",'All Papers'!$G:$G,"*"&amp;Table1[[#Headers],[Big Data]]&amp;"*")</f>
        <v>0</v>
      </c>
      <c r="K684" s="8">
        <f>COUNTIFS('All Papers'!$D:$D,"*"&amp;$A684&amp;"*",'All Papers'!$G:$G,"*"&amp;Table1[[#Headers],[Energy Management]]&amp;"*")</f>
        <v>0</v>
      </c>
      <c r="L684" s="8">
        <f>COUNTIFS('All Papers'!$D:$D,"*"&amp;$A684&amp;"*",'All Papers'!$G:$G,"*"&amp;Table1[[#Headers],[Monitoring]]&amp;"*")</f>
        <v>0</v>
      </c>
      <c r="M684" s="8">
        <f>COUNTIFS('All Papers'!$D:$D,"*"&amp;$A684&amp;"*",'All Papers'!$G:$G,"*"&amp;Table1[[#Headers],[Pricing]]&amp;"*")</f>
        <v>0</v>
      </c>
    </row>
    <row r="685" spans="1:13" x14ac:dyDescent="0.25">
      <c r="A685" s="8" t="s">
        <v>3118</v>
      </c>
      <c r="B685" s="8">
        <f>COUNTIF('All Papers'!D:D,"*"&amp;Table1[[#This Row],[Name]]&amp;"*")</f>
        <v>1</v>
      </c>
      <c r="C685" s="8">
        <f>COUNTIFS('All Papers'!$D:$D,"*"&amp;$A685&amp;"*",'All Papers'!$G:$G,"*"&amp;Table1[[#Headers],[Composition]]&amp;"*")</f>
        <v>0</v>
      </c>
      <c r="D685" s="8">
        <f>COUNTIFS('All Papers'!$D:$D,"*"&amp;$A685&amp;"*",'All Papers'!$G:$G,"*"&amp;Table1[[#Headers],[Discovery]]&amp;"*")</f>
        <v>0</v>
      </c>
      <c r="E685" s="8">
        <f>COUNTIFS('All Papers'!$D:$D,"*"&amp;$A685&amp;"*",'All Papers'!$G:$G,"*"&amp;Table1[[#Headers],[Selection]]&amp;"*")</f>
        <v>0</v>
      </c>
      <c r="F685" s="8">
        <f>COUNTIFS('All Papers'!$D:$D,"*"&amp;$A685&amp;"*",'All Papers'!$G:$G,"*"&amp;Table1[[#Headers],[Recommendation]]&amp;"*")</f>
        <v>0</v>
      </c>
      <c r="G685" s="8">
        <f>COUNTIFS('All Papers'!$D:$D,"*"&amp;$A685&amp;"*",'All Papers'!$G:$G,"*"&amp;Table1[[#Headers],[Resource Management-CS]]&amp;"*")</f>
        <v>1</v>
      </c>
      <c r="H685" s="8">
        <f>COUNTIFS('All Papers'!$D:$D,"*"&amp;$A685&amp;"*",'All Papers'!$G:$G,"*"&amp;Table1[[#Headers],[Resource Management-PS]]&amp;"*")</f>
        <v>0</v>
      </c>
      <c r="I685" s="8">
        <f>COUNTIFS('All Papers'!$D:$D,"*"&amp;$A685&amp;"*",'All Papers'!$G:$G,"*"&amp;Table1[[#Headers],[SLA Management]]&amp;"*")</f>
        <v>0</v>
      </c>
      <c r="J685" s="8">
        <f>COUNTIFS('All Papers'!$D:$D,"*"&amp;$A685&amp;"*",'All Papers'!$G:$G,"*"&amp;Table1[[#Headers],[Big Data]]&amp;"*")</f>
        <v>0</v>
      </c>
      <c r="K685" s="8">
        <f>COUNTIFS('All Papers'!$D:$D,"*"&amp;$A685&amp;"*",'All Papers'!$G:$G,"*"&amp;Table1[[#Headers],[Energy Management]]&amp;"*")</f>
        <v>0</v>
      </c>
      <c r="L685" s="8">
        <f>COUNTIFS('All Papers'!$D:$D,"*"&amp;$A685&amp;"*",'All Papers'!$G:$G,"*"&amp;Table1[[#Headers],[Monitoring]]&amp;"*")</f>
        <v>0</v>
      </c>
      <c r="M685" s="8">
        <f>COUNTIFS('All Papers'!$D:$D,"*"&amp;$A685&amp;"*",'All Papers'!$G:$G,"*"&amp;Table1[[#Headers],[Pricing]]&amp;"*")</f>
        <v>0</v>
      </c>
    </row>
    <row r="686" spans="1:13" x14ac:dyDescent="0.25">
      <c r="A686" s="8" t="s">
        <v>3119</v>
      </c>
      <c r="B686" s="8">
        <f>COUNTIF('All Papers'!D:D,"*"&amp;Table1[[#This Row],[Name]]&amp;"*")</f>
        <v>1</v>
      </c>
      <c r="C686" s="8">
        <f>COUNTIFS('All Papers'!$D:$D,"*"&amp;$A686&amp;"*",'All Papers'!$G:$G,"*"&amp;Table1[[#Headers],[Composition]]&amp;"*")</f>
        <v>0</v>
      </c>
      <c r="D686" s="8">
        <f>COUNTIFS('All Papers'!$D:$D,"*"&amp;$A686&amp;"*",'All Papers'!$G:$G,"*"&amp;Table1[[#Headers],[Discovery]]&amp;"*")</f>
        <v>0</v>
      </c>
      <c r="E686" s="8">
        <f>COUNTIFS('All Papers'!$D:$D,"*"&amp;$A686&amp;"*",'All Papers'!$G:$G,"*"&amp;Table1[[#Headers],[Selection]]&amp;"*")</f>
        <v>0</v>
      </c>
      <c r="F686" s="8">
        <f>COUNTIFS('All Papers'!$D:$D,"*"&amp;$A686&amp;"*",'All Papers'!$G:$G,"*"&amp;Table1[[#Headers],[Recommendation]]&amp;"*")</f>
        <v>0</v>
      </c>
      <c r="G686" s="8">
        <f>COUNTIFS('All Papers'!$D:$D,"*"&amp;$A686&amp;"*",'All Papers'!$G:$G,"*"&amp;Table1[[#Headers],[Resource Management-CS]]&amp;"*")</f>
        <v>1</v>
      </c>
      <c r="H686" s="8">
        <f>COUNTIFS('All Papers'!$D:$D,"*"&amp;$A686&amp;"*",'All Papers'!$G:$G,"*"&amp;Table1[[#Headers],[Resource Management-PS]]&amp;"*")</f>
        <v>0</v>
      </c>
      <c r="I686" s="8">
        <f>COUNTIFS('All Papers'!$D:$D,"*"&amp;$A686&amp;"*",'All Papers'!$G:$G,"*"&amp;Table1[[#Headers],[SLA Management]]&amp;"*")</f>
        <v>0</v>
      </c>
      <c r="J686" s="8">
        <f>COUNTIFS('All Papers'!$D:$D,"*"&amp;$A686&amp;"*",'All Papers'!$G:$G,"*"&amp;Table1[[#Headers],[Big Data]]&amp;"*")</f>
        <v>0</v>
      </c>
      <c r="K686" s="8">
        <f>COUNTIFS('All Papers'!$D:$D,"*"&amp;$A686&amp;"*",'All Papers'!$G:$G,"*"&amp;Table1[[#Headers],[Energy Management]]&amp;"*")</f>
        <v>0</v>
      </c>
      <c r="L686" s="8">
        <f>COUNTIFS('All Papers'!$D:$D,"*"&amp;$A686&amp;"*",'All Papers'!$G:$G,"*"&amp;Table1[[#Headers],[Monitoring]]&amp;"*")</f>
        <v>0</v>
      </c>
      <c r="M686" s="8">
        <f>COUNTIFS('All Papers'!$D:$D,"*"&amp;$A686&amp;"*",'All Papers'!$G:$G,"*"&amp;Table1[[#Headers],[Pricing]]&amp;"*")</f>
        <v>0</v>
      </c>
    </row>
    <row r="687" spans="1:13" x14ac:dyDescent="0.25">
      <c r="A687" s="8" t="s">
        <v>3120</v>
      </c>
      <c r="B687" s="8">
        <f>COUNTIF('All Papers'!D:D,"*"&amp;Table1[[#This Row],[Name]]&amp;"*")</f>
        <v>1</v>
      </c>
      <c r="C687" s="8">
        <f>COUNTIFS('All Papers'!$D:$D,"*"&amp;$A687&amp;"*",'All Papers'!$G:$G,"*"&amp;Table1[[#Headers],[Composition]]&amp;"*")</f>
        <v>0</v>
      </c>
      <c r="D687" s="8">
        <f>COUNTIFS('All Papers'!$D:$D,"*"&amp;$A687&amp;"*",'All Papers'!$G:$G,"*"&amp;Table1[[#Headers],[Discovery]]&amp;"*")</f>
        <v>0</v>
      </c>
      <c r="E687" s="8">
        <f>COUNTIFS('All Papers'!$D:$D,"*"&amp;$A687&amp;"*",'All Papers'!$G:$G,"*"&amp;Table1[[#Headers],[Selection]]&amp;"*")</f>
        <v>0</v>
      </c>
      <c r="F687" s="8">
        <f>COUNTIFS('All Papers'!$D:$D,"*"&amp;$A687&amp;"*",'All Papers'!$G:$G,"*"&amp;Table1[[#Headers],[Recommendation]]&amp;"*")</f>
        <v>0</v>
      </c>
      <c r="G687" s="8">
        <f>COUNTIFS('All Papers'!$D:$D,"*"&amp;$A687&amp;"*",'All Papers'!$G:$G,"*"&amp;Table1[[#Headers],[Resource Management-CS]]&amp;"*")</f>
        <v>1</v>
      </c>
      <c r="H687" s="8">
        <f>COUNTIFS('All Papers'!$D:$D,"*"&amp;$A687&amp;"*",'All Papers'!$G:$G,"*"&amp;Table1[[#Headers],[Resource Management-PS]]&amp;"*")</f>
        <v>0</v>
      </c>
      <c r="I687" s="8">
        <f>COUNTIFS('All Papers'!$D:$D,"*"&amp;$A687&amp;"*",'All Papers'!$G:$G,"*"&amp;Table1[[#Headers],[SLA Management]]&amp;"*")</f>
        <v>0</v>
      </c>
      <c r="J687" s="8">
        <f>COUNTIFS('All Papers'!$D:$D,"*"&amp;$A687&amp;"*",'All Papers'!$G:$G,"*"&amp;Table1[[#Headers],[Big Data]]&amp;"*")</f>
        <v>0</v>
      </c>
      <c r="K687" s="8">
        <f>COUNTIFS('All Papers'!$D:$D,"*"&amp;$A687&amp;"*",'All Papers'!$G:$G,"*"&amp;Table1[[#Headers],[Energy Management]]&amp;"*")</f>
        <v>0</v>
      </c>
      <c r="L687" s="8">
        <f>COUNTIFS('All Papers'!$D:$D,"*"&amp;$A687&amp;"*",'All Papers'!$G:$G,"*"&amp;Table1[[#Headers],[Monitoring]]&amp;"*")</f>
        <v>0</v>
      </c>
      <c r="M687" s="8">
        <f>COUNTIFS('All Papers'!$D:$D,"*"&amp;$A687&amp;"*",'All Papers'!$G:$G,"*"&amp;Table1[[#Headers],[Pricing]]&amp;"*")</f>
        <v>0</v>
      </c>
    </row>
    <row r="688" spans="1:13" x14ac:dyDescent="0.25">
      <c r="A688" s="8" t="s">
        <v>3121</v>
      </c>
      <c r="B688" s="8">
        <f>COUNTIF('All Papers'!D:D,"*"&amp;Table1[[#This Row],[Name]]&amp;"*")</f>
        <v>1</v>
      </c>
      <c r="C688" s="8">
        <f>COUNTIFS('All Papers'!$D:$D,"*"&amp;$A688&amp;"*",'All Papers'!$G:$G,"*"&amp;Table1[[#Headers],[Composition]]&amp;"*")</f>
        <v>0</v>
      </c>
      <c r="D688" s="8">
        <f>COUNTIFS('All Papers'!$D:$D,"*"&amp;$A688&amp;"*",'All Papers'!$G:$G,"*"&amp;Table1[[#Headers],[Discovery]]&amp;"*")</f>
        <v>0</v>
      </c>
      <c r="E688" s="8">
        <f>COUNTIFS('All Papers'!$D:$D,"*"&amp;$A688&amp;"*",'All Papers'!$G:$G,"*"&amp;Table1[[#Headers],[Selection]]&amp;"*")</f>
        <v>0</v>
      </c>
      <c r="F688" s="8">
        <f>COUNTIFS('All Papers'!$D:$D,"*"&amp;$A688&amp;"*",'All Papers'!$G:$G,"*"&amp;Table1[[#Headers],[Recommendation]]&amp;"*")</f>
        <v>0</v>
      </c>
      <c r="G688" s="8">
        <f>COUNTIFS('All Papers'!$D:$D,"*"&amp;$A688&amp;"*",'All Papers'!$G:$G,"*"&amp;Table1[[#Headers],[Resource Management-CS]]&amp;"*")</f>
        <v>1</v>
      </c>
      <c r="H688" s="8">
        <f>COUNTIFS('All Papers'!$D:$D,"*"&amp;$A688&amp;"*",'All Papers'!$G:$G,"*"&amp;Table1[[#Headers],[Resource Management-PS]]&amp;"*")</f>
        <v>0</v>
      </c>
      <c r="I688" s="8">
        <f>COUNTIFS('All Papers'!$D:$D,"*"&amp;$A688&amp;"*",'All Papers'!$G:$G,"*"&amp;Table1[[#Headers],[SLA Management]]&amp;"*")</f>
        <v>0</v>
      </c>
      <c r="J688" s="8">
        <f>COUNTIFS('All Papers'!$D:$D,"*"&amp;$A688&amp;"*",'All Papers'!$G:$G,"*"&amp;Table1[[#Headers],[Big Data]]&amp;"*")</f>
        <v>0</v>
      </c>
      <c r="K688" s="8">
        <f>COUNTIFS('All Papers'!$D:$D,"*"&amp;$A688&amp;"*",'All Papers'!$G:$G,"*"&amp;Table1[[#Headers],[Energy Management]]&amp;"*")</f>
        <v>0</v>
      </c>
      <c r="L688" s="8">
        <f>COUNTIFS('All Papers'!$D:$D,"*"&amp;$A688&amp;"*",'All Papers'!$G:$G,"*"&amp;Table1[[#Headers],[Monitoring]]&amp;"*")</f>
        <v>0</v>
      </c>
      <c r="M688" s="8">
        <f>COUNTIFS('All Papers'!$D:$D,"*"&amp;$A688&amp;"*",'All Papers'!$G:$G,"*"&amp;Table1[[#Headers],[Pricing]]&amp;"*")</f>
        <v>0</v>
      </c>
    </row>
    <row r="689" spans="1:13" x14ac:dyDescent="0.25">
      <c r="A689" s="8" t="s">
        <v>3122</v>
      </c>
      <c r="B689" s="8">
        <f>COUNTIF('All Papers'!D:D,"*"&amp;Table1[[#This Row],[Name]]&amp;"*")</f>
        <v>1</v>
      </c>
      <c r="C689" s="8">
        <f>COUNTIFS('All Papers'!$D:$D,"*"&amp;$A689&amp;"*",'All Papers'!$G:$G,"*"&amp;Table1[[#Headers],[Composition]]&amp;"*")</f>
        <v>0</v>
      </c>
      <c r="D689" s="8">
        <f>COUNTIFS('All Papers'!$D:$D,"*"&amp;$A689&amp;"*",'All Papers'!$G:$G,"*"&amp;Table1[[#Headers],[Discovery]]&amp;"*")</f>
        <v>0</v>
      </c>
      <c r="E689" s="8">
        <f>COUNTIFS('All Papers'!$D:$D,"*"&amp;$A689&amp;"*",'All Papers'!$G:$G,"*"&amp;Table1[[#Headers],[Selection]]&amp;"*")</f>
        <v>0</v>
      </c>
      <c r="F689" s="8">
        <f>COUNTIFS('All Papers'!$D:$D,"*"&amp;$A689&amp;"*",'All Papers'!$G:$G,"*"&amp;Table1[[#Headers],[Recommendation]]&amp;"*")</f>
        <v>0</v>
      </c>
      <c r="G689" s="8">
        <f>COUNTIFS('All Papers'!$D:$D,"*"&amp;$A689&amp;"*",'All Papers'!$G:$G,"*"&amp;Table1[[#Headers],[Resource Management-CS]]&amp;"*")</f>
        <v>1</v>
      </c>
      <c r="H689" s="8">
        <f>COUNTIFS('All Papers'!$D:$D,"*"&amp;$A689&amp;"*",'All Papers'!$G:$G,"*"&amp;Table1[[#Headers],[Resource Management-PS]]&amp;"*")</f>
        <v>0</v>
      </c>
      <c r="I689" s="8">
        <f>COUNTIFS('All Papers'!$D:$D,"*"&amp;$A689&amp;"*",'All Papers'!$G:$G,"*"&amp;Table1[[#Headers],[SLA Management]]&amp;"*")</f>
        <v>0</v>
      </c>
      <c r="J689" s="8">
        <f>COUNTIFS('All Papers'!$D:$D,"*"&amp;$A689&amp;"*",'All Papers'!$G:$G,"*"&amp;Table1[[#Headers],[Big Data]]&amp;"*")</f>
        <v>0</v>
      </c>
      <c r="K689" s="8">
        <f>COUNTIFS('All Papers'!$D:$D,"*"&amp;$A689&amp;"*",'All Papers'!$G:$G,"*"&amp;Table1[[#Headers],[Energy Management]]&amp;"*")</f>
        <v>0</v>
      </c>
      <c r="L689" s="8">
        <f>COUNTIFS('All Papers'!$D:$D,"*"&amp;$A689&amp;"*",'All Papers'!$G:$G,"*"&amp;Table1[[#Headers],[Monitoring]]&amp;"*")</f>
        <v>0</v>
      </c>
      <c r="M689" s="8">
        <f>COUNTIFS('All Papers'!$D:$D,"*"&amp;$A689&amp;"*",'All Papers'!$G:$G,"*"&amp;Table1[[#Headers],[Pricing]]&amp;"*")</f>
        <v>0</v>
      </c>
    </row>
    <row r="690" spans="1:13" x14ac:dyDescent="0.25">
      <c r="A690" s="8" t="s">
        <v>3123</v>
      </c>
      <c r="B690" s="8">
        <f>COUNTIF('All Papers'!D:D,"*"&amp;Table1[[#This Row],[Name]]&amp;"*")</f>
        <v>1</v>
      </c>
      <c r="C690" s="8">
        <f>COUNTIFS('All Papers'!$D:$D,"*"&amp;$A690&amp;"*",'All Papers'!$G:$G,"*"&amp;Table1[[#Headers],[Composition]]&amp;"*")</f>
        <v>0</v>
      </c>
      <c r="D690" s="8">
        <f>COUNTIFS('All Papers'!$D:$D,"*"&amp;$A690&amp;"*",'All Papers'!$G:$G,"*"&amp;Table1[[#Headers],[Discovery]]&amp;"*")</f>
        <v>0</v>
      </c>
      <c r="E690" s="8">
        <f>COUNTIFS('All Papers'!$D:$D,"*"&amp;$A690&amp;"*",'All Papers'!$G:$G,"*"&amp;Table1[[#Headers],[Selection]]&amp;"*")</f>
        <v>0</v>
      </c>
      <c r="F690" s="8">
        <f>COUNTIFS('All Papers'!$D:$D,"*"&amp;$A690&amp;"*",'All Papers'!$G:$G,"*"&amp;Table1[[#Headers],[Recommendation]]&amp;"*")</f>
        <v>0</v>
      </c>
      <c r="G690" s="8">
        <f>COUNTIFS('All Papers'!$D:$D,"*"&amp;$A690&amp;"*",'All Papers'!$G:$G,"*"&amp;Table1[[#Headers],[Resource Management-CS]]&amp;"*")</f>
        <v>1</v>
      </c>
      <c r="H690" s="8">
        <f>COUNTIFS('All Papers'!$D:$D,"*"&amp;$A690&amp;"*",'All Papers'!$G:$G,"*"&amp;Table1[[#Headers],[Resource Management-PS]]&amp;"*")</f>
        <v>0</v>
      </c>
      <c r="I690" s="8">
        <f>COUNTIFS('All Papers'!$D:$D,"*"&amp;$A690&amp;"*",'All Papers'!$G:$G,"*"&amp;Table1[[#Headers],[SLA Management]]&amp;"*")</f>
        <v>0</v>
      </c>
      <c r="J690" s="8">
        <f>COUNTIFS('All Papers'!$D:$D,"*"&amp;$A690&amp;"*",'All Papers'!$G:$G,"*"&amp;Table1[[#Headers],[Big Data]]&amp;"*")</f>
        <v>0</v>
      </c>
      <c r="K690" s="8">
        <f>COUNTIFS('All Papers'!$D:$D,"*"&amp;$A690&amp;"*",'All Papers'!$G:$G,"*"&amp;Table1[[#Headers],[Energy Management]]&amp;"*")</f>
        <v>0</v>
      </c>
      <c r="L690" s="8">
        <f>COUNTIFS('All Papers'!$D:$D,"*"&amp;$A690&amp;"*",'All Papers'!$G:$G,"*"&amp;Table1[[#Headers],[Monitoring]]&amp;"*")</f>
        <v>0</v>
      </c>
      <c r="M690" s="8">
        <f>COUNTIFS('All Papers'!$D:$D,"*"&amp;$A690&amp;"*",'All Papers'!$G:$G,"*"&amp;Table1[[#Headers],[Pricing]]&amp;"*")</f>
        <v>0</v>
      </c>
    </row>
    <row r="691" spans="1:13" x14ac:dyDescent="0.25">
      <c r="A691" s="8" t="s">
        <v>3124</v>
      </c>
      <c r="B691" s="8">
        <f>COUNTIF('All Papers'!D:D,"*"&amp;Table1[[#This Row],[Name]]&amp;"*")</f>
        <v>1</v>
      </c>
      <c r="C691" s="8">
        <f>COUNTIFS('All Papers'!$D:$D,"*"&amp;$A691&amp;"*",'All Papers'!$G:$G,"*"&amp;Table1[[#Headers],[Composition]]&amp;"*")</f>
        <v>0</v>
      </c>
      <c r="D691" s="8">
        <f>COUNTIFS('All Papers'!$D:$D,"*"&amp;$A691&amp;"*",'All Papers'!$G:$G,"*"&amp;Table1[[#Headers],[Discovery]]&amp;"*")</f>
        <v>0</v>
      </c>
      <c r="E691" s="8">
        <f>COUNTIFS('All Papers'!$D:$D,"*"&amp;$A691&amp;"*",'All Papers'!$G:$G,"*"&amp;Table1[[#Headers],[Selection]]&amp;"*")</f>
        <v>0</v>
      </c>
      <c r="F691" s="8">
        <f>COUNTIFS('All Papers'!$D:$D,"*"&amp;$A691&amp;"*",'All Papers'!$G:$G,"*"&amp;Table1[[#Headers],[Recommendation]]&amp;"*")</f>
        <v>0</v>
      </c>
      <c r="G691" s="8">
        <f>COUNTIFS('All Papers'!$D:$D,"*"&amp;$A691&amp;"*",'All Papers'!$G:$G,"*"&amp;Table1[[#Headers],[Resource Management-CS]]&amp;"*")</f>
        <v>1</v>
      </c>
      <c r="H691" s="8">
        <f>COUNTIFS('All Papers'!$D:$D,"*"&amp;$A691&amp;"*",'All Papers'!$G:$G,"*"&amp;Table1[[#Headers],[Resource Management-PS]]&amp;"*")</f>
        <v>0</v>
      </c>
      <c r="I691" s="8">
        <f>COUNTIFS('All Papers'!$D:$D,"*"&amp;$A691&amp;"*",'All Papers'!$G:$G,"*"&amp;Table1[[#Headers],[SLA Management]]&amp;"*")</f>
        <v>0</v>
      </c>
      <c r="J691" s="8">
        <f>COUNTIFS('All Papers'!$D:$D,"*"&amp;$A691&amp;"*",'All Papers'!$G:$G,"*"&amp;Table1[[#Headers],[Big Data]]&amp;"*")</f>
        <v>0</v>
      </c>
      <c r="K691" s="8">
        <f>COUNTIFS('All Papers'!$D:$D,"*"&amp;$A691&amp;"*",'All Papers'!$G:$G,"*"&amp;Table1[[#Headers],[Energy Management]]&amp;"*")</f>
        <v>0</v>
      </c>
      <c r="L691" s="8">
        <f>COUNTIFS('All Papers'!$D:$D,"*"&amp;$A691&amp;"*",'All Papers'!$G:$G,"*"&amp;Table1[[#Headers],[Monitoring]]&amp;"*")</f>
        <v>0</v>
      </c>
      <c r="M691" s="8">
        <f>COUNTIFS('All Papers'!$D:$D,"*"&amp;$A691&amp;"*",'All Papers'!$G:$G,"*"&amp;Table1[[#Headers],[Pricing]]&amp;"*")</f>
        <v>0</v>
      </c>
    </row>
    <row r="692" spans="1:13" x14ac:dyDescent="0.25">
      <c r="A692" s="8" t="s">
        <v>3125</v>
      </c>
      <c r="B692" s="8">
        <f>COUNTIF('All Papers'!D:D,"*"&amp;Table1[[#This Row],[Name]]&amp;"*")</f>
        <v>1</v>
      </c>
      <c r="C692" s="8">
        <f>COUNTIFS('All Papers'!$D:$D,"*"&amp;$A692&amp;"*",'All Papers'!$G:$G,"*"&amp;Table1[[#Headers],[Composition]]&amp;"*")</f>
        <v>0</v>
      </c>
      <c r="D692" s="8">
        <f>COUNTIFS('All Papers'!$D:$D,"*"&amp;$A692&amp;"*",'All Papers'!$G:$G,"*"&amp;Table1[[#Headers],[Discovery]]&amp;"*")</f>
        <v>0</v>
      </c>
      <c r="E692" s="8">
        <f>COUNTIFS('All Papers'!$D:$D,"*"&amp;$A692&amp;"*",'All Papers'!$G:$G,"*"&amp;Table1[[#Headers],[Selection]]&amp;"*")</f>
        <v>0</v>
      </c>
      <c r="F692" s="8">
        <f>COUNTIFS('All Papers'!$D:$D,"*"&amp;$A692&amp;"*",'All Papers'!$G:$G,"*"&amp;Table1[[#Headers],[Recommendation]]&amp;"*")</f>
        <v>0</v>
      </c>
      <c r="G692" s="8">
        <f>COUNTIFS('All Papers'!$D:$D,"*"&amp;$A692&amp;"*",'All Papers'!$G:$G,"*"&amp;Table1[[#Headers],[Resource Management-CS]]&amp;"*")</f>
        <v>1</v>
      </c>
      <c r="H692" s="8">
        <f>COUNTIFS('All Papers'!$D:$D,"*"&amp;$A692&amp;"*",'All Papers'!$G:$G,"*"&amp;Table1[[#Headers],[Resource Management-PS]]&amp;"*")</f>
        <v>0</v>
      </c>
      <c r="I692" s="8">
        <f>COUNTIFS('All Papers'!$D:$D,"*"&amp;$A692&amp;"*",'All Papers'!$G:$G,"*"&amp;Table1[[#Headers],[SLA Management]]&amp;"*")</f>
        <v>0</v>
      </c>
      <c r="J692" s="8">
        <f>COUNTIFS('All Papers'!$D:$D,"*"&amp;$A692&amp;"*",'All Papers'!$G:$G,"*"&amp;Table1[[#Headers],[Big Data]]&amp;"*")</f>
        <v>0</v>
      </c>
      <c r="K692" s="8">
        <f>COUNTIFS('All Papers'!$D:$D,"*"&amp;$A692&amp;"*",'All Papers'!$G:$G,"*"&amp;Table1[[#Headers],[Energy Management]]&amp;"*")</f>
        <v>0</v>
      </c>
      <c r="L692" s="8">
        <f>COUNTIFS('All Papers'!$D:$D,"*"&amp;$A692&amp;"*",'All Papers'!$G:$G,"*"&amp;Table1[[#Headers],[Monitoring]]&amp;"*")</f>
        <v>0</v>
      </c>
      <c r="M692" s="8">
        <f>COUNTIFS('All Papers'!$D:$D,"*"&amp;$A692&amp;"*",'All Papers'!$G:$G,"*"&amp;Table1[[#Headers],[Pricing]]&amp;"*")</f>
        <v>0</v>
      </c>
    </row>
    <row r="693" spans="1:13" x14ac:dyDescent="0.25">
      <c r="A693" s="8" t="s">
        <v>3126</v>
      </c>
      <c r="B693" s="8">
        <f>COUNTIF('All Papers'!D:D,"*"&amp;Table1[[#This Row],[Name]]&amp;"*")</f>
        <v>1</v>
      </c>
      <c r="C693" s="8">
        <f>COUNTIFS('All Papers'!$D:$D,"*"&amp;$A693&amp;"*",'All Papers'!$G:$G,"*"&amp;Table1[[#Headers],[Composition]]&amp;"*")</f>
        <v>0</v>
      </c>
      <c r="D693" s="8">
        <f>COUNTIFS('All Papers'!$D:$D,"*"&amp;$A693&amp;"*",'All Papers'!$G:$G,"*"&amp;Table1[[#Headers],[Discovery]]&amp;"*")</f>
        <v>0</v>
      </c>
      <c r="E693" s="8">
        <f>COUNTIFS('All Papers'!$D:$D,"*"&amp;$A693&amp;"*",'All Papers'!$G:$G,"*"&amp;Table1[[#Headers],[Selection]]&amp;"*")</f>
        <v>0</v>
      </c>
      <c r="F693" s="8">
        <f>COUNTIFS('All Papers'!$D:$D,"*"&amp;$A693&amp;"*",'All Papers'!$G:$G,"*"&amp;Table1[[#Headers],[Recommendation]]&amp;"*")</f>
        <v>0</v>
      </c>
      <c r="G693" s="8">
        <f>COUNTIFS('All Papers'!$D:$D,"*"&amp;$A693&amp;"*",'All Papers'!$G:$G,"*"&amp;Table1[[#Headers],[Resource Management-CS]]&amp;"*")</f>
        <v>1</v>
      </c>
      <c r="H693" s="8">
        <f>COUNTIFS('All Papers'!$D:$D,"*"&amp;$A693&amp;"*",'All Papers'!$G:$G,"*"&amp;Table1[[#Headers],[Resource Management-PS]]&amp;"*")</f>
        <v>0</v>
      </c>
      <c r="I693" s="8">
        <f>COUNTIFS('All Papers'!$D:$D,"*"&amp;$A693&amp;"*",'All Papers'!$G:$G,"*"&amp;Table1[[#Headers],[SLA Management]]&amp;"*")</f>
        <v>0</v>
      </c>
      <c r="J693" s="8">
        <f>COUNTIFS('All Papers'!$D:$D,"*"&amp;$A693&amp;"*",'All Papers'!$G:$G,"*"&amp;Table1[[#Headers],[Big Data]]&amp;"*")</f>
        <v>0</v>
      </c>
      <c r="K693" s="8">
        <f>COUNTIFS('All Papers'!$D:$D,"*"&amp;$A693&amp;"*",'All Papers'!$G:$G,"*"&amp;Table1[[#Headers],[Energy Management]]&amp;"*")</f>
        <v>0</v>
      </c>
      <c r="L693" s="8">
        <f>COUNTIFS('All Papers'!$D:$D,"*"&amp;$A693&amp;"*",'All Papers'!$G:$G,"*"&amp;Table1[[#Headers],[Monitoring]]&amp;"*")</f>
        <v>0</v>
      </c>
      <c r="M693" s="8">
        <f>COUNTIFS('All Papers'!$D:$D,"*"&amp;$A693&amp;"*",'All Papers'!$G:$G,"*"&amp;Table1[[#Headers],[Pricing]]&amp;"*")</f>
        <v>0</v>
      </c>
    </row>
    <row r="694" spans="1:13" x14ac:dyDescent="0.25">
      <c r="A694" s="8" t="s">
        <v>3127</v>
      </c>
      <c r="B694" s="8">
        <f>COUNTIF('All Papers'!D:D,"*"&amp;Table1[[#This Row],[Name]]&amp;"*")</f>
        <v>1</v>
      </c>
      <c r="C694" s="8">
        <f>COUNTIFS('All Papers'!$D:$D,"*"&amp;$A694&amp;"*",'All Papers'!$G:$G,"*"&amp;Table1[[#Headers],[Composition]]&amp;"*")</f>
        <v>0</v>
      </c>
      <c r="D694" s="8">
        <f>COUNTIFS('All Papers'!$D:$D,"*"&amp;$A694&amp;"*",'All Papers'!$G:$G,"*"&amp;Table1[[#Headers],[Discovery]]&amp;"*")</f>
        <v>0</v>
      </c>
      <c r="E694" s="8">
        <f>COUNTIFS('All Papers'!$D:$D,"*"&amp;$A694&amp;"*",'All Papers'!$G:$G,"*"&amp;Table1[[#Headers],[Selection]]&amp;"*")</f>
        <v>0</v>
      </c>
      <c r="F694" s="8">
        <f>COUNTIFS('All Papers'!$D:$D,"*"&amp;$A694&amp;"*",'All Papers'!$G:$G,"*"&amp;Table1[[#Headers],[Recommendation]]&amp;"*")</f>
        <v>0</v>
      </c>
      <c r="G694" s="8">
        <f>COUNTIFS('All Papers'!$D:$D,"*"&amp;$A694&amp;"*",'All Papers'!$G:$G,"*"&amp;Table1[[#Headers],[Resource Management-CS]]&amp;"*")</f>
        <v>1</v>
      </c>
      <c r="H694" s="8">
        <f>COUNTIFS('All Papers'!$D:$D,"*"&amp;$A694&amp;"*",'All Papers'!$G:$G,"*"&amp;Table1[[#Headers],[Resource Management-PS]]&amp;"*")</f>
        <v>0</v>
      </c>
      <c r="I694" s="8">
        <f>COUNTIFS('All Papers'!$D:$D,"*"&amp;$A694&amp;"*",'All Papers'!$G:$G,"*"&amp;Table1[[#Headers],[SLA Management]]&amp;"*")</f>
        <v>0</v>
      </c>
      <c r="J694" s="8">
        <f>COUNTIFS('All Papers'!$D:$D,"*"&amp;$A694&amp;"*",'All Papers'!$G:$G,"*"&amp;Table1[[#Headers],[Big Data]]&amp;"*")</f>
        <v>0</v>
      </c>
      <c r="K694" s="8">
        <f>COUNTIFS('All Papers'!$D:$D,"*"&amp;$A694&amp;"*",'All Papers'!$G:$G,"*"&amp;Table1[[#Headers],[Energy Management]]&amp;"*")</f>
        <v>0</v>
      </c>
      <c r="L694" s="8">
        <f>COUNTIFS('All Papers'!$D:$D,"*"&amp;$A694&amp;"*",'All Papers'!$G:$G,"*"&amp;Table1[[#Headers],[Monitoring]]&amp;"*")</f>
        <v>0</v>
      </c>
      <c r="M694" s="8">
        <f>COUNTIFS('All Papers'!$D:$D,"*"&amp;$A694&amp;"*",'All Papers'!$G:$G,"*"&amp;Table1[[#Headers],[Pricing]]&amp;"*")</f>
        <v>0</v>
      </c>
    </row>
    <row r="695" spans="1:13" x14ac:dyDescent="0.25">
      <c r="A695" s="8" t="s">
        <v>3128</v>
      </c>
      <c r="B695" s="8">
        <f>COUNTIF('All Papers'!D:D,"*"&amp;Table1[[#This Row],[Name]]&amp;"*")</f>
        <v>1</v>
      </c>
      <c r="C695" s="8">
        <f>COUNTIFS('All Papers'!$D:$D,"*"&amp;$A695&amp;"*",'All Papers'!$G:$G,"*"&amp;Table1[[#Headers],[Composition]]&amp;"*")</f>
        <v>0</v>
      </c>
      <c r="D695" s="8">
        <f>COUNTIFS('All Papers'!$D:$D,"*"&amp;$A695&amp;"*",'All Papers'!$G:$G,"*"&amp;Table1[[#Headers],[Discovery]]&amp;"*")</f>
        <v>0</v>
      </c>
      <c r="E695" s="8">
        <f>COUNTIFS('All Papers'!$D:$D,"*"&amp;$A695&amp;"*",'All Papers'!$G:$G,"*"&amp;Table1[[#Headers],[Selection]]&amp;"*")</f>
        <v>0</v>
      </c>
      <c r="F695" s="8">
        <f>COUNTIFS('All Papers'!$D:$D,"*"&amp;$A695&amp;"*",'All Papers'!$G:$G,"*"&amp;Table1[[#Headers],[Recommendation]]&amp;"*")</f>
        <v>0</v>
      </c>
      <c r="G695" s="8">
        <f>COUNTIFS('All Papers'!$D:$D,"*"&amp;$A695&amp;"*",'All Papers'!$G:$G,"*"&amp;Table1[[#Headers],[Resource Management-CS]]&amp;"*")</f>
        <v>1</v>
      </c>
      <c r="H695" s="8">
        <f>COUNTIFS('All Papers'!$D:$D,"*"&amp;$A695&amp;"*",'All Papers'!$G:$G,"*"&amp;Table1[[#Headers],[Resource Management-PS]]&amp;"*")</f>
        <v>0</v>
      </c>
      <c r="I695" s="8">
        <f>COUNTIFS('All Papers'!$D:$D,"*"&amp;$A695&amp;"*",'All Papers'!$G:$G,"*"&amp;Table1[[#Headers],[SLA Management]]&amp;"*")</f>
        <v>0</v>
      </c>
      <c r="J695" s="8">
        <f>COUNTIFS('All Papers'!$D:$D,"*"&amp;$A695&amp;"*",'All Papers'!$G:$G,"*"&amp;Table1[[#Headers],[Big Data]]&amp;"*")</f>
        <v>0</v>
      </c>
      <c r="K695" s="8">
        <f>COUNTIFS('All Papers'!$D:$D,"*"&amp;$A695&amp;"*",'All Papers'!$G:$G,"*"&amp;Table1[[#Headers],[Energy Management]]&amp;"*")</f>
        <v>0</v>
      </c>
      <c r="L695" s="8">
        <f>COUNTIFS('All Papers'!$D:$D,"*"&amp;$A695&amp;"*",'All Papers'!$G:$G,"*"&amp;Table1[[#Headers],[Monitoring]]&amp;"*")</f>
        <v>0</v>
      </c>
      <c r="M695" s="8">
        <f>COUNTIFS('All Papers'!$D:$D,"*"&amp;$A695&amp;"*",'All Papers'!$G:$G,"*"&amp;Table1[[#Headers],[Pricing]]&amp;"*")</f>
        <v>0</v>
      </c>
    </row>
    <row r="696" spans="1:13" x14ac:dyDescent="0.25">
      <c r="A696" s="8" t="s">
        <v>3129</v>
      </c>
      <c r="B696" s="8">
        <f>COUNTIF('All Papers'!D:D,"*"&amp;Table1[[#This Row],[Name]]&amp;"*")</f>
        <v>1</v>
      </c>
      <c r="C696" s="8">
        <f>COUNTIFS('All Papers'!$D:$D,"*"&amp;$A696&amp;"*",'All Papers'!$G:$G,"*"&amp;Table1[[#Headers],[Composition]]&amp;"*")</f>
        <v>0</v>
      </c>
      <c r="D696" s="8">
        <f>COUNTIFS('All Papers'!$D:$D,"*"&amp;$A696&amp;"*",'All Papers'!$G:$G,"*"&amp;Table1[[#Headers],[Discovery]]&amp;"*")</f>
        <v>0</v>
      </c>
      <c r="E696" s="8">
        <f>COUNTIFS('All Papers'!$D:$D,"*"&amp;$A696&amp;"*",'All Papers'!$G:$G,"*"&amp;Table1[[#Headers],[Selection]]&amp;"*")</f>
        <v>0</v>
      </c>
      <c r="F696" s="8">
        <f>COUNTIFS('All Papers'!$D:$D,"*"&amp;$A696&amp;"*",'All Papers'!$G:$G,"*"&amp;Table1[[#Headers],[Recommendation]]&amp;"*")</f>
        <v>0</v>
      </c>
      <c r="G696" s="8">
        <f>COUNTIFS('All Papers'!$D:$D,"*"&amp;$A696&amp;"*",'All Papers'!$G:$G,"*"&amp;Table1[[#Headers],[Resource Management-CS]]&amp;"*")</f>
        <v>1</v>
      </c>
      <c r="H696" s="8">
        <f>COUNTIFS('All Papers'!$D:$D,"*"&amp;$A696&amp;"*",'All Papers'!$G:$G,"*"&amp;Table1[[#Headers],[Resource Management-PS]]&amp;"*")</f>
        <v>0</v>
      </c>
      <c r="I696" s="8">
        <f>COUNTIFS('All Papers'!$D:$D,"*"&amp;$A696&amp;"*",'All Papers'!$G:$G,"*"&amp;Table1[[#Headers],[SLA Management]]&amp;"*")</f>
        <v>0</v>
      </c>
      <c r="J696" s="8">
        <f>COUNTIFS('All Papers'!$D:$D,"*"&amp;$A696&amp;"*",'All Papers'!$G:$G,"*"&amp;Table1[[#Headers],[Big Data]]&amp;"*")</f>
        <v>0</v>
      </c>
      <c r="K696" s="8">
        <f>COUNTIFS('All Papers'!$D:$D,"*"&amp;$A696&amp;"*",'All Papers'!$G:$G,"*"&amp;Table1[[#Headers],[Energy Management]]&amp;"*")</f>
        <v>0</v>
      </c>
      <c r="L696" s="8">
        <f>COUNTIFS('All Papers'!$D:$D,"*"&amp;$A696&amp;"*",'All Papers'!$G:$G,"*"&amp;Table1[[#Headers],[Monitoring]]&amp;"*")</f>
        <v>0</v>
      </c>
      <c r="M696" s="8">
        <f>COUNTIFS('All Papers'!$D:$D,"*"&amp;$A696&amp;"*",'All Papers'!$G:$G,"*"&amp;Table1[[#Headers],[Pricing]]&amp;"*")</f>
        <v>0</v>
      </c>
    </row>
    <row r="697" spans="1:13" x14ac:dyDescent="0.25">
      <c r="A697" s="8" t="s">
        <v>3130</v>
      </c>
      <c r="B697" s="8">
        <f>COUNTIF('All Papers'!D:D,"*"&amp;Table1[[#This Row],[Name]]&amp;"*")</f>
        <v>1</v>
      </c>
      <c r="C697" s="8">
        <f>COUNTIFS('All Papers'!$D:$D,"*"&amp;$A697&amp;"*",'All Papers'!$G:$G,"*"&amp;Table1[[#Headers],[Composition]]&amp;"*")</f>
        <v>0</v>
      </c>
      <c r="D697" s="8">
        <f>COUNTIFS('All Papers'!$D:$D,"*"&amp;$A697&amp;"*",'All Papers'!$G:$G,"*"&amp;Table1[[#Headers],[Discovery]]&amp;"*")</f>
        <v>0</v>
      </c>
      <c r="E697" s="8">
        <f>COUNTIFS('All Papers'!$D:$D,"*"&amp;$A697&amp;"*",'All Papers'!$G:$G,"*"&amp;Table1[[#Headers],[Selection]]&amp;"*")</f>
        <v>0</v>
      </c>
      <c r="F697" s="8">
        <f>COUNTIFS('All Papers'!$D:$D,"*"&amp;$A697&amp;"*",'All Papers'!$G:$G,"*"&amp;Table1[[#Headers],[Recommendation]]&amp;"*")</f>
        <v>0</v>
      </c>
      <c r="G697" s="8">
        <f>COUNTIFS('All Papers'!$D:$D,"*"&amp;$A697&amp;"*",'All Papers'!$G:$G,"*"&amp;Table1[[#Headers],[Resource Management-CS]]&amp;"*")</f>
        <v>1</v>
      </c>
      <c r="H697" s="8">
        <f>COUNTIFS('All Papers'!$D:$D,"*"&amp;$A697&amp;"*",'All Papers'!$G:$G,"*"&amp;Table1[[#Headers],[Resource Management-PS]]&amp;"*")</f>
        <v>0</v>
      </c>
      <c r="I697" s="8">
        <f>COUNTIFS('All Papers'!$D:$D,"*"&amp;$A697&amp;"*",'All Papers'!$G:$G,"*"&amp;Table1[[#Headers],[SLA Management]]&amp;"*")</f>
        <v>0</v>
      </c>
      <c r="J697" s="8">
        <f>COUNTIFS('All Papers'!$D:$D,"*"&amp;$A697&amp;"*",'All Papers'!$G:$G,"*"&amp;Table1[[#Headers],[Big Data]]&amp;"*")</f>
        <v>0</v>
      </c>
      <c r="K697" s="8">
        <f>COUNTIFS('All Papers'!$D:$D,"*"&amp;$A697&amp;"*",'All Papers'!$G:$G,"*"&amp;Table1[[#Headers],[Energy Management]]&amp;"*")</f>
        <v>0</v>
      </c>
      <c r="L697" s="8">
        <f>COUNTIFS('All Papers'!$D:$D,"*"&amp;$A697&amp;"*",'All Papers'!$G:$G,"*"&amp;Table1[[#Headers],[Monitoring]]&amp;"*")</f>
        <v>0</v>
      </c>
      <c r="M697" s="8">
        <f>COUNTIFS('All Papers'!$D:$D,"*"&amp;$A697&amp;"*",'All Papers'!$G:$G,"*"&amp;Table1[[#Headers],[Pricing]]&amp;"*")</f>
        <v>0</v>
      </c>
    </row>
    <row r="698" spans="1:13" x14ac:dyDescent="0.25">
      <c r="A698" s="8" t="s">
        <v>3131</v>
      </c>
      <c r="B698" s="8">
        <f>COUNTIF('All Papers'!D:D,"*"&amp;Table1[[#This Row],[Name]]&amp;"*")</f>
        <v>1</v>
      </c>
      <c r="C698" s="8">
        <f>COUNTIFS('All Papers'!$D:$D,"*"&amp;$A698&amp;"*",'All Papers'!$G:$G,"*"&amp;Table1[[#Headers],[Composition]]&amp;"*")</f>
        <v>0</v>
      </c>
      <c r="D698" s="8">
        <f>COUNTIFS('All Papers'!$D:$D,"*"&amp;$A698&amp;"*",'All Papers'!$G:$G,"*"&amp;Table1[[#Headers],[Discovery]]&amp;"*")</f>
        <v>0</v>
      </c>
      <c r="E698" s="8">
        <f>COUNTIFS('All Papers'!$D:$D,"*"&amp;$A698&amp;"*",'All Papers'!$G:$G,"*"&amp;Table1[[#Headers],[Selection]]&amp;"*")</f>
        <v>0</v>
      </c>
      <c r="F698" s="8">
        <f>COUNTIFS('All Papers'!$D:$D,"*"&amp;$A698&amp;"*",'All Papers'!$G:$G,"*"&amp;Table1[[#Headers],[Recommendation]]&amp;"*")</f>
        <v>0</v>
      </c>
      <c r="G698" s="8">
        <f>COUNTIFS('All Papers'!$D:$D,"*"&amp;$A698&amp;"*",'All Papers'!$G:$G,"*"&amp;Table1[[#Headers],[Resource Management-CS]]&amp;"*")</f>
        <v>1</v>
      </c>
      <c r="H698" s="8">
        <f>COUNTIFS('All Papers'!$D:$D,"*"&amp;$A698&amp;"*",'All Papers'!$G:$G,"*"&amp;Table1[[#Headers],[Resource Management-PS]]&amp;"*")</f>
        <v>0</v>
      </c>
      <c r="I698" s="8">
        <f>COUNTIFS('All Papers'!$D:$D,"*"&amp;$A698&amp;"*",'All Papers'!$G:$G,"*"&amp;Table1[[#Headers],[SLA Management]]&amp;"*")</f>
        <v>0</v>
      </c>
      <c r="J698" s="8">
        <f>COUNTIFS('All Papers'!$D:$D,"*"&amp;$A698&amp;"*",'All Papers'!$G:$G,"*"&amp;Table1[[#Headers],[Big Data]]&amp;"*")</f>
        <v>0</v>
      </c>
      <c r="K698" s="8">
        <f>COUNTIFS('All Papers'!$D:$D,"*"&amp;$A698&amp;"*",'All Papers'!$G:$G,"*"&amp;Table1[[#Headers],[Energy Management]]&amp;"*")</f>
        <v>0</v>
      </c>
      <c r="L698" s="8">
        <f>COUNTIFS('All Papers'!$D:$D,"*"&amp;$A698&amp;"*",'All Papers'!$G:$G,"*"&amp;Table1[[#Headers],[Monitoring]]&amp;"*")</f>
        <v>0</v>
      </c>
      <c r="M698" s="8">
        <f>COUNTIFS('All Papers'!$D:$D,"*"&amp;$A698&amp;"*",'All Papers'!$G:$G,"*"&amp;Table1[[#Headers],[Pricing]]&amp;"*")</f>
        <v>0</v>
      </c>
    </row>
    <row r="699" spans="1:13" x14ac:dyDescent="0.25">
      <c r="A699" s="8" t="s">
        <v>3132</v>
      </c>
      <c r="B699" s="8">
        <f>COUNTIF('All Papers'!D:D,"*"&amp;Table1[[#This Row],[Name]]&amp;"*")</f>
        <v>1</v>
      </c>
      <c r="C699" s="8">
        <f>COUNTIFS('All Papers'!$D:$D,"*"&amp;$A699&amp;"*",'All Papers'!$G:$G,"*"&amp;Table1[[#Headers],[Composition]]&amp;"*")</f>
        <v>0</v>
      </c>
      <c r="D699" s="8">
        <f>COUNTIFS('All Papers'!$D:$D,"*"&amp;$A699&amp;"*",'All Papers'!$G:$G,"*"&amp;Table1[[#Headers],[Discovery]]&amp;"*")</f>
        <v>0</v>
      </c>
      <c r="E699" s="8">
        <f>COUNTIFS('All Papers'!$D:$D,"*"&amp;$A699&amp;"*",'All Papers'!$G:$G,"*"&amp;Table1[[#Headers],[Selection]]&amp;"*")</f>
        <v>0</v>
      </c>
      <c r="F699" s="8">
        <f>COUNTIFS('All Papers'!$D:$D,"*"&amp;$A699&amp;"*",'All Papers'!$G:$G,"*"&amp;Table1[[#Headers],[Recommendation]]&amp;"*")</f>
        <v>0</v>
      </c>
      <c r="G699" s="8">
        <f>COUNTIFS('All Papers'!$D:$D,"*"&amp;$A699&amp;"*",'All Papers'!$G:$G,"*"&amp;Table1[[#Headers],[Resource Management-CS]]&amp;"*")</f>
        <v>1</v>
      </c>
      <c r="H699" s="8">
        <f>COUNTIFS('All Papers'!$D:$D,"*"&amp;$A699&amp;"*",'All Papers'!$G:$G,"*"&amp;Table1[[#Headers],[Resource Management-PS]]&amp;"*")</f>
        <v>0</v>
      </c>
      <c r="I699" s="8">
        <f>COUNTIFS('All Papers'!$D:$D,"*"&amp;$A699&amp;"*",'All Papers'!$G:$G,"*"&amp;Table1[[#Headers],[SLA Management]]&amp;"*")</f>
        <v>0</v>
      </c>
      <c r="J699" s="8">
        <f>COUNTIFS('All Papers'!$D:$D,"*"&amp;$A699&amp;"*",'All Papers'!$G:$G,"*"&amp;Table1[[#Headers],[Big Data]]&amp;"*")</f>
        <v>0</v>
      </c>
      <c r="K699" s="8">
        <f>COUNTIFS('All Papers'!$D:$D,"*"&amp;$A699&amp;"*",'All Papers'!$G:$G,"*"&amp;Table1[[#Headers],[Energy Management]]&amp;"*")</f>
        <v>0</v>
      </c>
      <c r="L699" s="8">
        <f>COUNTIFS('All Papers'!$D:$D,"*"&amp;$A699&amp;"*",'All Papers'!$G:$G,"*"&amp;Table1[[#Headers],[Monitoring]]&amp;"*")</f>
        <v>0</v>
      </c>
      <c r="M699" s="8">
        <f>COUNTIFS('All Papers'!$D:$D,"*"&amp;$A699&amp;"*",'All Papers'!$G:$G,"*"&amp;Table1[[#Headers],[Pricing]]&amp;"*")</f>
        <v>1</v>
      </c>
    </row>
    <row r="700" spans="1:13" x14ac:dyDescent="0.25">
      <c r="A700" s="8" t="s">
        <v>3133</v>
      </c>
      <c r="B700" s="8">
        <f>COUNTIF('All Papers'!D:D,"*"&amp;Table1[[#This Row],[Name]]&amp;"*")</f>
        <v>1</v>
      </c>
      <c r="C700" s="8">
        <f>COUNTIFS('All Papers'!$D:$D,"*"&amp;$A700&amp;"*",'All Papers'!$G:$G,"*"&amp;Table1[[#Headers],[Composition]]&amp;"*")</f>
        <v>0</v>
      </c>
      <c r="D700" s="8">
        <f>COUNTIFS('All Papers'!$D:$D,"*"&amp;$A700&amp;"*",'All Papers'!$G:$G,"*"&amp;Table1[[#Headers],[Discovery]]&amp;"*")</f>
        <v>0</v>
      </c>
      <c r="E700" s="8">
        <f>COUNTIFS('All Papers'!$D:$D,"*"&amp;$A700&amp;"*",'All Papers'!$G:$G,"*"&amp;Table1[[#Headers],[Selection]]&amp;"*")</f>
        <v>0</v>
      </c>
      <c r="F700" s="8">
        <f>COUNTIFS('All Papers'!$D:$D,"*"&amp;$A700&amp;"*",'All Papers'!$G:$G,"*"&amp;Table1[[#Headers],[Recommendation]]&amp;"*")</f>
        <v>0</v>
      </c>
      <c r="G700" s="8">
        <f>COUNTIFS('All Papers'!$D:$D,"*"&amp;$A700&amp;"*",'All Papers'!$G:$G,"*"&amp;Table1[[#Headers],[Resource Management-CS]]&amp;"*")</f>
        <v>1</v>
      </c>
      <c r="H700" s="8">
        <f>COUNTIFS('All Papers'!$D:$D,"*"&amp;$A700&amp;"*",'All Papers'!$G:$G,"*"&amp;Table1[[#Headers],[Resource Management-PS]]&amp;"*")</f>
        <v>0</v>
      </c>
      <c r="I700" s="8">
        <f>COUNTIFS('All Papers'!$D:$D,"*"&amp;$A700&amp;"*",'All Papers'!$G:$G,"*"&amp;Table1[[#Headers],[SLA Management]]&amp;"*")</f>
        <v>0</v>
      </c>
      <c r="J700" s="8">
        <f>COUNTIFS('All Papers'!$D:$D,"*"&amp;$A700&amp;"*",'All Papers'!$G:$G,"*"&amp;Table1[[#Headers],[Big Data]]&amp;"*")</f>
        <v>0</v>
      </c>
      <c r="K700" s="8">
        <f>COUNTIFS('All Papers'!$D:$D,"*"&amp;$A700&amp;"*",'All Papers'!$G:$G,"*"&amp;Table1[[#Headers],[Energy Management]]&amp;"*")</f>
        <v>0</v>
      </c>
      <c r="L700" s="8">
        <f>COUNTIFS('All Papers'!$D:$D,"*"&amp;$A700&amp;"*",'All Papers'!$G:$G,"*"&amp;Table1[[#Headers],[Monitoring]]&amp;"*")</f>
        <v>0</v>
      </c>
      <c r="M700" s="8">
        <f>COUNTIFS('All Papers'!$D:$D,"*"&amp;$A700&amp;"*",'All Papers'!$G:$G,"*"&amp;Table1[[#Headers],[Pricing]]&amp;"*")</f>
        <v>1</v>
      </c>
    </row>
    <row r="701" spans="1:13" x14ac:dyDescent="0.25">
      <c r="A701" s="8" t="s">
        <v>3134</v>
      </c>
      <c r="B701" s="8">
        <f>COUNTIF('All Papers'!D:D,"*"&amp;Table1[[#This Row],[Name]]&amp;"*")</f>
        <v>1</v>
      </c>
      <c r="C701" s="8">
        <f>COUNTIFS('All Papers'!$D:$D,"*"&amp;$A701&amp;"*",'All Papers'!$G:$G,"*"&amp;Table1[[#Headers],[Composition]]&amp;"*")</f>
        <v>0</v>
      </c>
      <c r="D701" s="8">
        <f>COUNTIFS('All Papers'!$D:$D,"*"&amp;$A701&amp;"*",'All Papers'!$G:$G,"*"&amp;Table1[[#Headers],[Discovery]]&amp;"*")</f>
        <v>0</v>
      </c>
      <c r="E701" s="8">
        <f>COUNTIFS('All Papers'!$D:$D,"*"&amp;$A701&amp;"*",'All Papers'!$G:$G,"*"&amp;Table1[[#Headers],[Selection]]&amp;"*")</f>
        <v>0</v>
      </c>
      <c r="F701" s="8">
        <f>COUNTIFS('All Papers'!$D:$D,"*"&amp;$A701&amp;"*",'All Papers'!$G:$G,"*"&amp;Table1[[#Headers],[Recommendation]]&amp;"*")</f>
        <v>0</v>
      </c>
      <c r="G701" s="8">
        <f>COUNTIFS('All Papers'!$D:$D,"*"&amp;$A701&amp;"*",'All Papers'!$G:$G,"*"&amp;Table1[[#Headers],[Resource Management-CS]]&amp;"*")</f>
        <v>0</v>
      </c>
      <c r="H701" s="8">
        <f>COUNTIFS('All Papers'!$D:$D,"*"&amp;$A701&amp;"*",'All Papers'!$G:$G,"*"&amp;Table1[[#Headers],[Resource Management-PS]]&amp;"*")</f>
        <v>0</v>
      </c>
      <c r="I701" s="8">
        <f>COUNTIFS('All Papers'!$D:$D,"*"&amp;$A701&amp;"*",'All Papers'!$G:$G,"*"&amp;Table1[[#Headers],[SLA Management]]&amp;"*")</f>
        <v>0</v>
      </c>
      <c r="J701" s="8">
        <f>COUNTIFS('All Papers'!$D:$D,"*"&amp;$A701&amp;"*",'All Papers'!$G:$G,"*"&amp;Table1[[#Headers],[Big Data]]&amp;"*")</f>
        <v>0</v>
      </c>
      <c r="K701" s="8">
        <f>COUNTIFS('All Papers'!$D:$D,"*"&amp;$A701&amp;"*",'All Papers'!$G:$G,"*"&amp;Table1[[#Headers],[Energy Management]]&amp;"*")</f>
        <v>0</v>
      </c>
      <c r="L701" s="8">
        <f>COUNTIFS('All Papers'!$D:$D,"*"&amp;$A701&amp;"*",'All Papers'!$G:$G,"*"&amp;Table1[[#Headers],[Monitoring]]&amp;"*")</f>
        <v>1</v>
      </c>
      <c r="M701" s="8">
        <f>COUNTIFS('All Papers'!$D:$D,"*"&amp;$A701&amp;"*",'All Papers'!$G:$G,"*"&amp;Table1[[#Headers],[Pricing]]&amp;"*")</f>
        <v>0</v>
      </c>
    </row>
    <row r="702" spans="1:13" x14ac:dyDescent="0.25">
      <c r="A702" s="8" t="s">
        <v>3135</v>
      </c>
      <c r="B702" s="8">
        <f>COUNTIF('All Papers'!D:D,"*"&amp;Table1[[#This Row],[Name]]&amp;"*")</f>
        <v>1</v>
      </c>
      <c r="C702" s="8">
        <f>COUNTIFS('All Papers'!$D:$D,"*"&amp;$A702&amp;"*",'All Papers'!$G:$G,"*"&amp;Table1[[#Headers],[Composition]]&amp;"*")</f>
        <v>0</v>
      </c>
      <c r="D702" s="8">
        <f>COUNTIFS('All Papers'!$D:$D,"*"&amp;$A702&amp;"*",'All Papers'!$G:$G,"*"&amp;Table1[[#Headers],[Discovery]]&amp;"*")</f>
        <v>0</v>
      </c>
      <c r="E702" s="8">
        <f>COUNTIFS('All Papers'!$D:$D,"*"&amp;$A702&amp;"*",'All Papers'!$G:$G,"*"&amp;Table1[[#Headers],[Selection]]&amp;"*")</f>
        <v>0</v>
      </c>
      <c r="F702" s="8">
        <f>COUNTIFS('All Papers'!$D:$D,"*"&amp;$A702&amp;"*",'All Papers'!$G:$G,"*"&amp;Table1[[#Headers],[Recommendation]]&amp;"*")</f>
        <v>0</v>
      </c>
      <c r="G702" s="8">
        <f>COUNTIFS('All Papers'!$D:$D,"*"&amp;$A702&amp;"*",'All Papers'!$G:$G,"*"&amp;Table1[[#Headers],[Resource Management-CS]]&amp;"*")</f>
        <v>0</v>
      </c>
      <c r="H702" s="8">
        <f>COUNTIFS('All Papers'!$D:$D,"*"&amp;$A702&amp;"*",'All Papers'!$G:$G,"*"&amp;Table1[[#Headers],[Resource Management-PS]]&amp;"*")</f>
        <v>0</v>
      </c>
      <c r="I702" s="8">
        <f>COUNTIFS('All Papers'!$D:$D,"*"&amp;$A702&amp;"*",'All Papers'!$G:$G,"*"&amp;Table1[[#Headers],[SLA Management]]&amp;"*")</f>
        <v>0</v>
      </c>
      <c r="J702" s="8">
        <f>COUNTIFS('All Papers'!$D:$D,"*"&amp;$A702&amp;"*",'All Papers'!$G:$G,"*"&amp;Table1[[#Headers],[Big Data]]&amp;"*")</f>
        <v>0</v>
      </c>
      <c r="K702" s="8">
        <f>COUNTIFS('All Papers'!$D:$D,"*"&amp;$A702&amp;"*",'All Papers'!$G:$G,"*"&amp;Table1[[#Headers],[Energy Management]]&amp;"*")</f>
        <v>0</v>
      </c>
      <c r="L702" s="8">
        <f>COUNTIFS('All Papers'!$D:$D,"*"&amp;$A702&amp;"*",'All Papers'!$G:$G,"*"&amp;Table1[[#Headers],[Monitoring]]&amp;"*")</f>
        <v>1</v>
      </c>
      <c r="M702" s="8">
        <f>COUNTIFS('All Papers'!$D:$D,"*"&amp;$A702&amp;"*",'All Papers'!$G:$G,"*"&amp;Table1[[#Headers],[Pricing]]&amp;"*")</f>
        <v>0</v>
      </c>
    </row>
    <row r="703" spans="1:13" x14ac:dyDescent="0.25">
      <c r="A703" s="8" t="s">
        <v>3136</v>
      </c>
      <c r="B703" s="8">
        <f>COUNTIF('All Papers'!D:D,"*"&amp;Table1[[#This Row],[Name]]&amp;"*")</f>
        <v>1</v>
      </c>
      <c r="C703" s="8">
        <f>COUNTIFS('All Papers'!$D:$D,"*"&amp;$A703&amp;"*",'All Papers'!$G:$G,"*"&amp;Table1[[#Headers],[Composition]]&amp;"*")</f>
        <v>0</v>
      </c>
      <c r="D703" s="8">
        <f>COUNTIFS('All Papers'!$D:$D,"*"&amp;$A703&amp;"*",'All Papers'!$G:$G,"*"&amp;Table1[[#Headers],[Discovery]]&amp;"*")</f>
        <v>0</v>
      </c>
      <c r="E703" s="8">
        <f>COUNTIFS('All Papers'!$D:$D,"*"&amp;$A703&amp;"*",'All Papers'!$G:$G,"*"&amp;Table1[[#Headers],[Selection]]&amp;"*")</f>
        <v>0</v>
      </c>
      <c r="F703" s="8">
        <f>COUNTIFS('All Papers'!$D:$D,"*"&amp;$A703&amp;"*",'All Papers'!$G:$G,"*"&amp;Table1[[#Headers],[Recommendation]]&amp;"*")</f>
        <v>0</v>
      </c>
      <c r="G703" s="8">
        <f>COUNTIFS('All Papers'!$D:$D,"*"&amp;$A703&amp;"*",'All Papers'!$G:$G,"*"&amp;Table1[[#Headers],[Resource Management-CS]]&amp;"*")</f>
        <v>0</v>
      </c>
      <c r="H703" s="8">
        <f>COUNTIFS('All Papers'!$D:$D,"*"&amp;$A703&amp;"*",'All Papers'!$G:$G,"*"&amp;Table1[[#Headers],[Resource Management-PS]]&amp;"*")</f>
        <v>0</v>
      </c>
      <c r="I703" s="8">
        <f>COUNTIFS('All Papers'!$D:$D,"*"&amp;$A703&amp;"*",'All Papers'!$G:$G,"*"&amp;Table1[[#Headers],[SLA Management]]&amp;"*")</f>
        <v>0</v>
      </c>
      <c r="J703" s="8">
        <f>COUNTIFS('All Papers'!$D:$D,"*"&amp;$A703&amp;"*",'All Papers'!$G:$G,"*"&amp;Table1[[#Headers],[Big Data]]&amp;"*")</f>
        <v>0</v>
      </c>
      <c r="K703" s="8">
        <f>COUNTIFS('All Papers'!$D:$D,"*"&amp;$A703&amp;"*",'All Papers'!$G:$G,"*"&amp;Table1[[#Headers],[Energy Management]]&amp;"*")</f>
        <v>0</v>
      </c>
      <c r="L703" s="8">
        <f>COUNTIFS('All Papers'!$D:$D,"*"&amp;$A703&amp;"*",'All Papers'!$G:$G,"*"&amp;Table1[[#Headers],[Monitoring]]&amp;"*")</f>
        <v>1</v>
      </c>
      <c r="M703" s="8">
        <f>COUNTIFS('All Papers'!$D:$D,"*"&amp;$A703&amp;"*",'All Papers'!$G:$G,"*"&amp;Table1[[#Headers],[Pricing]]&amp;"*")</f>
        <v>0</v>
      </c>
    </row>
    <row r="704" spans="1:13" x14ac:dyDescent="0.25">
      <c r="A704" s="8" t="s">
        <v>3137</v>
      </c>
      <c r="B704" s="8">
        <f>COUNTIF('All Papers'!D:D,"*"&amp;Table1[[#This Row],[Name]]&amp;"*")</f>
        <v>1</v>
      </c>
      <c r="C704" s="8">
        <f>COUNTIFS('All Papers'!$D:$D,"*"&amp;$A704&amp;"*",'All Papers'!$G:$G,"*"&amp;Table1[[#Headers],[Composition]]&amp;"*")</f>
        <v>0</v>
      </c>
      <c r="D704" s="8">
        <f>COUNTIFS('All Papers'!$D:$D,"*"&amp;$A704&amp;"*",'All Papers'!$G:$G,"*"&amp;Table1[[#Headers],[Discovery]]&amp;"*")</f>
        <v>0</v>
      </c>
      <c r="E704" s="8">
        <f>COUNTIFS('All Papers'!$D:$D,"*"&amp;$A704&amp;"*",'All Papers'!$G:$G,"*"&amp;Table1[[#Headers],[Selection]]&amp;"*")</f>
        <v>0</v>
      </c>
      <c r="F704" s="8">
        <f>COUNTIFS('All Papers'!$D:$D,"*"&amp;$A704&amp;"*",'All Papers'!$G:$G,"*"&amp;Table1[[#Headers],[Recommendation]]&amp;"*")</f>
        <v>0</v>
      </c>
      <c r="G704" s="8">
        <f>COUNTIFS('All Papers'!$D:$D,"*"&amp;$A704&amp;"*",'All Papers'!$G:$G,"*"&amp;Table1[[#Headers],[Resource Management-CS]]&amp;"*")</f>
        <v>0</v>
      </c>
      <c r="H704" s="8">
        <f>COUNTIFS('All Papers'!$D:$D,"*"&amp;$A704&amp;"*",'All Papers'!$G:$G,"*"&amp;Table1[[#Headers],[Resource Management-PS]]&amp;"*")</f>
        <v>0</v>
      </c>
      <c r="I704" s="8">
        <f>COUNTIFS('All Papers'!$D:$D,"*"&amp;$A704&amp;"*",'All Papers'!$G:$G,"*"&amp;Table1[[#Headers],[SLA Management]]&amp;"*")</f>
        <v>0</v>
      </c>
      <c r="J704" s="8">
        <f>COUNTIFS('All Papers'!$D:$D,"*"&amp;$A704&amp;"*",'All Papers'!$G:$G,"*"&amp;Table1[[#Headers],[Big Data]]&amp;"*")</f>
        <v>0</v>
      </c>
      <c r="K704" s="8">
        <f>COUNTIFS('All Papers'!$D:$D,"*"&amp;$A704&amp;"*",'All Papers'!$G:$G,"*"&amp;Table1[[#Headers],[Energy Management]]&amp;"*")</f>
        <v>0</v>
      </c>
      <c r="L704" s="8">
        <f>COUNTIFS('All Papers'!$D:$D,"*"&amp;$A704&amp;"*",'All Papers'!$G:$G,"*"&amp;Table1[[#Headers],[Monitoring]]&amp;"*")</f>
        <v>1</v>
      </c>
      <c r="M704" s="8">
        <f>COUNTIFS('All Papers'!$D:$D,"*"&amp;$A704&amp;"*",'All Papers'!$G:$G,"*"&amp;Table1[[#Headers],[Pricing]]&amp;"*")</f>
        <v>0</v>
      </c>
    </row>
    <row r="705" spans="1:13" x14ac:dyDescent="0.25">
      <c r="A705" s="8" t="s">
        <v>3138</v>
      </c>
      <c r="B705" s="8">
        <f>COUNTIF('All Papers'!D:D,"*"&amp;Table1[[#This Row],[Name]]&amp;"*")</f>
        <v>1</v>
      </c>
      <c r="C705" s="8">
        <f>COUNTIFS('All Papers'!$D:$D,"*"&amp;$A705&amp;"*",'All Papers'!$G:$G,"*"&amp;Table1[[#Headers],[Composition]]&amp;"*")</f>
        <v>0</v>
      </c>
      <c r="D705" s="8">
        <f>COUNTIFS('All Papers'!$D:$D,"*"&amp;$A705&amp;"*",'All Papers'!$G:$G,"*"&amp;Table1[[#Headers],[Discovery]]&amp;"*")</f>
        <v>0</v>
      </c>
      <c r="E705" s="8">
        <f>COUNTIFS('All Papers'!$D:$D,"*"&amp;$A705&amp;"*",'All Papers'!$G:$G,"*"&amp;Table1[[#Headers],[Selection]]&amp;"*")</f>
        <v>0</v>
      </c>
      <c r="F705" s="8">
        <f>COUNTIFS('All Papers'!$D:$D,"*"&amp;$A705&amp;"*",'All Papers'!$G:$G,"*"&amp;Table1[[#Headers],[Recommendation]]&amp;"*")</f>
        <v>0</v>
      </c>
      <c r="G705" s="8">
        <f>COUNTIFS('All Papers'!$D:$D,"*"&amp;$A705&amp;"*",'All Papers'!$G:$G,"*"&amp;Table1[[#Headers],[Resource Management-CS]]&amp;"*")</f>
        <v>0</v>
      </c>
      <c r="H705" s="8">
        <f>COUNTIFS('All Papers'!$D:$D,"*"&amp;$A705&amp;"*",'All Papers'!$G:$G,"*"&amp;Table1[[#Headers],[Resource Management-PS]]&amp;"*")</f>
        <v>0</v>
      </c>
      <c r="I705" s="8">
        <f>COUNTIFS('All Papers'!$D:$D,"*"&amp;$A705&amp;"*",'All Papers'!$G:$G,"*"&amp;Table1[[#Headers],[SLA Management]]&amp;"*")</f>
        <v>0</v>
      </c>
      <c r="J705" s="8">
        <f>COUNTIFS('All Papers'!$D:$D,"*"&amp;$A705&amp;"*",'All Papers'!$G:$G,"*"&amp;Table1[[#Headers],[Big Data]]&amp;"*")</f>
        <v>0</v>
      </c>
      <c r="K705" s="8">
        <f>COUNTIFS('All Papers'!$D:$D,"*"&amp;$A705&amp;"*",'All Papers'!$G:$G,"*"&amp;Table1[[#Headers],[Energy Management]]&amp;"*")</f>
        <v>0</v>
      </c>
      <c r="L705" s="8">
        <f>COUNTIFS('All Papers'!$D:$D,"*"&amp;$A705&amp;"*",'All Papers'!$G:$G,"*"&amp;Table1[[#Headers],[Monitoring]]&amp;"*")</f>
        <v>1</v>
      </c>
      <c r="M705" s="8">
        <f>COUNTIFS('All Papers'!$D:$D,"*"&amp;$A705&amp;"*",'All Papers'!$G:$G,"*"&amp;Table1[[#Headers],[Pricing]]&amp;"*")</f>
        <v>0</v>
      </c>
    </row>
    <row r="706" spans="1:13" x14ac:dyDescent="0.25">
      <c r="A706" s="8" t="s">
        <v>3139</v>
      </c>
      <c r="B706" s="8">
        <f>COUNTIF('All Papers'!D:D,"*"&amp;Table1[[#This Row],[Name]]&amp;"*")</f>
        <v>1</v>
      </c>
      <c r="C706" s="8">
        <f>COUNTIFS('All Papers'!$D:$D,"*"&amp;$A706&amp;"*",'All Papers'!$G:$G,"*"&amp;Table1[[#Headers],[Composition]]&amp;"*")</f>
        <v>0</v>
      </c>
      <c r="D706" s="8">
        <f>COUNTIFS('All Papers'!$D:$D,"*"&amp;$A706&amp;"*",'All Papers'!$G:$G,"*"&amp;Table1[[#Headers],[Discovery]]&amp;"*")</f>
        <v>0</v>
      </c>
      <c r="E706" s="8">
        <f>COUNTIFS('All Papers'!$D:$D,"*"&amp;$A706&amp;"*",'All Papers'!$G:$G,"*"&amp;Table1[[#Headers],[Selection]]&amp;"*")</f>
        <v>0</v>
      </c>
      <c r="F706" s="8">
        <f>COUNTIFS('All Papers'!$D:$D,"*"&amp;$A706&amp;"*",'All Papers'!$G:$G,"*"&amp;Table1[[#Headers],[Recommendation]]&amp;"*")</f>
        <v>0</v>
      </c>
      <c r="G706" s="8">
        <f>COUNTIFS('All Papers'!$D:$D,"*"&amp;$A706&amp;"*",'All Papers'!$G:$G,"*"&amp;Table1[[#Headers],[Resource Management-CS]]&amp;"*")</f>
        <v>0</v>
      </c>
      <c r="H706" s="8">
        <f>COUNTIFS('All Papers'!$D:$D,"*"&amp;$A706&amp;"*",'All Papers'!$G:$G,"*"&amp;Table1[[#Headers],[Resource Management-PS]]&amp;"*")</f>
        <v>0</v>
      </c>
      <c r="I706" s="8">
        <f>COUNTIFS('All Papers'!$D:$D,"*"&amp;$A706&amp;"*",'All Papers'!$G:$G,"*"&amp;Table1[[#Headers],[SLA Management]]&amp;"*")</f>
        <v>0</v>
      </c>
      <c r="J706" s="8">
        <f>COUNTIFS('All Papers'!$D:$D,"*"&amp;$A706&amp;"*",'All Papers'!$G:$G,"*"&amp;Table1[[#Headers],[Big Data]]&amp;"*")</f>
        <v>0</v>
      </c>
      <c r="K706" s="8">
        <f>COUNTIFS('All Papers'!$D:$D,"*"&amp;$A706&amp;"*",'All Papers'!$G:$G,"*"&amp;Table1[[#Headers],[Energy Management]]&amp;"*")</f>
        <v>0</v>
      </c>
      <c r="L706" s="8">
        <f>COUNTIFS('All Papers'!$D:$D,"*"&amp;$A706&amp;"*",'All Papers'!$G:$G,"*"&amp;Table1[[#Headers],[Monitoring]]&amp;"*")</f>
        <v>1</v>
      </c>
      <c r="M706" s="8">
        <f>COUNTIFS('All Papers'!$D:$D,"*"&amp;$A706&amp;"*",'All Papers'!$G:$G,"*"&amp;Table1[[#Headers],[Pricing]]&amp;"*")</f>
        <v>0</v>
      </c>
    </row>
    <row r="707" spans="1:13" x14ac:dyDescent="0.25">
      <c r="A707" s="8" t="s">
        <v>3140</v>
      </c>
      <c r="B707" s="8">
        <f>COUNTIF('All Papers'!D:D,"*"&amp;Table1[[#This Row],[Name]]&amp;"*")</f>
        <v>1</v>
      </c>
      <c r="C707" s="8">
        <f>COUNTIFS('All Papers'!$D:$D,"*"&amp;$A707&amp;"*",'All Papers'!$G:$G,"*"&amp;Table1[[#Headers],[Composition]]&amp;"*")</f>
        <v>0</v>
      </c>
      <c r="D707" s="8">
        <f>COUNTIFS('All Papers'!$D:$D,"*"&amp;$A707&amp;"*",'All Papers'!$G:$G,"*"&amp;Table1[[#Headers],[Discovery]]&amp;"*")</f>
        <v>0</v>
      </c>
      <c r="E707" s="8">
        <f>COUNTIFS('All Papers'!$D:$D,"*"&amp;$A707&amp;"*",'All Papers'!$G:$G,"*"&amp;Table1[[#Headers],[Selection]]&amp;"*")</f>
        <v>0</v>
      </c>
      <c r="F707" s="8">
        <f>COUNTIFS('All Papers'!$D:$D,"*"&amp;$A707&amp;"*",'All Papers'!$G:$G,"*"&amp;Table1[[#Headers],[Recommendation]]&amp;"*")</f>
        <v>0</v>
      </c>
      <c r="G707" s="8">
        <f>COUNTIFS('All Papers'!$D:$D,"*"&amp;$A707&amp;"*",'All Papers'!$G:$G,"*"&amp;Table1[[#Headers],[Resource Management-CS]]&amp;"*")</f>
        <v>0</v>
      </c>
      <c r="H707" s="8">
        <f>COUNTIFS('All Papers'!$D:$D,"*"&amp;$A707&amp;"*",'All Papers'!$G:$G,"*"&amp;Table1[[#Headers],[Resource Management-PS]]&amp;"*")</f>
        <v>0</v>
      </c>
      <c r="I707" s="8">
        <f>COUNTIFS('All Papers'!$D:$D,"*"&amp;$A707&amp;"*",'All Papers'!$G:$G,"*"&amp;Table1[[#Headers],[SLA Management]]&amp;"*")</f>
        <v>0</v>
      </c>
      <c r="J707" s="8">
        <f>COUNTIFS('All Papers'!$D:$D,"*"&amp;$A707&amp;"*",'All Papers'!$G:$G,"*"&amp;Table1[[#Headers],[Big Data]]&amp;"*")</f>
        <v>0</v>
      </c>
      <c r="K707" s="8">
        <f>COUNTIFS('All Papers'!$D:$D,"*"&amp;$A707&amp;"*",'All Papers'!$G:$G,"*"&amp;Table1[[#Headers],[Energy Management]]&amp;"*")</f>
        <v>0</v>
      </c>
      <c r="L707" s="8">
        <f>COUNTIFS('All Papers'!$D:$D,"*"&amp;$A707&amp;"*",'All Papers'!$G:$G,"*"&amp;Table1[[#Headers],[Monitoring]]&amp;"*")</f>
        <v>1</v>
      </c>
      <c r="M707" s="8">
        <f>COUNTIFS('All Papers'!$D:$D,"*"&amp;$A707&amp;"*",'All Papers'!$G:$G,"*"&amp;Table1[[#Headers],[Pricing]]&amp;"*")</f>
        <v>0</v>
      </c>
    </row>
    <row r="708" spans="1:13" x14ac:dyDescent="0.25">
      <c r="A708" s="8" t="s">
        <v>3141</v>
      </c>
      <c r="B708" s="8">
        <f>COUNTIF('All Papers'!D:D,"*"&amp;Table1[[#This Row],[Name]]&amp;"*")</f>
        <v>1</v>
      </c>
      <c r="C708" s="8">
        <f>COUNTIFS('All Papers'!$D:$D,"*"&amp;$A708&amp;"*",'All Papers'!$G:$G,"*"&amp;Table1[[#Headers],[Composition]]&amp;"*")</f>
        <v>0</v>
      </c>
      <c r="D708" s="8">
        <f>COUNTIFS('All Papers'!$D:$D,"*"&amp;$A708&amp;"*",'All Papers'!$G:$G,"*"&amp;Table1[[#Headers],[Discovery]]&amp;"*")</f>
        <v>0</v>
      </c>
      <c r="E708" s="8">
        <f>COUNTIFS('All Papers'!$D:$D,"*"&amp;$A708&amp;"*",'All Papers'!$G:$G,"*"&amp;Table1[[#Headers],[Selection]]&amp;"*")</f>
        <v>0</v>
      </c>
      <c r="F708" s="8">
        <f>COUNTIFS('All Papers'!$D:$D,"*"&amp;$A708&amp;"*",'All Papers'!$G:$G,"*"&amp;Table1[[#Headers],[Recommendation]]&amp;"*")</f>
        <v>0</v>
      </c>
      <c r="G708" s="8">
        <f>COUNTIFS('All Papers'!$D:$D,"*"&amp;$A708&amp;"*",'All Papers'!$G:$G,"*"&amp;Table1[[#Headers],[Resource Management-CS]]&amp;"*")</f>
        <v>0</v>
      </c>
      <c r="H708" s="8">
        <f>COUNTIFS('All Papers'!$D:$D,"*"&amp;$A708&amp;"*",'All Papers'!$G:$G,"*"&amp;Table1[[#Headers],[Resource Management-PS]]&amp;"*")</f>
        <v>0</v>
      </c>
      <c r="I708" s="8">
        <f>COUNTIFS('All Papers'!$D:$D,"*"&amp;$A708&amp;"*",'All Papers'!$G:$G,"*"&amp;Table1[[#Headers],[SLA Management]]&amp;"*")</f>
        <v>0</v>
      </c>
      <c r="J708" s="8">
        <f>COUNTIFS('All Papers'!$D:$D,"*"&amp;$A708&amp;"*",'All Papers'!$G:$G,"*"&amp;Table1[[#Headers],[Big Data]]&amp;"*")</f>
        <v>0</v>
      </c>
      <c r="K708" s="8">
        <f>COUNTIFS('All Papers'!$D:$D,"*"&amp;$A708&amp;"*",'All Papers'!$G:$G,"*"&amp;Table1[[#Headers],[Energy Management]]&amp;"*")</f>
        <v>0</v>
      </c>
      <c r="L708" s="8">
        <f>COUNTIFS('All Papers'!$D:$D,"*"&amp;$A708&amp;"*",'All Papers'!$G:$G,"*"&amp;Table1[[#Headers],[Monitoring]]&amp;"*")</f>
        <v>1</v>
      </c>
      <c r="M708" s="8">
        <f>COUNTIFS('All Papers'!$D:$D,"*"&amp;$A708&amp;"*",'All Papers'!$G:$G,"*"&amp;Table1[[#Headers],[Pricing]]&amp;"*")</f>
        <v>0</v>
      </c>
    </row>
    <row r="709" spans="1:13" x14ac:dyDescent="0.25">
      <c r="A709" s="8" t="s">
        <v>3142</v>
      </c>
      <c r="B709" s="8">
        <f>COUNTIF('All Papers'!D:D,"*"&amp;Table1[[#This Row],[Name]]&amp;"*")</f>
        <v>1</v>
      </c>
      <c r="C709" s="8">
        <f>COUNTIFS('All Papers'!$D:$D,"*"&amp;$A709&amp;"*",'All Papers'!$G:$G,"*"&amp;Table1[[#Headers],[Composition]]&amp;"*")</f>
        <v>0</v>
      </c>
      <c r="D709" s="8">
        <f>COUNTIFS('All Papers'!$D:$D,"*"&amp;$A709&amp;"*",'All Papers'!$G:$G,"*"&amp;Table1[[#Headers],[Discovery]]&amp;"*")</f>
        <v>0</v>
      </c>
      <c r="E709" s="8">
        <f>COUNTIFS('All Papers'!$D:$D,"*"&amp;$A709&amp;"*",'All Papers'!$G:$G,"*"&amp;Table1[[#Headers],[Selection]]&amp;"*")</f>
        <v>0</v>
      </c>
      <c r="F709" s="8">
        <f>COUNTIFS('All Papers'!$D:$D,"*"&amp;$A709&amp;"*",'All Papers'!$G:$G,"*"&amp;Table1[[#Headers],[Recommendation]]&amp;"*")</f>
        <v>0</v>
      </c>
      <c r="G709" s="8">
        <f>COUNTIFS('All Papers'!$D:$D,"*"&amp;$A709&amp;"*",'All Papers'!$G:$G,"*"&amp;Table1[[#Headers],[Resource Management-CS]]&amp;"*")</f>
        <v>0</v>
      </c>
      <c r="H709" s="8">
        <f>COUNTIFS('All Papers'!$D:$D,"*"&amp;$A709&amp;"*",'All Papers'!$G:$G,"*"&amp;Table1[[#Headers],[Resource Management-PS]]&amp;"*")</f>
        <v>0</v>
      </c>
      <c r="I709" s="8">
        <f>COUNTIFS('All Papers'!$D:$D,"*"&amp;$A709&amp;"*",'All Papers'!$G:$G,"*"&amp;Table1[[#Headers],[SLA Management]]&amp;"*")</f>
        <v>0</v>
      </c>
      <c r="J709" s="8">
        <f>COUNTIFS('All Papers'!$D:$D,"*"&amp;$A709&amp;"*",'All Papers'!$G:$G,"*"&amp;Table1[[#Headers],[Big Data]]&amp;"*")</f>
        <v>0</v>
      </c>
      <c r="K709" s="8">
        <f>COUNTIFS('All Papers'!$D:$D,"*"&amp;$A709&amp;"*",'All Papers'!$G:$G,"*"&amp;Table1[[#Headers],[Energy Management]]&amp;"*")</f>
        <v>0</v>
      </c>
      <c r="L709" s="8">
        <f>COUNTIFS('All Papers'!$D:$D,"*"&amp;$A709&amp;"*",'All Papers'!$G:$G,"*"&amp;Table1[[#Headers],[Monitoring]]&amp;"*")</f>
        <v>1</v>
      </c>
      <c r="M709" s="8">
        <f>COUNTIFS('All Papers'!$D:$D,"*"&amp;$A709&amp;"*",'All Papers'!$G:$G,"*"&amp;Table1[[#Headers],[Pricing]]&amp;"*")</f>
        <v>0</v>
      </c>
    </row>
    <row r="710" spans="1:13" x14ac:dyDescent="0.25">
      <c r="A710" s="8" t="s">
        <v>3143</v>
      </c>
      <c r="B710" s="8">
        <f>COUNTIF('All Papers'!D:D,"*"&amp;Table1[[#This Row],[Name]]&amp;"*")</f>
        <v>1</v>
      </c>
      <c r="C710" s="8">
        <f>COUNTIFS('All Papers'!$D:$D,"*"&amp;$A710&amp;"*",'All Papers'!$G:$G,"*"&amp;Table1[[#Headers],[Composition]]&amp;"*")</f>
        <v>0</v>
      </c>
      <c r="D710" s="8">
        <f>COUNTIFS('All Papers'!$D:$D,"*"&amp;$A710&amp;"*",'All Papers'!$G:$G,"*"&amp;Table1[[#Headers],[Discovery]]&amp;"*")</f>
        <v>0</v>
      </c>
      <c r="E710" s="8">
        <f>COUNTIFS('All Papers'!$D:$D,"*"&amp;$A710&amp;"*",'All Papers'!$G:$G,"*"&amp;Table1[[#Headers],[Selection]]&amp;"*")</f>
        <v>0</v>
      </c>
      <c r="F710" s="8">
        <f>COUNTIFS('All Papers'!$D:$D,"*"&amp;$A710&amp;"*",'All Papers'!$G:$G,"*"&amp;Table1[[#Headers],[Recommendation]]&amp;"*")</f>
        <v>0</v>
      </c>
      <c r="G710" s="8">
        <f>COUNTIFS('All Papers'!$D:$D,"*"&amp;$A710&amp;"*",'All Papers'!$G:$G,"*"&amp;Table1[[#Headers],[Resource Management-CS]]&amp;"*")</f>
        <v>0</v>
      </c>
      <c r="H710" s="8">
        <f>COUNTIFS('All Papers'!$D:$D,"*"&amp;$A710&amp;"*",'All Papers'!$G:$G,"*"&amp;Table1[[#Headers],[Resource Management-PS]]&amp;"*")</f>
        <v>0</v>
      </c>
      <c r="I710" s="8">
        <f>COUNTIFS('All Papers'!$D:$D,"*"&amp;$A710&amp;"*",'All Papers'!$G:$G,"*"&amp;Table1[[#Headers],[SLA Management]]&amp;"*")</f>
        <v>0</v>
      </c>
      <c r="J710" s="8">
        <f>COUNTIFS('All Papers'!$D:$D,"*"&amp;$A710&amp;"*",'All Papers'!$G:$G,"*"&amp;Table1[[#Headers],[Big Data]]&amp;"*")</f>
        <v>0</v>
      </c>
      <c r="K710" s="8">
        <f>COUNTIFS('All Papers'!$D:$D,"*"&amp;$A710&amp;"*",'All Papers'!$G:$G,"*"&amp;Table1[[#Headers],[Energy Management]]&amp;"*")</f>
        <v>0</v>
      </c>
      <c r="L710" s="8">
        <f>COUNTIFS('All Papers'!$D:$D,"*"&amp;$A710&amp;"*",'All Papers'!$G:$G,"*"&amp;Table1[[#Headers],[Monitoring]]&amp;"*")</f>
        <v>1</v>
      </c>
      <c r="M710" s="8">
        <f>COUNTIFS('All Papers'!$D:$D,"*"&amp;$A710&amp;"*",'All Papers'!$G:$G,"*"&amp;Table1[[#Headers],[Pricing]]&amp;"*")</f>
        <v>0</v>
      </c>
    </row>
    <row r="711" spans="1:13" x14ac:dyDescent="0.25">
      <c r="A711" s="8" t="s">
        <v>3144</v>
      </c>
      <c r="B711" s="8">
        <f>COUNTIF('All Papers'!D:D,"*"&amp;Table1[[#This Row],[Name]]&amp;"*")</f>
        <v>1</v>
      </c>
      <c r="C711" s="8">
        <f>COUNTIFS('All Papers'!$D:$D,"*"&amp;$A711&amp;"*",'All Papers'!$G:$G,"*"&amp;Table1[[#Headers],[Composition]]&amp;"*")</f>
        <v>0</v>
      </c>
      <c r="D711" s="8">
        <f>COUNTIFS('All Papers'!$D:$D,"*"&amp;$A711&amp;"*",'All Papers'!$G:$G,"*"&amp;Table1[[#Headers],[Discovery]]&amp;"*")</f>
        <v>0</v>
      </c>
      <c r="E711" s="8">
        <f>COUNTIFS('All Papers'!$D:$D,"*"&amp;$A711&amp;"*",'All Papers'!$G:$G,"*"&amp;Table1[[#Headers],[Selection]]&amp;"*")</f>
        <v>0</v>
      </c>
      <c r="F711" s="8">
        <f>COUNTIFS('All Papers'!$D:$D,"*"&amp;$A711&amp;"*",'All Papers'!$G:$G,"*"&amp;Table1[[#Headers],[Recommendation]]&amp;"*")</f>
        <v>0</v>
      </c>
      <c r="G711" s="8">
        <f>COUNTIFS('All Papers'!$D:$D,"*"&amp;$A711&amp;"*",'All Papers'!$G:$G,"*"&amp;Table1[[#Headers],[Resource Management-CS]]&amp;"*")</f>
        <v>0</v>
      </c>
      <c r="H711" s="8">
        <f>COUNTIFS('All Papers'!$D:$D,"*"&amp;$A711&amp;"*",'All Papers'!$G:$G,"*"&amp;Table1[[#Headers],[Resource Management-PS]]&amp;"*")</f>
        <v>0</v>
      </c>
      <c r="I711" s="8">
        <f>COUNTIFS('All Papers'!$D:$D,"*"&amp;$A711&amp;"*",'All Papers'!$G:$G,"*"&amp;Table1[[#Headers],[SLA Management]]&amp;"*")</f>
        <v>0</v>
      </c>
      <c r="J711" s="8">
        <f>COUNTIFS('All Papers'!$D:$D,"*"&amp;$A711&amp;"*",'All Papers'!$G:$G,"*"&amp;Table1[[#Headers],[Big Data]]&amp;"*")</f>
        <v>0</v>
      </c>
      <c r="K711" s="8">
        <f>COUNTIFS('All Papers'!$D:$D,"*"&amp;$A711&amp;"*",'All Papers'!$G:$G,"*"&amp;Table1[[#Headers],[Energy Management]]&amp;"*")</f>
        <v>0</v>
      </c>
      <c r="L711" s="8">
        <f>COUNTIFS('All Papers'!$D:$D,"*"&amp;$A711&amp;"*",'All Papers'!$G:$G,"*"&amp;Table1[[#Headers],[Monitoring]]&amp;"*")</f>
        <v>1</v>
      </c>
      <c r="M711" s="8">
        <f>COUNTIFS('All Papers'!$D:$D,"*"&amp;$A711&amp;"*",'All Papers'!$G:$G,"*"&amp;Table1[[#Headers],[Pricing]]&amp;"*")</f>
        <v>0</v>
      </c>
    </row>
    <row r="712" spans="1:13" x14ac:dyDescent="0.25">
      <c r="A712" s="8" t="s">
        <v>3145</v>
      </c>
      <c r="B712" s="8">
        <f>COUNTIF('All Papers'!D:D,"*"&amp;Table1[[#This Row],[Name]]&amp;"*")</f>
        <v>1</v>
      </c>
      <c r="C712" s="8">
        <f>COUNTIFS('All Papers'!$D:$D,"*"&amp;$A712&amp;"*",'All Papers'!$G:$G,"*"&amp;Table1[[#Headers],[Composition]]&amp;"*")</f>
        <v>0</v>
      </c>
      <c r="D712" s="8">
        <f>COUNTIFS('All Papers'!$D:$D,"*"&amp;$A712&amp;"*",'All Papers'!$G:$G,"*"&amp;Table1[[#Headers],[Discovery]]&amp;"*")</f>
        <v>0</v>
      </c>
      <c r="E712" s="8">
        <f>COUNTIFS('All Papers'!$D:$D,"*"&amp;$A712&amp;"*",'All Papers'!$G:$G,"*"&amp;Table1[[#Headers],[Selection]]&amp;"*")</f>
        <v>0</v>
      </c>
      <c r="F712" s="8">
        <f>COUNTIFS('All Papers'!$D:$D,"*"&amp;$A712&amp;"*",'All Papers'!$G:$G,"*"&amp;Table1[[#Headers],[Recommendation]]&amp;"*")</f>
        <v>0</v>
      </c>
      <c r="G712" s="8">
        <f>COUNTIFS('All Papers'!$D:$D,"*"&amp;$A712&amp;"*",'All Papers'!$G:$G,"*"&amp;Table1[[#Headers],[Resource Management-CS]]&amp;"*")</f>
        <v>0</v>
      </c>
      <c r="H712" s="8">
        <f>COUNTIFS('All Papers'!$D:$D,"*"&amp;$A712&amp;"*",'All Papers'!$G:$G,"*"&amp;Table1[[#Headers],[Resource Management-PS]]&amp;"*")</f>
        <v>0</v>
      </c>
      <c r="I712" s="8">
        <f>COUNTIFS('All Papers'!$D:$D,"*"&amp;$A712&amp;"*",'All Papers'!$G:$G,"*"&amp;Table1[[#Headers],[SLA Management]]&amp;"*")</f>
        <v>1</v>
      </c>
      <c r="J712" s="8">
        <f>COUNTIFS('All Papers'!$D:$D,"*"&amp;$A712&amp;"*",'All Papers'!$G:$G,"*"&amp;Table1[[#Headers],[Big Data]]&amp;"*")</f>
        <v>0</v>
      </c>
      <c r="K712" s="8">
        <f>COUNTIFS('All Papers'!$D:$D,"*"&amp;$A712&amp;"*",'All Papers'!$G:$G,"*"&amp;Table1[[#Headers],[Energy Management]]&amp;"*")</f>
        <v>0</v>
      </c>
      <c r="L712" s="8">
        <f>COUNTIFS('All Papers'!$D:$D,"*"&amp;$A712&amp;"*",'All Papers'!$G:$G,"*"&amp;Table1[[#Headers],[Monitoring]]&amp;"*")</f>
        <v>0</v>
      </c>
      <c r="M712" s="8">
        <f>COUNTIFS('All Papers'!$D:$D,"*"&amp;$A712&amp;"*",'All Papers'!$G:$G,"*"&amp;Table1[[#Headers],[Pricing]]&amp;"*")</f>
        <v>0</v>
      </c>
    </row>
    <row r="713" spans="1:13" x14ac:dyDescent="0.25">
      <c r="A713" s="8" t="s">
        <v>3146</v>
      </c>
      <c r="B713" s="8">
        <f>COUNTIF('All Papers'!D:D,"*"&amp;Table1[[#This Row],[Name]]&amp;"*")</f>
        <v>1</v>
      </c>
      <c r="C713" s="8">
        <f>COUNTIFS('All Papers'!$D:$D,"*"&amp;$A713&amp;"*",'All Papers'!$G:$G,"*"&amp;Table1[[#Headers],[Composition]]&amp;"*")</f>
        <v>0</v>
      </c>
      <c r="D713" s="8">
        <f>COUNTIFS('All Papers'!$D:$D,"*"&amp;$A713&amp;"*",'All Papers'!$G:$G,"*"&amp;Table1[[#Headers],[Discovery]]&amp;"*")</f>
        <v>0</v>
      </c>
      <c r="E713" s="8">
        <f>COUNTIFS('All Papers'!$D:$D,"*"&amp;$A713&amp;"*",'All Papers'!$G:$G,"*"&amp;Table1[[#Headers],[Selection]]&amp;"*")</f>
        <v>0</v>
      </c>
      <c r="F713" s="8">
        <f>COUNTIFS('All Papers'!$D:$D,"*"&amp;$A713&amp;"*",'All Papers'!$G:$G,"*"&amp;Table1[[#Headers],[Recommendation]]&amp;"*")</f>
        <v>0</v>
      </c>
      <c r="G713" s="8">
        <f>COUNTIFS('All Papers'!$D:$D,"*"&amp;$A713&amp;"*",'All Papers'!$G:$G,"*"&amp;Table1[[#Headers],[Resource Management-CS]]&amp;"*")</f>
        <v>0</v>
      </c>
      <c r="H713" s="8">
        <f>COUNTIFS('All Papers'!$D:$D,"*"&amp;$A713&amp;"*",'All Papers'!$G:$G,"*"&amp;Table1[[#Headers],[Resource Management-PS]]&amp;"*")</f>
        <v>0</v>
      </c>
      <c r="I713" s="8">
        <f>COUNTIFS('All Papers'!$D:$D,"*"&amp;$A713&amp;"*",'All Papers'!$G:$G,"*"&amp;Table1[[#Headers],[SLA Management]]&amp;"*")</f>
        <v>1</v>
      </c>
      <c r="J713" s="8">
        <f>COUNTIFS('All Papers'!$D:$D,"*"&amp;$A713&amp;"*",'All Papers'!$G:$G,"*"&amp;Table1[[#Headers],[Big Data]]&amp;"*")</f>
        <v>0</v>
      </c>
      <c r="K713" s="8">
        <f>COUNTIFS('All Papers'!$D:$D,"*"&amp;$A713&amp;"*",'All Papers'!$G:$G,"*"&amp;Table1[[#Headers],[Energy Management]]&amp;"*")</f>
        <v>0</v>
      </c>
      <c r="L713" s="8">
        <f>COUNTIFS('All Papers'!$D:$D,"*"&amp;$A713&amp;"*",'All Papers'!$G:$G,"*"&amp;Table1[[#Headers],[Monitoring]]&amp;"*")</f>
        <v>0</v>
      </c>
      <c r="M713" s="8">
        <f>COUNTIFS('All Papers'!$D:$D,"*"&amp;$A713&amp;"*",'All Papers'!$G:$G,"*"&amp;Table1[[#Headers],[Pricing]]&amp;"*")</f>
        <v>0</v>
      </c>
    </row>
    <row r="714" spans="1:13" x14ac:dyDescent="0.25">
      <c r="A714" s="8" t="s">
        <v>3147</v>
      </c>
      <c r="B714" s="8">
        <f>COUNTIF('All Papers'!D:D,"*"&amp;Table1[[#This Row],[Name]]&amp;"*")</f>
        <v>1</v>
      </c>
      <c r="C714" s="8">
        <f>COUNTIFS('All Papers'!$D:$D,"*"&amp;$A714&amp;"*",'All Papers'!$G:$G,"*"&amp;Table1[[#Headers],[Composition]]&amp;"*")</f>
        <v>0</v>
      </c>
      <c r="D714" s="8">
        <f>COUNTIFS('All Papers'!$D:$D,"*"&amp;$A714&amp;"*",'All Papers'!$G:$G,"*"&amp;Table1[[#Headers],[Discovery]]&amp;"*")</f>
        <v>0</v>
      </c>
      <c r="E714" s="8">
        <f>COUNTIFS('All Papers'!$D:$D,"*"&amp;$A714&amp;"*",'All Papers'!$G:$G,"*"&amp;Table1[[#Headers],[Selection]]&amp;"*")</f>
        <v>0</v>
      </c>
      <c r="F714" s="8">
        <f>COUNTIFS('All Papers'!$D:$D,"*"&amp;$A714&amp;"*",'All Papers'!$G:$G,"*"&amp;Table1[[#Headers],[Recommendation]]&amp;"*")</f>
        <v>0</v>
      </c>
      <c r="G714" s="8">
        <f>COUNTIFS('All Papers'!$D:$D,"*"&amp;$A714&amp;"*",'All Papers'!$G:$G,"*"&amp;Table1[[#Headers],[Resource Management-CS]]&amp;"*")</f>
        <v>0</v>
      </c>
      <c r="H714" s="8">
        <f>COUNTIFS('All Papers'!$D:$D,"*"&amp;$A714&amp;"*",'All Papers'!$G:$G,"*"&amp;Table1[[#Headers],[Resource Management-PS]]&amp;"*")</f>
        <v>0</v>
      </c>
      <c r="I714" s="8">
        <f>COUNTIFS('All Papers'!$D:$D,"*"&amp;$A714&amp;"*",'All Papers'!$G:$G,"*"&amp;Table1[[#Headers],[SLA Management]]&amp;"*")</f>
        <v>1</v>
      </c>
      <c r="J714" s="8">
        <f>COUNTIFS('All Papers'!$D:$D,"*"&amp;$A714&amp;"*",'All Papers'!$G:$G,"*"&amp;Table1[[#Headers],[Big Data]]&amp;"*")</f>
        <v>0</v>
      </c>
      <c r="K714" s="8">
        <f>COUNTIFS('All Papers'!$D:$D,"*"&amp;$A714&amp;"*",'All Papers'!$G:$G,"*"&amp;Table1[[#Headers],[Energy Management]]&amp;"*")</f>
        <v>0</v>
      </c>
      <c r="L714" s="8">
        <f>COUNTIFS('All Papers'!$D:$D,"*"&amp;$A714&amp;"*",'All Papers'!$G:$G,"*"&amp;Table1[[#Headers],[Monitoring]]&amp;"*")</f>
        <v>0</v>
      </c>
      <c r="M714" s="8">
        <f>COUNTIFS('All Papers'!$D:$D,"*"&amp;$A714&amp;"*",'All Papers'!$G:$G,"*"&amp;Table1[[#Headers],[Pricing]]&amp;"*")</f>
        <v>0</v>
      </c>
    </row>
    <row r="715" spans="1:13" x14ac:dyDescent="0.25">
      <c r="A715" s="8" t="s">
        <v>3148</v>
      </c>
      <c r="B715" s="8">
        <f>COUNTIF('All Papers'!D:D,"*"&amp;Table1[[#This Row],[Name]]&amp;"*")</f>
        <v>1</v>
      </c>
      <c r="C715" s="8">
        <f>COUNTIFS('All Papers'!$D:$D,"*"&amp;$A715&amp;"*",'All Papers'!$G:$G,"*"&amp;Table1[[#Headers],[Composition]]&amp;"*")</f>
        <v>0</v>
      </c>
      <c r="D715" s="8">
        <f>COUNTIFS('All Papers'!$D:$D,"*"&amp;$A715&amp;"*",'All Papers'!$G:$G,"*"&amp;Table1[[#Headers],[Discovery]]&amp;"*")</f>
        <v>0</v>
      </c>
      <c r="E715" s="8">
        <f>COUNTIFS('All Papers'!$D:$D,"*"&amp;$A715&amp;"*",'All Papers'!$G:$G,"*"&amp;Table1[[#Headers],[Selection]]&amp;"*")</f>
        <v>0</v>
      </c>
      <c r="F715" s="8">
        <f>COUNTIFS('All Papers'!$D:$D,"*"&amp;$A715&amp;"*",'All Papers'!$G:$G,"*"&amp;Table1[[#Headers],[Recommendation]]&amp;"*")</f>
        <v>0</v>
      </c>
      <c r="G715" s="8">
        <f>COUNTIFS('All Papers'!$D:$D,"*"&amp;$A715&amp;"*",'All Papers'!$G:$G,"*"&amp;Table1[[#Headers],[Resource Management-CS]]&amp;"*")</f>
        <v>0</v>
      </c>
      <c r="H715" s="8">
        <f>COUNTIFS('All Papers'!$D:$D,"*"&amp;$A715&amp;"*",'All Papers'!$G:$G,"*"&amp;Table1[[#Headers],[Resource Management-PS]]&amp;"*")</f>
        <v>0</v>
      </c>
      <c r="I715" s="8">
        <f>COUNTIFS('All Papers'!$D:$D,"*"&amp;$A715&amp;"*",'All Papers'!$G:$G,"*"&amp;Table1[[#Headers],[SLA Management]]&amp;"*")</f>
        <v>1</v>
      </c>
      <c r="J715" s="8">
        <f>COUNTIFS('All Papers'!$D:$D,"*"&amp;$A715&amp;"*",'All Papers'!$G:$G,"*"&amp;Table1[[#Headers],[Big Data]]&amp;"*")</f>
        <v>0</v>
      </c>
      <c r="K715" s="8">
        <f>COUNTIFS('All Papers'!$D:$D,"*"&amp;$A715&amp;"*",'All Papers'!$G:$G,"*"&amp;Table1[[#Headers],[Energy Management]]&amp;"*")</f>
        <v>0</v>
      </c>
      <c r="L715" s="8">
        <f>COUNTIFS('All Papers'!$D:$D,"*"&amp;$A715&amp;"*",'All Papers'!$G:$G,"*"&amp;Table1[[#Headers],[Monitoring]]&amp;"*")</f>
        <v>0</v>
      </c>
      <c r="M715" s="8">
        <f>COUNTIFS('All Papers'!$D:$D,"*"&amp;$A715&amp;"*",'All Papers'!$G:$G,"*"&amp;Table1[[#Headers],[Pricing]]&amp;"*")</f>
        <v>0</v>
      </c>
    </row>
    <row r="716" spans="1:13" x14ac:dyDescent="0.25">
      <c r="A716" s="8" t="s">
        <v>3149</v>
      </c>
      <c r="B716" s="8">
        <f>COUNTIF('All Papers'!D:D,"*"&amp;Table1[[#This Row],[Name]]&amp;"*")</f>
        <v>1</v>
      </c>
      <c r="C716" s="8">
        <f>COUNTIFS('All Papers'!$D:$D,"*"&amp;$A716&amp;"*",'All Papers'!$G:$G,"*"&amp;Table1[[#Headers],[Composition]]&amp;"*")</f>
        <v>0</v>
      </c>
      <c r="D716" s="8">
        <f>COUNTIFS('All Papers'!$D:$D,"*"&amp;$A716&amp;"*",'All Papers'!$G:$G,"*"&amp;Table1[[#Headers],[Discovery]]&amp;"*")</f>
        <v>0</v>
      </c>
      <c r="E716" s="8">
        <f>COUNTIFS('All Papers'!$D:$D,"*"&amp;$A716&amp;"*",'All Papers'!$G:$G,"*"&amp;Table1[[#Headers],[Selection]]&amp;"*")</f>
        <v>0</v>
      </c>
      <c r="F716" s="8">
        <f>COUNTIFS('All Papers'!$D:$D,"*"&amp;$A716&amp;"*",'All Papers'!$G:$G,"*"&amp;Table1[[#Headers],[Recommendation]]&amp;"*")</f>
        <v>0</v>
      </c>
      <c r="G716" s="8">
        <f>COUNTIFS('All Papers'!$D:$D,"*"&amp;$A716&amp;"*",'All Papers'!$G:$G,"*"&amp;Table1[[#Headers],[Resource Management-CS]]&amp;"*")</f>
        <v>0</v>
      </c>
      <c r="H716" s="8">
        <f>COUNTIFS('All Papers'!$D:$D,"*"&amp;$A716&amp;"*",'All Papers'!$G:$G,"*"&amp;Table1[[#Headers],[Resource Management-PS]]&amp;"*")</f>
        <v>0</v>
      </c>
      <c r="I716" s="8">
        <f>COUNTIFS('All Papers'!$D:$D,"*"&amp;$A716&amp;"*",'All Papers'!$G:$G,"*"&amp;Table1[[#Headers],[SLA Management]]&amp;"*")</f>
        <v>1</v>
      </c>
      <c r="J716" s="8">
        <f>COUNTIFS('All Papers'!$D:$D,"*"&amp;$A716&amp;"*",'All Papers'!$G:$G,"*"&amp;Table1[[#Headers],[Big Data]]&amp;"*")</f>
        <v>0</v>
      </c>
      <c r="K716" s="8">
        <f>COUNTIFS('All Papers'!$D:$D,"*"&amp;$A716&amp;"*",'All Papers'!$G:$G,"*"&amp;Table1[[#Headers],[Energy Management]]&amp;"*")</f>
        <v>0</v>
      </c>
      <c r="L716" s="8">
        <f>COUNTIFS('All Papers'!$D:$D,"*"&amp;$A716&amp;"*",'All Papers'!$G:$G,"*"&amp;Table1[[#Headers],[Monitoring]]&amp;"*")</f>
        <v>0</v>
      </c>
      <c r="M716" s="8">
        <f>COUNTIFS('All Papers'!$D:$D,"*"&amp;$A716&amp;"*",'All Papers'!$G:$G,"*"&amp;Table1[[#Headers],[Pricing]]&amp;"*")</f>
        <v>0</v>
      </c>
    </row>
    <row r="717" spans="1:13" x14ac:dyDescent="0.25">
      <c r="A717" s="8" t="s">
        <v>3150</v>
      </c>
      <c r="B717" s="8">
        <f>COUNTIF('All Papers'!D:D,"*"&amp;Table1[[#This Row],[Name]]&amp;"*")</f>
        <v>1</v>
      </c>
      <c r="C717" s="8">
        <f>COUNTIFS('All Papers'!$D:$D,"*"&amp;$A717&amp;"*",'All Papers'!$G:$G,"*"&amp;Table1[[#Headers],[Composition]]&amp;"*")</f>
        <v>0</v>
      </c>
      <c r="D717" s="8">
        <f>COUNTIFS('All Papers'!$D:$D,"*"&amp;$A717&amp;"*",'All Papers'!$G:$G,"*"&amp;Table1[[#Headers],[Discovery]]&amp;"*")</f>
        <v>0</v>
      </c>
      <c r="E717" s="8">
        <f>COUNTIFS('All Papers'!$D:$D,"*"&amp;$A717&amp;"*",'All Papers'!$G:$G,"*"&amp;Table1[[#Headers],[Selection]]&amp;"*")</f>
        <v>0</v>
      </c>
      <c r="F717" s="8">
        <f>COUNTIFS('All Papers'!$D:$D,"*"&amp;$A717&amp;"*",'All Papers'!$G:$G,"*"&amp;Table1[[#Headers],[Recommendation]]&amp;"*")</f>
        <v>0</v>
      </c>
      <c r="G717" s="8">
        <f>COUNTIFS('All Papers'!$D:$D,"*"&amp;$A717&amp;"*",'All Papers'!$G:$G,"*"&amp;Table1[[#Headers],[Resource Management-CS]]&amp;"*")</f>
        <v>1</v>
      </c>
      <c r="H717" s="8">
        <f>COUNTIFS('All Papers'!$D:$D,"*"&amp;$A717&amp;"*",'All Papers'!$G:$G,"*"&amp;Table1[[#Headers],[Resource Management-PS]]&amp;"*")</f>
        <v>0</v>
      </c>
      <c r="I717" s="8">
        <f>COUNTIFS('All Papers'!$D:$D,"*"&amp;$A717&amp;"*",'All Papers'!$G:$G,"*"&amp;Table1[[#Headers],[SLA Management]]&amp;"*")</f>
        <v>0</v>
      </c>
      <c r="J717" s="8">
        <f>COUNTIFS('All Papers'!$D:$D,"*"&amp;$A717&amp;"*",'All Papers'!$G:$G,"*"&amp;Table1[[#Headers],[Big Data]]&amp;"*")</f>
        <v>0</v>
      </c>
      <c r="K717" s="8">
        <f>COUNTIFS('All Papers'!$D:$D,"*"&amp;$A717&amp;"*",'All Papers'!$G:$G,"*"&amp;Table1[[#Headers],[Energy Management]]&amp;"*")</f>
        <v>0</v>
      </c>
      <c r="L717" s="8">
        <f>COUNTIFS('All Papers'!$D:$D,"*"&amp;$A717&amp;"*",'All Papers'!$G:$G,"*"&amp;Table1[[#Headers],[Monitoring]]&amp;"*")</f>
        <v>0</v>
      </c>
      <c r="M717" s="8">
        <f>COUNTIFS('All Papers'!$D:$D,"*"&amp;$A717&amp;"*",'All Papers'!$G:$G,"*"&amp;Table1[[#Headers],[Pricing]]&amp;"*")</f>
        <v>0</v>
      </c>
    </row>
    <row r="718" spans="1:13" x14ac:dyDescent="0.25">
      <c r="A718" s="8" t="s">
        <v>3151</v>
      </c>
      <c r="B718" s="8">
        <f>COUNTIF('All Papers'!D:D,"*"&amp;Table1[[#This Row],[Name]]&amp;"*")</f>
        <v>1</v>
      </c>
      <c r="C718" s="8">
        <f>COUNTIFS('All Papers'!$D:$D,"*"&amp;$A718&amp;"*",'All Papers'!$G:$G,"*"&amp;Table1[[#Headers],[Composition]]&amp;"*")</f>
        <v>0</v>
      </c>
      <c r="D718" s="8">
        <f>COUNTIFS('All Papers'!$D:$D,"*"&amp;$A718&amp;"*",'All Papers'!$G:$G,"*"&amp;Table1[[#Headers],[Discovery]]&amp;"*")</f>
        <v>0</v>
      </c>
      <c r="E718" s="8">
        <f>COUNTIFS('All Papers'!$D:$D,"*"&amp;$A718&amp;"*",'All Papers'!$G:$G,"*"&amp;Table1[[#Headers],[Selection]]&amp;"*")</f>
        <v>0</v>
      </c>
      <c r="F718" s="8">
        <f>COUNTIFS('All Papers'!$D:$D,"*"&amp;$A718&amp;"*",'All Papers'!$G:$G,"*"&amp;Table1[[#Headers],[Recommendation]]&amp;"*")</f>
        <v>0</v>
      </c>
      <c r="G718" s="8">
        <f>COUNTIFS('All Papers'!$D:$D,"*"&amp;$A718&amp;"*",'All Papers'!$G:$G,"*"&amp;Table1[[#Headers],[Resource Management-CS]]&amp;"*")</f>
        <v>1</v>
      </c>
      <c r="H718" s="8">
        <f>COUNTIFS('All Papers'!$D:$D,"*"&amp;$A718&amp;"*",'All Papers'!$G:$G,"*"&amp;Table1[[#Headers],[Resource Management-PS]]&amp;"*")</f>
        <v>0</v>
      </c>
      <c r="I718" s="8">
        <f>COUNTIFS('All Papers'!$D:$D,"*"&amp;$A718&amp;"*",'All Papers'!$G:$G,"*"&amp;Table1[[#Headers],[SLA Management]]&amp;"*")</f>
        <v>0</v>
      </c>
      <c r="J718" s="8">
        <f>COUNTIFS('All Papers'!$D:$D,"*"&amp;$A718&amp;"*",'All Papers'!$G:$G,"*"&amp;Table1[[#Headers],[Big Data]]&amp;"*")</f>
        <v>0</v>
      </c>
      <c r="K718" s="8">
        <f>COUNTIFS('All Papers'!$D:$D,"*"&amp;$A718&amp;"*",'All Papers'!$G:$G,"*"&amp;Table1[[#Headers],[Energy Management]]&amp;"*")</f>
        <v>0</v>
      </c>
      <c r="L718" s="8">
        <f>COUNTIFS('All Papers'!$D:$D,"*"&amp;$A718&amp;"*",'All Papers'!$G:$G,"*"&amp;Table1[[#Headers],[Monitoring]]&amp;"*")</f>
        <v>0</v>
      </c>
      <c r="M718" s="8">
        <f>COUNTIFS('All Papers'!$D:$D,"*"&amp;$A718&amp;"*",'All Papers'!$G:$G,"*"&amp;Table1[[#Headers],[Pricing]]&amp;"*")</f>
        <v>0</v>
      </c>
    </row>
    <row r="719" spans="1:13" x14ac:dyDescent="0.25">
      <c r="A719" s="8" t="s">
        <v>3152</v>
      </c>
      <c r="B719" s="8">
        <f>COUNTIF('All Papers'!D:D,"*"&amp;Table1[[#This Row],[Name]]&amp;"*")</f>
        <v>1</v>
      </c>
      <c r="C719" s="8">
        <f>COUNTIFS('All Papers'!$D:$D,"*"&amp;$A719&amp;"*",'All Papers'!$G:$G,"*"&amp;Table1[[#Headers],[Composition]]&amp;"*")</f>
        <v>0</v>
      </c>
      <c r="D719" s="8">
        <f>COUNTIFS('All Papers'!$D:$D,"*"&amp;$A719&amp;"*",'All Papers'!$G:$G,"*"&amp;Table1[[#Headers],[Discovery]]&amp;"*")</f>
        <v>0</v>
      </c>
      <c r="E719" s="8">
        <f>COUNTIFS('All Papers'!$D:$D,"*"&amp;$A719&amp;"*",'All Papers'!$G:$G,"*"&amp;Table1[[#Headers],[Selection]]&amp;"*")</f>
        <v>0</v>
      </c>
      <c r="F719" s="8">
        <f>COUNTIFS('All Papers'!$D:$D,"*"&amp;$A719&amp;"*",'All Papers'!$G:$G,"*"&amp;Table1[[#Headers],[Recommendation]]&amp;"*")</f>
        <v>0</v>
      </c>
      <c r="G719" s="8">
        <f>COUNTIFS('All Papers'!$D:$D,"*"&amp;$A719&amp;"*",'All Papers'!$G:$G,"*"&amp;Table1[[#Headers],[Resource Management-CS]]&amp;"*")</f>
        <v>1</v>
      </c>
      <c r="H719" s="8">
        <f>COUNTIFS('All Papers'!$D:$D,"*"&amp;$A719&amp;"*",'All Papers'!$G:$G,"*"&amp;Table1[[#Headers],[Resource Management-PS]]&amp;"*")</f>
        <v>0</v>
      </c>
      <c r="I719" s="8">
        <f>COUNTIFS('All Papers'!$D:$D,"*"&amp;$A719&amp;"*",'All Papers'!$G:$G,"*"&amp;Table1[[#Headers],[SLA Management]]&amp;"*")</f>
        <v>0</v>
      </c>
      <c r="J719" s="8">
        <f>COUNTIFS('All Papers'!$D:$D,"*"&amp;$A719&amp;"*",'All Papers'!$G:$G,"*"&amp;Table1[[#Headers],[Big Data]]&amp;"*")</f>
        <v>0</v>
      </c>
      <c r="K719" s="8">
        <f>COUNTIFS('All Papers'!$D:$D,"*"&amp;$A719&amp;"*",'All Papers'!$G:$G,"*"&amp;Table1[[#Headers],[Energy Management]]&amp;"*")</f>
        <v>0</v>
      </c>
      <c r="L719" s="8">
        <f>COUNTIFS('All Papers'!$D:$D,"*"&amp;$A719&amp;"*",'All Papers'!$G:$G,"*"&amp;Table1[[#Headers],[Monitoring]]&amp;"*")</f>
        <v>0</v>
      </c>
      <c r="M719" s="8">
        <f>COUNTIFS('All Papers'!$D:$D,"*"&amp;$A719&amp;"*",'All Papers'!$G:$G,"*"&amp;Table1[[#Headers],[Pricing]]&amp;"*")</f>
        <v>0</v>
      </c>
    </row>
    <row r="720" spans="1:13" x14ac:dyDescent="0.25">
      <c r="A720" s="8" t="s">
        <v>3153</v>
      </c>
      <c r="B720" s="8">
        <f>COUNTIF('All Papers'!D:D,"*"&amp;Table1[[#This Row],[Name]]&amp;"*")</f>
        <v>1</v>
      </c>
      <c r="C720" s="8">
        <f>COUNTIFS('All Papers'!$D:$D,"*"&amp;$A720&amp;"*",'All Papers'!$G:$G,"*"&amp;Table1[[#Headers],[Composition]]&amp;"*")</f>
        <v>0</v>
      </c>
      <c r="D720" s="8">
        <f>COUNTIFS('All Papers'!$D:$D,"*"&amp;$A720&amp;"*",'All Papers'!$G:$G,"*"&amp;Table1[[#Headers],[Discovery]]&amp;"*")</f>
        <v>0</v>
      </c>
      <c r="E720" s="8">
        <f>COUNTIFS('All Papers'!$D:$D,"*"&amp;$A720&amp;"*",'All Papers'!$G:$G,"*"&amp;Table1[[#Headers],[Selection]]&amp;"*")</f>
        <v>0</v>
      </c>
      <c r="F720" s="8">
        <f>COUNTIFS('All Papers'!$D:$D,"*"&amp;$A720&amp;"*",'All Papers'!$G:$G,"*"&amp;Table1[[#Headers],[Recommendation]]&amp;"*")</f>
        <v>0</v>
      </c>
      <c r="G720" s="8">
        <f>COUNTIFS('All Papers'!$D:$D,"*"&amp;$A720&amp;"*",'All Papers'!$G:$G,"*"&amp;Table1[[#Headers],[Resource Management-CS]]&amp;"*")</f>
        <v>1</v>
      </c>
      <c r="H720" s="8">
        <f>COUNTIFS('All Papers'!$D:$D,"*"&amp;$A720&amp;"*",'All Papers'!$G:$G,"*"&amp;Table1[[#Headers],[Resource Management-PS]]&amp;"*")</f>
        <v>0</v>
      </c>
      <c r="I720" s="8">
        <f>COUNTIFS('All Papers'!$D:$D,"*"&amp;$A720&amp;"*",'All Papers'!$G:$G,"*"&amp;Table1[[#Headers],[SLA Management]]&amp;"*")</f>
        <v>0</v>
      </c>
      <c r="J720" s="8">
        <f>COUNTIFS('All Papers'!$D:$D,"*"&amp;$A720&amp;"*",'All Papers'!$G:$G,"*"&amp;Table1[[#Headers],[Big Data]]&amp;"*")</f>
        <v>0</v>
      </c>
      <c r="K720" s="8">
        <f>COUNTIFS('All Papers'!$D:$D,"*"&amp;$A720&amp;"*",'All Papers'!$G:$G,"*"&amp;Table1[[#Headers],[Energy Management]]&amp;"*")</f>
        <v>0</v>
      </c>
      <c r="L720" s="8">
        <f>COUNTIFS('All Papers'!$D:$D,"*"&amp;$A720&amp;"*",'All Papers'!$G:$G,"*"&amp;Table1[[#Headers],[Monitoring]]&amp;"*")</f>
        <v>0</v>
      </c>
      <c r="M720" s="8">
        <f>COUNTIFS('All Papers'!$D:$D,"*"&amp;$A720&amp;"*",'All Papers'!$G:$G,"*"&amp;Table1[[#Headers],[Pricing]]&amp;"*")</f>
        <v>0</v>
      </c>
    </row>
    <row r="721" spans="1:13" x14ac:dyDescent="0.25">
      <c r="A721" s="8" t="s">
        <v>3154</v>
      </c>
      <c r="B721" s="8">
        <f>COUNTIF('All Papers'!D:D,"*"&amp;Table1[[#This Row],[Name]]&amp;"*")</f>
        <v>1</v>
      </c>
      <c r="C721" s="8">
        <f>COUNTIFS('All Papers'!$D:$D,"*"&amp;$A721&amp;"*",'All Papers'!$G:$G,"*"&amp;Table1[[#Headers],[Composition]]&amp;"*")</f>
        <v>0</v>
      </c>
      <c r="D721" s="8">
        <f>COUNTIFS('All Papers'!$D:$D,"*"&amp;$A721&amp;"*",'All Papers'!$G:$G,"*"&amp;Table1[[#Headers],[Discovery]]&amp;"*")</f>
        <v>0</v>
      </c>
      <c r="E721" s="8">
        <f>COUNTIFS('All Papers'!$D:$D,"*"&amp;$A721&amp;"*",'All Papers'!$G:$G,"*"&amp;Table1[[#Headers],[Selection]]&amp;"*")</f>
        <v>0</v>
      </c>
      <c r="F721" s="8">
        <f>COUNTIFS('All Papers'!$D:$D,"*"&amp;$A721&amp;"*",'All Papers'!$G:$G,"*"&amp;Table1[[#Headers],[Recommendation]]&amp;"*")</f>
        <v>0</v>
      </c>
      <c r="G721" s="8">
        <f>COUNTIFS('All Papers'!$D:$D,"*"&amp;$A721&amp;"*",'All Papers'!$G:$G,"*"&amp;Table1[[#Headers],[Resource Management-CS]]&amp;"*")</f>
        <v>1</v>
      </c>
      <c r="H721" s="8">
        <f>COUNTIFS('All Papers'!$D:$D,"*"&amp;$A721&amp;"*",'All Papers'!$G:$G,"*"&amp;Table1[[#Headers],[Resource Management-PS]]&amp;"*")</f>
        <v>0</v>
      </c>
      <c r="I721" s="8">
        <f>COUNTIFS('All Papers'!$D:$D,"*"&amp;$A721&amp;"*",'All Papers'!$G:$G,"*"&amp;Table1[[#Headers],[SLA Management]]&amp;"*")</f>
        <v>0</v>
      </c>
      <c r="J721" s="8">
        <f>COUNTIFS('All Papers'!$D:$D,"*"&amp;$A721&amp;"*",'All Papers'!$G:$G,"*"&amp;Table1[[#Headers],[Big Data]]&amp;"*")</f>
        <v>0</v>
      </c>
      <c r="K721" s="8">
        <f>COUNTIFS('All Papers'!$D:$D,"*"&amp;$A721&amp;"*",'All Papers'!$G:$G,"*"&amp;Table1[[#Headers],[Energy Management]]&amp;"*")</f>
        <v>0</v>
      </c>
      <c r="L721" s="8">
        <f>COUNTIFS('All Papers'!$D:$D,"*"&amp;$A721&amp;"*",'All Papers'!$G:$G,"*"&amp;Table1[[#Headers],[Monitoring]]&amp;"*")</f>
        <v>0</v>
      </c>
      <c r="M721" s="8">
        <f>COUNTIFS('All Papers'!$D:$D,"*"&amp;$A721&amp;"*",'All Papers'!$G:$G,"*"&amp;Table1[[#Headers],[Pricing]]&amp;"*")</f>
        <v>0</v>
      </c>
    </row>
    <row r="722" spans="1:13" x14ac:dyDescent="0.25">
      <c r="A722" s="8" t="s">
        <v>3155</v>
      </c>
      <c r="B722" s="8">
        <f>COUNTIF('All Papers'!D:D,"*"&amp;Table1[[#This Row],[Name]]&amp;"*")</f>
        <v>1</v>
      </c>
      <c r="C722" s="8">
        <f>COUNTIFS('All Papers'!$D:$D,"*"&amp;$A722&amp;"*",'All Papers'!$G:$G,"*"&amp;Table1[[#Headers],[Composition]]&amp;"*")</f>
        <v>0</v>
      </c>
      <c r="D722" s="8">
        <f>COUNTIFS('All Papers'!$D:$D,"*"&amp;$A722&amp;"*",'All Papers'!$G:$G,"*"&amp;Table1[[#Headers],[Discovery]]&amp;"*")</f>
        <v>0</v>
      </c>
      <c r="E722" s="8">
        <f>COUNTIFS('All Papers'!$D:$D,"*"&amp;$A722&amp;"*",'All Papers'!$G:$G,"*"&amp;Table1[[#Headers],[Selection]]&amp;"*")</f>
        <v>0</v>
      </c>
      <c r="F722" s="8">
        <f>COUNTIFS('All Papers'!$D:$D,"*"&amp;$A722&amp;"*",'All Papers'!$G:$G,"*"&amp;Table1[[#Headers],[Recommendation]]&amp;"*")</f>
        <v>0</v>
      </c>
      <c r="G722" s="8">
        <f>COUNTIFS('All Papers'!$D:$D,"*"&amp;$A722&amp;"*",'All Papers'!$G:$G,"*"&amp;Table1[[#Headers],[Resource Management-CS]]&amp;"*")</f>
        <v>1</v>
      </c>
      <c r="H722" s="8">
        <f>COUNTIFS('All Papers'!$D:$D,"*"&amp;$A722&amp;"*",'All Papers'!$G:$G,"*"&amp;Table1[[#Headers],[Resource Management-PS]]&amp;"*")</f>
        <v>0</v>
      </c>
      <c r="I722" s="8">
        <f>COUNTIFS('All Papers'!$D:$D,"*"&amp;$A722&amp;"*",'All Papers'!$G:$G,"*"&amp;Table1[[#Headers],[SLA Management]]&amp;"*")</f>
        <v>0</v>
      </c>
      <c r="J722" s="8">
        <f>COUNTIFS('All Papers'!$D:$D,"*"&amp;$A722&amp;"*",'All Papers'!$G:$G,"*"&amp;Table1[[#Headers],[Big Data]]&amp;"*")</f>
        <v>0</v>
      </c>
      <c r="K722" s="8">
        <f>COUNTIFS('All Papers'!$D:$D,"*"&amp;$A722&amp;"*",'All Papers'!$G:$G,"*"&amp;Table1[[#Headers],[Energy Management]]&amp;"*")</f>
        <v>0</v>
      </c>
      <c r="L722" s="8">
        <f>COUNTIFS('All Papers'!$D:$D,"*"&amp;$A722&amp;"*",'All Papers'!$G:$G,"*"&amp;Table1[[#Headers],[Monitoring]]&amp;"*")</f>
        <v>0</v>
      </c>
      <c r="M722" s="8">
        <f>COUNTIFS('All Papers'!$D:$D,"*"&amp;$A722&amp;"*",'All Papers'!$G:$G,"*"&amp;Table1[[#Headers],[Pricing]]&amp;"*")</f>
        <v>0</v>
      </c>
    </row>
    <row r="723" spans="1:13" x14ac:dyDescent="0.25">
      <c r="A723" s="8" t="s">
        <v>3156</v>
      </c>
      <c r="B723" s="8">
        <f>COUNTIF('All Papers'!D:D,"*"&amp;Table1[[#This Row],[Name]]&amp;"*")</f>
        <v>1</v>
      </c>
      <c r="C723" s="8">
        <f>COUNTIFS('All Papers'!$D:$D,"*"&amp;$A723&amp;"*",'All Papers'!$G:$G,"*"&amp;Table1[[#Headers],[Composition]]&amp;"*")</f>
        <v>0</v>
      </c>
      <c r="D723" s="8">
        <f>COUNTIFS('All Papers'!$D:$D,"*"&amp;$A723&amp;"*",'All Papers'!$G:$G,"*"&amp;Table1[[#Headers],[Discovery]]&amp;"*")</f>
        <v>0</v>
      </c>
      <c r="E723" s="8">
        <f>COUNTIFS('All Papers'!$D:$D,"*"&amp;$A723&amp;"*",'All Papers'!$G:$G,"*"&amp;Table1[[#Headers],[Selection]]&amp;"*")</f>
        <v>0</v>
      </c>
      <c r="F723" s="8">
        <f>COUNTIFS('All Papers'!$D:$D,"*"&amp;$A723&amp;"*",'All Papers'!$G:$G,"*"&amp;Table1[[#Headers],[Recommendation]]&amp;"*")</f>
        <v>0</v>
      </c>
      <c r="G723" s="8">
        <f>COUNTIFS('All Papers'!$D:$D,"*"&amp;$A723&amp;"*",'All Papers'!$G:$G,"*"&amp;Table1[[#Headers],[Resource Management-CS]]&amp;"*")</f>
        <v>1</v>
      </c>
      <c r="H723" s="8">
        <f>COUNTIFS('All Papers'!$D:$D,"*"&amp;$A723&amp;"*",'All Papers'!$G:$G,"*"&amp;Table1[[#Headers],[Resource Management-PS]]&amp;"*")</f>
        <v>0</v>
      </c>
      <c r="I723" s="8">
        <f>COUNTIFS('All Papers'!$D:$D,"*"&amp;$A723&amp;"*",'All Papers'!$G:$G,"*"&amp;Table1[[#Headers],[SLA Management]]&amp;"*")</f>
        <v>0</v>
      </c>
      <c r="J723" s="8">
        <f>COUNTIFS('All Papers'!$D:$D,"*"&amp;$A723&amp;"*",'All Papers'!$G:$G,"*"&amp;Table1[[#Headers],[Big Data]]&amp;"*")</f>
        <v>0</v>
      </c>
      <c r="K723" s="8">
        <f>COUNTIFS('All Papers'!$D:$D,"*"&amp;$A723&amp;"*",'All Papers'!$G:$G,"*"&amp;Table1[[#Headers],[Energy Management]]&amp;"*")</f>
        <v>0</v>
      </c>
      <c r="L723" s="8">
        <f>COUNTIFS('All Papers'!$D:$D,"*"&amp;$A723&amp;"*",'All Papers'!$G:$G,"*"&amp;Table1[[#Headers],[Monitoring]]&amp;"*")</f>
        <v>0</v>
      </c>
      <c r="M723" s="8">
        <f>COUNTIFS('All Papers'!$D:$D,"*"&amp;$A723&amp;"*",'All Papers'!$G:$G,"*"&amp;Table1[[#Headers],[Pricing]]&amp;"*")</f>
        <v>0</v>
      </c>
    </row>
    <row r="724" spans="1:13" x14ac:dyDescent="0.25">
      <c r="A724" s="8" t="s">
        <v>3157</v>
      </c>
      <c r="B724" s="8">
        <f>COUNTIF('All Papers'!D:D,"*"&amp;Table1[[#This Row],[Name]]&amp;"*")</f>
        <v>1</v>
      </c>
      <c r="C724" s="8">
        <f>COUNTIFS('All Papers'!$D:$D,"*"&amp;$A724&amp;"*",'All Papers'!$G:$G,"*"&amp;Table1[[#Headers],[Composition]]&amp;"*")</f>
        <v>0</v>
      </c>
      <c r="D724" s="8">
        <f>COUNTIFS('All Papers'!$D:$D,"*"&amp;$A724&amp;"*",'All Papers'!$G:$G,"*"&amp;Table1[[#Headers],[Discovery]]&amp;"*")</f>
        <v>0</v>
      </c>
      <c r="E724" s="8">
        <f>COUNTIFS('All Papers'!$D:$D,"*"&amp;$A724&amp;"*",'All Papers'!$G:$G,"*"&amp;Table1[[#Headers],[Selection]]&amp;"*")</f>
        <v>0</v>
      </c>
      <c r="F724" s="8">
        <f>COUNTIFS('All Papers'!$D:$D,"*"&amp;$A724&amp;"*",'All Papers'!$G:$G,"*"&amp;Table1[[#Headers],[Recommendation]]&amp;"*")</f>
        <v>0</v>
      </c>
      <c r="G724" s="8">
        <f>COUNTIFS('All Papers'!$D:$D,"*"&amp;$A724&amp;"*",'All Papers'!$G:$G,"*"&amp;Table1[[#Headers],[Resource Management-CS]]&amp;"*")</f>
        <v>1</v>
      </c>
      <c r="H724" s="8">
        <f>COUNTIFS('All Papers'!$D:$D,"*"&amp;$A724&amp;"*",'All Papers'!$G:$G,"*"&amp;Table1[[#Headers],[Resource Management-PS]]&amp;"*")</f>
        <v>0</v>
      </c>
      <c r="I724" s="8">
        <f>COUNTIFS('All Papers'!$D:$D,"*"&amp;$A724&amp;"*",'All Papers'!$G:$G,"*"&amp;Table1[[#Headers],[SLA Management]]&amp;"*")</f>
        <v>0</v>
      </c>
      <c r="J724" s="8">
        <f>COUNTIFS('All Papers'!$D:$D,"*"&amp;$A724&amp;"*",'All Papers'!$G:$G,"*"&amp;Table1[[#Headers],[Big Data]]&amp;"*")</f>
        <v>0</v>
      </c>
      <c r="K724" s="8">
        <f>COUNTIFS('All Papers'!$D:$D,"*"&amp;$A724&amp;"*",'All Papers'!$G:$G,"*"&amp;Table1[[#Headers],[Energy Management]]&amp;"*")</f>
        <v>0</v>
      </c>
      <c r="L724" s="8">
        <f>COUNTIFS('All Papers'!$D:$D,"*"&amp;$A724&amp;"*",'All Papers'!$G:$G,"*"&amp;Table1[[#Headers],[Monitoring]]&amp;"*")</f>
        <v>0</v>
      </c>
      <c r="M724" s="8">
        <f>COUNTIFS('All Papers'!$D:$D,"*"&amp;$A724&amp;"*",'All Papers'!$G:$G,"*"&amp;Table1[[#Headers],[Pricing]]&amp;"*")</f>
        <v>0</v>
      </c>
    </row>
    <row r="725" spans="1:13" x14ac:dyDescent="0.25">
      <c r="A725" s="8" t="s">
        <v>3158</v>
      </c>
      <c r="B725" s="8">
        <f>COUNTIF('All Papers'!D:D,"*"&amp;Table1[[#This Row],[Name]]&amp;"*")</f>
        <v>1</v>
      </c>
      <c r="C725" s="8">
        <f>COUNTIFS('All Papers'!$D:$D,"*"&amp;$A725&amp;"*",'All Papers'!$G:$G,"*"&amp;Table1[[#Headers],[Composition]]&amp;"*")</f>
        <v>0</v>
      </c>
      <c r="D725" s="8">
        <f>COUNTIFS('All Papers'!$D:$D,"*"&amp;$A725&amp;"*",'All Papers'!$G:$G,"*"&amp;Table1[[#Headers],[Discovery]]&amp;"*")</f>
        <v>0</v>
      </c>
      <c r="E725" s="8">
        <f>COUNTIFS('All Papers'!$D:$D,"*"&amp;$A725&amp;"*",'All Papers'!$G:$G,"*"&amp;Table1[[#Headers],[Selection]]&amp;"*")</f>
        <v>0</v>
      </c>
      <c r="F725" s="8">
        <f>COUNTIFS('All Papers'!$D:$D,"*"&amp;$A725&amp;"*",'All Papers'!$G:$G,"*"&amp;Table1[[#Headers],[Recommendation]]&amp;"*")</f>
        <v>0</v>
      </c>
      <c r="G725" s="8">
        <f>COUNTIFS('All Papers'!$D:$D,"*"&amp;$A725&amp;"*",'All Papers'!$G:$G,"*"&amp;Table1[[#Headers],[Resource Management-CS]]&amp;"*")</f>
        <v>1</v>
      </c>
      <c r="H725" s="8">
        <f>COUNTIFS('All Papers'!$D:$D,"*"&amp;$A725&amp;"*",'All Papers'!$G:$G,"*"&amp;Table1[[#Headers],[Resource Management-PS]]&amp;"*")</f>
        <v>0</v>
      </c>
      <c r="I725" s="8">
        <f>COUNTIFS('All Papers'!$D:$D,"*"&amp;$A725&amp;"*",'All Papers'!$G:$G,"*"&amp;Table1[[#Headers],[SLA Management]]&amp;"*")</f>
        <v>0</v>
      </c>
      <c r="J725" s="8">
        <f>COUNTIFS('All Papers'!$D:$D,"*"&amp;$A725&amp;"*",'All Papers'!$G:$G,"*"&amp;Table1[[#Headers],[Big Data]]&amp;"*")</f>
        <v>0</v>
      </c>
      <c r="K725" s="8">
        <f>COUNTIFS('All Papers'!$D:$D,"*"&amp;$A725&amp;"*",'All Papers'!$G:$G,"*"&amp;Table1[[#Headers],[Energy Management]]&amp;"*")</f>
        <v>0</v>
      </c>
      <c r="L725" s="8">
        <f>COUNTIFS('All Papers'!$D:$D,"*"&amp;$A725&amp;"*",'All Papers'!$G:$G,"*"&amp;Table1[[#Headers],[Monitoring]]&amp;"*")</f>
        <v>0</v>
      </c>
      <c r="M725" s="8">
        <f>COUNTIFS('All Papers'!$D:$D,"*"&amp;$A725&amp;"*",'All Papers'!$G:$G,"*"&amp;Table1[[#Headers],[Pricing]]&amp;"*")</f>
        <v>0</v>
      </c>
    </row>
    <row r="726" spans="1:13" x14ac:dyDescent="0.25">
      <c r="A726" s="8" t="s">
        <v>3159</v>
      </c>
      <c r="B726" s="8">
        <f>COUNTIF('All Papers'!D:D,"*"&amp;Table1[[#This Row],[Name]]&amp;"*")</f>
        <v>1</v>
      </c>
      <c r="C726" s="8">
        <f>COUNTIFS('All Papers'!$D:$D,"*"&amp;$A726&amp;"*",'All Papers'!$G:$G,"*"&amp;Table1[[#Headers],[Composition]]&amp;"*")</f>
        <v>0</v>
      </c>
      <c r="D726" s="8">
        <f>COUNTIFS('All Papers'!$D:$D,"*"&amp;$A726&amp;"*",'All Papers'!$G:$G,"*"&amp;Table1[[#Headers],[Discovery]]&amp;"*")</f>
        <v>0</v>
      </c>
      <c r="E726" s="8">
        <f>COUNTIFS('All Papers'!$D:$D,"*"&amp;$A726&amp;"*",'All Papers'!$G:$G,"*"&amp;Table1[[#Headers],[Selection]]&amp;"*")</f>
        <v>0</v>
      </c>
      <c r="F726" s="8">
        <f>COUNTIFS('All Papers'!$D:$D,"*"&amp;$A726&amp;"*",'All Papers'!$G:$G,"*"&amp;Table1[[#Headers],[Recommendation]]&amp;"*")</f>
        <v>0</v>
      </c>
      <c r="G726" s="8">
        <f>COUNTIFS('All Papers'!$D:$D,"*"&amp;$A726&amp;"*",'All Papers'!$G:$G,"*"&amp;Table1[[#Headers],[Resource Management-CS]]&amp;"*")</f>
        <v>1</v>
      </c>
      <c r="H726" s="8">
        <f>COUNTIFS('All Papers'!$D:$D,"*"&amp;$A726&amp;"*",'All Papers'!$G:$G,"*"&amp;Table1[[#Headers],[Resource Management-PS]]&amp;"*")</f>
        <v>0</v>
      </c>
      <c r="I726" s="8">
        <f>COUNTIFS('All Papers'!$D:$D,"*"&amp;$A726&amp;"*",'All Papers'!$G:$G,"*"&amp;Table1[[#Headers],[SLA Management]]&amp;"*")</f>
        <v>0</v>
      </c>
      <c r="J726" s="8">
        <f>COUNTIFS('All Papers'!$D:$D,"*"&amp;$A726&amp;"*",'All Papers'!$G:$G,"*"&amp;Table1[[#Headers],[Big Data]]&amp;"*")</f>
        <v>0</v>
      </c>
      <c r="K726" s="8">
        <f>COUNTIFS('All Papers'!$D:$D,"*"&amp;$A726&amp;"*",'All Papers'!$G:$G,"*"&amp;Table1[[#Headers],[Energy Management]]&amp;"*")</f>
        <v>0</v>
      </c>
      <c r="L726" s="8">
        <f>COUNTIFS('All Papers'!$D:$D,"*"&amp;$A726&amp;"*",'All Papers'!$G:$G,"*"&amp;Table1[[#Headers],[Monitoring]]&amp;"*")</f>
        <v>0</v>
      </c>
      <c r="M726" s="8">
        <f>COUNTIFS('All Papers'!$D:$D,"*"&amp;$A726&amp;"*",'All Papers'!$G:$G,"*"&amp;Table1[[#Headers],[Pricing]]&amp;"*")</f>
        <v>0</v>
      </c>
    </row>
    <row r="727" spans="1:13" x14ac:dyDescent="0.25">
      <c r="A727" s="8" t="s">
        <v>3160</v>
      </c>
      <c r="B727" s="8">
        <f>COUNTIF('All Papers'!D:D,"*"&amp;Table1[[#This Row],[Name]]&amp;"*")</f>
        <v>1</v>
      </c>
      <c r="C727" s="8">
        <f>COUNTIFS('All Papers'!$D:$D,"*"&amp;$A727&amp;"*",'All Papers'!$G:$G,"*"&amp;Table1[[#Headers],[Composition]]&amp;"*")</f>
        <v>0</v>
      </c>
      <c r="D727" s="8">
        <f>COUNTIFS('All Papers'!$D:$D,"*"&amp;$A727&amp;"*",'All Papers'!$G:$G,"*"&amp;Table1[[#Headers],[Discovery]]&amp;"*")</f>
        <v>0</v>
      </c>
      <c r="E727" s="8">
        <f>COUNTIFS('All Papers'!$D:$D,"*"&amp;$A727&amp;"*",'All Papers'!$G:$G,"*"&amp;Table1[[#Headers],[Selection]]&amp;"*")</f>
        <v>0</v>
      </c>
      <c r="F727" s="8">
        <f>COUNTIFS('All Papers'!$D:$D,"*"&amp;$A727&amp;"*",'All Papers'!$G:$G,"*"&amp;Table1[[#Headers],[Recommendation]]&amp;"*")</f>
        <v>0</v>
      </c>
      <c r="G727" s="8">
        <f>COUNTIFS('All Papers'!$D:$D,"*"&amp;$A727&amp;"*",'All Papers'!$G:$G,"*"&amp;Table1[[#Headers],[Resource Management-CS]]&amp;"*")</f>
        <v>1</v>
      </c>
      <c r="H727" s="8">
        <f>COUNTIFS('All Papers'!$D:$D,"*"&amp;$A727&amp;"*",'All Papers'!$G:$G,"*"&amp;Table1[[#Headers],[Resource Management-PS]]&amp;"*")</f>
        <v>0</v>
      </c>
      <c r="I727" s="8">
        <f>COUNTIFS('All Papers'!$D:$D,"*"&amp;$A727&amp;"*",'All Papers'!$G:$G,"*"&amp;Table1[[#Headers],[SLA Management]]&amp;"*")</f>
        <v>0</v>
      </c>
      <c r="J727" s="8">
        <f>COUNTIFS('All Papers'!$D:$D,"*"&amp;$A727&amp;"*",'All Papers'!$G:$G,"*"&amp;Table1[[#Headers],[Big Data]]&amp;"*")</f>
        <v>0</v>
      </c>
      <c r="K727" s="8">
        <f>COUNTIFS('All Papers'!$D:$D,"*"&amp;$A727&amp;"*",'All Papers'!$G:$G,"*"&amp;Table1[[#Headers],[Energy Management]]&amp;"*")</f>
        <v>0</v>
      </c>
      <c r="L727" s="8">
        <f>COUNTIFS('All Papers'!$D:$D,"*"&amp;$A727&amp;"*",'All Papers'!$G:$G,"*"&amp;Table1[[#Headers],[Monitoring]]&amp;"*")</f>
        <v>0</v>
      </c>
      <c r="M727" s="8">
        <f>COUNTIFS('All Papers'!$D:$D,"*"&amp;$A727&amp;"*",'All Papers'!$G:$G,"*"&amp;Table1[[#Headers],[Pricing]]&amp;"*")</f>
        <v>0</v>
      </c>
    </row>
    <row r="728" spans="1:13" x14ac:dyDescent="0.25">
      <c r="A728" s="8" t="s">
        <v>3161</v>
      </c>
      <c r="B728" s="8">
        <f>COUNTIF('All Papers'!D:D,"*"&amp;Table1[[#This Row],[Name]]&amp;"*")</f>
        <v>1</v>
      </c>
      <c r="C728" s="8">
        <f>COUNTIFS('All Papers'!$D:$D,"*"&amp;$A728&amp;"*",'All Papers'!$G:$G,"*"&amp;Table1[[#Headers],[Composition]]&amp;"*")</f>
        <v>0</v>
      </c>
      <c r="D728" s="8">
        <f>COUNTIFS('All Papers'!$D:$D,"*"&amp;$A728&amp;"*",'All Papers'!$G:$G,"*"&amp;Table1[[#Headers],[Discovery]]&amp;"*")</f>
        <v>0</v>
      </c>
      <c r="E728" s="8">
        <f>COUNTIFS('All Papers'!$D:$D,"*"&amp;$A728&amp;"*",'All Papers'!$G:$G,"*"&amp;Table1[[#Headers],[Selection]]&amp;"*")</f>
        <v>0</v>
      </c>
      <c r="F728" s="8">
        <f>COUNTIFS('All Papers'!$D:$D,"*"&amp;$A728&amp;"*",'All Papers'!$G:$G,"*"&amp;Table1[[#Headers],[Recommendation]]&amp;"*")</f>
        <v>0</v>
      </c>
      <c r="G728" s="8">
        <f>COUNTIFS('All Papers'!$D:$D,"*"&amp;$A728&amp;"*",'All Papers'!$G:$G,"*"&amp;Table1[[#Headers],[Resource Management-CS]]&amp;"*")</f>
        <v>1</v>
      </c>
      <c r="H728" s="8">
        <f>COUNTIFS('All Papers'!$D:$D,"*"&amp;$A728&amp;"*",'All Papers'!$G:$G,"*"&amp;Table1[[#Headers],[Resource Management-PS]]&amp;"*")</f>
        <v>0</v>
      </c>
      <c r="I728" s="8">
        <f>COUNTIFS('All Papers'!$D:$D,"*"&amp;$A728&amp;"*",'All Papers'!$G:$G,"*"&amp;Table1[[#Headers],[SLA Management]]&amp;"*")</f>
        <v>0</v>
      </c>
      <c r="J728" s="8">
        <f>COUNTIFS('All Papers'!$D:$D,"*"&amp;$A728&amp;"*",'All Papers'!$G:$G,"*"&amp;Table1[[#Headers],[Big Data]]&amp;"*")</f>
        <v>0</v>
      </c>
      <c r="K728" s="8">
        <f>COUNTIFS('All Papers'!$D:$D,"*"&amp;$A728&amp;"*",'All Papers'!$G:$G,"*"&amp;Table1[[#Headers],[Energy Management]]&amp;"*")</f>
        <v>0</v>
      </c>
      <c r="L728" s="8">
        <f>COUNTIFS('All Papers'!$D:$D,"*"&amp;$A728&amp;"*",'All Papers'!$G:$G,"*"&amp;Table1[[#Headers],[Monitoring]]&amp;"*")</f>
        <v>0</v>
      </c>
      <c r="M728" s="8">
        <f>COUNTIFS('All Papers'!$D:$D,"*"&amp;$A728&amp;"*",'All Papers'!$G:$G,"*"&amp;Table1[[#Headers],[Pricing]]&amp;"*")</f>
        <v>0</v>
      </c>
    </row>
    <row r="729" spans="1:13" x14ac:dyDescent="0.25">
      <c r="A729" s="8" t="s">
        <v>3162</v>
      </c>
      <c r="B729" s="8">
        <f>COUNTIF('All Papers'!D:D,"*"&amp;Table1[[#This Row],[Name]]&amp;"*")</f>
        <v>1</v>
      </c>
      <c r="C729" s="8">
        <f>COUNTIFS('All Papers'!$D:$D,"*"&amp;$A729&amp;"*",'All Papers'!$G:$G,"*"&amp;Table1[[#Headers],[Composition]]&amp;"*")</f>
        <v>0</v>
      </c>
      <c r="D729" s="8">
        <f>COUNTIFS('All Papers'!$D:$D,"*"&amp;$A729&amp;"*",'All Papers'!$G:$G,"*"&amp;Table1[[#Headers],[Discovery]]&amp;"*")</f>
        <v>0</v>
      </c>
      <c r="E729" s="8">
        <f>COUNTIFS('All Papers'!$D:$D,"*"&amp;$A729&amp;"*",'All Papers'!$G:$G,"*"&amp;Table1[[#Headers],[Selection]]&amp;"*")</f>
        <v>0</v>
      </c>
      <c r="F729" s="8">
        <f>COUNTIFS('All Papers'!$D:$D,"*"&amp;$A729&amp;"*",'All Papers'!$G:$G,"*"&amp;Table1[[#Headers],[Recommendation]]&amp;"*")</f>
        <v>0</v>
      </c>
      <c r="G729" s="8">
        <f>COUNTIFS('All Papers'!$D:$D,"*"&amp;$A729&amp;"*",'All Papers'!$G:$G,"*"&amp;Table1[[#Headers],[Resource Management-CS]]&amp;"*")</f>
        <v>1</v>
      </c>
      <c r="H729" s="8">
        <f>COUNTIFS('All Papers'!$D:$D,"*"&amp;$A729&amp;"*",'All Papers'!$G:$G,"*"&amp;Table1[[#Headers],[Resource Management-PS]]&amp;"*")</f>
        <v>0</v>
      </c>
      <c r="I729" s="8">
        <f>COUNTIFS('All Papers'!$D:$D,"*"&amp;$A729&amp;"*",'All Papers'!$G:$G,"*"&amp;Table1[[#Headers],[SLA Management]]&amp;"*")</f>
        <v>0</v>
      </c>
      <c r="J729" s="8">
        <f>COUNTIFS('All Papers'!$D:$D,"*"&amp;$A729&amp;"*",'All Papers'!$G:$G,"*"&amp;Table1[[#Headers],[Big Data]]&amp;"*")</f>
        <v>0</v>
      </c>
      <c r="K729" s="8">
        <f>COUNTIFS('All Papers'!$D:$D,"*"&amp;$A729&amp;"*",'All Papers'!$G:$G,"*"&amp;Table1[[#Headers],[Energy Management]]&amp;"*")</f>
        <v>0</v>
      </c>
      <c r="L729" s="8">
        <f>COUNTIFS('All Papers'!$D:$D,"*"&amp;$A729&amp;"*",'All Papers'!$G:$G,"*"&amp;Table1[[#Headers],[Monitoring]]&amp;"*")</f>
        <v>0</v>
      </c>
      <c r="M729" s="8">
        <f>COUNTIFS('All Papers'!$D:$D,"*"&amp;$A729&amp;"*",'All Papers'!$G:$G,"*"&amp;Table1[[#Headers],[Pricing]]&amp;"*")</f>
        <v>0</v>
      </c>
    </row>
    <row r="730" spans="1:13" x14ac:dyDescent="0.25">
      <c r="A730" s="8" t="s">
        <v>3163</v>
      </c>
      <c r="B730" s="8">
        <f>COUNTIF('All Papers'!D:D,"*"&amp;Table1[[#This Row],[Name]]&amp;"*")</f>
        <v>1</v>
      </c>
      <c r="C730" s="8">
        <f>COUNTIFS('All Papers'!$D:$D,"*"&amp;$A730&amp;"*",'All Papers'!$G:$G,"*"&amp;Table1[[#Headers],[Composition]]&amp;"*")</f>
        <v>0</v>
      </c>
      <c r="D730" s="8">
        <f>COUNTIFS('All Papers'!$D:$D,"*"&amp;$A730&amp;"*",'All Papers'!$G:$G,"*"&amp;Table1[[#Headers],[Discovery]]&amp;"*")</f>
        <v>1</v>
      </c>
      <c r="E730" s="8">
        <f>COUNTIFS('All Papers'!$D:$D,"*"&amp;$A730&amp;"*",'All Papers'!$G:$G,"*"&amp;Table1[[#Headers],[Selection]]&amp;"*")</f>
        <v>0</v>
      </c>
      <c r="F730" s="8">
        <f>COUNTIFS('All Papers'!$D:$D,"*"&amp;$A730&amp;"*",'All Papers'!$G:$G,"*"&amp;Table1[[#Headers],[Recommendation]]&amp;"*")</f>
        <v>0</v>
      </c>
      <c r="G730" s="8">
        <f>COUNTIFS('All Papers'!$D:$D,"*"&amp;$A730&amp;"*",'All Papers'!$G:$G,"*"&amp;Table1[[#Headers],[Resource Management-CS]]&amp;"*")</f>
        <v>0</v>
      </c>
      <c r="H730" s="8">
        <f>COUNTIFS('All Papers'!$D:$D,"*"&amp;$A730&amp;"*",'All Papers'!$G:$G,"*"&amp;Table1[[#Headers],[Resource Management-PS]]&amp;"*")</f>
        <v>0</v>
      </c>
      <c r="I730" s="8">
        <f>COUNTIFS('All Papers'!$D:$D,"*"&amp;$A730&amp;"*",'All Papers'!$G:$G,"*"&amp;Table1[[#Headers],[SLA Management]]&amp;"*")</f>
        <v>0</v>
      </c>
      <c r="J730" s="8">
        <f>COUNTIFS('All Papers'!$D:$D,"*"&amp;$A730&amp;"*",'All Papers'!$G:$G,"*"&amp;Table1[[#Headers],[Big Data]]&amp;"*")</f>
        <v>0</v>
      </c>
      <c r="K730" s="8">
        <f>COUNTIFS('All Papers'!$D:$D,"*"&amp;$A730&amp;"*",'All Papers'!$G:$G,"*"&amp;Table1[[#Headers],[Energy Management]]&amp;"*")</f>
        <v>0</v>
      </c>
      <c r="L730" s="8">
        <f>COUNTIFS('All Papers'!$D:$D,"*"&amp;$A730&amp;"*",'All Papers'!$G:$G,"*"&amp;Table1[[#Headers],[Monitoring]]&amp;"*")</f>
        <v>1</v>
      </c>
      <c r="M730" s="8">
        <f>COUNTIFS('All Papers'!$D:$D,"*"&amp;$A730&amp;"*",'All Papers'!$G:$G,"*"&amp;Table1[[#Headers],[Pricing]]&amp;"*")</f>
        <v>1</v>
      </c>
    </row>
    <row r="731" spans="1:13" x14ac:dyDescent="0.25">
      <c r="A731" s="8" t="s">
        <v>3164</v>
      </c>
      <c r="B731" s="8">
        <f>COUNTIF('All Papers'!D:D,"*"&amp;Table1[[#This Row],[Name]]&amp;"*")</f>
        <v>1</v>
      </c>
      <c r="C731" s="8">
        <f>COUNTIFS('All Papers'!$D:$D,"*"&amp;$A731&amp;"*",'All Papers'!$G:$G,"*"&amp;Table1[[#Headers],[Composition]]&amp;"*")</f>
        <v>0</v>
      </c>
      <c r="D731" s="8">
        <f>COUNTIFS('All Papers'!$D:$D,"*"&amp;$A731&amp;"*",'All Papers'!$G:$G,"*"&amp;Table1[[#Headers],[Discovery]]&amp;"*")</f>
        <v>1</v>
      </c>
      <c r="E731" s="8">
        <f>COUNTIFS('All Papers'!$D:$D,"*"&amp;$A731&amp;"*",'All Papers'!$G:$G,"*"&amp;Table1[[#Headers],[Selection]]&amp;"*")</f>
        <v>0</v>
      </c>
      <c r="F731" s="8">
        <f>COUNTIFS('All Papers'!$D:$D,"*"&amp;$A731&amp;"*",'All Papers'!$G:$G,"*"&amp;Table1[[#Headers],[Recommendation]]&amp;"*")</f>
        <v>0</v>
      </c>
      <c r="G731" s="8">
        <f>COUNTIFS('All Papers'!$D:$D,"*"&amp;$A731&amp;"*",'All Papers'!$G:$G,"*"&amp;Table1[[#Headers],[Resource Management-CS]]&amp;"*")</f>
        <v>0</v>
      </c>
      <c r="H731" s="8">
        <f>COUNTIFS('All Papers'!$D:$D,"*"&amp;$A731&amp;"*",'All Papers'!$G:$G,"*"&amp;Table1[[#Headers],[Resource Management-PS]]&amp;"*")</f>
        <v>0</v>
      </c>
      <c r="I731" s="8">
        <f>COUNTIFS('All Papers'!$D:$D,"*"&amp;$A731&amp;"*",'All Papers'!$G:$G,"*"&amp;Table1[[#Headers],[SLA Management]]&amp;"*")</f>
        <v>0</v>
      </c>
      <c r="J731" s="8">
        <f>COUNTIFS('All Papers'!$D:$D,"*"&amp;$A731&amp;"*",'All Papers'!$G:$G,"*"&amp;Table1[[#Headers],[Big Data]]&amp;"*")</f>
        <v>0</v>
      </c>
      <c r="K731" s="8">
        <f>COUNTIFS('All Papers'!$D:$D,"*"&amp;$A731&amp;"*",'All Papers'!$G:$G,"*"&amp;Table1[[#Headers],[Energy Management]]&amp;"*")</f>
        <v>0</v>
      </c>
      <c r="L731" s="8">
        <f>COUNTIFS('All Papers'!$D:$D,"*"&amp;$A731&amp;"*",'All Papers'!$G:$G,"*"&amp;Table1[[#Headers],[Monitoring]]&amp;"*")</f>
        <v>1</v>
      </c>
      <c r="M731" s="8">
        <f>COUNTIFS('All Papers'!$D:$D,"*"&amp;$A731&amp;"*",'All Papers'!$G:$G,"*"&amp;Table1[[#Headers],[Pricing]]&amp;"*")</f>
        <v>1</v>
      </c>
    </row>
    <row r="732" spans="1:13" x14ac:dyDescent="0.25">
      <c r="A732" s="8" t="s">
        <v>3165</v>
      </c>
      <c r="B732" s="8">
        <f>COUNTIF('All Papers'!D:D,"*"&amp;Table1[[#This Row],[Name]]&amp;"*")</f>
        <v>1</v>
      </c>
      <c r="C732" s="8">
        <f>COUNTIFS('All Papers'!$D:$D,"*"&amp;$A732&amp;"*",'All Papers'!$G:$G,"*"&amp;Table1[[#Headers],[Composition]]&amp;"*")</f>
        <v>0</v>
      </c>
      <c r="D732" s="8">
        <f>COUNTIFS('All Papers'!$D:$D,"*"&amp;$A732&amp;"*",'All Papers'!$G:$G,"*"&amp;Table1[[#Headers],[Discovery]]&amp;"*")</f>
        <v>1</v>
      </c>
      <c r="E732" s="8">
        <f>COUNTIFS('All Papers'!$D:$D,"*"&amp;$A732&amp;"*",'All Papers'!$G:$G,"*"&amp;Table1[[#Headers],[Selection]]&amp;"*")</f>
        <v>0</v>
      </c>
      <c r="F732" s="8">
        <f>COUNTIFS('All Papers'!$D:$D,"*"&amp;$A732&amp;"*",'All Papers'!$G:$G,"*"&amp;Table1[[#Headers],[Recommendation]]&amp;"*")</f>
        <v>0</v>
      </c>
      <c r="G732" s="8">
        <f>COUNTIFS('All Papers'!$D:$D,"*"&amp;$A732&amp;"*",'All Papers'!$G:$G,"*"&amp;Table1[[#Headers],[Resource Management-CS]]&amp;"*")</f>
        <v>0</v>
      </c>
      <c r="H732" s="8">
        <f>COUNTIFS('All Papers'!$D:$D,"*"&amp;$A732&amp;"*",'All Papers'!$G:$G,"*"&amp;Table1[[#Headers],[Resource Management-PS]]&amp;"*")</f>
        <v>0</v>
      </c>
      <c r="I732" s="8">
        <f>COUNTIFS('All Papers'!$D:$D,"*"&amp;$A732&amp;"*",'All Papers'!$G:$G,"*"&amp;Table1[[#Headers],[SLA Management]]&amp;"*")</f>
        <v>0</v>
      </c>
      <c r="J732" s="8">
        <f>COUNTIFS('All Papers'!$D:$D,"*"&amp;$A732&amp;"*",'All Papers'!$G:$G,"*"&amp;Table1[[#Headers],[Big Data]]&amp;"*")</f>
        <v>0</v>
      </c>
      <c r="K732" s="8">
        <f>COUNTIFS('All Papers'!$D:$D,"*"&amp;$A732&amp;"*",'All Papers'!$G:$G,"*"&amp;Table1[[#Headers],[Energy Management]]&amp;"*")</f>
        <v>0</v>
      </c>
      <c r="L732" s="8">
        <f>COUNTIFS('All Papers'!$D:$D,"*"&amp;$A732&amp;"*",'All Papers'!$G:$G,"*"&amp;Table1[[#Headers],[Monitoring]]&amp;"*")</f>
        <v>1</v>
      </c>
      <c r="M732" s="8">
        <f>COUNTIFS('All Papers'!$D:$D,"*"&amp;$A732&amp;"*",'All Papers'!$G:$G,"*"&amp;Table1[[#Headers],[Pricing]]&amp;"*")</f>
        <v>1</v>
      </c>
    </row>
    <row r="733" spans="1:13" x14ac:dyDescent="0.25">
      <c r="A733" s="8" t="s">
        <v>3166</v>
      </c>
      <c r="B733" s="8">
        <f>COUNTIF('All Papers'!D:D,"*"&amp;Table1[[#This Row],[Name]]&amp;"*")</f>
        <v>1</v>
      </c>
      <c r="C733" s="8">
        <f>COUNTIFS('All Papers'!$D:$D,"*"&amp;$A733&amp;"*",'All Papers'!$G:$G,"*"&amp;Table1[[#Headers],[Composition]]&amp;"*")</f>
        <v>0</v>
      </c>
      <c r="D733" s="8">
        <f>COUNTIFS('All Papers'!$D:$D,"*"&amp;$A733&amp;"*",'All Papers'!$G:$G,"*"&amp;Table1[[#Headers],[Discovery]]&amp;"*")</f>
        <v>1</v>
      </c>
      <c r="E733" s="8">
        <f>COUNTIFS('All Papers'!$D:$D,"*"&amp;$A733&amp;"*",'All Papers'!$G:$G,"*"&amp;Table1[[#Headers],[Selection]]&amp;"*")</f>
        <v>0</v>
      </c>
      <c r="F733" s="8">
        <f>COUNTIFS('All Papers'!$D:$D,"*"&amp;$A733&amp;"*",'All Papers'!$G:$G,"*"&amp;Table1[[#Headers],[Recommendation]]&amp;"*")</f>
        <v>0</v>
      </c>
      <c r="G733" s="8">
        <f>COUNTIFS('All Papers'!$D:$D,"*"&amp;$A733&amp;"*",'All Papers'!$G:$G,"*"&amp;Table1[[#Headers],[Resource Management-CS]]&amp;"*")</f>
        <v>0</v>
      </c>
      <c r="H733" s="8">
        <f>COUNTIFS('All Papers'!$D:$D,"*"&amp;$A733&amp;"*",'All Papers'!$G:$G,"*"&amp;Table1[[#Headers],[Resource Management-PS]]&amp;"*")</f>
        <v>0</v>
      </c>
      <c r="I733" s="8">
        <f>COUNTIFS('All Papers'!$D:$D,"*"&amp;$A733&amp;"*",'All Papers'!$G:$G,"*"&amp;Table1[[#Headers],[SLA Management]]&amp;"*")</f>
        <v>0</v>
      </c>
      <c r="J733" s="8">
        <f>COUNTIFS('All Papers'!$D:$D,"*"&amp;$A733&amp;"*",'All Papers'!$G:$G,"*"&amp;Table1[[#Headers],[Big Data]]&amp;"*")</f>
        <v>0</v>
      </c>
      <c r="K733" s="8">
        <f>COUNTIFS('All Papers'!$D:$D,"*"&amp;$A733&amp;"*",'All Papers'!$G:$G,"*"&amp;Table1[[#Headers],[Energy Management]]&amp;"*")</f>
        <v>0</v>
      </c>
      <c r="L733" s="8">
        <f>COUNTIFS('All Papers'!$D:$D,"*"&amp;$A733&amp;"*",'All Papers'!$G:$G,"*"&amp;Table1[[#Headers],[Monitoring]]&amp;"*")</f>
        <v>1</v>
      </c>
      <c r="M733" s="8">
        <f>COUNTIFS('All Papers'!$D:$D,"*"&amp;$A733&amp;"*",'All Papers'!$G:$G,"*"&amp;Table1[[#Headers],[Pricing]]&amp;"*")</f>
        <v>1</v>
      </c>
    </row>
    <row r="734" spans="1:13" x14ac:dyDescent="0.25">
      <c r="A734" s="8" t="s">
        <v>3167</v>
      </c>
      <c r="B734" s="8">
        <f>COUNTIF('All Papers'!D:D,"*"&amp;Table1[[#This Row],[Name]]&amp;"*")</f>
        <v>1</v>
      </c>
      <c r="C734" s="8">
        <f>COUNTIFS('All Papers'!$D:$D,"*"&amp;$A734&amp;"*",'All Papers'!$G:$G,"*"&amp;Table1[[#Headers],[Composition]]&amp;"*")</f>
        <v>0</v>
      </c>
      <c r="D734" s="8">
        <f>COUNTIFS('All Papers'!$D:$D,"*"&amp;$A734&amp;"*",'All Papers'!$G:$G,"*"&amp;Table1[[#Headers],[Discovery]]&amp;"*")</f>
        <v>0</v>
      </c>
      <c r="E734" s="8">
        <f>COUNTIFS('All Papers'!$D:$D,"*"&amp;$A734&amp;"*",'All Papers'!$G:$G,"*"&amp;Table1[[#Headers],[Selection]]&amp;"*")</f>
        <v>1</v>
      </c>
      <c r="F734" s="8">
        <f>COUNTIFS('All Papers'!$D:$D,"*"&amp;$A734&amp;"*",'All Papers'!$G:$G,"*"&amp;Table1[[#Headers],[Recommendation]]&amp;"*")</f>
        <v>0</v>
      </c>
      <c r="G734" s="8">
        <f>COUNTIFS('All Papers'!$D:$D,"*"&amp;$A734&amp;"*",'All Papers'!$G:$G,"*"&amp;Table1[[#Headers],[Resource Management-CS]]&amp;"*")</f>
        <v>0</v>
      </c>
      <c r="H734" s="8">
        <f>COUNTIFS('All Papers'!$D:$D,"*"&amp;$A734&amp;"*",'All Papers'!$G:$G,"*"&amp;Table1[[#Headers],[Resource Management-PS]]&amp;"*")</f>
        <v>0</v>
      </c>
      <c r="I734" s="8">
        <f>COUNTIFS('All Papers'!$D:$D,"*"&amp;$A734&amp;"*",'All Papers'!$G:$G,"*"&amp;Table1[[#Headers],[SLA Management]]&amp;"*")</f>
        <v>0</v>
      </c>
      <c r="J734" s="8">
        <f>COUNTIFS('All Papers'!$D:$D,"*"&amp;$A734&amp;"*",'All Papers'!$G:$G,"*"&amp;Table1[[#Headers],[Big Data]]&amp;"*")</f>
        <v>0</v>
      </c>
      <c r="K734" s="8">
        <f>COUNTIFS('All Papers'!$D:$D,"*"&amp;$A734&amp;"*",'All Papers'!$G:$G,"*"&amp;Table1[[#Headers],[Energy Management]]&amp;"*")</f>
        <v>0</v>
      </c>
      <c r="L734" s="8">
        <f>COUNTIFS('All Papers'!$D:$D,"*"&amp;$A734&amp;"*",'All Papers'!$G:$G,"*"&amp;Table1[[#Headers],[Monitoring]]&amp;"*")</f>
        <v>0</v>
      </c>
      <c r="M734" s="8">
        <f>COUNTIFS('All Papers'!$D:$D,"*"&amp;$A734&amp;"*",'All Papers'!$G:$G,"*"&amp;Table1[[#Headers],[Pricing]]&amp;"*")</f>
        <v>0</v>
      </c>
    </row>
    <row r="735" spans="1:13" x14ac:dyDescent="0.25">
      <c r="A735" s="8" t="s">
        <v>3168</v>
      </c>
      <c r="B735" s="8">
        <f>COUNTIF('All Papers'!D:D,"*"&amp;Table1[[#This Row],[Name]]&amp;"*")</f>
        <v>1</v>
      </c>
      <c r="C735" s="8">
        <f>COUNTIFS('All Papers'!$D:$D,"*"&amp;$A735&amp;"*",'All Papers'!$G:$G,"*"&amp;Table1[[#Headers],[Composition]]&amp;"*")</f>
        <v>0</v>
      </c>
      <c r="D735" s="8">
        <f>COUNTIFS('All Papers'!$D:$D,"*"&amp;$A735&amp;"*",'All Papers'!$G:$G,"*"&amp;Table1[[#Headers],[Discovery]]&amp;"*")</f>
        <v>0</v>
      </c>
      <c r="E735" s="8">
        <f>COUNTIFS('All Papers'!$D:$D,"*"&amp;$A735&amp;"*",'All Papers'!$G:$G,"*"&amp;Table1[[#Headers],[Selection]]&amp;"*")</f>
        <v>1</v>
      </c>
      <c r="F735" s="8">
        <f>COUNTIFS('All Papers'!$D:$D,"*"&amp;$A735&amp;"*",'All Papers'!$G:$G,"*"&amp;Table1[[#Headers],[Recommendation]]&amp;"*")</f>
        <v>0</v>
      </c>
      <c r="G735" s="8">
        <f>COUNTIFS('All Papers'!$D:$D,"*"&amp;$A735&amp;"*",'All Papers'!$G:$G,"*"&amp;Table1[[#Headers],[Resource Management-CS]]&amp;"*")</f>
        <v>0</v>
      </c>
      <c r="H735" s="8">
        <f>COUNTIFS('All Papers'!$D:$D,"*"&amp;$A735&amp;"*",'All Papers'!$G:$G,"*"&amp;Table1[[#Headers],[Resource Management-PS]]&amp;"*")</f>
        <v>0</v>
      </c>
      <c r="I735" s="8">
        <f>COUNTIFS('All Papers'!$D:$D,"*"&amp;$A735&amp;"*",'All Papers'!$G:$G,"*"&amp;Table1[[#Headers],[SLA Management]]&amp;"*")</f>
        <v>0</v>
      </c>
      <c r="J735" s="8">
        <f>COUNTIFS('All Papers'!$D:$D,"*"&amp;$A735&amp;"*",'All Papers'!$G:$G,"*"&amp;Table1[[#Headers],[Big Data]]&amp;"*")</f>
        <v>0</v>
      </c>
      <c r="K735" s="8">
        <f>COUNTIFS('All Papers'!$D:$D,"*"&amp;$A735&amp;"*",'All Papers'!$G:$G,"*"&amp;Table1[[#Headers],[Energy Management]]&amp;"*")</f>
        <v>0</v>
      </c>
      <c r="L735" s="8">
        <f>COUNTIFS('All Papers'!$D:$D,"*"&amp;$A735&amp;"*",'All Papers'!$G:$G,"*"&amp;Table1[[#Headers],[Monitoring]]&amp;"*")</f>
        <v>0</v>
      </c>
      <c r="M735" s="8">
        <f>COUNTIFS('All Papers'!$D:$D,"*"&amp;$A735&amp;"*",'All Papers'!$G:$G,"*"&amp;Table1[[#Headers],[Pricing]]&amp;"*")</f>
        <v>0</v>
      </c>
    </row>
    <row r="736" spans="1:13" x14ac:dyDescent="0.25">
      <c r="A736" s="8" t="s">
        <v>3169</v>
      </c>
      <c r="B736" s="8">
        <f>COUNTIF('All Papers'!D:D,"*"&amp;Table1[[#This Row],[Name]]&amp;"*")</f>
        <v>1</v>
      </c>
      <c r="C736" s="8">
        <f>COUNTIFS('All Papers'!$D:$D,"*"&amp;$A736&amp;"*",'All Papers'!$G:$G,"*"&amp;Table1[[#Headers],[Composition]]&amp;"*")</f>
        <v>1</v>
      </c>
      <c r="D736" s="8">
        <f>COUNTIFS('All Papers'!$D:$D,"*"&amp;$A736&amp;"*",'All Papers'!$G:$G,"*"&amp;Table1[[#Headers],[Discovery]]&amp;"*")</f>
        <v>0</v>
      </c>
      <c r="E736" s="8">
        <f>COUNTIFS('All Papers'!$D:$D,"*"&amp;$A736&amp;"*",'All Papers'!$G:$G,"*"&amp;Table1[[#Headers],[Selection]]&amp;"*")</f>
        <v>0</v>
      </c>
      <c r="F736" s="8">
        <f>COUNTIFS('All Papers'!$D:$D,"*"&amp;$A736&amp;"*",'All Papers'!$G:$G,"*"&amp;Table1[[#Headers],[Recommendation]]&amp;"*")</f>
        <v>0</v>
      </c>
      <c r="G736" s="8">
        <f>COUNTIFS('All Papers'!$D:$D,"*"&amp;$A736&amp;"*",'All Papers'!$G:$G,"*"&amp;Table1[[#Headers],[Resource Management-CS]]&amp;"*")</f>
        <v>0</v>
      </c>
      <c r="H736" s="8">
        <f>COUNTIFS('All Papers'!$D:$D,"*"&amp;$A736&amp;"*",'All Papers'!$G:$G,"*"&amp;Table1[[#Headers],[Resource Management-PS]]&amp;"*")</f>
        <v>0</v>
      </c>
      <c r="I736" s="8">
        <f>COUNTIFS('All Papers'!$D:$D,"*"&amp;$A736&amp;"*",'All Papers'!$G:$G,"*"&amp;Table1[[#Headers],[SLA Management]]&amp;"*")</f>
        <v>0</v>
      </c>
      <c r="J736" s="8">
        <f>COUNTIFS('All Papers'!$D:$D,"*"&amp;$A736&amp;"*",'All Papers'!$G:$G,"*"&amp;Table1[[#Headers],[Big Data]]&amp;"*")</f>
        <v>0</v>
      </c>
      <c r="K736" s="8">
        <f>COUNTIFS('All Papers'!$D:$D,"*"&amp;$A736&amp;"*",'All Papers'!$G:$G,"*"&amp;Table1[[#Headers],[Energy Management]]&amp;"*")</f>
        <v>0</v>
      </c>
      <c r="L736" s="8">
        <f>COUNTIFS('All Papers'!$D:$D,"*"&amp;$A736&amp;"*",'All Papers'!$G:$G,"*"&amp;Table1[[#Headers],[Monitoring]]&amp;"*")</f>
        <v>0</v>
      </c>
      <c r="M736" s="8">
        <f>COUNTIFS('All Papers'!$D:$D,"*"&amp;$A736&amp;"*",'All Papers'!$G:$G,"*"&amp;Table1[[#Headers],[Pricing]]&amp;"*")</f>
        <v>0</v>
      </c>
    </row>
    <row r="737" spans="1:13" x14ac:dyDescent="0.25">
      <c r="A737" s="8" t="s">
        <v>3170</v>
      </c>
      <c r="B737" s="8">
        <f>COUNTIF('All Papers'!D:D,"*"&amp;Table1[[#This Row],[Name]]&amp;"*")</f>
        <v>1</v>
      </c>
      <c r="C737" s="8">
        <f>COUNTIFS('All Papers'!$D:$D,"*"&amp;$A737&amp;"*",'All Papers'!$G:$G,"*"&amp;Table1[[#Headers],[Composition]]&amp;"*")</f>
        <v>1</v>
      </c>
      <c r="D737" s="8">
        <f>COUNTIFS('All Papers'!$D:$D,"*"&amp;$A737&amp;"*",'All Papers'!$G:$G,"*"&amp;Table1[[#Headers],[Discovery]]&amp;"*")</f>
        <v>0</v>
      </c>
      <c r="E737" s="8">
        <f>COUNTIFS('All Papers'!$D:$D,"*"&amp;$A737&amp;"*",'All Papers'!$G:$G,"*"&amp;Table1[[#Headers],[Selection]]&amp;"*")</f>
        <v>0</v>
      </c>
      <c r="F737" s="8">
        <f>COUNTIFS('All Papers'!$D:$D,"*"&amp;$A737&amp;"*",'All Papers'!$G:$G,"*"&amp;Table1[[#Headers],[Recommendation]]&amp;"*")</f>
        <v>0</v>
      </c>
      <c r="G737" s="8">
        <f>COUNTIFS('All Papers'!$D:$D,"*"&amp;$A737&amp;"*",'All Papers'!$G:$G,"*"&amp;Table1[[#Headers],[Resource Management-CS]]&amp;"*")</f>
        <v>0</v>
      </c>
      <c r="H737" s="8">
        <f>COUNTIFS('All Papers'!$D:$D,"*"&amp;$A737&amp;"*",'All Papers'!$G:$G,"*"&amp;Table1[[#Headers],[Resource Management-PS]]&amp;"*")</f>
        <v>0</v>
      </c>
      <c r="I737" s="8">
        <f>COUNTIFS('All Papers'!$D:$D,"*"&amp;$A737&amp;"*",'All Papers'!$G:$G,"*"&amp;Table1[[#Headers],[SLA Management]]&amp;"*")</f>
        <v>0</v>
      </c>
      <c r="J737" s="8">
        <f>COUNTIFS('All Papers'!$D:$D,"*"&amp;$A737&amp;"*",'All Papers'!$G:$G,"*"&amp;Table1[[#Headers],[Big Data]]&amp;"*")</f>
        <v>0</v>
      </c>
      <c r="K737" s="8">
        <f>COUNTIFS('All Papers'!$D:$D,"*"&amp;$A737&amp;"*",'All Papers'!$G:$G,"*"&amp;Table1[[#Headers],[Energy Management]]&amp;"*")</f>
        <v>0</v>
      </c>
      <c r="L737" s="8">
        <f>COUNTIFS('All Papers'!$D:$D,"*"&amp;$A737&amp;"*",'All Papers'!$G:$G,"*"&amp;Table1[[#Headers],[Monitoring]]&amp;"*")</f>
        <v>0</v>
      </c>
      <c r="M737" s="8">
        <f>COUNTIFS('All Papers'!$D:$D,"*"&amp;$A737&amp;"*",'All Papers'!$G:$G,"*"&amp;Table1[[#Headers],[Pricing]]&amp;"*")</f>
        <v>0</v>
      </c>
    </row>
    <row r="738" spans="1:13" x14ac:dyDescent="0.25">
      <c r="A738" s="8" t="s">
        <v>3171</v>
      </c>
      <c r="B738" s="8">
        <f>COUNTIF('All Papers'!D:D,"*"&amp;Table1[[#This Row],[Name]]&amp;"*")</f>
        <v>1</v>
      </c>
      <c r="C738" s="8">
        <f>COUNTIFS('All Papers'!$D:$D,"*"&amp;$A738&amp;"*",'All Papers'!$G:$G,"*"&amp;Table1[[#Headers],[Composition]]&amp;"*")</f>
        <v>1</v>
      </c>
      <c r="D738" s="8">
        <f>COUNTIFS('All Papers'!$D:$D,"*"&amp;$A738&amp;"*",'All Papers'!$G:$G,"*"&amp;Table1[[#Headers],[Discovery]]&amp;"*")</f>
        <v>0</v>
      </c>
      <c r="E738" s="8">
        <f>COUNTIFS('All Papers'!$D:$D,"*"&amp;$A738&amp;"*",'All Papers'!$G:$G,"*"&amp;Table1[[#Headers],[Selection]]&amp;"*")</f>
        <v>0</v>
      </c>
      <c r="F738" s="8">
        <f>COUNTIFS('All Papers'!$D:$D,"*"&amp;$A738&amp;"*",'All Papers'!$G:$G,"*"&amp;Table1[[#Headers],[Recommendation]]&amp;"*")</f>
        <v>0</v>
      </c>
      <c r="G738" s="8">
        <f>COUNTIFS('All Papers'!$D:$D,"*"&amp;$A738&amp;"*",'All Papers'!$G:$G,"*"&amp;Table1[[#Headers],[Resource Management-CS]]&amp;"*")</f>
        <v>0</v>
      </c>
      <c r="H738" s="8">
        <f>COUNTIFS('All Papers'!$D:$D,"*"&amp;$A738&amp;"*",'All Papers'!$G:$G,"*"&amp;Table1[[#Headers],[Resource Management-PS]]&amp;"*")</f>
        <v>0</v>
      </c>
      <c r="I738" s="8">
        <f>COUNTIFS('All Papers'!$D:$D,"*"&amp;$A738&amp;"*",'All Papers'!$G:$G,"*"&amp;Table1[[#Headers],[SLA Management]]&amp;"*")</f>
        <v>0</v>
      </c>
      <c r="J738" s="8">
        <f>COUNTIFS('All Papers'!$D:$D,"*"&amp;$A738&amp;"*",'All Papers'!$G:$G,"*"&amp;Table1[[#Headers],[Big Data]]&amp;"*")</f>
        <v>0</v>
      </c>
      <c r="K738" s="8">
        <f>COUNTIFS('All Papers'!$D:$D,"*"&amp;$A738&amp;"*",'All Papers'!$G:$G,"*"&amp;Table1[[#Headers],[Energy Management]]&amp;"*")</f>
        <v>0</v>
      </c>
      <c r="L738" s="8">
        <f>COUNTIFS('All Papers'!$D:$D,"*"&amp;$A738&amp;"*",'All Papers'!$G:$G,"*"&amp;Table1[[#Headers],[Monitoring]]&amp;"*")</f>
        <v>0</v>
      </c>
      <c r="M738" s="8">
        <f>COUNTIFS('All Papers'!$D:$D,"*"&amp;$A738&amp;"*",'All Papers'!$G:$G,"*"&amp;Table1[[#Headers],[Pricing]]&amp;"*")</f>
        <v>0</v>
      </c>
    </row>
    <row r="739" spans="1:13" x14ac:dyDescent="0.25">
      <c r="A739" s="8" t="s">
        <v>3172</v>
      </c>
      <c r="B739" s="8">
        <f>COUNTIF('All Papers'!D:D,"*"&amp;Table1[[#This Row],[Name]]&amp;"*")</f>
        <v>1</v>
      </c>
      <c r="C739" s="8">
        <f>COUNTIFS('All Papers'!$D:$D,"*"&amp;$A739&amp;"*",'All Papers'!$G:$G,"*"&amp;Table1[[#Headers],[Composition]]&amp;"*")</f>
        <v>1</v>
      </c>
      <c r="D739" s="8">
        <f>COUNTIFS('All Papers'!$D:$D,"*"&amp;$A739&amp;"*",'All Papers'!$G:$G,"*"&amp;Table1[[#Headers],[Discovery]]&amp;"*")</f>
        <v>0</v>
      </c>
      <c r="E739" s="8">
        <f>COUNTIFS('All Papers'!$D:$D,"*"&amp;$A739&amp;"*",'All Papers'!$G:$G,"*"&amp;Table1[[#Headers],[Selection]]&amp;"*")</f>
        <v>0</v>
      </c>
      <c r="F739" s="8">
        <f>COUNTIFS('All Papers'!$D:$D,"*"&amp;$A739&amp;"*",'All Papers'!$G:$G,"*"&amp;Table1[[#Headers],[Recommendation]]&amp;"*")</f>
        <v>0</v>
      </c>
      <c r="G739" s="8">
        <f>COUNTIFS('All Papers'!$D:$D,"*"&amp;$A739&amp;"*",'All Papers'!$G:$G,"*"&amp;Table1[[#Headers],[Resource Management-CS]]&amp;"*")</f>
        <v>0</v>
      </c>
      <c r="H739" s="8">
        <f>COUNTIFS('All Papers'!$D:$D,"*"&amp;$A739&amp;"*",'All Papers'!$G:$G,"*"&amp;Table1[[#Headers],[Resource Management-PS]]&amp;"*")</f>
        <v>0</v>
      </c>
      <c r="I739" s="8">
        <f>COUNTIFS('All Papers'!$D:$D,"*"&amp;$A739&amp;"*",'All Papers'!$G:$G,"*"&amp;Table1[[#Headers],[SLA Management]]&amp;"*")</f>
        <v>0</v>
      </c>
      <c r="J739" s="8">
        <f>COUNTIFS('All Papers'!$D:$D,"*"&amp;$A739&amp;"*",'All Papers'!$G:$G,"*"&amp;Table1[[#Headers],[Big Data]]&amp;"*")</f>
        <v>0</v>
      </c>
      <c r="K739" s="8">
        <f>COUNTIFS('All Papers'!$D:$D,"*"&amp;$A739&amp;"*",'All Papers'!$G:$G,"*"&amp;Table1[[#Headers],[Energy Management]]&amp;"*")</f>
        <v>0</v>
      </c>
      <c r="L739" s="8">
        <f>COUNTIFS('All Papers'!$D:$D,"*"&amp;$A739&amp;"*",'All Papers'!$G:$G,"*"&amp;Table1[[#Headers],[Monitoring]]&amp;"*")</f>
        <v>0</v>
      </c>
      <c r="M739" s="8">
        <f>COUNTIFS('All Papers'!$D:$D,"*"&amp;$A739&amp;"*",'All Papers'!$G:$G,"*"&amp;Table1[[#Headers],[Pricing]]&amp;"*")</f>
        <v>0</v>
      </c>
    </row>
    <row r="740" spans="1:13" x14ac:dyDescent="0.25">
      <c r="A740" s="8" t="s">
        <v>3173</v>
      </c>
      <c r="B740" s="8">
        <f>COUNTIF('All Papers'!D:D,"*"&amp;Table1[[#This Row],[Name]]&amp;"*")</f>
        <v>1</v>
      </c>
      <c r="C740" s="8">
        <f>COUNTIFS('All Papers'!$D:$D,"*"&amp;$A740&amp;"*",'All Papers'!$G:$G,"*"&amp;Table1[[#Headers],[Composition]]&amp;"*")</f>
        <v>1</v>
      </c>
      <c r="D740" s="8">
        <f>COUNTIFS('All Papers'!$D:$D,"*"&amp;$A740&amp;"*",'All Papers'!$G:$G,"*"&amp;Table1[[#Headers],[Discovery]]&amp;"*")</f>
        <v>0</v>
      </c>
      <c r="E740" s="8">
        <f>COUNTIFS('All Papers'!$D:$D,"*"&amp;$A740&amp;"*",'All Papers'!$G:$G,"*"&amp;Table1[[#Headers],[Selection]]&amp;"*")</f>
        <v>0</v>
      </c>
      <c r="F740" s="8">
        <f>COUNTIFS('All Papers'!$D:$D,"*"&amp;$A740&amp;"*",'All Papers'!$G:$G,"*"&amp;Table1[[#Headers],[Recommendation]]&amp;"*")</f>
        <v>0</v>
      </c>
      <c r="G740" s="8">
        <f>COUNTIFS('All Papers'!$D:$D,"*"&amp;$A740&amp;"*",'All Papers'!$G:$G,"*"&amp;Table1[[#Headers],[Resource Management-CS]]&amp;"*")</f>
        <v>0</v>
      </c>
      <c r="H740" s="8">
        <f>COUNTIFS('All Papers'!$D:$D,"*"&amp;$A740&amp;"*",'All Papers'!$G:$G,"*"&amp;Table1[[#Headers],[Resource Management-PS]]&amp;"*")</f>
        <v>0</v>
      </c>
      <c r="I740" s="8">
        <f>COUNTIFS('All Papers'!$D:$D,"*"&amp;$A740&amp;"*",'All Papers'!$G:$G,"*"&amp;Table1[[#Headers],[SLA Management]]&amp;"*")</f>
        <v>0</v>
      </c>
      <c r="J740" s="8">
        <f>COUNTIFS('All Papers'!$D:$D,"*"&amp;$A740&amp;"*",'All Papers'!$G:$G,"*"&amp;Table1[[#Headers],[Big Data]]&amp;"*")</f>
        <v>0</v>
      </c>
      <c r="K740" s="8">
        <f>COUNTIFS('All Papers'!$D:$D,"*"&amp;$A740&amp;"*",'All Papers'!$G:$G,"*"&amp;Table1[[#Headers],[Energy Management]]&amp;"*")</f>
        <v>0</v>
      </c>
      <c r="L740" s="8">
        <f>COUNTIFS('All Papers'!$D:$D,"*"&amp;$A740&amp;"*",'All Papers'!$G:$G,"*"&amp;Table1[[#Headers],[Monitoring]]&amp;"*")</f>
        <v>0</v>
      </c>
      <c r="M740" s="8">
        <f>COUNTIFS('All Papers'!$D:$D,"*"&amp;$A740&amp;"*",'All Papers'!$G:$G,"*"&amp;Table1[[#Headers],[Pricing]]&amp;"*")</f>
        <v>0</v>
      </c>
    </row>
    <row r="741" spans="1:13" x14ac:dyDescent="0.25">
      <c r="A741" s="8" t="s">
        <v>3174</v>
      </c>
      <c r="B741" s="8">
        <f>COUNTIF('All Papers'!D:D,"*"&amp;Table1[[#This Row],[Name]]&amp;"*")</f>
        <v>1</v>
      </c>
      <c r="C741" s="8">
        <f>COUNTIFS('All Papers'!$D:$D,"*"&amp;$A741&amp;"*",'All Papers'!$G:$G,"*"&amp;Table1[[#Headers],[Composition]]&amp;"*")</f>
        <v>1</v>
      </c>
      <c r="D741" s="8">
        <f>COUNTIFS('All Papers'!$D:$D,"*"&amp;$A741&amp;"*",'All Papers'!$G:$G,"*"&amp;Table1[[#Headers],[Discovery]]&amp;"*")</f>
        <v>0</v>
      </c>
      <c r="E741" s="8">
        <f>COUNTIFS('All Papers'!$D:$D,"*"&amp;$A741&amp;"*",'All Papers'!$G:$G,"*"&amp;Table1[[#Headers],[Selection]]&amp;"*")</f>
        <v>0</v>
      </c>
      <c r="F741" s="8">
        <f>COUNTIFS('All Papers'!$D:$D,"*"&amp;$A741&amp;"*",'All Papers'!$G:$G,"*"&amp;Table1[[#Headers],[Recommendation]]&amp;"*")</f>
        <v>0</v>
      </c>
      <c r="G741" s="8">
        <f>COUNTIFS('All Papers'!$D:$D,"*"&amp;$A741&amp;"*",'All Papers'!$G:$G,"*"&amp;Table1[[#Headers],[Resource Management-CS]]&amp;"*")</f>
        <v>0</v>
      </c>
      <c r="H741" s="8">
        <f>COUNTIFS('All Papers'!$D:$D,"*"&amp;$A741&amp;"*",'All Papers'!$G:$G,"*"&amp;Table1[[#Headers],[Resource Management-PS]]&amp;"*")</f>
        <v>0</v>
      </c>
      <c r="I741" s="8">
        <f>COUNTIFS('All Papers'!$D:$D,"*"&amp;$A741&amp;"*",'All Papers'!$G:$G,"*"&amp;Table1[[#Headers],[SLA Management]]&amp;"*")</f>
        <v>0</v>
      </c>
      <c r="J741" s="8">
        <f>COUNTIFS('All Papers'!$D:$D,"*"&amp;$A741&amp;"*",'All Papers'!$G:$G,"*"&amp;Table1[[#Headers],[Big Data]]&amp;"*")</f>
        <v>0</v>
      </c>
      <c r="K741" s="8">
        <f>COUNTIFS('All Papers'!$D:$D,"*"&amp;$A741&amp;"*",'All Papers'!$G:$G,"*"&amp;Table1[[#Headers],[Energy Management]]&amp;"*")</f>
        <v>0</v>
      </c>
      <c r="L741" s="8">
        <f>COUNTIFS('All Papers'!$D:$D,"*"&amp;$A741&amp;"*",'All Papers'!$G:$G,"*"&amp;Table1[[#Headers],[Monitoring]]&amp;"*")</f>
        <v>0</v>
      </c>
      <c r="M741" s="8">
        <f>COUNTIFS('All Papers'!$D:$D,"*"&amp;$A741&amp;"*",'All Papers'!$G:$G,"*"&amp;Table1[[#Headers],[Pricing]]&amp;"*")</f>
        <v>0</v>
      </c>
    </row>
    <row r="742" spans="1:13" x14ac:dyDescent="0.25">
      <c r="A742" s="8" t="s">
        <v>3175</v>
      </c>
      <c r="B742" s="8">
        <f>COUNTIF('All Papers'!D:D,"*"&amp;Table1[[#This Row],[Name]]&amp;"*")</f>
        <v>1</v>
      </c>
      <c r="C742" s="8">
        <f>COUNTIFS('All Papers'!$D:$D,"*"&amp;$A742&amp;"*",'All Papers'!$G:$G,"*"&amp;Table1[[#Headers],[Composition]]&amp;"*")</f>
        <v>1</v>
      </c>
      <c r="D742" s="8">
        <f>COUNTIFS('All Papers'!$D:$D,"*"&amp;$A742&amp;"*",'All Papers'!$G:$G,"*"&amp;Table1[[#Headers],[Discovery]]&amp;"*")</f>
        <v>0</v>
      </c>
      <c r="E742" s="8">
        <f>COUNTIFS('All Papers'!$D:$D,"*"&amp;$A742&amp;"*",'All Papers'!$G:$G,"*"&amp;Table1[[#Headers],[Selection]]&amp;"*")</f>
        <v>0</v>
      </c>
      <c r="F742" s="8">
        <f>COUNTIFS('All Papers'!$D:$D,"*"&amp;$A742&amp;"*",'All Papers'!$G:$G,"*"&amp;Table1[[#Headers],[Recommendation]]&amp;"*")</f>
        <v>0</v>
      </c>
      <c r="G742" s="8">
        <f>COUNTIFS('All Papers'!$D:$D,"*"&amp;$A742&amp;"*",'All Papers'!$G:$G,"*"&amp;Table1[[#Headers],[Resource Management-CS]]&amp;"*")</f>
        <v>0</v>
      </c>
      <c r="H742" s="8">
        <f>COUNTIFS('All Papers'!$D:$D,"*"&amp;$A742&amp;"*",'All Papers'!$G:$G,"*"&amp;Table1[[#Headers],[Resource Management-PS]]&amp;"*")</f>
        <v>0</v>
      </c>
      <c r="I742" s="8">
        <f>COUNTIFS('All Papers'!$D:$D,"*"&amp;$A742&amp;"*",'All Papers'!$G:$G,"*"&amp;Table1[[#Headers],[SLA Management]]&amp;"*")</f>
        <v>0</v>
      </c>
      <c r="J742" s="8">
        <f>COUNTIFS('All Papers'!$D:$D,"*"&amp;$A742&amp;"*",'All Papers'!$G:$G,"*"&amp;Table1[[#Headers],[Big Data]]&amp;"*")</f>
        <v>0</v>
      </c>
      <c r="K742" s="8">
        <f>COUNTIFS('All Papers'!$D:$D,"*"&amp;$A742&amp;"*",'All Papers'!$G:$G,"*"&amp;Table1[[#Headers],[Energy Management]]&amp;"*")</f>
        <v>0</v>
      </c>
      <c r="L742" s="8">
        <f>COUNTIFS('All Papers'!$D:$D,"*"&amp;$A742&amp;"*",'All Papers'!$G:$G,"*"&amp;Table1[[#Headers],[Monitoring]]&amp;"*")</f>
        <v>0</v>
      </c>
      <c r="M742" s="8">
        <f>COUNTIFS('All Papers'!$D:$D,"*"&amp;$A742&amp;"*",'All Papers'!$G:$G,"*"&amp;Table1[[#Headers],[Pricing]]&amp;"*")</f>
        <v>0</v>
      </c>
    </row>
    <row r="743" spans="1:13" x14ac:dyDescent="0.25">
      <c r="A743" s="8" t="s">
        <v>3176</v>
      </c>
      <c r="B743" s="8">
        <f>COUNTIF('All Papers'!D:D,"*"&amp;Table1[[#This Row],[Name]]&amp;"*")</f>
        <v>1</v>
      </c>
      <c r="C743" s="8">
        <f>COUNTIFS('All Papers'!$D:$D,"*"&amp;$A743&amp;"*",'All Papers'!$G:$G,"*"&amp;Table1[[#Headers],[Composition]]&amp;"*")</f>
        <v>1</v>
      </c>
      <c r="D743" s="8">
        <f>COUNTIFS('All Papers'!$D:$D,"*"&amp;$A743&amp;"*",'All Papers'!$G:$G,"*"&amp;Table1[[#Headers],[Discovery]]&amp;"*")</f>
        <v>0</v>
      </c>
      <c r="E743" s="8">
        <f>COUNTIFS('All Papers'!$D:$D,"*"&amp;$A743&amp;"*",'All Papers'!$G:$G,"*"&amp;Table1[[#Headers],[Selection]]&amp;"*")</f>
        <v>1</v>
      </c>
      <c r="F743" s="8">
        <f>COUNTIFS('All Papers'!$D:$D,"*"&amp;$A743&amp;"*",'All Papers'!$G:$G,"*"&amp;Table1[[#Headers],[Recommendation]]&amp;"*")</f>
        <v>1</v>
      </c>
      <c r="G743" s="8">
        <f>COUNTIFS('All Papers'!$D:$D,"*"&amp;$A743&amp;"*",'All Papers'!$G:$G,"*"&amp;Table1[[#Headers],[Resource Management-CS]]&amp;"*")</f>
        <v>0</v>
      </c>
      <c r="H743" s="8">
        <f>COUNTIFS('All Papers'!$D:$D,"*"&amp;$A743&amp;"*",'All Papers'!$G:$G,"*"&amp;Table1[[#Headers],[Resource Management-PS]]&amp;"*")</f>
        <v>0</v>
      </c>
      <c r="I743" s="8">
        <f>COUNTIFS('All Papers'!$D:$D,"*"&amp;$A743&amp;"*",'All Papers'!$G:$G,"*"&amp;Table1[[#Headers],[SLA Management]]&amp;"*")</f>
        <v>0</v>
      </c>
      <c r="J743" s="8">
        <f>COUNTIFS('All Papers'!$D:$D,"*"&amp;$A743&amp;"*",'All Papers'!$G:$G,"*"&amp;Table1[[#Headers],[Big Data]]&amp;"*")</f>
        <v>0</v>
      </c>
      <c r="K743" s="8">
        <f>COUNTIFS('All Papers'!$D:$D,"*"&amp;$A743&amp;"*",'All Papers'!$G:$G,"*"&amp;Table1[[#Headers],[Energy Management]]&amp;"*")</f>
        <v>0</v>
      </c>
      <c r="L743" s="8">
        <f>COUNTIFS('All Papers'!$D:$D,"*"&amp;$A743&amp;"*",'All Papers'!$G:$G,"*"&amp;Table1[[#Headers],[Monitoring]]&amp;"*")</f>
        <v>0</v>
      </c>
      <c r="M743" s="8">
        <f>COUNTIFS('All Papers'!$D:$D,"*"&amp;$A743&amp;"*",'All Papers'!$G:$G,"*"&amp;Table1[[#Headers],[Pricing]]&amp;"*")</f>
        <v>0</v>
      </c>
    </row>
    <row r="744" spans="1:13" x14ac:dyDescent="0.25">
      <c r="A744" s="8" t="s">
        <v>3177</v>
      </c>
      <c r="B744" s="8">
        <f>COUNTIF('All Papers'!D:D,"*"&amp;Table1[[#This Row],[Name]]&amp;"*")</f>
        <v>1</v>
      </c>
      <c r="C744" s="8">
        <f>COUNTIFS('All Papers'!$D:$D,"*"&amp;$A744&amp;"*",'All Papers'!$G:$G,"*"&amp;Table1[[#Headers],[Composition]]&amp;"*")</f>
        <v>1</v>
      </c>
      <c r="D744" s="8">
        <f>COUNTIFS('All Papers'!$D:$D,"*"&amp;$A744&amp;"*",'All Papers'!$G:$G,"*"&amp;Table1[[#Headers],[Discovery]]&amp;"*")</f>
        <v>0</v>
      </c>
      <c r="E744" s="8">
        <f>COUNTIFS('All Papers'!$D:$D,"*"&amp;$A744&amp;"*",'All Papers'!$G:$G,"*"&amp;Table1[[#Headers],[Selection]]&amp;"*")</f>
        <v>0</v>
      </c>
      <c r="F744" s="8">
        <f>COUNTIFS('All Papers'!$D:$D,"*"&amp;$A744&amp;"*",'All Papers'!$G:$G,"*"&amp;Table1[[#Headers],[Recommendation]]&amp;"*")</f>
        <v>0</v>
      </c>
      <c r="G744" s="8">
        <f>COUNTIFS('All Papers'!$D:$D,"*"&amp;$A744&amp;"*",'All Papers'!$G:$G,"*"&amp;Table1[[#Headers],[Resource Management-CS]]&amp;"*")</f>
        <v>0</v>
      </c>
      <c r="H744" s="8">
        <f>COUNTIFS('All Papers'!$D:$D,"*"&amp;$A744&amp;"*",'All Papers'!$G:$G,"*"&amp;Table1[[#Headers],[Resource Management-PS]]&amp;"*")</f>
        <v>0</v>
      </c>
      <c r="I744" s="8">
        <f>COUNTIFS('All Papers'!$D:$D,"*"&amp;$A744&amp;"*",'All Papers'!$G:$G,"*"&amp;Table1[[#Headers],[SLA Management]]&amp;"*")</f>
        <v>0</v>
      </c>
      <c r="J744" s="8">
        <f>COUNTIFS('All Papers'!$D:$D,"*"&amp;$A744&amp;"*",'All Papers'!$G:$G,"*"&amp;Table1[[#Headers],[Big Data]]&amp;"*")</f>
        <v>0</v>
      </c>
      <c r="K744" s="8">
        <f>COUNTIFS('All Papers'!$D:$D,"*"&amp;$A744&amp;"*",'All Papers'!$G:$G,"*"&amp;Table1[[#Headers],[Energy Management]]&amp;"*")</f>
        <v>0</v>
      </c>
      <c r="L744" s="8">
        <f>COUNTIFS('All Papers'!$D:$D,"*"&amp;$A744&amp;"*",'All Papers'!$G:$G,"*"&amp;Table1[[#Headers],[Monitoring]]&amp;"*")</f>
        <v>0</v>
      </c>
      <c r="M744" s="8">
        <f>COUNTIFS('All Papers'!$D:$D,"*"&amp;$A744&amp;"*",'All Papers'!$G:$G,"*"&amp;Table1[[#Headers],[Pricing]]&amp;"*")</f>
        <v>0</v>
      </c>
    </row>
    <row r="745" spans="1:13" x14ac:dyDescent="0.25">
      <c r="A745" s="8" t="s">
        <v>3178</v>
      </c>
      <c r="B745" s="8">
        <f>COUNTIF('All Papers'!D:D,"*"&amp;Table1[[#This Row],[Name]]&amp;"*")</f>
        <v>1</v>
      </c>
      <c r="C745" s="8">
        <f>COUNTIFS('All Papers'!$D:$D,"*"&amp;$A745&amp;"*",'All Papers'!$G:$G,"*"&amp;Table1[[#Headers],[Composition]]&amp;"*")</f>
        <v>1</v>
      </c>
      <c r="D745" s="8">
        <f>COUNTIFS('All Papers'!$D:$D,"*"&amp;$A745&amp;"*",'All Papers'!$G:$G,"*"&amp;Table1[[#Headers],[Discovery]]&amp;"*")</f>
        <v>0</v>
      </c>
      <c r="E745" s="8">
        <f>COUNTIFS('All Papers'!$D:$D,"*"&amp;$A745&amp;"*",'All Papers'!$G:$G,"*"&amp;Table1[[#Headers],[Selection]]&amp;"*")</f>
        <v>0</v>
      </c>
      <c r="F745" s="8">
        <f>COUNTIFS('All Papers'!$D:$D,"*"&amp;$A745&amp;"*",'All Papers'!$G:$G,"*"&amp;Table1[[#Headers],[Recommendation]]&amp;"*")</f>
        <v>0</v>
      </c>
      <c r="G745" s="8">
        <f>COUNTIFS('All Papers'!$D:$D,"*"&amp;$A745&amp;"*",'All Papers'!$G:$G,"*"&amp;Table1[[#Headers],[Resource Management-CS]]&amp;"*")</f>
        <v>0</v>
      </c>
      <c r="H745" s="8">
        <f>COUNTIFS('All Papers'!$D:$D,"*"&amp;$A745&amp;"*",'All Papers'!$G:$G,"*"&amp;Table1[[#Headers],[Resource Management-PS]]&amp;"*")</f>
        <v>0</v>
      </c>
      <c r="I745" s="8">
        <f>COUNTIFS('All Papers'!$D:$D,"*"&amp;$A745&amp;"*",'All Papers'!$G:$G,"*"&amp;Table1[[#Headers],[SLA Management]]&amp;"*")</f>
        <v>0</v>
      </c>
      <c r="J745" s="8">
        <f>COUNTIFS('All Papers'!$D:$D,"*"&amp;$A745&amp;"*",'All Papers'!$G:$G,"*"&amp;Table1[[#Headers],[Big Data]]&amp;"*")</f>
        <v>0</v>
      </c>
      <c r="K745" s="8">
        <f>COUNTIFS('All Papers'!$D:$D,"*"&amp;$A745&amp;"*",'All Papers'!$G:$G,"*"&amp;Table1[[#Headers],[Energy Management]]&amp;"*")</f>
        <v>0</v>
      </c>
      <c r="L745" s="8">
        <f>COUNTIFS('All Papers'!$D:$D,"*"&amp;$A745&amp;"*",'All Papers'!$G:$G,"*"&amp;Table1[[#Headers],[Monitoring]]&amp;"*")</f>
        <v>0</v>
      </c>
      <c r="M745" s="8">
        <f>COUNTIFS('All Papers'!$D:$D,"*"&amp;$A745&amp;"*",'All Papers'!$G:$G,"*"&amp;Table1[[#Headers],[Pricing]]&amp;"*")</f>
        <v>0</v>
      </c>
    </row>
    <row r="746" spans="1:13" x14ac:dyDescent="0.25">
      <c r="A746" s="8" t="s">
        <v>3179</v>
      </c>
      <c r="B746" s="8">
        <f>COUNTIF('All Papers'!D:D,"*"&amp;Table1[[#This Row],[Name]]&amp;"*")</f>
        <v>1</v>
      </c>
      <c r="C746" s="8">
        <f>COUNTIFS('All Papers'!$D:$D,"*"&amp;$A746&amp;"*",'All Papers'!$G:$G,"*"&amp;Table1[[#Headers],[Composition]]&amp;"*")</f>
        <v>1</v>
      </c>
      <c r="D746" s="8">
        <f>COUNTIFS('All Papers'!$D:$D,"*"&amp;$A746&amp;"*",'All Papers'!$G:$G,"*"&amp;Table1[[#Headers],[Discovery]]&amp;"*")</f>
        <v>0</v>
      </c>
      <c r="E746" s="8">
        <f>COUNTIFS('All Papers'!$D:$D,"*"&amp;$A746&amp;"*",'All Papers'!$G:$G,"*"&amp;Table1[[#Headers],[Selection]]&amp;"*")</f>
        <v>0</v>
      </c>
      <c r="F746" s="8">
        <f>COUNTIFS('All Papers'!$D:$D,"*"&amp;$A746&amp;"*",'All Papers'!$G:$G,"*"&amp;Table1[[#Headers],[Recommendation]]&amp;"*")</f>
        <v>0</v>
      </c>
      <c r="G746" s="8">
        <f>COUNTIFS('All Papers'!$D:$D,"*"&amp;$A746&amp;"*",'All Papers'!$G:$G,"*"&amp;Table1[[#Headers],[Resource Management-CS]]&amp;"*")</f>
        <v>0</v>
      </c>
      <c r="H746" s="8">
        <f>COUNTIFS('All Papers'!$D:$D,"*"&amp;$A746&amp;"*",'All Papers'!$G:$G,"*"&amp;Table1[[#Headers],[Resource Management-PS]]&amp;"*")</f>
        <v>0</v>
      </c>
      <c r="I746" s="8">
        <f>COUNTIFS('All Papers'!$D:$D,"*"&amp;$A746&amp;"*",'All Papers'!$G:$G,"*"&amp;Table1[[#Headers],[SLA Management]]&amp;"*")</f>
        <v>0</v>
      </c>
      <c r="J746" s="8">
        <f>COUNTIFS('All Papers'!$D:$D,"*"&amp;$A746&amp;"*",'All Papers'!$G:$G,"*"&amp;Table1[[#Headers],[Big Data]]&amp;"*")</f>
        <v>0</v>
      </c>
      <c r="K746" s="8">
        <f>COUNTIFS('All Papers'!$D:$D,"*"&amp;$A746&amp;"*",'All Papers'!$G:$G,"*"&amp;Table1[[#Headers],[Energy Management]]&amp;"*")</f>
        <v>0</v>
      </c>
      <c r="L746" s="8">
        <f>COUNTIFS('All Papers'!$D:$D,"*"&amp;$A746&amp;"*",'All Papers'!$G:$G,"*"&amp;Table1[[#Headers],[Monitoring]]&amp;"*")</f>
        <v>0</v>
      </c>
      <c r="M746" s="8">
        <f>COUNTIFS('All Papers'!$D:$D,"*"&amp;$A746&amp;"*",'All Papers'!$G:$G,"*"&amp;Table1[[#Headers],[Pricing]]&amp;"*")</f>
        <v>0</v>
      </c>
    </row>
    <row r="747" spans="1:13" x14ac:dyDescent="0.25">
      <c r="A747" s="8" t="s">
        <v>3180</v>
      </c>
      <c r="B747" s="8">
        <f>COUNTIF('All Papers'!D:D,"*"&amp;Table1[[#This Row],[Name]]&amp;"*")</f>
        <v>1</v>
      </c>
      <c r="C747" s="8">
        <f>COUNTIFS('All Papers'!$D:$D,"*"&amp;$A747&amp;"*",'All Papers'!$G:$G,"*"&amp;Table1[[#Headers],[Composition]]&amp;"*")</f>
        <v>1</v>
      </c>
      <c r="D747" s="8">
        <f>COUNTIFS('All Papers'!$D:$D,"*"&amp;$A747&amp;"*",'All Papers'!$G:$G,"*"&amp;Table1[[#Headers],[Discovery]]&amp;"*")</f>
        <v>0</v>
      </c>
      <c r="E747" s="8">
        <f>COUNTIFS('All Papers'!$D:$D,"*"&amp;$A747&amp;"*",'All Papers'!$G:$G,"*"&amp;Table1[[#Headers],[Selection]]&amp;"*")</f>
        <v>0</v>
      </c>
      <c r="F747" s="8">
        <f>COUNTIFS('All Papers'!$D:$D,"*"&amp;$A747&amp;"*",'All Papers'!$G:$G,"*"&amp;Table1[[#Headers],[Recommendation]]&amp;"*")</f>
        <v>0</v>
      </c>
      <c r="G747" s="8">
        <f>COUNTIFS('All Papers'!$D:$D,"*"&amp;$A747&amp;"*",'All Papers'!$G:$G,"*"&amp;Table1[[#Headers],[Resource Management-CS]]&amp;"*")</f>
        <v>0</v>
      </c>
      <c r="H747" s="8">
        <f>COUNTIFS('All Papers'!$D:$D,"*"&amp;$A747&amp;"*",'All Papers'!$G:$G,"*"&amp;Table1[[#Headers],[Resource Management-PS]]&amp;"*")</f>
        <v>0</v>
      </c>
      <c r="I747" s="8">
        <f>COUNTIFS('All Papers'!$D:$D,"*"&amp;$A747&amp;"*",'All Papers'!$G:$G,"*"&amp;Table1[[#Headers],[SLA Management]]&amp;"*")</f>
        <v>0</v>
      </c>
      <c r="J747" s="8">
        <f>COUNTIFS('All Papers'!$D:$D,"*"&amp;$A747&amp;"*",'All Papers'!$G:$G,"*"&amp;Table1[[#Headers],[Big Data]]&amp;"*")</f>
        <v>0</v>
      </c>
      <c r="K747" s="8">
        <f>COUNTIFS('All Papers'!$D:$D,"*"&amp;$A747&amp;"*",'All Papers'!$G:$G,"*"&amp;Table1[[#Headers],[Energy Management]]&amp;"*")</f>
        <v>0</v>
      </c>
      <c r="L747" s="8">
        <f>COUNTIFS('All Papers'!$D:$D,"*"&amp;$A747&amp;"*",'All Papers'!$G:$G,"*"&amp;Table1[[#Headers],[Monitoring]]&amp;"*")</f>
        <v>0</v>
      </c>
      <c r="M747" s="8">
        <f>COUNTIFS('All Papers'!$D:$D,"*"&amp;$A747&amp;"*",'All Papers'!$G:$G,"*"&amp;Table1[[#Headers],[Pricing]]&amp;"*")</f>
        <v>0</v>
      </c>
    </row>
    <row r="748" spans="1:13" x14ac:dyDescent="0.25">
      <c r="A748" s="8" t="s">
        <v>3181</v>
      </c>
      <c r="B748" s="8">
        <f>COUNTIF('All Papers'!D:D,"*"&amp;Table1[[#This Row],[Name]]&amp;"*")</f>
        <v>1</v>
      </c>
      <c r="C748" s="8">
        <f>COUNTIFS('All Papers'!$D:$D,"*"&amp;$A748&amp;"*",'All Papers'!$G:$G,"*"&amp;Table1[[#Headers],[Composition]]&amp;"*")</f>
        <v>1</v>
      </c>
      <c r="D748" s="8">
        <f>COUNTIFS('All Papers'!$D:$D,"*"&amp;$A748&amp;"*",'All Papers'!$G:$G,"*"&amp;Table1[[#Headers],[Discovery]]&amp;"*")</f>
        <v>0</v>
      </c>
      <c r="E748" s="8">
        <f>COUNTIFS('All Papers'!$D:$D,"*"&amp;$A748&amp;"*",'All Papers'!$G:$G,"*"&amp;Table1[[#Headers],[Selection]]&amp;"*")</f>
        <v>0</v>
      </c>
      <c r="F748" s="8">
        <f>COUNTIFS('All Papers'!$D:$D,"*"&amp;$A748&amp;"*",'All Papers'!$G:$G,"*"&amp;Table1[[#Headers],[Recommendation]]&amp;"*")</f>
        <v>0</v>
      </c>
      <c r="G748" s="8">
        <f>COUNTIFS('All Papers'!$D:$D,"*"&amp;$A748&amp;"*",'All Papers'!$G:$G,"*"&amp;Table1[[#Headers],[Resource Management-CS]]&amp;"*")</f>
        <v>0</v>
      </c>
      <c r="H748" s="8">
        <f>COUNTIFS('All Papers'!$D:$D,"*"&amp;$A748&amp;"*",'All Papers'!$G:$G,"*"&amp;Table1[[#Headers],[Resource Management-PS]]&amp;"*")</f>
        <v>0</v>
      </c>
      <c r="I748" s="8">
        <f>COUNTIFS('All Papers'!$D:$D,"*"&amp;$A748&amp;"*",'All Papers'!$G:$G,"*"&amp;Table1[[#Headers],[SLA Management]]&amp;"*")</f>
        <v>0</v>
      </c>
      <c r="J748" s="8">
        <f>COUNTIFS('All Papers'!$D:$D,"*"&amp;$A748&amp;"*",'All Papers'!$G:$G,"*"&amp;Table1[[#Headers],[Big Data]]&amp;"*")</f>
        <v>0</v>
      </c>
      <c r="K748" s="8">
        <f>COUNTIFS('All Papers'!$D:$D,"*"&amp;$A748&amp;"*",'All Papers'!$G:$G,"*"&amp;Table1[[#Headers],[Energy Management]]&amp;"*")</f>
        <v>0</v>
      </c>
      <c r="L748" s="8">
        <f>COUNTIFS('All Papers'!$D:$D,"*"&amp;$A748&amp;"*",'All Papers'!$G:$G,"*"&amp;Table1[[#Headers],[Monitoring]]&amp;"*")</f>
        <v>0</v>
      </c>
      <c r="M748" s="8">
        <f>COUNTIFS('All Papers'!$D:$D,"*"&amp;$A748&amp;"*",'All Papers'!$G:$G,"*"&amp;Table1[[#Headers],[Pricing]]&amp;"*")</f>
        <v>0</v>
      </c>
    </row>
    <row r="749" spans="1:13" x14ac:dyDescent="0.25">
      <c r="A749" s="8" t="s">
        <v>3182</v>
      </c>
      <c r="B749" s="8">
        <f>COUNTIF('All Papers'!D:D,"*"&amp;Table1[[#This Row],[Name]]&amp;"*")</f>
        <v>1</v>
      </c>
      <c r="C749" s="8">
        <f>COUNTIFS('All Papers'!$D:$D,"*"&amp;$A749&amp;"*",'All Papers'!$G:$G,"*"&amp;Table1[[#Headers],[Composition]]&amp;"*")</f>
        <v>1</v>
      </c>
      <c r="D749" s="8">
        <f>COUNTIFS('All Papers'!$D:$D,"*"&amp;$A749&amp;"*",'All Papers'!$G:$G,"*"&amp;Table1[[#Headers],[Discovery]]&amp;"*")</f>
        <v>0</v>
      </c>
      <c r="E749" s="8">
        <f>COUNTIFS('All Papers'!$D:$D,"*"&amp;$A749&amp;"*",'All Papers'!$G:$G,"*"&amp;Table1[[#Headers],[Selection]]&amp;"*")</f>
        <v>0</v>
      </c>
      <c r="F749" s="8">
        <f>COUNTIFS('All Papers'!$D:$D,"*"&amp;$A749&amp;"*",'All Papers'!$G:$G,"*"&amp;Table1[[#Headers],[Recommendation]]&amp;"*")</f>
        <v>0</v>
      </c>
      <c r="G749" s="8">
        <f>COUNTIFS('All Papers'!$D:$D,"*"&amp;$A749&amp;"*",'All Papers'!$G:$G,"*"&amp;Table1[[#Headers],[Resource Management-CS]]&amp;"*")</f>
        <v>0</v>
      </c>
      <c r="H749" s="8">
        <f>COUNTIFS('All Papers'!$D:$D,"*"&amp;$A749&amp;"*",'All Papers'!$G:$G,"*"&amp;Table1[[#Headers],[Resource Management-PS]]&amp;"*")</f>
        <v>0</v>
      </c>
      <c r="I749" s="8">
        <f>COUNTIFS('All Papers'!$D:$D,"*"&amp;$A749&amp;"*",'All Papers'!$G:$G,"*"&amp;Table1[[#Headers],[SLA Management]]&amp;"*")</f>
        <v>0</v>
      </c>
      <c r="J749" s="8">
        <f>COUNTIFS('All Papers'!$D:$D,"*"&amp;$A749&amp;"*",'All Papers'!$G:$G,"*"&amp;Table1[[#Headers],[Big Data]]&amp;"*")</f>
        <v>0</v>
      </c>
      <c r="K749" s="8">
        <f>COUNTIFS('All Papers'!$D:$D,"*"&amp;$A749&amp;"*",'All Papers'!$G:$G,"*"&amp;Table1[[#Headers],[Energy Management]]&amp;"*")</f>
        <v>0</v>
      </c>
      <c r="L749" s="8">
        <f>COUNTIFS('All Papers'!$D:$D,"*"&amp;$A749&amp;"*",'All Papers'!$G:$G,"*"&amp;Table1[[#Headers],[Monitoring]]&amp;"*")</f>
        <v>0</v>
      </c>
      <c r="M749" s="8">
        <f>COUNTIFS('All Papers'!$D:$D,"*"&amp;$A749&amp;"*",'All Papers'!$G:$G,"*"&amp;Table1[[#Headers],[Pricing]]&amp;"*")</f>
        <v>0</v>
      </c>
    </row>
    <row r="750" spans="1:13" x14ac:dyDescent="0.25">
      <c r="A750" s="8" t="s">
        <v>3183</v>
      </c>
      <c r="B750" s="8">
        <f>COUNTIF('All Papers'!D:D,"*"&amp;Table1[[#This Row],[Name]]&amp;"*")</f>
        <v>1</v>
      </c>
      <c r="C750" s="8">
        <f>COUNTIFS('All Papers'!$D:$D,"*"&amp;$A750&amp;"*",'All Papers'!$G:$G,"*"&amp;Table1[[#Headers],[Composition]]&amp;"*")</f>
        <v>1</v>
      </c>
      <c r="D750" s="8">
        <f>COUNTIFS('All Papers'!$D:$D,"*"&amp;$A750&amp;"*",'All Papers'!$G:$G,"*"&amp;Table1[[#Headers],[Discovery]]&amp;"*")</f>
        <v>0</v>
      </c>
      <c r="E750" s="8">
        <f>COUNTIFS('All Papers'!$D:$D,"*"&amp;$A750&amp;"*",'All Papers'!$G:$G,"*"&amp;Table1[[#Headers],[Selection]]&amp;"*")</f>
        <v>0</v>
      </c>
      <c r="F750" s="8">
        <f>COUNTIFS('All Papers'!$D:$D,"*"&amp;$A750&amp;"*",'All Papers'!$G:$G,"*"&amp;Table1[[#Headers],[Recommendation]]&amp;"*")</f>
        <v>0</v>
      </c>
      <c r="G750" s="8">
        <f>COUNTIFS('All Papers'!$D:$D,"*"&amp;$A750&amp;"*",'All Papers'!$G:$G,"*"&amp;Table1[[#Headers],[Resource Management-CS]]&amp;"*")</f>
        <v>0</v>
      </c>
      <c r="H750" s="8">
        <f>COUNTIFS('All Papers'!$D:$D,"*"&amp;$A750&amp;"*",'All Papers'!$G:$G,"*"&amp;Table1[[#Headers],[Resource Management-PS]]&amp;"*")</f>
        <v>0</v>
      </c>
      <c r="I750" s="8">
        <f>COUNTIFS('All Papers'!$D:$D,"*"&amp;$A750&amp;"*",'All Papers'!$G:$G,"*"&amp;Table1[[#Headers],[SLA Management]]&amp;"*")</f>
        <v>0</v>
      </c>
      <c r="J750" s="8">
        <f>COUNTIFS('All Papers'!$D:$D,"*"&amp;$A750&amp;"*",'All Papers'!$G:$G,"*"&amp;Table1[[#Headers],[Big Data]]&amp;"*")</f>
        <v>0</v>
      </c>
      <c r="K750" s="8">
        <f>COUNTIFS('All Papers'!$D:$D,"*"&amp;$A750&amp;"*",'All Papers'!$G:$G,"*"&amp;Table1[[#Headers],[Energy Management]]&amp;"*")</f>
        <v>0</v>
      </c>
      <c r="L750" s="8">
        <f>COUNTIFS('All Papers'!$D:$D,"*"&amp;$A750&amp;"*",'All Papers'!$G:$G,"*"&amp;Table1[[#Headers],[Monitoring]]&amp;"*")</f>
        <v>0</v>
      </c>
      <c r="M750" s="8">
        <f>COUNTIFS('All Papers'!$D:$D,"*"&amp;$A750&amp;"*",'All Papers'!$G:$G,"*"&amp;Table1[[#Headers],[Pricing]]&amp;"*")</f>
        <v>0</v>
      </c>
    </row>
    <row r="751" spans="1:13" x14ac:dyDescent="0.25">
      <c r="A751" s="8" t="s">
        <v>3184</v>
      </c>
      <c r="B751" s="8">
        <f>COUNTIF('All Papers'!D:D,"*"&amp;Table1[[#This Row],[Name]]&amp;"*")</f>
        <v>1</v>
      </c>
      <c r="C751" s="8">
        <f>COUNTIFS('All Papers'!$D:$D,"*"&amp;$A751&amp;"*",'All Papers'!$G:$G,"*"&amp;Table1[[#Headers],[Composition]]&amp;"*")</f>
        <v>1</v>
      </c>
      <c r="D751" s="8">
        <f>COUNTIFS('All Papers'!$D:$D,"*"&amp;$A751&amp;"*",'All Papers'!$G:$G,"*"&amp;Table1[[#Headers],[Discovery]]&amp;"*")</f>
        <v>0</v>
      </c>
      <c r="E751" s="8">
        <f>COUNTIFS('All Papers'!$D:$D,"*"&amp;$A751&amp;"*",'All Papers'!$G:$G,"*"&amp;Table1[[#Headers],[Selection]]&amp;"*")</f>
        <v>1</v>
      </c>
      <c r="F751" s="8">
        <f>COUNTIFS('All Papers'!$D:$D,"*"&amp;$A751&amp;"*",'All Papers'!$G:$G,"*"&amp;Table1[[#Headers],[Recommendation]]&amp;"*")</f>
        <v>0</v>
      </c>
      <c r="G751" s="8">
        <f>COUNTIFS('All Papers'!$D:$D,"*"&amp;$A751&amp;"*",'All Papers'!$G:$G,"*"&amp;Table1[[#Headers],[Resource Management-CS]]&amp;"*")</f>
        <v>0</v>
      </c>
      <c r="H751" s="8">
        <f>COUNTIFS('All Papers'!$D:$D,"*"&amp;$A751&amp;"*",'All Papers'!$G:$G,"*"&amp;Table1[[#Headers],[Resource Management-PS]]&amp;"*")</f>
        <v>0</v>
      </c>
      <c r="I751" s="8">
        <f>COUNTIFS('All Papers'!$D:$D,"*"&amp;$A751&amp;"*",'All Papers'!$G:$G,"*"&amp;Table1[[#Headers],[SLA Management]]&amp;"*")</f>
        <v>0</v>
      </c>
      <c r="J751" s="8">
        <f>COUNTIFS('All Papers'!$D:$D,"*"&amp;$A751&amp;"*",'All Papers'!$G:$G,"*"&amp;Table1[[#Headers],[Big Data]]&amp;"*")</f>
        <v>0</v>
      </c>
      <c r="K751" s="8">
        <f>COUNTIFS('All Papers'!$D:$D,"*"&amp;$A751&amp;"*",'All Papers'!$G:$G,"*"&amp;Table1[[#Headers],[Energy Management]]&amp;"*")</f>
        <v>0</v>
      </c>
      <c r="L751" s="8">
        <f>COUNTIFS('All Papers'!$D:$D,"*"&amp;$A751&amp;"*",'All Papers'!$G:$G,"*"&amp;Table1[[#Headers],[Monitoring]]&amp;"*")</f>
        <v>0</v>
      </c>
      <c r="M751" s="8">
        <f>COUNTIFS('All Papers'!$D:$D,"*"&amp;$A751&amp;"*",'All Papers'!$G:$G,"*"&amp;Table1[[#Headers],[Pricing]]&amp;"*")</f>
        <v>0</v>
      </c>
    </row>
    <row r="752" spans="1:13" x14ac:dyDescent="0.25">
      <c r="A752" s="8" t="s">
        <v>3185</v>
      </c>
      <c r="B752" s="8">
        <f>COUNTIF('All Papers'!D:D,"*"&amp;Table1[[#This Row],[Name]]&amp;"*")</f>
        <v>1</v>
      </c>
      <c r="C752" s="8">
        <f>COUNTIFS('All Papers'!$D:$D,"*"&amp;$A752&amp;"*",'All Papers'!$G:$G,"*"&amp;Table1[[#Headers],[Composition]]&amp;"*")</f>
        <v>1</v>
      </c>
      <c r="D752" s="8">
        <f>COUNTIFS('All Papers'!$D:$D,"*"&amp;$A752&amp;"*",'All Papers'!$G:$G,"*"&amp;Table1[[#Headers],[Discovery]]&amp;"*")</f>
        <v>0</v>
      </c>
      <c r="E752" s="8">
        <f>COUNTIFS('All Papers'!$D:$D,"*"&amp;$A752&amp;"*",'All Papers'!$G:$G,"*"&amp;Table1[[#Headers],[Selection]]&amp;"*")</f>
        <v>1</v>
      </c>
      <c r="F752" s="8">
        <f>COUNTIFS('All Papers'!$D:$D,"*"&amp;$A752&amp;"*",'All Papers'!$G:$G,"*"&amp;Table1[[#Headers],[Recommendation]]&amp;"*")</f>
        <v>0</v>
      </c>
      <c r="G752" s="8">
        <f>COUNTIFS('All Papers'!$D:$D,"*"&amp;$A752&amp;"*",'All Papers'!$G:$G,"*"&amp;Table1[[#Headers],[Resource Management-CS]]&amp;"*")</f>
        <v>0</v>
      </c>
      <c r="H752" s="8">
        <f>COUNTIFS('All Papers'!$D:$D,"*"&amp;$A752&amp;"*",'All Papers'!$G:$G,"*"&amp;Table1[[#Headers],[Resource Management-PS]]&amp;"*")</f>
        <v>0</v>
      </c>
      <c r="I752" s="8">
        <f>COUNTIFS('All Papers'!$D:$D,"*"&amp;$A752&amp;"*",'All Papers'!$G:$G,"*"&amp;Table1[[#Headers],[SLA Management]]&amp;"*")</f>
        <v>0</v>
      </c>
      <c r="J752" s="8">
        <f>COUNTIFS('All Papers'!$D:$D,"*"&amp;$A752&amp;"*",'All Papers'!$G:$G,"*"&amp;Table1[[#Headers],[Big Data]]&amp;"*")</f>
        <v>0</v>
      </c>
      <c r="K752" s="8">
        <f>COUNTIFS('All Papers'!$D:$D,"*"&amp;$A752&amp;"*",'All Papers'!$G:$G,"*"&amp;Table1[[#Headers],[Energy Management]]&amp;"*")</f>
        <v>0</v>
      </c>
      <c r="L752" s="8">
        <f>COUNTIFS('All Papers'!$D:$D,"*"&amp;$A752&amp;"*",'All Papers'!$G:$G,"*"&amp;Table1[[#Headers],[Monitoring]]&amp;"*")</f>
        <v>0</v>
      </c>
      <c r="M752" s="8">
        <f>COUNTIFS('All Papers'!$D:$D,"*"&amp;$A752&amp;"*",'All Papers'!$G:$G,"*"&amp;Table1[[#Headers],[Pricing]]&amp;"*")</f>
        <v>0</v>
      </c>
    </row>
    <row r="753" spans="1:13" x14ac:dyDescent="0.25">
      <c r="A753" s="8" t="s">
        <v>3186</v>
      </c>
      <c r="B753" s="8">
        <f>COUNTIF('All Papers'!D:D,"*"&amp;Table1[[#This Row],[Name]]&amp;"*")</f>
        <v>1</v>
      </c>
      <c r="C753" s="8">
        <f>COUNTIFS('All Papers'!$D:$D,"*"&amp;$A753&amp;"*",'All Papers'!$G:$G,"*"&amp;Table1[[#Headers],[Composition]]&amp;"*")</f>
        <v>1</v>
      </c>
      <c r="D753" s="8">
        <f>COUNTIFS('All Papers'!$D:$D,"*"&amp;$A753&amp;"*",'All Papers'!$G:$G,"*"&amp;Table1[[#Headers],[Discovery]]&amp;"*")</f>
        <v>0</v>
      </c>
      <c r="E753" s="8">
        <f>COUNTIFS('All Papers'!$D:$D,"*"&amp;$A753&amp;"*",'All Papers'!$G:$G,"*"&amp;Table1[[#Headers],[Selection]]&amp;"*")</f>
        <v>1</v>
      </c>
      <c r="F753" s="8">
        <f>COUNTIFS('All Papers'!$D:$D,"*"&amp;$A753&amp;"*",'All Papers'!$G:$G,"*"&amp;Table1[[#Headers],[Recommendation]]&amp;"*")</f>
        <v>0</v>
      </c>
      <c r="G753" s="8">
        <f>COUNTIFS('All Papers'!$D:$D,"*"&amp;$A753&amp;"*",'All Papers'!$G:$G,"*"&amp;Table1[[#Headers],[Resource Management-CS]]&amp;"*")</f>
        <v>0</v>
      </c>
      <c r="H753" s="8">
        <f>COUNTIFS('All Papers'!$D:$D,"*"&amp;$A753&amp;"*",'All Papers'!$G:$G,"*"&amp;Table1[[#Headers],[Resource Management-PS]]&amp;"*")</f>
        <v>0</v>
      </c>
      <c r="I753" s="8">
        <f>COUNTIFS('All Papers'!$D:$D,"*"&amp;$A753&amp;"*",'All Papers'!$G:$G,"*"&amp;Table1[[#Headers],[SLA Management]]&amp;"*")</f>
        <v>0</v>
      </c>
      <c r="J753" s="8">
        <f>COUNTIFS('All Papers'!$D:$D,"*"&amp;$A753&amp;"*",'All Papers'!$G:$G,"*"&amp;Table1[[#Headers],[Big Data]]&amp;"*")</f>
        <v>0</v>
      </c>
      <c r="K753" s="8">
        <f>COUNTIFS('All Papers'!$D:$D,"*"&amp;$A753&amp;"*",'All Papers'!$G:$G,"*"&amp;Table1[[#Headers],[Energy Management]]&amp;"*")</f>
        <v>0</v>
      </c>
      <c r="L753" s="8">
        <f>COUNTIFS('All Papers'!$D:$D,"*"&amp;$A753&amp;"*",'All Papers'!$G:$G,"*"&amp;Table1[[#Headers],[Monitoring]]&amp;"*")</f>
        <v>0</v>
      </c>
      <c r="M753" s="8">
        <f>COUNTIFS('All Papers'!$D:$D,"*"&amp;$A753&amp;"*",'All Papers'!$G:$G,"*"&amp;Table1[[#Headers],[Pricing]]&amp;"*")</f>
        <v>0</v>
      </c>
    </row>
    <row r="754" spans="1:13" x14ac:dyDescent="0.25">
      <c r="A754" s="8" t="s">
        <v>3187</v>
      </c>
      <c r="B754" s="8">
        <f>COUNTIF('All Papers'!D:D,"*"&amp;Table1[[#This Row],[Name]]&amp;"*")</f>
        <v>1</v>
      </c>
      <c r="C754" s="8">
        <f>COUNTIFS('All Papers'!$D:$D,"*"&amp;$A754&amp;"*",'All Papers'!$G:$G,"*"&amp;Table1[[#Headers],[Composition]]&amp;"*")</f>
        <v>1</v>
      </c>
      <c r="D754" s="8">
        <f>COUNTIFS('All Papers'!$D:$D,"*"&amp;$A754&amp;"*",'All Papers'!$G:$G,"*"&amp;Table1[[#Headers],[Discovery]]&amp;"*")</f>
        <v>0</v>
      </c>
      <c r="E754" s="8">
        <f>COUNTIFS('All Papers'!$D:$D,"*"&amp;$A754&amp;"*",'All Papers'!$G:$G,"*"&amp;Table1[[#Headers],[Selection]]&amp;"*")</f>
        <v>1</v>
      </c>
      <c r="F754" s="8">
        <f>COUNTIFS('All Papers'!$D:$D,"*"&amp;$A754&amp;"*",'All Papers'!$G:$G,"*"&amp;Table1[[#Headers],[Recommendation]]&amp;"*")</f>
        <v>0</v>
      </c>
      <c r="G754" s="8">
        <f>COUNTIFS('All Papers'!$D:$D,"*"&amp;$A754&amp;"*",'All Papers'!$G:$G,"*"&amp;Table1[[#Headers],[Resource Management-CS]]&amp;"*")</f>
        <v>0</v>
      </c>
      <c r="H754" s="8">
        <f>COUNTIFS('All Papers'!$D:$D,"*"&amp;$A754&amp;"*",'All Papers'!$G:$G,"*"&amp;Table1[[#Headers],[Resource Management-PS]]&amp;"*")</f>
        <v>0</v>
      </c>
      <c r="I754" s="8">
        <f>COUNTIFS('All Papers'!$D:$D,"*"&amp;$A754&amp;"*",'All Papers'!$G:$G,"*"&amp;Table1[[#Headers],[SLA Management]]&amp;"*")</f>
        <v>0</v>
      </c>
      <c r="J754" s="8">
        <f>COUNTIFS('All Papers'!$D:$D,"*"&amp;$A754&amp;"*",'All Papers'!$G:$G,"*"&amp;Table1[[#Headers],[Big Data]]&amp;"*")</f>
        <v>0</v>
      </c>
      <c r="K754" s="8">
        <f>COUNTIFS('All Papers'!$D:$D,"*"&amp;$A754&amp;"*",'All Papers'!$G:$G,"*"&amp;Table1[[#Headers],[Energy Management]]&amp;"*")</f>
        <v>0</v>
      </c>
      <c r="L754" s="8">
        <f>COUNTIFS('All Papers'!$D:$D,"*"&amp;$A754&amp;"*",'All Papers'!$G:$G,"*"&amp;Table1[[#Headers],[Monitoring]]&amp;"*")</f>
        <v>0</v>
      </c>
      <c r="M754" s="8">
        <f>COUNTIFS('All Papers'!$D:$D,"*"&amp;$A754&amp;"*",'All Papers'!$G:$G,"*"&amp;Table1[[#Headers],[Pricing]]&amp;"*")</f>
        <v>0</v>
      </c>
    </row>
    <row r="755" spans="1:13" x14ac:dyDescent="0.25">
      <c r="A755" s="8" t="s">
        <v>3188</v>
      </c>
      <c r="B755" s="8">
        <f>COUNTIF('All Papers'!D:D,"*"&amp;Table1[[#This Row],[Name]]&amp;"*")</f>
        <v>1</v>
      </c>
      <c r="C755" s="8">
        <f>COUNTIFS('All Papers'!$D:$D,"*"&amp;$A755&amp;"*",'All Papers'!$G:$G,"*"&amp;Table1[[#Headers],[Composition]]&amp;"*")</f>
        <v>1</v>
      </c>
      <c r="D755" s="8">
        <f>COUNTIFS('All Papers'!$D:$D,"*"&amp;$A755&amp;"*",'All Papers'!$G:$G,"*"&amp;Table1[[#Headers],[Discovery]]&amp;"*")</f>
        <v>0</v>
      </c>
      <c r="E755" s="8">
        <f>COUNTIFS('All Papers'!$D:$D,"*"&amp;$A755&amp;"*",'All Papers'!$G:$G,"*"&amp;Table1[[#Headers],[Selection]]&amp;"*")</f>
        <v>0</v>
      </c>
      <c r="F755" s="8">
        <f>COUNTIFS('All Papers'!$D:$D,"*"&amp;$A755&amp;"*",'All Papers'!$G:$G,"*"&amp;Table1[[#Headers],[Recommendation]]&amp;"*")</f>
        <v>0</v>
      </c>
      <c r="G755" s="8">
        <f>COUNTIFS('All Papers'!$D:$D,"*"&amp;$A755&amp;"*",'All Papers'!$G:$G,"*"&amp;Table1[[#Headers],[Resource Management-CS]]&amp;"*")</f>
        <v>0</v>
      </c>
      <c r="H755" s="8">
        <f>COUNTIFS('All Papers'!$D:$D,"*"&amp;$A755&amp;"*",'All Papers'!$G:$G,"*"&amp;Table1[[#Headers],[Resource Management-PS]]&amp;"*")</f>
        <v>0</v>
      </c>
      <c r="I755" s="8">
        <f>COUNTIFS('All Papers'!$D:$D,"*"&amp;$A755&amp;"*",'All Papers'!$G:$G,"*"&amp;Table1[[#Headers],[SLA Management]]&amp;"*")</f>
        <v>0</v>
      </c>
      <c r="J755" s="8">
        <f>COUNTIFS('All Papers'!$D:$D,"*"&amp;$A755&amp;"*",'All Papers'!$G:$G,"*"&amp;Table1[[#Headers],[Big Data]]&amp;"*")</f>
        <v>0</v>
      </c>
      <c r="K755" s="8">
        <f>COUNTIFS('All Papers'!$D:$D,"*"&amp;$A755&amp;"*",'All Papers'!$G:$G,"*"&amp;Table1[[#Headers],[Energy Management]]&amp;"*")</f>
        <v>0</v>
      </c>
      <c r="L755" s="8">
        <f>COUNTIFS('All Papers'!$D:$D,"*"&amp;$A755&amp;"*",'All Papers'!$G:$G,"*"&amp;Table1[[#Headers],[Monitoring]]&amp;"*")</f>
        <v>0</v>
      </c>
      <c r="M755" s="8">
        <f>COUNTIFS('All Papers'!$D:$D,"*"&amp;$A755&amp;"*",'All Papers'!$G:$G,"*"&amp;Table1[[#Headers],[Pricing]]&amp;"*")</f>
        <v>0</v>
      </c>
    </row>
    <row r="756" spans="1:13" x14ac:dyDescent="0.25">
      <c r="A756" s="8" t="s">
        <v>3189</v>
      </c>
      <c r="B756" s="8">
        <f>COUNTIF('All Papers'!D:D,"*"&amp;Table1[[#This Row],[Name]]&amp;"*")</f>
        <v>1</v>
      </c>
      <c r="C756" s="8">
        <f>COUNTIFS('All Papers'!$D:$D,"*"&amp;$A756&amp;"*",'All Papers'!$G:$G,"*"&amp;Table1[[#Headers],[Composition]]&amp;"*")</f>
        <v>1</v>
      </c>
      <c r="D756" s="8">
        <f>COUNTIFS('All Papers'!$D:$D,"*"&amp;$A756&amp;"*",'All Papers'!$G:$G,"*"&amp;Table1[[#Headers],[Discovery]]&amp;"*")</f>
        <v>0</v>
      </c>
      <c r="E756" s="8">
        <f>COUNTIFS('All Papers'!$D:$D,"*"&amp;$A756&amp;"*",'All Papers'!$G:$G,"*"&amp;Table1[[#Headers],[Selection]]&amp;"*")</f>
        <v>0</v>
      </c>
      <c r="F756" s="8">
        <f>COUNTIFS('All Papers'!$D:$D,"*"&amp;$A756&amp;"*",'All Papers'!$G:$G,"*"&amp;Table1[[#Headers],[Recommendation]]&amp;"*")</f>
        <v>0</v>
      </c>
      <c r="G756" s="8">
        <f>COUNTIFS('All Papers'!$D:$D,"*"&amp;$A756&amp;"*",'All Papers'!$G:$G,"*"&amp;Table1[[#Headers],[Resource Management-CS]]&amp;"*")</f>
        <v>0</v>
      </c>
      <c r="H756" s="8">
        <f>COUNTIFS('All Papers'!$D:$D,"*"&amp;$A756&amp;"*",'All Papers'!$G:$G,"*"&amp;Table1[[#Headers],[Resource Management-PS]]&amp;"*")</f>
        <v>0</v>
      </c>
      <c r="I756" s="8">
        <f>COUNTIFS('All Papers'!$D:$D,"*"&amp;$A756&amp;"*",'All Papers'!$G:$G,"*"&amp;Table1[[#Headers],[SLA Management]]&amp;"*")</f>
        <v>0</v>
      </c>
      <c r="J756" s="8">
        <f>COUNTIFS('All Papers'!$D:$D,"*"&amp;$A756&amp;"*",'All Papers'!$G:$G,"*"&amp;Table1[[#Headers],[Big Data]]&amp;"*")</f>
        <v>0</v>
      </c>
      <c r="K756" s="8">
        <f>COUNTIFS('All Papers'!$D:$D,"*"&amp;$A756&amp;"*",'All Papers'!$G:$G,"*"&amp;Table1[[#Headers],[Energy Management]]&amp;"*")</f>
        <v>0</v>
      </c>
      <c r="L756" s="8">
        <f>COUNTIFS('All Papers'!$D:$D,"*"&amp;$A756&amp;"*",'All Papers'!$G:$G,"*"&amp;Table1[[#Headers],[Monitoring]]&amp;"*")</f>
        <v>0</v>
      </c>
      <c r="M756" s="8">
        <f>COUNTIFS('All Papers'!$D:$D,"*"&amp;$A756&amp;"*",'All Papers'!$G:$G,"*"&amp;Table1[[#Headers],[Pricing]]&amp;"*")</f>
        <v>0</v>
      </c>
    </row>
    <row r="757" spans="1:13" x14ac:dyDescent="0.25">
      <c r="A757" s="8" t="s">
        <v>3190</v>
      </c>
      <c r="B757" s="8">
        <f>COUNTIF('All Papers'!D:D,"*"&amp;Table1[[#This Row],[Name]]&amp;"*")</f>
        <v>1</v>
      </c>
      <c r="C757" s="8">
        <f>COUNTIFS('All Papers'!$D:$D,"*"&amp;$A757&amp;"*",'All Papers'!$G:$G,"*"&amp;Table1[[#Headers],[Composition]]&amp;"*")</f>
        <v>1</v>
      </c>
      <c r="D757" s="8">
        <f>COUNTIFS('All Papers'!$D:$D,"*"&amp;$A757&amp;"*",'All Papers'!$G:$G,"*"&amp;Table1[[#Headers],[Discovery]]&amp;"*")</f>
        <v>0</v>
      </c>
      <c r="E757" s="8">
        <f>COUNTIFS('All Papers'!$D:$D,"*"&amp;$A757&amp;"*",'All Papers'!$G:$G,"*"&amp;Table1[[#Headers],[Selection]]&amp;"*")</f>
        <v>0</v>
      </c>
      <c r="F757" s="8">
        <f>COUNTIFS('All Papers'!$D:$D,"*"&amp;$A757&amp;"*",'All Papers'!$G:$G,"*"&amp;Table1[[#Headers],[Recommendation]]&amp;"*")</f>
        <v>0</v>
      </c>
      <c r="G757" s="8">
        <f>COUNTIFS('All Papers'!$D:$D,"*"&amp;$A757&amp;"*",'All Papers'!$G:$G,"*"&amp;Table1[[#Headers],[Resource Management-CS]]&amp;"*")</f>
        <v>0</v>
      </c>
      <c r="H757" s="8">
        <f>COUNTIFS('All Papers'!$D:$D,"*"&amp;$A757&amp;"*",'All Papers'!$G:$G,"*"&amp;Table1[[#Headers],[Resource Management-PS]]&amp;"*")</f>
        <v>0</v>
      </c>
      <c r="I757" s="8">
        <f>COUNTIFS('All Papers'!$D:$D,"*"&amp;$A757&amp;"*",'All Papers'!$G:$G,"*"&amp;Table1[[#Headers],[SLA Management]]&amp;"*")</f>
        <v>0</v>
      </c>
      <c r="J757" s="8">
        <f>COUNTIFS('All Papers'!$D:$D,"*"&amp;$A757&amp;"*",'All Papers'!$G:$G,"*"&amp;Table1[[#Headers],[Big Data]]&amp;"*")</f>
        <v>0</v>
      </c>
      <c r="K757" s="8">
        <f>COUNTIFS('All Papers'!$D:$D,"*"&amp;$A757&amp;"*",'All Papers'!$G:$G,"*"&amp;Table1[[#Headers],[Energy Management]]&amp;"*")</f>
        <v>0</v>
      </c>
      <c r="L757" s="8">
        <f>COUNTIFS('All Papers'!$D:$D,"*"&amp;$A757&amp;"*",'All Papers'!$G:$G,"*"&amp;Table1[[#Headers],[Monitoring]]&amp;"*")</f>
        <v>0</v>
      </c>
      <c r="M757" s="8">
        <f>COUNTIFS('All Papers'!$D:$D,"*"&amp;$A757&amp;"*",'All Papers'!$G:$G,"*"&amp;Table1[[#Headers],[Pricing]]&amp;"*")</f>
        <v>0</v>
      </c>
    </row>
    <row r="758" spans="1:13" x14ac:dyDescent="0.25">
      <c r="A758" s="8" t="s">
        <v>3191</v>
      </c>
      <c r="B758" s="8">
        <f>COUNTIF('All Papers'!D:D,"*"&amp;Table1[[#This Row],[Name]]&amp;"*")</f>
        <v>1</v>
      </c>
      <c r="C758" s="8">
        <f>COUNTIFS('All Papers'!$D:$D,"*"&amp;$A758&amp;"*",'All Papers'!$G:$G,"*"&amp;Table1[[#Headers],[Composition]]&amp;"*")</f>
        <v>1</v>
      </c>
      <c r="D758" s="8">
        <f>COUNTIFS('All Papers'!$D:$D,"*"&amp;$A758&amp;"*",'All Papers'!$G:$G,"*"&amp;Table1[[#Headers],[Discovery]]&amp;"*")</f>
        <v>0</v>
      </c>
      <c r="E758" s="8">
        <f>COUNTIFS('All Papers'!$D:$D,"*"&amp;$A758&amp;"*",'All Papers'!$G:$G,"*"&amp;Table1[[#Headers],[Selection]]&amp;"*")</f>
        <v>0</v>
      </c>
      <c r="F758" s="8">
        <f>COUNTIFS('All Papers'!$D:$D,"*"&amp;$A758&amp;"*",'All Papers'!$G:$G,"*"&amp;Table1[[#Headers],[Recommendation]]&amp;"*")</f>
        <v>0</v>
      </c>
      <c r="G758" s="8">
        <f>COUNTIFS('All Papers'!$D:$D,"*"&amp;$A758&amp;"*",'All Papers'!$G:$G,"*"&amp;Table1[[#Headers],[Resource Management-CS]]&amp;"*")</f>
        <v>0</v>
      </c>
      <c r="H758" s="8">
        <f>COUNTIFS('All Papers'!$D:$D,"*"&amp;$A758&amp;"*",'All Papers'!$G:$G,"*"&amp;Table1[[#Headers],[Resource Management-PS]]&amp;"*")</f>
        <v>0</v>
      </c>
      <c r="I758" s="8">
        <f>COUNTIFS('All Papers'!$D:$D,"*"&amp;$A758&amp;"*",'All Papers'!$G:$G,"*"&amp;Table1[[#Headers],[SLA Management]]&amp;"*")</f>
        <v>0</v>
      </c>
      <c r="J758" s="8">
        <f>COUNTIFS('All Papers'!$D:$D,"*"&amp;$A758&amp;"*",'All Papers'!$G:$G,"*"&amp;Table1[[#Headers],[Big Data]]&amp;"*")</f>
        <v>0</v>
      </c>
      <c r="K758" s="8">
        <f>COUNTIFS('All Papers'!$D:$D,"*"&amp;$A758&amp;"*",'All Papers'!$G:$G,"*"&amp;Table1[[#Headers],[Energy Management]]&amp;"*")</f>
        <v>0</v>
      </c>
      <c r="L758" s="8">
        <f>COUNTIFS('All Papers'!$D:$D,"*"&amp;$A758&amp;"*",'All Papers'!$G:$G,"*"&amp;Table1[[#Headers],[Monitoring]]&amp;"*")</f>
        <v>0</v>
      </c>
      <c r="M758" s="8">
        <f>COUNTIFS('All Papers'!$D:$D,"*"&amp;$A758&amp;"*",'All Papers'!$G:$G,"*"&amp;Table1[[#Headers],[Pricing]]&amp;"*")</f>
        <v>0</v>
      </c>
    </row>
    <row r="759" spans="1:13" x14ac:dyDescent="0.25">
      <c r="A759" s="8" t="s">
        <v>3192</v>
      </c>
      <c r="B759" s="8">
        <f>COUNTIF('All Papers'!D:D,"*"&amp;Table1[[#This Row],[Name]]&amp;"*")</f>
        <v>1</v>
      </c>
      <c r="C759" s="8">
        <f>COUNTIFS('All Papers'!$D:$D,"*"&amp;$A759&amp;"*",'All Papers'!$G:$G,"*"&amp;Table1[[#Headers],[Composition]]&amp;"*")</f>
        <v>1</v>
      </c>
      <c r="D759" s="8">
        <f>COUNTIFS('All Papers'!$D:$D,"*"&amp;$A759&amp;"*",'All Papers'!$G:$G,"*"&amp;Table1[[#Headers],[Discovery]]&amp;"*")</f>
        <v>0</v>
      </c>
      <c r="E759" s="8">
        <f>COUNTIFS('All Papers'!$D:$D,"*"&amp;$A759&amp;"*",'All Papers'!$G:$G,"*"&amp;Table1[[#Headers],[Selection]]&amp;"*")</f>
        <v>0</v>
      </c>
      <c r="F759" s="8">
        <f>COUNTIFS('All Papers'!$D:$D,"*"&amp;$A759&amp;"*",'All Papers'!$G:$G,"*"&amp;Table1[[#Headers],[Recommendation]]&amp;"*")</f>
        <v>0</v>
      </c>
      <c r="G759" s="8">
        <f>COUNTIFS('All Papers'!$D:$D,"*"&amp;$A759&amp;"*",'All Papers'!$G:$G,"*"&amp;Table1[[#Headers],[Resource Management-CS]]&amp;"*")</f>
        <v>0</v>
      </c>
      <c r="H759" s="8">
        <f>COUNTIFS('All Papers'!$D:$D,"*"&amp;$A759&amp;"*",'All Papers'!$G:$G,"*"&amp;Table1[[#Headers],[Resource Management-PS]]&amp;"*")</f>
        <v>0</v>
      </c>
      <c r="I759" s="8">
        <f>COUNTIFS('All Papers'!$D:$D,"*"&amp;$A759&amp;"*",'All Papers'!$G:$G,"*"&amp;Table1[[#Headers],[SLA Management]]&amp;"*")</f>
        <v>0</v>
      </c>
      <c r="J759" s="8">
        <f>COUNTIFS('All Papers'!$D:$D,"*"&amp;$A759&amp;"*",'All Papers'!$G:$G,"*"&amp;Table1[[#Headers],[Big Data]]&amp;"*")</f>
        <v>0</v>
      </c>
      <c r="K759" s="8">
        <f>COUNTIFS('All Papers'!$D:$D,"*"&amp;$A759&amp;"*",'All Papers'!$G:$G,"*"&amp;Table1[[#Headers],[Energy Management]]&amp;"*")</f>
        <v>0</v>
      </c>
      <c r="L759" s="8">
        <f>COUNTIFS('All Papers'!$D:$D,"*"&amp;$A759&amp;"*",'All Papers'!$G:$G,"*"&amp;Table1[[#Headers],[Monitoring]]&amp;"*")</f>
        <v>0</v>
      </c>
      <c r="M759" s="8">
        <f>COUNTIFS('All Papers'!$D:$D,"*"&amp;$A759&amp;"*",'All Papers'!$G:$G,"*"&amp;Table1[[#Headers],[Pricing]]&amp;"*")</f>
        <v>0</v>
      </c>
    </row>
    <row r="760" spans="1:13" x14ac:dyDescent="0.25">
      <c r="A760" s="8" t="s">
        <v>3193</v>
      </c>
      <c r="B760" s="8">
        <f>COUNTIF('All Papers'!D:D,"*"&amp;Table1[[#This Row],[Name]]&amp;"*")</f>
        <v>1</v>
      </c>
      <c r="C760" s="8">
        <f>COUNTIFS('All Papers'!$D:$D,"*"&amp;$A760&amp;"*",'All Papers'!$G:$G,"*"&amp;Table1[[#Headers],[Composition]]&amp;"*")</f>
        <v>1</v>
      </c>
      <c r="D760" s="8">
        <f>COUNTIFS('All Papers'!$D:$D,"*"&amp;$A760&amp;"*",'All Papers'!$G:$G,"*"&amp;Table1[[#Headers],[Discovery]]&amp;"*")</f>
        <v>0</v>
      </c>
      <c r="E760" s="8">
        <f>COUNTIFS('All Papers'!$D:$D,"*"&amp;$A760&amp;"*",'All Papers'!$G:$G,"*"&amp;Table1[[#Headers],[Selection]]&amp;"*")</f>
        <v>0</v>
      </c>
      <c r="F760" s="8">
        <f>COUNTIFS('All Papers'!$D:$D,"*"&amp;$A760&amp;"*",'All Papers'!$G:$G,"*"&amp;Table1[[#Headers],[Recommendation]]&amp;"*")</f>
        <v>0</v>
      </c>
      <c r="G760" s="8">
        <f>COUNTIFS('All Papers'!$D:$D,"*"&amp;$A760&amp;"*",'All Papers'!$G:$G,"*"&amp;Table1[[#Headers],[Resource Management-CS]]&amp;"*")</f>
        <v>0</v>
      </c>
      <c r="H760" s="8">
        <f>COUNTIFS('All Papers'!$D:$D,"*"&amp;$A760&amp;"*",'All Papers'!$G:$G,"*"&amp;Table1[[#Headers],[Resource Management-PS]]&amp;"*")</f>
        <v>0</v>
      </c>
      <c r="I760" s="8">
        <f>COUNTIFS('All Papers'!$D:$D,"*"&amp;$A760&amp;"*",'All Papers'!$G:$G,"*"&amp;Table1[[#Headers],[SLA Management]]&amp;"*")</f>
        <v>0</v>
      </c>
      <c r="J760" s="8">
        <f>COUNTIFS('All Papers'!$D:$D,"*"&amp;$A760&amp;"*",'All Papers'!$G:$G,"*"&amp;Table1[[#Headers],[Big Data]]&amp;"*")</f>
        <v>0</v>
      </c>
      <c r="K760" s="8">
        <f>COUNTIFS('All Papers'!$D:$D,"*"&amp;$A760&amp;"*",'All Papers'!$G:$G,"*"&amp;Table1[[#Headers],[Energy Management]]&amp;"*")</f>
        <v>0</v>
      </c>
      <c r="L760" s="8">
        <f>COUNTIFS('All Papers'!$D:$D,"*"&amp;$A760&amp;"*",'All Papers'!$G:$G,"*"&amp;Table1[[#Headers],[Monitoring]]&amp;"*")</f>
        <v>0</v>
      </c>
      <c r="M760" s="8">
        <f>COUNTIFS('All Papers'!$D:$D,"*"&amp;$A760&amp;"*",'All Papers'!$G:$G,"*"&amp;Table1[[#Headers],[Pricing]]&amp;"*")</f>
        <v>0</v>
      </c>
    </row>
    <row r="761" spans="1:13" x14ac:dyDescent="0.25">
      <c r="A761" s="8" t="s">
        <v>3194</v>
      </c>
      <c r="B761" s="8">
        <f>COUNTIF('All Papers'!D:D,"*"&amp;Table1[[#This Row],[Name]]&amp;"*")</f>
        <v>1</v>
      </c>
      <c r="C761" s="8">
        <f>COUNTIFS('All Papers'!$D:$D,"*"&amp;$A761&amp;"*",'All Papers'!$G:$G,"*"&amp;Table1[[#Headers],[Composition]]&amp;"*")</f>
        <v>1</v>
      </c>
      <c r="D761" s="8">
        <f>COUNTIFS('All Papers'!$D:$D,"*"&amp;$A761&amp;"*",'All Papers'!$G:$G,"*"&amp;Table1[[#Headers],[Discovery]]&amp;"*")</f>
        <v>0</v>
      </c>
      <c r="E761" s="8">
        <f>COUNTIFS('All Papers'!$D:$D,"*"&amp;$A761&amp;"*",'All Papers'!$G:$G,"*"&amp;Table1[[#Headers],[Selection]]&amp;"*")</f>
        <v>0</v>
      </c>
      <c r="F761" s="8">
        <f>COUNTIFS('All Papers'!$D:$D,"*"&amp;$A761&amp;"*",'All Papers'!$G:$G,"*"&amp;Table1[[#Headers],[Recommendation]]&amp;"*")</f>
        <v>0</v>
      </c>
      <c r="G761" s="8">
        <f>COUNTIFS('All Papers'!$D:$D,"*"&amp;$A761&amp;"*",'All Papers'!$G:$G,"*"&amp;Table1[[#Headers],[Resource Management-CS]]&amp;"*")</f>
        <v>0</v>
      </c>
      <c r="H761" s="8">
        <f>COUNTIFS('All Papers'!$D:$D,"*"&amp;$A761&amp;"*",'All Papers'!$G:$G,"*"&amp;Table1[[#Headers],[Resource Management-PS]]&amp;"*")</f>
        <v>0</v>
      </c>
      <c r="I761" s="8">
        <f>COUNTIFS('All Papers'!$D:$D,"*"&amp;$A761&amp;"*",'All Papers'!$G:$G,"*"&amp;Table1[[#Headers],[SLA Management]]&amp;"*")</f>
        <v>0</v>
      </c>
      <c r="J761" s="8">
        <f>COUNTIFS('All Papers'!$D:$D,"*"&amp;$A761&amp;"*",'All Papers'!$G:$G,"*"&amp;Table1[[#Headers],[Big Data]]&amp;"*")</f>
        <v>0</v>
      </c>
      <c r="K761" s="8">
        <f>COUNTIFS('All Papers'!$D:$D,"*"&amp;$A761&amp;"*",'All Papers'!$G:$G,"*"&amp;Table1[[#Headers],[Energy Management]]&amp;"*")</f>
        <v>0</v>
      </c>
      <c r="L761" s="8">
        <f>COUNTIFS('All Papers'!$D:$D,"*"&amp;$A761&amp;"*",'All Papers'!$G:$G,"*"&amp;Table1[[#Headers],[Monitoring]]&amp;"*")</f>
        <v>0</v>
      </c>
      <c r="M761" s="8">
        <f>COUNTIFS('All Papers'!$D:$D,"*"&amp;$A761&amp;"*",'All Papers'!$G:$G,"*"&amp;Table1[[#Headers],[Pricing]]&amp;"*")</f>
        <v>0</v>
      </c>
    </row>
    <row r="762" spans="1:13" x14ac:dyDescent="0.25">
      <c r="A762" s="8" t="s">
        <v>3195</v>
      </c>
      <c r="B762" s="8">
        <f>COUNTIF('All Papers'!D:D,"*"&amp;Table1[[#This Row],[Name]]&amp;"*")</f>
        <v>1</v>
      </c>
      <c r="C762" s="8">
        <f>COUNTIFS('All Papers'!$D:$D,"*"&amp;$A762&amp;"*",'All Papers'!$G:$G,"*"&amp;Table1[[#Headers],[Composition]]&amp;"*")</f>
        <v>1</v>
      </c>
      <c r="D762" s="8">
        <f>COUNTIFS('All Papers'!$D:$D,"*"&amp;$A762&amp;"*",'All Papers'!$G:$G,"*"&amp;Table1[[#Headers],[Discovery]]&amp;"*")</f>
        <v>0</v>
      </c>
      <c r="E762" s="8">
        <f>COUNTIFS('All Papers'!$D:$D,"*"&amp;$A762&amp;"*",'All Papers'!$G:$G,"*"&amp;Table1[[#Headers],[Selection]]&amp;"*")</f>
        <v>0</v>
      </c>
      <c r="F762" s="8">
        <f>COUNTIFS('All Papers'!$D:$D,"*"&amp;$A762&amp;"*",'All Papers'!$G:$G,"*"&amp;Table1[[#Headers],[Recommendation]]&amp;"*")</f>
        <v>0</v>
      </c>
      <c r="G762" s="8">
        <f>COUNTIFS('All Papers'!$D:$D,"*"&amp;$A762&amp;"*",'All Papers'!$G:$G,"*"&amp;Table1[[#Headers],[Resource Management-CS]]&amp;"*")</f>
        <v>0</v>
      </c>
      <c r="H762" s="8">
        <f>COUNTIFS('All Papers'!$D:$D,"*"&amp;$A762&amp;"*",'All Papers'!$G:$G,"*"&amp;Table1[[#Headers],[Resource Management-PS]]&amp;"*")</f>
        <v>0</v>
      </c>
      <c r="I762" s="8">
        <f>COUNTIFS('All Papers'!$D:$D,"*"&amp;$A762&amp;"*",'All Papers'!$G:$G,"*"&amp;Table1[[#Headers],[SLA Management]]&amp;"*")</f>
        <v>0</v>
      </c>
      <c r="J762" s="8">
        <f>COUNTIFS('All Papers'!$D:$D,"*"&amp;$A762&amp;"*",'All Papers'!$G:$G,"*"&amp;Table1[[#Headers],[Big Data]]&amp;"*")</f>
        <v>0</v>
      </c>
      <c r="K762" s="8">
        <f>COUNTIFS('All Papers'!$D:$D,"*"&amp;$A762&amp;"*",'All Papers'!$G:$G,"*"&amp;Table1[[#Headers],[Energy Management]]&amp;"*")</f>
        <v>0</v>
      </c>
      <c r="L762" s="8">
        <f>COUNTIFS('All Papers'!$D:$D,"*"&amp;$A762&amp;"*",'All Papers'!$G:$G,"*"&amp;Table1[[#Headers],[Monitoring]]&amp;"*")</f>
        <v>0</v>
      </c>
      <c r="M762" s="8">
        <f>COUNTIFS('All Papers'!$D:$D,"*"&amp;$A762&amp;"*",'All Papers'!$G:$G,"*"&amp;Table1[[#Headers],[Pricing]]&amp;"*")</f>
        <v>0</v>
      </c>
    </row>
    <row r="763" spans="1:13" x14ac:dyDescent="0.25">
      <c r="A763" s="8" t="s">
        <v>3196</v>
      </c>
      <c r="B763" s="8">
        <f>COUNTIF('All Papers'!D:D,"*"&amp;Table1[[#This Row],[Name]]&amp;"*")</f>
        <v>1</v>
      </c>
      <c r="C763" s="8">
        <f>COUNTIFS('All Papers'!$D:$D,"*"&amp;$A763&amp;"*",'All Papers'!$G:$G,"*"&amp;Table1[[#Headers],[Composition]]&amp;"*")</f>
        <v>1</v>
      </c>
      <c r="D763" s="8">
        <f>COUNTIFS('All Papers'!$D:$D,"*"&amp;$A763&amp;"*",'All Papers'!$G:$G,"*"&amp;Table1[[#Headers],[Discovery]]&amp;"*")</f>
        <v>0</v>
      </c>
      <c r="E763" s="8">
        <f>COUNTIFS('All Papers'!$D:$D,"*"&amp;$A763&amp;"*",'All Papers'!$G:$G,"*"&amp;Table1[[#Headers],[Selection]]&amp;"*")</f>
        <v>0</v>
      </c>
      <c r="F763" s="8">
        <f>COUNTIFS('All Papers'!$D:$D,"*"&amp;$A763&amp;"*",'All Papers'!$G:$G,"*"&amp;Table1[[#Headers],[Recommendation]]&amp;"*")</f>
        <v>0</v>
      </c>
      <c r="G763" s="8">
        <f>COUNTIFS('All Papers'!$D:$D,"*"&amp;$A763&amp;"*",'All Papers'!$G:$G,"*"&amp;Table1[[#Headers],[Resource Management-CS]]&amp;"*")</f>
        <v>0</v>
      </c>
      <c r="H763" s="8">
        <f>COUNTIFS('All Papers'!$D:$D,"*"&amp;$A763&amp;"*",'All Papers'!$G:$G,"*"&amp;Table1[[#Headers],[Resource Management-PS]]&amp;"*")</f>
        <v>0</v>
      </c>
      <c r="I763" s="8">
        <f>COUNTIFS('All Papers'!$D:$D,"*"&amp;$A763&amp;"*",'All Papers'!$G:$G,"*"&amp;Table1[[#Headers],[SLA Management]]&amp;"*")</f>
        <v>0</v>
      </c>
      <c r="J763" s="8">
        <f>COUNTIFS('All Papers'!$D:$D,"*"&amp;$A763&amp;"*",'All Papers'!$G:$G,"*"&amp;Table1[[#Headers],[Big Data]]&amp;"*")</f>
        <v>0</v>
      </c>
      <c r="K763" s="8">
        <f>COUNTIFS('All Papers'!$D:$D,"*"&amp;$A763&amp;"*",'All Papers'!$G:$G,"*"&amp;Table1[[#Headers],[Energy Management]]&amp;"*")</f>
        <v>0</v>
      </c>
      <c r="L763" s="8">
        <f>COUNTIFS('All Papers'!$D:$D,"*"&amp;$A763&amp;"*",'All Papers'!$G:$G,"*"&amp;Table1[[#Headers],[Monitoring]]&amp;"*")</f>
        <v>0</v>
      </c>
      <c r="M763" s="8">
        <f>COUNTIFS('All Papers'!$D:$D,"*"&amp;$A763&amp;"*",'All Papers'!$G:$G,"*"&amp;Table1[[#Headers],[Pricing]]&amp;"*")</f>
        <v>0</v>
      </c>
    </row>
    <row r="764" spans="1:13" x14ac:dyDescent="0.25">
      <c r="A764" s="8" t="s">
        <v>3197</v>
      </c>
      <c r="B764" s="8">
        <f>COUNTIF('All Papers'!D:D,"*"&amp;Table1[[#This Row],[Name]]&amp;"*")</f>
        <v>1</v>
      </c>
      <c r="C764" s="8">
        <f>COUNTIFS('All Papers'!$D:$D,"*"&amp;$A764&amp;"*",'All Papers'!$G:$G,"*"&amp;Table1[[#Headers],[Composition]]&amp;"*")</f>
        <v>1</v>
      </c>
      <c r="D764" s="8">
        <f>COUNTIFS('All Papers'!$D:$D,"*"&amp;$A764&amp;"*",'All Papers'!$G:$G,"*"&amp;Table1[[#Headers],[Discovery]]&amp;"*")</f>
        <v>0</v>
      </c>
      <c r="E764" s="8">
        <f>COUNTIFS('All Papers'!$D:$D,"*"&amp;$A764&amp;"*",'All Papers'!$G:$G,"*"&amp;Table1[[#Headers],[Selection]]&amp;"*")</f>
        <v>0</v>
      </c>
      <c r="F764" s="8">
        <f>COUNTIFS('All Papers'!$D:$D,"*"&amp;$A764&amp;"*",'All Papers'!$G:$G,"*"&amp;Table1[[#Headers],[Recommendation]]&amp;"*")</f>
        <v>0</v>
      </c>
      <c r="G764" s="8">
        <f>COUNTIFS('All Papers'!$D:$D,"*"&amp;$A764&amp;"*",'All Papers'!$G:$G,"*"&amp;Table1[[#Headers],[Resource Management-CS]]&amp;"*")</f>
        <v>0</v>
      </c>
      <c r="H764" s="8">
        <f>COUNTIFS('All Papers'!$D:$D,"*"&amp;$A764&amp;"*",'All Papers'!$G:$G,"*"&amp;Table1[[#Headers],[Resource Management-PS]]&amp;"*")</f>
        <v>0</v>
      </c>
      <c r="I764" s="8">
        <f>COUNTIFS('All Papers'!$D:$D,"*"&amp;$A764&amp;"*",'All Papers'!$G:$G,"*"&amp;Table1[[#Headers],[SLA Management]]&amp;"*")</f>
        <v>0</v>
      </c>
      <c r="J764" s="8">
        <f>COUNTIFS('All Papers'!$D:$D,"*"&amp;$A764&amp;"*",'All Papers'!$G:$G,"*"&amp;Table1[[#Headers],[Big Data]]&amp;"*")</f>
        <v>0</v>
      </c>
      <c r="K764" s="8">
        <f>COUNTIFS('All Papers'!$D:$D,"*"&amp;$A764&amp;"*",'All Papers'!$G:$G,"*"&amp;Table1[[#Headers],[Energy Management]]&amp;"*")</f>
        <v>0</v>
      </c>
      <c r="L764" s="8">
        <f>COUNTIFS('All Papers'!$D:$D,"*"&amp;$A764&amp;"*",'All Papers'!$G:$G,"*"&amp;Table1[[#Headers],[Monitoring]]&amp;"*")</f>
        <v>0</v>
      </c>
      <c r="M764" s="8">
        <f>COUNTIFS('All Papers'!$D:$D,"*"&amp;$A764&amp;"*",'All Papers'!$G:$G,"*"&amp;Table1[[#Headers],[Pricing]]&amp;"*")</f>
        <v>0</v>
      </c>
    </row>
    <row r="765" spans="1:13" x14ac:dyDescent="0.25">
      <c r="A765" s="8" t="s">
        <v>3198</v>
      </c>
      <c r="B765" s="8">
        <f>COUNTIF('All Papers'!D:D,"*"&amp;Table1[[#This Row],[Name]]&amp;"*")</f>
        <v>1</v>
      </c>
      <c r="C765" s="8">
        <f>COUNTIFS('All Papers'!$D:$D,"*"&amp;$A765&amp;"*",'All Papers'!$G:$G,"*"&amp;Table1[[#Headers],[Composition]]&amp;"*")</f>
        <v>1</v>
      </c>
      <c r="D765" s="8">
        <f>COUNTIFS('All Papers'!$D:$D,"*"&amp;$A765&amp;"*",'All Papers'!$G:$G,"*"&amp;Table1[[#Headers],[Discovery]]&amp;"*")</f>
        <v>0</v>
      </c>
      <c r="E765" s="8">
        <f>COUNTIFS('All Papers'!$D:$D,"*"&amp;$A765&amp;"*",'All Papers'!$G:$G,"*"&amp;Table1[[#Headers],[Selection]]&amp;"*")</f>
        <v>0</v>
      </c>
      <c r="F765" s="8">
        <f>COUNTIFS('All Papers'!$D:$D,"*"&amp;$A765&amp;"*",'All Papers'!$G:$G,"*"&amp;Table1[[#Headers],[Recommendation]]&amp;"*")</f>
        <v>0</v>
      </c>
      <c r="G765" s="8">
        <f>COUNTIFS('All Papers'!$D:$D,"*"&amp;$A765&amp;"*",'All Papers'!$G:$G,"*"&amp;Table1[[#Headers],[Resource Management-CS]]&amp;"*")</f>
        <v>0</v>
      </c>
      <c r="H765" s="8">
        <f>COUNTIFS('All Papers'!$D:$D,"*"&amp;$A765&amp;"*",'All Papers'!$G:$G,"*"&amp;Table1[[#Headers],[Resource Management-PS]]&amp;"*")</f>
        <v>0</v>
      </c>
      <c r="I765" s="8">
        <f>COUNTIFS('All Papers'!$D:$D,"*"&amp;$A765&amp;"*",'All Papers'!$G:$G,"*"&amp;Table1[[#Headers],[SLA Management]]&amp;"*")</f>
        <v>0</v>
      </c>
      <c r="J765" s="8">
        <f>COUNTIFS('All Papers'!$D:$D,"*"&amp;$A765&amp;"*",'All Papers'!$G:$G,"*"&amp;Table1[[#Headers],[Big Data]]&amp;"*")</f>
        <v>0</v>
      </c>
      <c r="K765" s="8">
        <f>COUNTIFS('All Papers'!$D:$D,"*"&amp;$A765&amp;"*",'All Papers'!$G:$G,"*"&amp;Table1[[#Headers],[Energy Management]]&amp;"*")</f>
        <v>0</v>
      </c>
      <c r="L765" s="8">
        <f>COUNTIFS('All Papers'!$D:$D,"*"&amp;$A765&amp;"*",'All Papers'!$G:$G,"*"&amp;Table1[[#Headers],[Monitoring]]&amp;"*")</f>
        <v>0</v>
      </c>
      <c r="M765" s="8">
        <f>COUNTIFS('All Papers'!$D:$D,"*"&amp;$A765&amp;"*",'All Papers'!$G:$G,"*"&amp;Table1[[#Headers],[Pricing]]&amp;"*")</f>
        <v>0</v>
      </c>
    </row>
    <row r="766" spans="1:13" x14ac:dyDescent="0.25">
      <c r="A766" s="8" t="s">
        <v>3199</v>
      </c>
      <c r="B766" s="8">
        <f>COUNTIF('All Papers'!D:D,"*"&amp;Table1[[#This Row],[Name]]&amp;"*")</f>
        <v>1</v>
      </c>
      <c r="C766" s="8">
        <f>COUNTIFS('All Papers'!$D:$D,"*"&amp;$A766&amp;"*",'All Papers'!$G:$G,"*"&amp;Table1[[#Headers],[Composition]]&amp;"*")</f>
        <v>0</v>
      </c>
      <c r="D766" s="8">
        <f>COUNTIFS('All Papers'!$D:$D,"*"&amp;$A766&amp;"*",'All Papers'!$G:$G,"*"&amp;Table1[[#Headers],[Discovery]]&amp;"*")</f>
        <v>0</v>
      </c>
      <c r="E766" s="8">
        <f>COUNTIFS('All Papers'!$D:$D,"*"&amp;$A766&amp;"*",'All Papers'!$G:$G,"*"&amp;Table1[[#Headers],[Selection]]&amp;"*")</f>
        <v>1</v>
      </c>
      <c r="F766" s="8">
        <f>COUNTIFS('All Papers'!$D:$D,"*"&amp;$A766&amp;"*",'All Papers'!$G:$G,"*"&amp;Table1[[#Headers],[Recommendation]]&amp;"*")</f>
        <v>0</v>
      </c>
      <c r="G766" s="8">
        <f>COUNTIFS('All Papers'!$D:$D,"*"&amp;$A766&amp;"*",'All Papers'!$G:$G,"*"&amp;Table1[[#Headers],[Resource Management-CS]]&amp;"*")</f>
        <v>0</v>
      </c>
      <c r="H766" s="8">
        <f>COUNTIFS('All Papers'!$D:$D,"*"&amp;$A766&amp;"*",'All Papers'!$G:$G,"*"&amp;Table1[[#Headers],[Resource Management-PS]]&amp;"*")</f>
        <v>0</v>
      </c>
      <c r="I766" s="8">
        <f>COUNTIFS('All Papers'!$D:$D,"*"&amp;$A766&amp;"*",'All Papers'!$G:$G,"*"&amp;Table1[[#Headers],[SLA Management]]&amp;"*")</f>
        <v>0</v>
      </c>
      <c r="J766" s="8">
        <f>COUNTIFS('All Papers'!$D:$D,"*"&amp;$A766&amp;"*",'All Papers'!$G:$G,"*"&amp;Table1[[#Headers],[Big Data]]&amp;"*")</f>
        <v>0</v>
      </c>
      <c r="K766" s="8">
        <f>COUNTIFS('All Papers'!$D:$D,"*"&amp;$A766&amp;"*",'All Papers'!$G:$G,"*"&amp;Table1[[#Headers],[Energy Management]]&amp;"*")</f>
        <v>0</v>
      </c>
      <c r="L766" s="8">
        <f>COUNTIFS('All Papers'!$D:$D,"*"&amp;$A766&amp;"*",'All Papers'!$G:$G,"*"&amp;Table1[[#Headers],[Monitoring]]&amp;"*")</f>
        <v>0</v>
      </c>
      <c r="M766" s="8">
        <f>COUNTIFS('All Papers'!$D:$D,"*"&amp;$A766&amp;"*",'All Papers'!$G:$G,"*"&amp;Table1[[#Headers],[Pricing]]&amp;"*")</f>
        <v>0</v>
      </c>
    </row>
    <row r="767" spans="1:13" x14ac:dyDescent="0.25">
      <c r="A767" s="8" t="s">
        <v>3200</v>
      </c>
      <c r="B767" s="8">
        <f>COUNTIF('All Papers'!D:D,"*"&amp;Table1[[#This Row],[Name]]&amp;"*")</f>
        <v>1</v>
      </c>
      <c r="C767" s="8">
        <f>COUNTIFS('All Papers'!$D:$D,"*"&amp;$A767&amp;"*",'All Papers'!$G:$G,"*"&amp;Table1[[#Headers],[Composition]]&amp;"*")</f>
        <v>0</v>
      </c>
      <c r="D767" s="8">
        <f>COUNTIFS('All Papers'!$D:$D,"*"&amp;$A767&amp;"*",'All Papers'!$G:$G,"*"&amp;Table1[[#Headers],[Discovery]]&amp;"*")</f>
        <v>0</v>
      </c>
      <c r="E767" s="8">
        <f>COUNTIFS('All Papers'!$D:$D,"*"&amp;$A767&amp;"*",'All Papers'!$G:$G,"*"&amp;Table1[[#Headers],[Selection]]&amp;"*")</f>
        <v>1</v>
      </c>
      <c r="F767" s="8">
        <f>COUNTIFS('All Papers'!$D:$D,"*"&amp;$A767&amp;"*",'All Papers'!$G:$G,"*"&amp;Table1[[#Headers],[Recommendation]]&amp;"*")</f>
        <v>0</v>
      </c>
      <c r="G767" s="8">
        <f>COUNTIFS('All Papers'!$D:$D,"*"&amp;$A767&amp;"*",'All Papers'!$G:$G,"*"&amp;Table1[[#Headers],[Resource Management-CS]]&amp;"*")</f>
        <v>0</v>
      </c>
      <c r="H767" s="8">
        <f>COUNTIFS('All Papers'!$D:$D,"*"&amp;$A767&amp;"*",'All Papers'!$G:$G,"*"&amp;Table1[[#Headers],[Resource Management-PS]]&amp;"*")</f>
        <v>0</v>
      </c>
      <c r="I767" s="8">
        <f>COUNTIFS('All Papers'!$D:$D,"*"&amp;$A767&amp;"*",'All Papers'!$G:$G,"*"&amp;Table1[[#Headers],[SLA Management]]&amp;"*")</f>
        <v>0</v>
      </c>
      <c r="J767" s="8">
        <f>COUNTIFS('All Papers'!$D:$D,"*"&amp;$A767&amp;"*",'All Papers'!$G:$G,"*"&amp;Table1[[#Headers],[Big Data]]&amp;"*")</f>
        <v>0</v>
      </c>
      <c r="K767" s="8">
        <f>COUNTIFS('All Papers'!$D:$D,"*"&amp;$A767&amp;"*",'All Papers'!$G:$G,"*"&amp;Table1[[#Headers],[Energy Management]]&amp;"*")</f>
        <v>0</v>
      </c>
      <c r="L767" s="8">
        <f>COUNTIFS('All Papers'!$D:$D,"*"&amp;$A767&amp;"*",'All Papers'!$G:$G,"*"&amp;Table1[[#Headers],[Monitoring]]&amp;"*")</f>
        <v>0</v>
      </c>
      <c r="M767" s="8">
        <f>COUNTIFS('All Papers'!$D:$D,"*"&amp;$A767&amp;"*",'All Papers'!$G:$G,"*"&amp;Table1[[#Headers],[Pricing]]&amp;"*")</f>
        <v>0</v>
      </c>
    </row>
    <row r="768" spans="1:13" x14ac:dyDescent="0.25">
      <c r="A768" s="8" t="s">
        <v>3201</v>
      </c>
      <c r="B768" s="8">
        <f>COUNTIF('All Papers'!D:D,"*"&amp;Table1[[#This Row],[Name]]&amp;"*")</f>
        <v>1</v>
      </c>
      <c r="C768" s="8">
        <f>COUNTIFS('All Papers'!$D:$D,"*"&amp;$A768&amp;"*",'All Papers'!$G:$G,"*"&amp;Table1[[#Headers],[Composition]]&amp;"*")</f>
        <v>0</v>
      </c>
      <c r="D768" s="8">
        <f>COUNTIFS('All Papers'!$D:$D,"*"&amp;$A768&amp;"*",'All Papers'!$G:$G,"*"&amp;Table1[[#Headers],[Discovery]]&amp;"*")</f>
        <v>0</v>
      </c>
      <c r="E768" s="8">
        <f>COUNTIFS('All Papers'!$D:$D,"*"&amp;$A768&amp;"*",'All Papers'!$G:$G,"*"&amp;Table1[[#Headers],[Selection]]&amp;"*")</f>
        <v>1</v>
      </c>
      <c r="F768" s="8">
        <f>COUNTIFS('All Papers'!$D:$D,"*"&amp;$A768&amp;"*",'All Papers'!$G:$G,"*"&amp;Table1[[#Headers],[Recommendation]]&amp;"*")</f>
        <v>0</v>
      </c>
      <c r="G768" s="8">
        <f>COUNTIFS('All Papers'!$D:$D,"*"&amp;$A768&amp;"*",'All Papers'!$G:$G,"*"&amp;Table1[[#Headers],[Resource Management-CS]]&amp;"*")</f>
        <v>0</v>
      </c>
      <c r="H768" s="8">
        <f>COUNTIFS('All Papers'!$D:$D,"*"&amp;$A768&amp;"*",'All Papers'!$G:$G,"*"&amp;Table1[[#Headers],[Resource Management-PS]]&amp;"*")</f>
        <v>0</v>
      </c>
      <c r="I768" s="8">
        <f>COUNTIFS('All Papers'!$D:$D,"*"&amp;$A768&amp;"*",'All Papers'!$G:$G,"*"&amp;Table1[[#Headers],[SLA Management]]&amp;"*")</f>
        <v>0</v>
      </c>
      <c r="J768" s="8">
        <f>COUNTIFS('All Papers'!$D:$D,"*"&amp;$A768&amp;"*",'All Papers'!$G:$G,"*"&amp;Table1[[#Headers],[Big Data]]&amp;"*")</f>
        <v>0</v>
      </c>
      <c r="K768" s="8">
        <f>COUNTIFS('All Papers'!$D:$D,"*"&amp;$A768&amp;"*",'All Papers'!$G:$G,"*"&amp;Table1[[#Headers],[Energy Management]]&amp;"*")</f>
        <v>0</v>
      </c>
      <c r="L768" s="8">
        <f>COUNTIFS('All Papers'!$D:$D,"*"&amp;$A768&amp;"*",'All Papers'!$G:$G,"*"&amp;Table1[[#Headers],[Monitoring]]&amp;"*")</f>
        <v>0</v>
      </c>
      <c r="M768" s="8">
        <f>COUNTIFS('All Papers'!$D:$D,"*"&amp;$A768&amp;"*",'All Papers'!$G:$G,"*"&amp;Table1[[#Headers],[Pricing]]&amp;"*")</f>
        <v>0</v>
      </c>
    </row>
    <row r="769" spans="1:13" x14ac:dyDescent="0.25">
      <c r="A769" s="8" t="s">
        <v>3202</v>
      </c>
      <c r="B769" s="8">
        <f>COUNTIF('All Papers'!D:D,"*"&amp;Table1[[#This Row],[Name]]&amp;"*")</f>
        <v>1</v>
      </c>
      <c r="C769" s="8">
        <f>COUNTIFS('All Papers'!$D:$D,"*"&amp;$A769&amp;"*",'All Papers'!$G:$G,"*"&amp;Table1[[#Headers],[Composition]]&amp;"*")</f>
        <v>0</v>
      </c>
      <c r="D769" s="8">
        <f>COUNTIFS('All Papers'!$D:$D,"*"&amp;$A769&amp;"*",'All Papers'!$G:$G,"*"&amp;Table1[[#Headers],[Discovery]]&amp;"*")</f>
        <v>0</v>
      </c>
      <c r="E769" s="8">
        <f>COUNTIFS('All Papers'!$D:$D,"*"&amp;$A769&amp;"*",'All Papers'!$G:$G,"*"&amp;Table1[[#Headers],[Selection]]&amp;"*")</f>
        <v>1</v>
      </c>
      <c r="F769" s="8">
        <f>COUNTIFS('All Papers'!$D:$D,"*"&amp;$A769&amp;"*",'All Papers'!$G:$G,"*"&amp;Table1[[#Headers],[Recommendation]]&amp;"*")</f>
        <v>0</v>
      </c>
      <c r="G769" s="8">
        <f>COUNTIFS('All Papers'!$D:$D,"*"&amp;$A769&amp;"*",'All Papers'!$G:$G,"*"&amp;Table1[[#Headers],[Resource Management-CS]]&amp;"*")</f>
        <v>0</v>
      </c>
      <c r="H769" s="8">
        <f>COUNTIFS('All Papers'!$D:$D,"*"&amp;$A769&amp;"*",'All Papers'!$G:$G,"*"&amp;Table1[[#Headers],[Resource Management-PS]]&amp;"*")</f>
        <v>0</v>
      </c>
      <c r="I769" s="8">
        <f>COUNTIFS('All Papers'!$D:$D,"*"&amp;$A769&amp;"*",'All Papers'!$G:$G,"*"&amp;Table1[[#Headers],[SLA Management]]&amp;"*")</f>
        <v>0</v>
      </c>
      <c r="J769" s="8">
        <f>COUNTIFS('All Papers'!$D:$D,"*"&amp;$A769&amp;"*",'All Papers'!$G:$G,"*"&amp;Table1[[#Headers],[Big Data]]&amp;"*")</f>
        <v>0</v>
      </c>
      <c r="K769" s="8">
        <f>COUNTIFS('All Papers'!$D:$D,"*"&amp;$A769&amp;"*",'All Papers'!$G:$G,"*"&amp;Table1[[#Headers],[Energy Management]]&amp;"*")</f>
        <v>0</v>
      </c>
      <c r="L769" s="8">
        <f>COUNTIFS('All Papers'!$D:$D,"*"&amp;$A769&amp;"*",'All Papers'!$G:$G,"*"&amp;Table1[[#Headers],[Monitoring]]&amp;"*")</f>
        <v>0</v>
      </c>
      <c r="M769" s="8">
        <f>COUNTIFS('All Papers'!$D:$D,"*"&amp;$A769&amp;"*",'All Papers'!$G:$G,"*"&amp;Table1[[#Headers],[Pricing]]&amp;"*")</f>
        <v>0</v>
      </c>
    </row>
    <row r="770" spans="1:13" x14ac:dyDescent="0.25">
      <c r="A770" s="8" t="s">
        <v>3203</v>
      </c>
      <c r="B770" s="8">
        <f>COUNTIF('All Papers'!D:D,"*"&amp;Table1[[#This Row],[Name]]&amp;"*")</f>
        <v>1</v>
      </c>
      <c r="C770" s="8">
        <f>COUNTIFS('All Papers'!$D:$D,"*"&amp;$A770&amp;"*",'All Papers'!$G:$G,"*"&amp;Table1[[#Headers],[Composition]]&amp;"*")</f>
        <v>1</v>
      </c>
      <c r="D770" s="8">
        <f>COUNTIFS('All Papers'!$D:$D,"*"&amp;$A770&amp;"*",'All Papers'!$G:$G,"*"&amp;Table1[[#Headers],[Discovery]]&amp;"*")</f>
        <v>0</v>
      </c>
      <c r="E770" s="8">
        <f>COUNTIFS('All Papers'!$D:$D,"*"&amp;$A770&amp;"*",'All Papers'!$G:$G,"*"&amp;Table1[[#Headers],[Selection]]&amp;"*")</f>
        <v>0</v>
      </c>
      <c r="F770" s="8">
        <f>COUNTIFS('All Papers'!$D:$D,"*"&amp;$A770&amp;"*",'All Papers'!$G:$G,"*"&amp;Table1[[#Headers],[Recommendation]]&amp;"*")</f>
        <v>0</v>
      </c>
      <c r="G770" s="8">
        <f>COUNTIFS('All Papers'!$D:$D,"*"&amp;$A770&amp;"*",'All Papers'!$G:$G,"*"&amp;Table1[[#Headers],[Resource Management-CS]]&amp;"*")</f>
        <v>0</v>
      </c>
      <c r="H770" s="8">
        <f>COUNTIFS('All Papers'!$D:$D,"*"&amp;$A770&amp;"*",'All Papers'!$G:$G,"*"&amp;Table1[[#Headers],[Resource Management-PS]]&amp;"*")</f>
        <v>0</v>
      </c>
      <c r="I770" s="8">
        <f>COUNTIFS('All Papers'!$D:$D,"*"&amp;$A770&amp;"*",'All Papers'!$G:$G,"*"&amp;Table1[[#Headers],[SLA Management]]&amp;"*")</f>
        <v>0</v>
      </c>
      <c r="J770" s="8">
        <f>COUNTIFS('All Papers'!$D:$D,"*"&amp;$A770&amp;"*",'All Papers'!$G:$G,"*"&amp;Table1[[#Headers],[Big Data]]&amp;"*")</f>
        <v>0</v>
      </c>
      <c r="K770" s="8">
        <f>COUNTIFS('All Papers'!$D:$D,"*"&amp;$A770&amp;"*",'All Papers'!$G:$G,"*"&amp;Table1[[#Headers],[Energy Management]]&amp;"*")</f>
        <v>0</v>
      </c>
      <c r="L770" s="8">
        <f>COUNTIFS('All Papers'!$D:$D,"*"&amp;$A770&amp;"*",'All Papers'!$G:$G,"*"&amp;Table1[[#Headers],[Monitoring]]&amp;"*")</f>
        <v>0</v>
      </c>
      <c r="M770" s="8">
        <f>COUNTIFS('All Papers'!$D:$D,"*"&amp;$A770&amp;"*",'All Papers'!$G:$G,"*"&amp;Table1[[#Headers],[Pricing]]&amp;"*")</f>
        <v>0</v>
      </c>
    </row>
    <row r="771" spans="1:13" x14ac:dyDescent="0.25">
      <c r="A771" s="8" t="s">
        <v>3204</v>
      </c>
      <c r="B771" s="8">
        <f>COUNTIF('All Papers'!D:D,"*"&amp;Table1[[#This Row],[Name]]&amp;"*")</f>
        <v>1</v>
      </c>
      <c r="C771" s="8">
        <f>COUNTIFS('All Papers'!$D:$D,"*"&amp;$A771&amp;"*",'All Papers'!$G:$G,"*"&amp;Table1[[#Headers],[Composition]]&amp;"*")</f>
        <v>1</v>
      </c>
      <c r="D771" s="8">
        <f>COUNTIFS('All Papers'!$D:$D,"*"&amp;$A771&amp;"*",'All Papers'!$G:$G,"*"&amp;Table1[[#Headers],[Discovery]]&amp;"*")</f>
        <v>0</v>
      </c>
      <c r="E771" s="8">
        <f>COUNTIFS('All Papers'!$D:$D,"*"&amp;$A771&amp;"*",'All Papers'!$G:$G,"*"&amp;Table1[[#Headers],[Selection]]&amp;"*")</f>
        <v>0</v>
      </c>
      <c r="F771" s="8">
        <f>COUNTIFS('All Papers'!$D:$D,"*"&amp;$A771&amp;"*",'All Papers'!$G:$G,"*"&amp;Table1[[#Headers],[Recommendation]]&amp;"*")</f>
        <v>0</v>
      </c>
      <c r="G771" s="8">
        <f>COUNTIFS('All Papers'!$D:$D,"*"&amp;$A771&amp;"*",'All Papers'!$G:$G,"*"&amp;Table1[[#Headers],[Resource Management-CS]]&amp;"*")</f>
        <v>0</v>
      </c>
      <c r="H771" s="8">
        <f>COUNTIFS('All Papers'!$D:$D,"*"&amp;$A771&amp;"*",'All Papers'!$G:$G,"*"&amp;Table1[[#Headers],[Resource Management-PS]]&amp;"*")</f>
        <v>0</v>
      </c>
      <c r="I771" s="8">
        <f>COUNTIFS('All Papers'!$D:$D,"*"&amp;$A771&amp;"*",'All Papers'!$G:$G,"*"&amp;Table1[[#Headers],[SLA Management]]&amp;"*")</f>
        <v>0</v>
      </c>
      <c r="J771" s="8">
        <f>COUNTIFS('All Papers'!$D:$D,"*"&amp;$A771&amp;"*",'All Papers'!$G:$G,"*"&amp;Table1[[#Headers],[Big Data]]&amp;"*")</f>
        <v>0</v>
      </c>
      <c r="K771" s="8">
        <f>COUNTIFS('All Papers'!$D:$D,"*"&amp;$A771&amp;"*",'All Papers'!$G:$G,"*"&amp;Table1[[#Headers],[Energy Management]]&amp;"*")</f>
        <v>0</v>
      </c>
      <c r="L771" s="8">
        <f>COUNTIFS('All Papers'!$D:$D,"*"&amp;$A771&amp;"*",'All Papers'!$G:$G,"*"&amp;Table1[[#Headers],[Monitoring]]&amp;"*")</f>
        <v>0</v>
      </c>
      <c r="M771" s="8">
        <f>COUNTIFS('All Papers'!$D:$D,"*"&amp;$A771&amp;"*",'All Papers'!$G:$G,"*"&amp;Table1[[#Headers],[Pricing]]&amp;"*")</f>
        <v>0</v>
      </c>
    </row>
    <row r="772" spans="1:13" x14ac:dyDescent="0.25">
      <c r="A772" s="8" t="s">
        <v>3205</v>
      </c>
      <c r="B772" s="8">
        <f>COUNTIF('All Papers'!D:D,"*"&amp;Table1[[#This Row],[Name]]&amp;"*")</f>
        <v>1</v>
      </c>
      <c r="C772" s="8">
        <f>COUNTIFS('All Papers'!$D:$D,"*"&amp;$A772&amp;"*",'All Papers'!$G:$G,"*"&amp;Table1[[#Headers],[Composition]]&amp;"*")</f>
        <v>1</v>
      </c>
      <c r="D772" s="8">
        <f>COUNTIFS('All Papers'!$D:$D,"*"&amp;$A772&amp;"*",'All Papers'!$G:$G,"*"&amp;Table1[[#Headers],[Discovery]]&amp;"*")</f>
        <v>0</v>
      </c>
      <c r="E772" s="8">
        <f>COUNTIFS('All Papers'!$D:$D,"*"&amp;$A772&amp;"*",'All Papers'!$G:$G,"*"&amp;Table1[[#Headers],[Selection]]&amp;"*")</f>
        <v>0</v>
      </c>
      <c r="F772" s="8">
        <f>COUNTIFS('All Papers'!$D:$D,"*"&amp;$A772&amp;"*",'All Papers'!$G:$G,"*"&amp;Table1[[#Headers],[Recommendation]]&amp;"*")</f>
        <v>0</v>
      </c>
      <c r="G772" s="8">
        <f>COUNTIFS('All Papers'!$D:$D,"*"&amp;$A772&amp;"*",'All Papers'!$G:$G,"*"&amp;Table1[[#Headers],[Resource Management-CS]]&amp;"*")</f>
        <v>0</v>
      </c>
      <c r="H772" s="8">
        <f>COUNTIFS('All Papers'!$D:$D,"*"&amp;$A772&amp;"*",'All Papers'!$G:$G,"*"&amp;Table1[[#Headers],[Resource Management-PS]]&amp;"*")</f>
        <v>0</v>
      </c>
      <c r="I772" s="8">
        <f>COUNTIFS('All Papers'!$D:$D,"*"&amp;$A772&amp;"*",'All Papers'!$G:$G,"*"&amp;Table1[[#Headers],[SLA Management]]&amp;"*")</f>
        <v>0</v>
      </c>
      <c r="J772" s="8">
        <f>COUNTIFS('All Papers'!$D:$D,"*"&amp;$A772&amp;"*",'All Papers'!$G:$G,"*"&amp;Table1[[#Headers],[Big Data]]&amp;"*")</f>
        <v>0</v>
      </c>
      <c r="K772" s="8">
        <f>COUNTIFS('All Papers'!$D:$D,"*"&amp;$A772&amp;"*",'All Papers'!$G:$G,"*"&amp;Table1[[#Headers],[Energy Management]]&amp;"*")</f>
        <v>0</v>
      </c>
      <c r="L772" s="8">
        <f>COUNTIFS('All Papers'!$D:$D,"*"&amp;$A772&amp;"*",'All Papers'!$G:$G,"*"&amp;Table1[[#Headers],[Monitoring]]&amp;"*")</f>
        <v>0</v>
      </c>
      <c r="M772" s="8">
        <f>COUNTIFS('All Papers'!$D:$D,"*"&amp;$A772&amp;"*",'All Papers'!$G:$G,"*"&amp;Table1[[#Headers],[Pricing]]&amp;"*")</f>
        <v>0</v>
      </c>
    </row>
    <row r="773" spans="1:13" x14ac:dyDescent="0.25">
      <c r="A773" s="8" t="s">
        <v>3206</v>
      </c>
      <c r="B773" s="8">
        <f>COUNTIF('All Papers'!D:D,"*"&amp;Table1[[#This Row],[Name]]&amp;"*")</f>
        <v>1</v>
      </c>
      <c r="C773" s="8">
        <f>COUNTIFS('All Papers'!$D:$D,"*"&amp;$A773&amp;"*",'All Papers'!$G:$G,"*"&amp;Table1[[#Headers],[Composition]]&amp;"*")</f>
        <v>1</v>
      </c>
      <c r="D773" s="8">
        <f>COUNTIFS('All Papers'!$D:$D,"*"&amp;$A773&amp;"*",'All Papers'!$G:$G,"*"&amp;Table1[[#Headers],[Discovery]]&amp;"*")</f>
        <v>0</v>
      </c>
      <c r="E773" s="8">
        <f>COUNTIFS('All Papers'!$D:$D,"*"&amp;$A773&amp;"*",'All Papers'!$G:$G,"*"&amp;Table1[[#Headers],[Selection]]&amp;"*")</f>
        <v>0</v>
      </c>
      <c r="F773" s="8">
        <f>COUNTIFS('All Papers'!$D:$D,"*"&amp;$A773&amp;"*",'All Papers'!$G:$G,"*"&amp;Table1[[#Headers],[Recommendation]]&amp;"*")</f>
        <v>0</v>
      </c>
      <c r="G773" s="8">
        <f>COUNTIFS('All Papers'!$D:$D,"*"&amp;$A773&amp;"*",'All Papers'!$G:$G,"*"&amp;Table1[[#Headers],[Resource Management-CS]]&amp;"*")</f>
        <v>0</v>
      </c>
      <c r="H773" s="8">
        <f>COUNTIFS('All Papers'!$D:$D,"*"&amp;$A773&amp;"*",'All Papers'!$G:$G,"*"&amp;Table1[[#Headers],[Resource Management-PS]]&amp;"*")</f>
        <v>0</v>
      </c>
      <c r="I773" s="8">
        <f>COUNTIFS('All Papers'!$D:$D,"*"&amp;$A773&amp;"*",'All Papers'!$G:$G,"*"&amp;Table1[[#Headers],[SLA Management]]&amp;"*")</f>
        <v>0</v>
      </c>
      <c r="J773" s="8">
        <f>COUNTIFS('All Papers'!$D:$D,"*"&amp;$A773&amp;"*",'All Papers'!$G:$G,"*"&amp;Table1[[#Headers],[Big Data]]&amp;"*")</f>
        <v>0</v>
      </c>
      <c r="K773" s="8">
        <f>COUNTIFS('All Papers'!$D:$D,"*"&amp;$A773&amp;"*",'All Papers'!$G:$G,"*"&amp;Table1[[#Headers],[Energy Management]]&amp;"*")</f>
        <v>0</v>
      </c>
      <c r="L773" s="8">
        <f>COUNTIFS('All Papers'!$D:$D,"*"&amp;$A773&amp;"*",'All Papers'!$G:$G,"*"&amp;Table1[[#Headers],[Monitoring]]&amp;"*")</f>
        <v>0</v>
      </c>
      <c r="M773" s="8">
        <f>COUNTIFS('All Papers'!$D:$D,"*"&amp;$A773&amp;"*",'All Papers'!$G:$G,"*"&amp;Table1[[#Headers],[Pricing]]&amp;"*")</f>
        <v>0</v>
      </c>
    </row>
    <row r="774" spans="1:13" x14ac:dyDescent="0.25">
      <c r="A774" s="8" t="s">
        <v>3207</v>
      </c>
      <c r="B774" s="8">
        <f>COUNTIF('All Papers'!D:D,"*"&amp;Table1[[#This Row],[Name]]&amp;"*")</f>
        <v>1</v>
      </c>
      <c r="C774" s="8">
        <f>COUNTIFS('All Papers'!$D:$D,"*"&amp;$A774&amp;"*",'All Papers'!$G:$G,"*"&amp;Table1[[#Headers],[Composition]]&amp;"*")</f>
        <v>1</v>
      </c>
      <c r="D774" s="8">
        <f>COUNTIFS('All Papers'!$D:$D,"*"&amp;$A774&amp;"*",'All Papers'!$G:$G,"*"&amp;Table1[[#Headers],[Discovery]]&amp;"*")</f>
        <v>0</v>
      </c>
      <c r="E774" s="8">
        <f>COUNTIFS('All Papers'!$D:$D,"*"&amp;$A774&amp;"*",'All Papers'!$G:$G,"*"&amp;Table1[[#Headers],[Selection]]&amp;"*")</f>
        <v>0</v>
      </c>
      <c r="F774" s="8">
        <f>COUNTIFS('All Papers'!$D:$D,"*"&amp;$A774&amp;"*",'All Papers'!$G:$G,"*"&amp;Table1[[#Headers],[Recommendation]]&amp;"*")</f>
        <v>0</v>
      </c>
      <c r="G774" s="8">
        <f>COUNTIFS('All Papers'!$D:$D,"*"&amp;$A774&amp;"*",'All Papers'!$G:$G,"*"&amp;Table1[[#Headers],[Resource Management-CS]]&amp;"*")</f>
        <v>0</v>
      </c>
      <c r="H774" s="8">
        <f>COUNTIFS('All Papers'!$D:$D,"*"&amp;$A774&amp;"*",'All Papers'!$G:$G,"*"&amp;Table1[[#Headers],[Resource Management-PS]]&amp;"*")</f>
        <v>0</v>
      </c>
      <c r="I774" s="8">
        <f>COUNTIFS('All Papers'!$D:$D,"*"&amp;$A774&amp;"*",'All Papers'!$G:$G,"*"&amp;Table1[[#Headers],[SLA Management]]&amp;"*")</f>
        <v>0</v>
      </c>
      <c r="J774" s="8">
        <f>COUNTIFS('All Papers'!$D:$D,"*"&amp;$A774&amp;"*",'All Papers'!$G:$G,"*"&amp;Table1[[#Headers],[Big Data]]&amp;"*")</f>
        <v>0</v>
      </c>
      <c r="K774" s="8">
        <f>COUNTIFS('All Papers'!$D:$D,"*"&amp;$A774&amp;"*",'All Papers'!$G:$G,"*"&amp;Table1[[#Headers],[Energy Management]]&amp;"*")</f>
        <v>0</v>
      </c>
      <c r="L774" s="8">
        <f>COUNTIFS('All Papers'!$D:$D,"*"&amp;$A774&amp;"*",'All Papers'!$G:$G,"*"&amp;Table1[[#Headers],[Monitoring]]&amp;"*")</f>
        <v>0</v>
      </c>
      <c r="M774" s="8">
        <f>COUNTIFS('All Papers'!$D:$D,"*"&amp;$A774&amp;"*",'All Papers'!$G:$G,"*"&amp;Table1[[#Headers],[Pricing]]&amp;"*")</f>
        <v>0</v>
      </c>
    </row>
    <row r="775" spans="1:13" x14ac:dyDescent="0.25">
      <c r="A775" s="8" t="s">
        <v>3208</v>
      </c>
      <c r="B775" s="8">
        <f>COUNTIF('All Papers'!D:D,"*"&amp;Table1[[#This Row],[Name]]&amp;"*")</f>
        <v>1</v>
      </c>
      <c r="C775" s="8">
        <f>COUNTIFS('All Papers'!$D:$D,"*"&amp;$A775&amp;"*",'All Papers'!$G:$G,"*"&amp;Table1[[#Headers],[Composition]]&amp;"*")</f>
        <v>1</v>
      </c>
      <c r="D775" s="8">
        <f>COUNTIFS('All Papers'!$D:$D,"*"&amp;$A775&amp;"*",'All Papers'!$G:$G,"*"&amp;Table1[[#Headers],[Discovery]]&amp;"*")</f>
        <v>0</v>
      </c>
      <c r="E775" s="8">
        <f>COUNTIFS('All Papers'!$D:$D,"*"&amp;$A775&amp;"*",'All Papers'!$G:$G,"*"&amp;Table1[[#Headers],[Selection]]&amp;"*")</f>
        <v>0</v>
      </c>
      <c r="F775" s="8">
        <f>COUNTIFS('All Papers'!$D:$D,"*"&amp;$A775&amp;"*",'All Papers'!$G:$G,"*"&amp;Table1[[#Headers],[Recommendation]]&amp;"*")</f>
        <v>0</v>
      </c>
      <c r="G775" s="8">
        <f>COUNTIFS('All Papers'!$D:$D,"*"&amp;$A775&amp;"*",'All Papers'!$G:$G,"*"&amp;Table1[[#Headers],[Resource Management-CS]]&amp;"*")</f>
        <v>0</v>
      </c>
      <c r="H775" s="8">
        <f>COUNTIFS('All Papers'!$D:$D,"*"&amp;$A775&amp;"*",'All Papers'!$G:$G,"*"&amp;Table1[[#Headers],[Resource Management-PS]]&amp;"*")</f>
        <v>0</v>
      </c>
      <c r="I775" s="8">
        <f>COUNTIFS('All Papers'!$D:$D,"*"&amp;$A775&amp;"*",'All Papers'!$G:$G,"*"&amp;Table1[[#Headers],[SLA Management]]&amp;"*")</f>
        <v>0</v>
      </c>
      <c r="J775" s="8">
        <f>COUNTIFS('All Papers'!$D:$D,"*"&amp;$A775&amp;"*",'All Papers'!$G:$G,"*"&amp;Table1[[#Headers],[Big Data]]&amp;"*")</f>
        <v>0</v>
      </c>
      <c r="K775" s="8">
        <f>COUNTIFS('All Papers'!$D:$D,"*"&amp;$A775&amp;"*",'All Papers'!$G:$G,"*"&amp;Table1[[#Headers],[Energy Management]]&amp;"*")</f>
        <v>0</v>
      </c>
      <c r="L775" s="8">
        <f>COUNTIFS('All Papers'!$D:$D,"*"&amp;$A775&amp;"*",'All Papers'!$G:$G,"*"&amp;Table1[[#Headers],[Monitoring]]&amp;"*")</f>
        <v>0</v>
      </c>
      <c r="M775" s="8">
        <f>COUNTIFS('All Papers'!$D:$D,"*"&amp;$A775&amp;"*",'All Papers'!$G:$G,"*"&amp;Table1[[#Headers],[Pricing]]&amp;"*")</f>
        <v>0</v>
      </c>
    </row>
    <row r="776" spans="1:13" x14ac:dyDescent="0.25">
      <c r="A776" s="8" t="s">
        <v>3209</v>
      </c>
      <c r="B776" s="8">
        <f>COUNTIF('All Papers'!D:D,"*"&amp;Table1[[#This Row],[Name]]&amp;"*")</f>
        <v>1</v>
      </c>
      <c r="C776" s="8">
        <f>COUNTIFS('All Papers'!$D:$D,"*"&amp;$A776&amp;"*",'All Papers'!$G:$G,"*"&amp;Table1[[#Headers],[Composition]]&amp;"*")</f>
        <v>0</v>
      </c>
      <c r="D776" s="8">
        <f>COUNTIFS('All Papers'!$D:$D,"*"&amp;$A776&amp;"*",'All Papers'!$G:$G,"*"&amp;Table1[[#Headers],[Discovery]]&amp;"*")</f>
        <v>0</v>
      </c>
      <c r="E776" s="8">
        <f>COUNTIFS('All Papers'!$D:$D,"*"&amp;$A776&amp;"*",'All Papers'!$G:$G,"*"&amp;Table1[[#Headers],[Selection]]&amp;"*")</f>
        <v>1</v>
      </c>
      <c r="F776" s="8">
        <f>COUNTIFS('All Papers'!$D:$D,"*"&amp;$A776&amp;"*",'All Papers'!$G:$G,"*"&amp;Table1[[#Headers],[Recommendation]]&amp;"*")</f>
        <v>0</v>
      </c>
      <c r="G776" s="8">
        <f>COUNTIFS('All Papers'!$D:$D,"*"&amp;$A776&amp;"*",'All Papers'!$G:$G,"*"&amp;Table1[[#Headers],[Resource Management-CS]]&amp;"*")</f>
        <v>0</v>
      </c>
      <c r="H776" s="8">
        <f>COUNTIFS('All Papers'!$D:$D,"*"&amp;$A776&amp;"*",'All Papers'!$G:$G,"*"&amp;Table1[[#Headers],[Resource Management-PS]]&amp;"*")</f>
        <v>0</v>
      </c>
      <c r="I776" s="8">
        <f>COUNTIFS('All Papers'!$D:$D,"*"&amp;$A776&amp;"*",'All Papers'!$G:$G,"*"&amp;Table1[[#Headers],[SLA Management]]&amp;"*")</f>
        <v>0</v>
      </c>
      <c r="J776" s="8">
        <f>COUNTIFS('All Papers'!$D:$D,"*"&amp;$A776&amp;"*",'All Papers'!$G:$G,"*"&amp;Table1[[#Headers],[Big Data]]&amp;"*")</f>
        <v>0</v>
      </c>
      <c r="K776" s="8">
        <f>COUNTIFS('All Papers'!$D:$D,"*"&amp;$A776&amp;"*",'All Papers'!$G:$G,"*"&amp;Table1[[#Headers],[Energy Management]]&amp;"*")</f>
        <v>0</v>
      </c>
      <c r="L776" s="8">
        <f>COUNTIFS('All Papers'!$D:$D,"*"&amp;$A776&amp;"*",'All Papers'!$G:$G,"*"&amp;Table1[[#Headers],[Monitoring]]&amp;"*")</f>
        <v>0</v>
      </c>
      <c r="M776" s="8">
        <f>COUNTIFS('All Papers'!$D:$D,"*"&amp;$A776&amp;"*",'All Papers'!$G:$G,"*"&amp;Table1[[#Headers],[Pricing]]&amp;"*")</f>
        <v>0</v>
      </c>
    </row>
    <row r="777" spans="1:13" x14ac:dyDescent="0.25">
      <c r="A777" s="8" t="s">
        <v>3210</v>
      </c>
      <c r="B777" s="8">
        <f>COUNTIF('All Papers'!D:D,"*"&amp;Table1[[#This Row],[Name]]&amp;"*")</f>
        <v>1</v>
      </c>
      <c r="C777" s="8">
        <f>COUNTIFS('All Papers'!$D:$D,"*"&amp;$A777&amp;"*",'All Papers'!$G:$G,"*"&amp;Table1[[#Headers],[Composition]]&amp;"*")</f>
        <v>0</v>
      </c>
      <c r="D777" s="8">
        <f>COUNTIFS('All Papers'!$D:$D,"*"&amp;$A777&amp;"*",'All Papers'!$G:$G,"*"&amp;Table1[[#Headers],[Discovery]]&amp;"*")</f>
        <v>0</v>
      </c>
      <c r="E777" s="8">
        <f>COUNTIFS('All Papers'!$D:$D,"*"&amp;$A777&amp;"*",'All Papers'!$G:$G,"*"&amp;Table1[[#Headers],[Selection]]&amp;"*")</f>
        <v>1</v>
      </c>
      <c r="F777" s="8">
        <f>COUNTIFS('All Papers'!$D:$D,"*"&amp;$A777&amp;"*",'All Papers'!$G:$G,"*"&amp;Table1[[#Headers],[Recommendation]]&amp;"*")</f>
        <v>0</v>
      </c>
      <c r="G777" s="8">
        <f>COUNTIFS('All Papers'!$D:$D,"*"&amp;$A777&amp;"*",'All Papers'!$G:$G,"*"&amp;Table1[[#Headers],[Resource Management-CS]]&amp;"*")</f>
        <v>0</v>
      </c>
      <c r="H777" s="8">
        <f>COUNTIFS('All Papers'!$D:$D,"*"&amp;$A777&amp;"*",'All Papers'!$G:$G,"*"&amp;Table1[[#Headers],[Resource Management-PS]]&amp;"*")</f>
        <v>0</v>
      </c>
      <c r="I777" s="8">
        <f>COUNTIFS('All Papers'!$D:$D,"*"&amp;$A777&amp;"*",'All Papers'!$G:$G,"*"&amp;Table1[[#Headers],[SLA Management]]&amp;"*")</f>
        <v>0</v>
      </c>
      <c r="J777" s="8">
        <f>COUNTIFS('All Papers'!$D:$D,"*"&amp;$A777&amp;"*",'All Papers'!$G:$G,"*"&amp;Table1[[#Headers],[Big Data]]&amp;"*")</f>
        <v>0</v>
      </c>
      <c r="K777" s="8">
        <f>COUNTIFS('All Papers'!$D:$D,"*"&amp;$A777&amp;"*",'All Papers'!$G:$G,"*"&amp;Table1[[#Headers],[Energy Management]]&amp;"*")</f>
        <v>0</v>
      </c>
      <c r="L777" s="8">
        <f>COUNTIFS('All Papers'!$D:$D,"*"&amp;$A777&amp;"*",'All Papers'!$G:$G,"*"&amp;Table1[[#Headers],[Monitoring]]&amp;"*")</f>
        <v>0</v>
      </c>
      <c r="M777" s="8">
        <f>COUNTIFS('All Papers'!$D:$D,"*"&amp;$A777&amp;"*",'All Papers'!$G:$G,"*"&amp;Table1[[#Headers],[Pricing]]&amp;"*")</f>
        <v>0</v>
      </c>
    </row>
    <row r="778" spans="1:13" x14ac:dyDescent="0.25">
      <c r="A778" s="8" t="s">
        <v>3211</v>
      </c>
      <c r="B778" s="8">
        <f>COUNTIF('All Papers'!D:D,"*"&amp;Table1[[#This Row],[Name]]&amp;"*")</f>
        <v>1</v>
      </c>
      <c r="C778" s="8">
        <f>COUNTIFS('All Papers'!$D:$D,"*"&amp;$A778&amp;"*",'All Papers'!$G:$G,"*"&amp;Table1[[#Headers],[Composition]]&amp;"*")</f>
        <v>0</v>
      </c>
      <c r="D778" s="8">
        <f>COUNTIFS('All Papers'!$D:$D,"*"&amp;$A778&amp;"*",'All Papers'!$G:$G,"*"&amp;Table1[[#Headers],[Discovery]]&amp;"*")</f>
        <v>0</v>
      </c>
      <c r="E778" s="8">
        <f>COUNTIFS('All Papers'!$D:$D,"*"&amp;$A778&amp;"*",'All Papers'!$G:$G,"*"&amp;Table1[[#Headers],[Selection]]&amp;"*")</f>
        <v>1</v>
      </c>
      <c r="F778" s="8">
        <f>COUNTIFS('All Papers'!$D:$D,"*"&amp;$A778&amp;"*",'All Papers'!$G:$G,"*"&amp;Table1[[#Headers],[Recommendation]]&amp;"*")</f>
        <v>0</v>
      </c>
      <c r="G778" s="8">
        <f>COUNTIFS('All Papers'!$D:$D,"*"&amp;$A778&amp;"*",'All Papers'!$G:$G,"*"&amp;Table1[[#Headers],[Resource Management-CS]]&amp;"*")</f>
        <v>0</v>
      </c>
      <c r="H778" s="8">
        <f>COUNTIFS('All Papers'!$D:$D,"*"&amp;$A778&amp;"*",'All Papers'!$G:$G,"*"&amp;Table1[[#Headers],[Resource Management-PS]]&amp;"*")</f>
        <v>0</v>
      </c>
      <c r="I778" s="8">
        <f>COUNTIFS('All Papers'!$D:$D,"*"&amp;$A778&amp;"*",'All Papers'!$G:$G,"*"&amp;Table1[[#Headers],[SLA Management]]&amp;"*")</f>
        <v>0</v>
      </c>
      <c r="J778" s="8">
        <f>COUNTIFS('All Papers'!$D:$D,"*"&amp;$A778&amp;"*",'All Papers'!$G:$G,"*"&amp;Table1[[#Headers],[Big Data]]&amp;"*")</f>
        <v>0</v>
      </c>
      <c r="K778" s="8">
        <f>COUNTIFS('All Papers'!$D:$D,"*"&amp;$A778&amp;"*",'All Papers'!$G:$G,"*"&amp;Table1[[#Headers],[Energy Management]]&amp;"*")</f>
        <v>0</v>
      </c>
      <c r="L778" s="8">
        <f>COUNTIFS('All Papers'!$D:$D,"*"&amp;$A778&amp;"*",'All Papers'!$G:$G,"*"&amp;Table1[[#Headers],[Monitoring]]&amp;"*")</f>
        <v>0</v>
      </c>
      <c r="M778" s="8">
        <f>COUNTIFS('All Papers'!$D:$D,"*"&amp;$A778&amp;"*",'All Papers'!$G:$G,"*"&amp;Table1[[#Headers],[Pricing]]&amp;"*")</f>
        <v>0</v>
      </c>
    </row>
    <row r="779" spans="1:13" x14ac:dyDescent="0.25">
      <c r="A779" s="8" t="s">
        <v>3212</v>
      </c>
      <c r="B779" s="8">
        <f>COUNTIF('All Papers'!D:D,"*"&amp;Table1[[#This Row],[Name]]&amp;"*")</f>
        <v>1</v>
      </c>
      <c r="C779" s="8">
        <f>COUNTIFS('All Papers'!$D:$D,"*"&amp;$A779&amp;"*",'All Papers'!$G:$G,"*"&amp;Table1[[#Headers],[Composition]]&amp;"*")</f>
        <v>0</v>
      </c>
      <c r="D779" s="8">
        <f>COUNTIFS('All Papers'!$D:$D,"*"&amp;$A779&amp;"*",'All Papers'!$G:$G,"*"&amp;Table1[[#Headers],[Discovery]]&amp;"*")</f>
        <v>0</v>
      </c>
      <c r="E779" s="8">
        <f>COUNTIFS('All Papers'!$D:$D,"*"&amp;$A779&amp;"*",'All Papers'!$G:$G,"*"&amp;Table1[[#Headers],[Selection]]&amp;"*")</f>
        <v>0</v>
      </c>
      <c r="F779" s="8">
        <f>COUNTIFS('All Papers'!$D:$D,"*"&amp;$A779&amp;"*",'All Papers'!$G:$G,"*"&amp;Table1[[#Headers],[Recommendation]]&amp;"*")</f>
        <v>0</v>
      </c>
      <c r="G779" s="8">
        <f>COUNTIFS('All Papers'!$D:$D,"*"&amp;$A779&amp;"*",'All Papers'!$G:$G,"*"&amp;Table1[[#Headers],[Resource Management-CS]]&amp;"*")</f>
        <v>0</v>
      </c>
      <c r="H779" s="8">
        <f>COUNTIFS('All Papers'!$D:$D,"*"&amp;$A779&amp;"*",'All Papers'!$G:$G,"*"&amp;Table1[[#Headers],[Resource Management-PS]]&amp;"*")</f>
        <v>1</v>
      </c>
      <c r="I779" s="8">
        <f>COUNTIFS('All Papers'!$D:$D,"*"&amp;$A779&amp;"*",'All Papers'!$G:$G,"*"&amp;Table1[[#Headers],[SLA Management]]&amp;"*")</f>
        <v>0</v>
      </c>
      <c r="J779" s="8">
        <f>COUNTIFS('All Papers'!$D:$D,"*"&amp;$A779&amp;"*",'All Papers'!$G:$G,"*"&amp;Table1[[#Headers],[Big Data]]&amp;"*")</f>
        <v>0</v>
      </c>
      <c r="K779" s="8">
        <f>COUNTIFS('All Papers'!$D:$D,"*"&amp;$A779&amp;"*",'All Papers'!$G:$G,"*"&amp;Table1[[#Headers],[Energy Management]]&amp;"*")</f>
        <v>0</v>
      </c>
      <c r="L779" s="8">
        <f>COUNTIFS('All Papers'!$D:$D,"*"&amp;$A779&amp;"*",'All Papers'!$G:$G,"*"&amp;Table1[[#Headers],[Monitoring]]&amp;"*")</f>
        <v>0</v>
      </c>
      <c r="M779" s="8">
        <f>COUNTIFS('All Papers'!$D:$D,"*"&amp;$A779&amp;"*",'All Papers'!$G:$G,"*"&amp;Table1[[#Headers],[Pricing]]&amp;"*")</f>
        <v>0</v>
      </c>
    </row>
    <row r="780" spans="1:13" x14ac:dyDescent="0.25">
      <c r="A780" s="8" t="s">
        <v>3213</v>
      </c>
      <c r="B780" s="8">
        <f>COUNTIF('All Papers'!D:D,"*"&amp;Table1[[#This Row],[Name]]&amp;"*")</f>
        <v>1</v>
      </c>
      <c r="C780" s="8">
        <f>COUNTIFS('All Papers'!$D:$D,"*"&amp;$A780&amp;"*",'All Papers'!$G:$G,"*"&amp;Table1[[#Headers],[Composition]]&amp;"*")</f>
        <v>0</v>
      </c>
      <c r="D780" s="8">
        <f>COUNTIFS('All Papers'!$D:$D,"*"&amp;$A780&amp;"*",'All Papers'!$G:$G,"*"&amp;Table1[[#Headers],[Discovery]]&amp;"*")</f>
        <v>0</v>
      </c>
      <c r="E780" s="8">
        <f>COUNTIFS('All Papers'!$D:$D,"*"&amp;$A780&amp;"*",'All Papers'!$G:$G,"*"&amp;Table1[[#Headers],[Selection]]&amp;"*")</f>
        <v>0</v>
      </c>
      <c r="F780" s="8">
        <f>COUNTIFS('All Papers'!$D:$D,"*"&amp;$A780&amp;"*",'All Papers'!$G:$G,"*"&amp;Table1[[#Headers],[Recommendation]]&amp;"*")</f>
        <v>0</v>
      </c>
      <c r="G780" s="8">
        <f>COUNTIFS('All Papers'!$D:$D,"*"&amp;$A780&amp;"*",'All Papers'!$G:$G,"*"&amp;Table1[[#Headers],[Resource Management-CS]]&amp;"*")</f>
        <v>0</v>
      </c>
      <c r="H780" s="8">
        <f>COUNTIFS('All Papers'!$D:$D,"*"&amp;$A780&amp;"*",'All Papers'!$G:$G,"*"&amp;Table1[[#Headers],[Resource Management-PS]]&amp;"*")</f>
        <v>1</v>
      </c>
      <c r="I780" s="8">
        <f>COUNTIFS('All Papers'!$D:$D,"*"&amp;$A780&amp;"*",'All Papers'!$G:$G,"*"&amp;Table1[[#Headers],[SLA Management]]&amp;"*")</f>
        <v>0</v>
      </c>
      <c r="J780" s="8">
        <f>COUNTIFS('All Papers'!$D:$D,"*"&amp;$A780&amp;"*",'All Papers'!$G:$G,"*"&amp;Table1[[#Headers],[Big Data]]&amp;"*")</f>
        <v>0</v>
      </c>
      <c r="K780" s="8">
        <f>COUNTIFS('All Papers'!$D:$D,"*"&amp;$A780&amp;"*",'All Papers'!$G:$G,"*"&amp;Table1[[#Headers],[Energy Management]]&amp;"*")</f>
        <v>0</v>
      </c>
      <c r="L780" s="8">
        <f>COUNTIFS('All Papers'!$D:$D,"*"&amp;$A780&amp;"*",'All Papers'!$G:$G,"*"&amp;Table1[[#Headers],[Monitoring]]&amp;"*")</f>
        <v>0</v>
      </c>
      <c r="M780" s="8">
        <f>COUNTIFS('All Papers'!$D:$D,"*"&amp;$A780&amp;"*",'All Papers'!$G:$G,"*"&amp;Table1[[#Headers],[Pricing]]&amp;"*")</f>
        <v>0</v>
      </c>
    </row>
    <row r="781" spans="1:13" x14ac:dyDescent="0.25">
      <c r="A781" s="8" t="s">
        <v>3214</v>
      </c>
      <c r="B781" s="8">
        <f>COUNTIF('All Papers'!D:D,"*"&amp;Table1[[#This Row],[Name]]&amp;"*")</f>
        <v>1</v>
      </c>
      <c r="C781" s="8">
        <f>COUNTIFS('All Papers'!$D:$D,"*"&amp;$A781&amp;"*",'All Papers'!$G:$G,"*"&amp;Table1[[#Headers],[Composition]]&amp;"*")</f>
        <v>0</v>
      </c>
      <c r="D781" s="8">
        <f>COUNTIFS('All Papers'!$D:$D,"*"&amp;$A781&amp;"*",'All Papers'!$G:$G,"*"&amp;Table1[[#Headers],[Discovery]]&amp;"*")</f>
        <v>0</v>
      </c>
      <c r="E781" s="8">
        <f>COUNTIFS('All Papers'!$D:$D,"*"&amp;$A781&amp;"*",'All Papers'!$G:$G,"*"&amp;Table1[[#Headers],[Selection]]&amp;"*")</f>
        <v>0</v>
      </c>
      <c r="F781" s="8">
        <f>COUNTIFS('All Papers'!$D:$D,"*"&amp;$A781&amp;"*",'All Papers'!$G:$G,"*"&amp;Table1[[#Headers],[Recommendation]]&amp;"*")</f>
        <v>0</v>
      </c>
      <c r="G781" s="8">
        <f>COUNTIFS('All Papers'!$D:$D,"*"&amp;$A781&amp;"*",'All Papers'!$G:$G,"*"&amp;Table1[[#Headers],[Resource Management-CS]]&amp;"*")</f>
        <v>0</v>
      </c>
      <c r="H781" s="8">
        <f>COUNTIFS('All Papers'!$D:$D,"*"&amp;$A781&amp;"*",'All Papers'!$G:$G,"*"&amp;Table1[[#Headers],[Resource Management-PS]]&amp;"*")</f>
        <v>1</v>
      </c>
      <c r="I781" s="8">
        <f>COUNTIFS('All Papers'!$D:$D,"*"&amp;$A781&amp;"*",'All Papers'!$G:$G,"*"&amp;Table1[[#Headers],[SLA Management]]&amp;"*")</f>
        <v>0</v>
      </c>
      <c r="J781" s="8">
        <f>COUNTIFS('All Papers'!$D:$D,"*"&amp;$A781&amp;"*",'All Papers'!$G:$G,"*"&amp;Table1[[#Headers],[Big Data]]&amp;"*")</f>
        <v>0</v>
      </c>
      <c r="K781" s="8">
        <f>COUNTIFS('All Papers'!$D:$D,"*"&amp;$A781&amp;"*",'All Papers'!$G:$G,"*"&amp;Table1[[#Headers],[Energy Management]]&amp;"*")</f>
        <v>0</v>
      </c>
      <c r="L781" s="8">
        <f>COUNTIFS('All Papers'!$D:$D,"*"&amp;$A781&amp;"*",'All Papers'!$G:$G,"*"&amp;Table1[[#Headers],[Monitoring]]&amp;"*")</f>
        <v>0</v>
      </c>
      <c r="M781" s="8">
        <f>COUNTIFS('All Papers'!$D:$D,"*"&amp;$A781&amp;"*",'All Papers'!$G:$G,"*"&amp;Table1[[#Headers],[Pricing]]&amp;"*")</f>
        <v>0</v>
      </c>
    </row>
    <row r="782" spans="1:13" x14ac:dyDescent="0.25">
      <c r="A782" s="8" t="s">
        <v>3215</v>
      </c>
      <c r="B782" s="8">
        <f>COUNTIF('All Papers'!D:D,"*"&amp;Table1[[#This Row],[Name]]&amp;"*")</f>
        <v>1</v>
      </c>
      <c r="C782" s="8">
        <f>COUNTIFS('All Papers'!$D:$D,"*"&amp;$A782&amp;"*",'All Papers'!$G:$G,"*"&amp;Table1[[#Headers],[Composition]]&amp;"*")</f>
        <v>0</v>
      </c>
      <c r="D782" s="8">
        <f>COUNTIFS('All Papers'!$D:$D,"*"&amp;$A782&amp;"*",'All Papers'!$G:$G,"*"&amp;Table1[[#Headers],[Discovery]]&amp;"*")</f>
        <v>0</v>
      </c>
      <c r="E782" s="8">
        <f>COUNTIFS('All Papers'!$D:$D,"*"&amp;$A782&amp;"*",'All Papers'!$G:$G,"*"&amp;Table1[[#Headers],[Selection]]&amp;"*")</f>
        <v>0</v>
      </c>
      <c r="F782" s="8">
        <f>COUNTIFS('All Papers'!$D:$D,"*"&amp;$A782&amp;"*",'All Papers'!$G:$G,"*"&amp;Table1[[#Headers],[Recommendation]]&amp;"*")</f>
        <v>0</v>
      </c>
      <c r="G782" s="8">
        <f>COUNTIFS('All Papers'!$D:$D,"*"&amp;$A782&amp;"*",'All Papers'!$G:$G,"*"&amp;Table1[[#Headers],[Resource Management-CS]]&amp;"*")</f>
        <v>0</v>
      </c>
      <c r="H782" s="8">
        <f>COUNTIFS('All Papers'!$D:$D,"*"&amp;$A782&amp;"*",'All Papers'!$G:$G,"*"&amp;Table1[[#Headers],[Resource Management-PS]]&amp;"*")</f>
        <v>1</v>
      </c>
      <c r="I782" s="8">
        <f>COUNTIFS('All Papers'!$D:$D,"*"&amp;$A782&amp;"*",'All Papers'!$G:$G,"*"&amp;Table1[[#Headers],[SLA Management]]&amp;"*")</f>
        <v>0</v>
      </c>
      <c r="J782" s="8">
        <f>COUNTIFS('All Papers'!$D:$D,"*"&amp;$A782&amp;"*",'All Papers'!$G:$G,"*"&amp;Table1[[#Headers],[Big Data]]&amp;"*")</f>
        <v>0</v>
      </c>
      <c r="K782" s="8">
        <f>COUNTIFS('All Papers'!$D:$D,"*"&amp;$A782&amp;"*",'All Papers'!$G:$G,"*"&amp;Table1[[#Headers],[Energy Management]]&amp;"*")</f>
        <v>0</v>
      </c>
      <c r="L782" s="8">
        <f>COUNTIFS('All Papers'!$D:$D,"*"&amp;$A782&amp;"*",'All Papers'!$G:$G,"*"&amp;Table1[[#Headers],[Monitoring]]&amp;"*")</f>
        <v>0</v>
      </c>
      <c r="M782" s="8">
        <f>COUNTIFS('All Papers'!$D:$D,"*"&amp;$A782&amp;"*",'All Papers'!$G:$G,"*"&amp;Table1[[#Headers],[Pricing]]&amp;"*")</f>
        <v>0</v>
      </c>
    </row>
    <row r="783" spans="1:13" x14ac:dyDescent="0.25">
      <c r="A783" s="8" t="s">
        <v>3216</v>
      </c>
      <c r="B783" s="8">
        <f>COUNTIF('All Papers'!D:D,"*"&amp;Table1[[#This Row],[Name]]&amp;"*")</f>
        <v>1</v>
      </c>
      <c r="C783" s="8">
        <f>COUNTIFS('All Papers'!$D:$D,"*"&amp;$A783&amp;"*",'All Papers'!$G:$G,"*"&amp;Table1[[#Headers],[Composition]]&amp;"*")</f>
        <v>0</v>
      </c>
      <c r="D783" s="8">
        <f>COUNTIFS('All Papers'!$D:$D,"*"&amp;$A783&amp;"*",'All Papers'!$G:$G,"*"&amp;Table1[[#Headers],[Discovery]]&amp;"*")</f>
        <v>0</v>
      </c>
      <c r="E783" s="8">
        <f>COUNTIFS('All Papers'!$D:$D,"*"&amp;$A783&amp;"*",'All Papers'!$G:$G,"*"&amp;Table1[[#Headers],[Selection]]&amp;"*")</f>
        <v>0</v>
      </c>
      <c r="F783" s="8">
        <f>COUNTIFS('All Papers'!$D:$D,"*"&amp;$A783&amp;"*",'All Papers'!$G:$G,"*"&amp;Table1[[#Headers],[Recommendation]]&amp;"*")</f>
        <v>0</v>
      </c>
      <c r="G783" s="8">
        <f>COUNTIFS('All Papers'!$D:$D,"*"&amp;$A783&amp;"*",'All Papers'!$G:$G,"*"&amp;Table1[[#Headers],[Resource Management-CS]]&amp;"*")</f>
        <v>0</v>
      </c>
      <c r="H783" s="8">
        <f>COUNTIFS('All Papers'!$D:$D,"*"&amp;$A783&amp;"*",'All Papers'!$G:$G,"*"&amp;Table1[[#Headers],[Resource Management-PS]]&amp;"*")</f>
        <v>1</v>
      </c>
      <c r="I783" s="8">
        <f>COUNTIFS('All Papers'!$D:$D,"*"&amp;$A783&amp;"*",'All Papers'!$G:$G,"*"&amp;Table1[[#Headers],[SLA Management]]&amp;"*")</f>
        <v>0</v>
      </c>
      <c r="J783" s="8">
        <f>COUNTIFS('All Papers'!$D:$D,"*"&amp;$A783&amp;"*",'All Papers'!$G:$G,"*"&amp;Table1[[#Headers],[Big Data]]&amp;"*")</f>
        <v>0</v>
      </c>
      <c r="K783" s="8">
        <f>COUNTIFS('All Papers'!$D:$D,"*"&amp;$A783&amp;"*",'All Papers'!$G:$G,"*"&amp;Table1[[#Headers],[Energy Management]]&amp;"*")</f>
        <v>0</v>
      </c>
      <c r="L783" s="8">
        <f>COUNTIFS('All Papers'!$D:$D,"*"&amp;$A783&amp;"*",'All Papers'!$G:$G,"*"&amp;Table1[[#Headers],[Monitoring]]&amp;"*")</f>
        <v>0</v>
      </c>
      <c r="M783" s="8">
        <f>COUNTIFS('All Papers'!$D:$D,"*"&amp;$A783&amp;"*",'All Papers'!$G:$G,"*"&amp;Table1[[#Headers],[Pricing]]&amp;"*")</f>
        <v>0</v>
      </c>
    </row>
    <row r="784" spans="1:13" x14ac:dyDescent="0.25">
      <c r="A784" s="8" t="s">
        <v>3217</v>
      </c>
      <c r="B784" s="8">
        <f>COUNTIF('All Papers'!D:D,"*"&amp;Table1[[#This Row],[Name]]&amp;"*")</f>
        <v>1</v>
      </c>
      <c r="C784" s="8">
        <f>COUNTIFS('All Papers'!$D:$D,"*"&amp;$A784&amp;"*",'All Papers'!$G:$G,"*"&amp;Table1[[#Headers],[Composition]]&amp;"*")</f>
        <v>0</v>
      </c>
      <c r="D784" s="8">
        <f>COUNTIFS('All Papers'!$D:$D,"*"&amp;$A784&amp;"*",'All Papers'!$G:$G,"*"&amp;Table1[[#Headers],[Discovery]]&amp;"*")</f>
        <v>0</v>
      </c>
      <c r="E784" s="8">
        <f>COUNTIFS('All Papers'!$D:$D,"*"&amp;$A784&amp;"*",'All Papers'!$G:$G,"*"&amp;Table1[[#Headers],[Selection]]&amp;"*")</f>
        <v>0</v>
      </c>
      <c r="F784" s="8">
        <f>COUNTIFS('All Papers'!$D:$D,"*"&amp;$A784&amp;"*",'All Papers'!$G:$G,"*"&amp;Table1[[#Headers],[Recommendation]]&amp;"*")</f>
        <v>0</v>
      </c>
      <c r="G784" s="8">
        <f>COUNTIFS('All Papers'!$D:$D,"*"&amp;$A784&amp;"*",'All Papers'!$G:$G,"*"&amp;Table1[[#Headers],[Resource Management-CS]]&amp;"*")</f>
        <v>0</v>
      </c>
      <c r="H784" s="8">
        <f>COUNTIFS('All Papers'!$D:$D,"*"&amp;$A784&amp;"*",'All Papers'!$G:$G,"*"&amp;Table1[[#Headers],[Resource Management-PS]]&amp;"*")</f>
        <v>1</v>
      </c>
      <c r="I784" s="8">
        <f>COUNTIFS('All Papers'!$D:$D,"*"&amp;$A784&amp;"*",'All Papers'!$G:$G,"*"&amp;Table1[[#Headers],[SLA Management]]&amp;"*")</f>
        <v>0</v>
      </c>
      <c r="J784" s="8">
        <f>COUNTIFS('All Papers'!$D:$D,"*"&amp;$A784&amp;"*",'All Papers'!$G:$G,"*"&amp;Table1[[#Headers],[Big Data]]&amp;"*")</f>
        <v>0</v>
      </c>
      <c r="K784" s="8">
        <f>COUNTIFS('All Papers'!$D:$D,"*"&amp;$A784&amp;"*",'All Papers'!$G:$G,"*"&amp;Table1[[#Headers],[Energy Management]]&amp;"*")</f>
        <v>0</v>
      </c>
      <c r="L784" s="8">
        <f>COUNTIFS('All Papers'!$D:$D,"*"&amp;$A784&amp;"*",'All Papers'!$G:$G,"*"&amp;Table1[[#Headers],[Monitoring]]&amp;"*")</f>
        <v>0</v>
      </c>
      <c r="M784" s="8">
        <f>COUNTIFS('All Papers'!$D:$D,"*"&amp;$A784&amp;"*",'All Papers'!$G:$G,"*"&amp;Table1[[#Headers],[Pricing]]&amp;"*")</f>
        <v>0</v>
      </c>
    </row>
    <row r="785" spans="1:13" x14ac:dyDescent="0.25">
      <c r="A785" s="8" t="s">
        <v>3218</v>
      </c>
      <c r="B785" s="8">
        <f>COUNTIF('All Papers'!D:D,"*"&amp;Table1[[#This Row],[Name]]&amp;"*")</f>
        <v>1</v>
      </c>
      <c r="C785" s="8">
        <f>COUNTIFS('All Papers'!$D:$D,"*"&amp;$A785&amp;"*",'All Papers'!$G:$G,"*"&amp;Table1[[#Headers],[Composition]]&amp;"*")</f>
        <v>0</v>
      </c>
      <c r="D785" s="8">
        <f>COUNTIFS('All Papers'!$D:$D,"*"&amp;$A785&amp;"*",'All Papers'!$G:$G,"*"&amp;Table1[[#Headers],[Discovery]]&amp;"*")</f>
        <v>0</v>
      </c>
      <c r="E785" s="8">
        <f>COUNTIFS('All Papers'!$D:$D,"*"&amp;$A785&amp;"*",'All Papers'!$G:$G,"*"&amp;Table1[[#Headers],[Selection]]&amp;"*")</f>
        <v>0</v>
      </c>
      <c r="F785" s="8">
        <f>COUNTIFS('All Papers'!$D:$D,"*"&amp;$A785&amp;"*",'All Papers'!$G:$G,"*"&amp;Table1[[#Headers],[Recommendation]]&amp;"*")</f>
        <v>0</v>
      </c>
      <c r="G785" s="8">
        <f>COUNTIFS('All Papers'!$D:$D,"*"&amp;$A785&amp;"*",'All Papers'!$G:$G,"*"&amp;Table1[[#Headers],[Resource Management-CS]]&amp;"*")</f>
        <v>0</v>
      </c>
      <c r="H785" s="8">
        <f>COUNTIFS('All Papers'!$D:$D,"*"&amp;$A785&amp;"*",'All Papers'!$G:$G,"*"&amp;Table1[[#Headers],[Resource Management-PS]]&amp;"*")</f>
        <v>1</v>
      </c>
      <c r="I785" s="8">
        <f>COUNTIFS('All Papers'!$D:$D,"*"&amp;$A785&amp;"*",'All Papers'!$G:$G,"*"&amp;Table1[[#Headers],[SLA Management]]&amp;"*")</f>
        <v>0</v>
      </c>
      <c r="J785" s="8">
        <f>COUNTIFS('All Papers'!$D:$D,"*"&amp;$A785&amp;"*",'All Papers'!$G:$G,"*"&amp;Table1[[#Headers],[Big Data]]&amp;"*")</f>
        <v>0</v>
      </c>
      <c r="K785" s="8">
        <f>COUNTIFS('All Papers'!$D:$D,"*"&amp;$A785&amp;"*",'All Papers'!$G:$G,"*"&amp;Table1[[#Headers],[Energy Management]]&amp;"*")</f>
        <v>0</v>
      </c>
      <c r="L785" s="8">
        <f>COUNTIFS('All Papers'!$D:$D,"*"&amp;$A785&amp;"*",'All Papers'!$G:$G,"*"&amp;Table1[[#Headers],[Monitoring]]&amp;"*")</f>
        <v>0</v>
      </c>
      <c r="M785" s="8">
        <f>COUNTIFS('All Papers'!$D:$D,"*"&amp;$A785&amp;"*",'All Papers'!$G:$G,"*"&amp;Table1[[#Headers],[Pricing]]&amp;"*")</f>
        <v>0</v>
      </c>
    </row>
    <row r="786" spans="1:13" x14ac:dyDescent="0.25">
      <c r="A786" s="8" t="s">
        <v>3219</v>
      </c>
      <c r="B786" s="8">
        <f>COUNTIF('All Papers'!D:D,"*"&amp;Table1[[#This Row],[Name]]&amp;"*")</f>
        <v>1</v>
      </c>
      <c r="C786" s="8">
        <f>COUNTIFS('All Papers'!$D:$D,"*"&amp;$A786&amp;"*",'All Papers'!$G:$G,"*"&amp;Table1[[#Headers],[Composition]]&amp;"*")</f>
        <v>0</v>
      </c>
      <c r="D786" s="8">
        <f>COUNTIFS('All Papers'!$D:$D,"*"&amp;$A786&amp;"*",'All Papers'!$G:$G,"*"&amp;Table1[[#Headers],[Discovery]]&amp;"*")</f>
        <v>0</v>
      </c>
      <c r="E786" s="8">
        <f>COUNTIFS('All Papers'!$D:$D,"*"&amp;$A786&amp;"*",'All Papers'!$G:$G,"*"&amp;Table1[[#Headers],[Selection]]&amp;"*")</f>
        <v>1</v>
      </c>
      <c r="F786" s="8">
        <f>COUNTIFS('All Papers'!$D:$D,"*"&amp;$A786&amp;"*",'All Papers'!$G:$G,"*"&amp;Table1[[#Headers],[Recommendation]]&amp;"*")</f>
        <v>0</v>
      </c>
      <c r="G786" s="8">
        <f>COUNTIFS('All Papers'!$D:$D,"*"&amp;$A786&amp;"*",'All Papers'!$G:$G,"*"&amp;Table1[[#Headers],[Resource Management-CS]]&amp;"*")</f>
        <v>0</v>
      </c>
      <c r="H786" s="8">
        <f>COUNTIFS('All Papers'!$D:$D,"*"&amp;$A786&amp;"*",'All Papers'!$G:$G,"*"&amp;Table1[[#Headers],[Resource Management-PS]]&amp;"*")</f>
        <v>0</v>
      </c>
      <c r="I786" s="8">
        <f>COUNTIFS('All Papers'!$D:$D,"*"&amp;$A786&amp;"*",'All Papers'!$G:$G,"*"&amp;Table1[[#Headers],[SLA Management]]&amp;"*")</f>
        <v>0</v>
      </c>
      <c r="J786" s="8">
        <f>COUNTIFS('All Papers'!$D:$D,"*"&amp;$A786&amp;"*",'All Papers'!$G:$G,"*"&amp;Table1[[#Headers],[Big Data]]&amp;"*")</f>
        <v>0</v>
      </c>
      <c r="K786" s="8">
        <f>COUNTIFS('All Papers'!$D:$D,"*"&amp;$A786&amp;"*",'All Papers'!$G:$G,"*"&amp;Table1[[#Headers],[Energy Management]]&amp;"*")</f>
        <v>0</v>
      </c>
      <c r="L786" s="8">
        <f>COUNTIFS('All Papers'!$D:$D,"*"&amp;$A786&amp;"*",'All Papers'!$G:$G,"*"&amp;Table1[[#Headers],[Monitoring]]&amp;"*")</f>
        <v>0</v>
      </c>
      <c r="M786" s="8">
        <f>COUNTIFS('All Papers'!$D:$D,"*"&amp;$A786&amp;"*",'All Papers'!$G:$G,"*"&amp;Table1[[#Headers],[Pricing]]&amp;"*")</f>
        <v>0</v>
      </c>
    </row>
    <row r="787" spans="1:13" x14ac:dyDescent="0.25">
      <c r="A787" s="8" t="s">
        <v>3220</v>
      </c>
      <c r="B787" s="8">
        <f>COUNTIF('All Papers'!D:D,"*"&amp;Table1[[#This Row],[Name]]&amp;"*")</f>
        <v>1</v>
      </c>
      <c r="C787" s="8">
        <f>COUNTIFS('All Papers'!$D:$D,"*"&amp;$A787&amp;"*",'All Papers'!$G:$G,"*"&amp;Table1[[#Headers],[Composition]]&amp;"*")</f>
        <v>0</v>
      </c>
      <c r="D787" s="8">
        <f>COUNTIFS('All Papers'!$D:$D,"*"&amp;$A787&amp;"*",'All Papers'!$G:$G,"*"&amp;Table1[[#Headers],[Discovery]]&amp;"*")</f>
        <v>0</v>
      </c>
      <c r="E787" s="8">
        <f>COUNTIFS('All Papers'!$D:$D,"*"&amp;$A787&amp;"*",'All Papers'!$G:$G,"*"&amp;Table1[[#Headers],[Selection]]&amp;"*")</f>
        <v>1</v>
      </c>
      <c r="F787" s="8">
        <f>COUNTIFS('All Papers'!$D:$D,"*"&amp;$A787&amp;"*",'All Papers'!$G:$G,"*"&amp;Table1[[#Headers],[Recommendation]]&amp;"*")</f>
        <v>0</v>
      </c>
      <c r="G787" s="8">
        <f>COUNTIFS('All Papers'!$D:$D,"*"&amp;$A787&amp;"*",'All Papers'!$G:$G,"*"&amp;Table1[[#Headers],[Resource Management-CS]]&amp;"*")</f>
        <v>0</v>
      </c>
      <c r="H787" s="8">
        <f>COUNTIFS('All Papers'!$D:$D,"*"&amp;$A787&amp;"*",'All Papers'!$G:$G,"*"&amp;Table1[[#Headers],[Resource Management-PS]]&amp;"*")</f>
        <v>0</v>
      </c>
      <c r="I787" s="8">
        <f>COUNTIFS('All Papers'!$D:$D,"*"&amp;$A787&amp;"*",'All Papers'!$G:$G,"*"&amp;Table1[[#Headers],[SLA Management]]&amp;"*")</f>
        <v>0</v>
      </c>
      <c r="J787" s="8">
        <f>COUNTIFS('All Papers'!$D:$D,"*"&amp;$A787&amp;"*",'All Papers'!$G:$G,"*"&amp;Table1[[#Headers],[Big Data]]&amp;"*")</f>
        <v>0</v>
      </c>
      <c r="K787" s="8">
        <f>COUNTIFS('All Papers'!$D:$D,"*"&amp;$A787&amp;"*",'All Papers'!$G:$G,"*"&amp;Table1[[#Headers],[Energy Management]]&amp;"*")</f>
        <v>0</v>
      </c>
      <c r="L787" s="8">
        <f>COUNTIFS('All Papers'!$D:$D,"*"&amp;$A787&amp;"*",'All Papers'!$G:$G,"*"&amp;Table1[[#Headers],[Monitoring]]&amp;"*")</f>
        <v>0</v>
      </c>
      <c r="M787" s="8">
        <f>COUNTIFS('All Papers'!$D:$D,"*"&amp;$A787&amp;"*",'All Papers'!$G:$G,"*"&amp;Table1[[#Headers],[Pricing]]&amp;"*")</f>
        <v>0</v>
      </c>
    </row>
    <row r="788" spans="1:13" x14ac:dyDescent="0.25">
      <c r="A788" s="8" t="s">
        <v>3221</v>
      </c>
      <c r="B788" s="8">
        <f>COUNTIF('All Papers'!D:D,"*"&amp;Table1[[#This Row],[Name]]&amp;"*")</f>
        <v>1</v>
      </c>
      <c r="C788" s="8">
        <f>COUNTIFS('All Papers'!$D:$D,"*"&amp;$A788&amp;"*",'All Papers'!$G:$G,"*"&amp;Table1[[#Headers],[Composition]]&amp;"*")</f>
        <v>0</v>
      </c>
      <c r="D788" s="8">
        <f>COUNTIFS('All Papers'!$D:$D,"*"&amp;$A788&amp;"*",'All Papers'!$G:$G,"*"&amp;Table1[[#Headers],[Discovery]]&amp;"*")</f>
        <v>0</v>
      </c>
      <c r="E788" s="8">
        <f>COUNTIFS('All Papers'!$D:$D,"*"&amp;$A788&amp;"*",'All Papers'!$G:$G,"*"&amp;Table1[[#Headers],[Selection]]&amp;"*")</f>
        <v>1</v>
      </c>
      <c r="F788" s="8">
        <f>COUNTIFS('All Papers'!$D:$D,"*"&amp;$A788&amp;"*",'All Papers'!$G:$G,"*"&amp;Table1[[#Headers],[Recommendation]]&amp;"*")</f>
        <v>0</v>
      </c>
      <c r="G788" s="8">
        <f>COUNTIFS('All Papers'!$D:$D,"*"&amp;$A788&amp;"*",'All Papers'!$G:$G,"*"&amp;Table1[[#Headers],[Resource Management-CS]]&amp;"*")</f>
        <v>0</v>
      </c>
      <c r="H788" s="8">
        <f>COUNTIFS('All Papers'!$D:$D,"*"&amp;$A788&amp;"*",'All Papers'!$G:$G,"*"&amp;Table1[[#Headers],[Resource Management-PS]]&amp;"*")</f>
        <v>0</v>
      </c>
      <c r="I788" s="8">
        <f>COUNTIFS('All Papers'!$D:$D,"*"&amp;$A788&amp;"*",'All Papers'!$G:$G,"*"&amp;Table1[[#Headers],[SLA Management]]&amp;"*")</f>
        <v>0</v>
      </c>
      <c r="J788" s="8">
        <f>COUNTIFS('All Papers'!$D:$D,"*"&amp;$A788&amp;"*",'All Papers'!$G:$G,"*"&amp;Table1[[#Headers],[Big Data]]&amp;"*")</f>
        <v>0</v>
      </c>
      <c r="K788" s="8">
        <f>COUNTIFS('All Papers'!$D:$D,"*"&amp;$A788&amp;"*",'All Papers'!$G:$G,"*"&amp;Table1[[#Headers],[Energy Management]]&amp;"*")</f>
        <v>0</v>
      </c>
      <c r="L788" s="8">
        <f>COUNTIFS('All Papers'!$D:$D,"*"&amp;$A788&amp;"*",'All Papers'!$G:$G,"*"&amp;Table1[[#Headers],[Monitoring]]&amp;"*")</f>
        <v>0</v>
      </c>
      <c r="M788" s="8">
        <f>COUNTIFS('All Papers'!$D:$D,"*"&amp;$A788&amp;"*",'All Papers'!$G:$G,"*"&amp;Table1[[#Headers],[Pricing]]&amp;"*")</f>
        <v>0</v>
      </c>
    </row>
    <row r="789" spans="1:13" x14ac:dyDescent="0.25">
      <c r="A789" s="8" t="s">
        <v>3222</v>
      </c>
      <c r="B789" s="8">
        <f>COUNTIF('All Papers'!D:D,"*"&amp;Table1[[#This Row],[Name]]&amp;"*")</f>
        <v>1</v>
      </c>
      <c r="C789" s="8">
        <f>COUNTIFS('All Papers'!$D:$D,"*"&amp;$A789&amp;"*",'All Papers'!$G:$G,"*"&amp;Table1[[#Headers],[Composition]]&amp;"*")</f>
        <v>0</v>
      </c>
      <c r="D789" s="8">
        <f>COUNTIFS('All Papers'!$D:$D,"*"&amp;$A789&amp;"*",'All Papers'!$G:$G,"*"&amp;Table1[[#Headers],[Discovery]]&amp;"*")</f>
        <v>1</v>
      </c>
      <c r="E789" s="8">
        <f>COUNTIFS('All Papers'!$D:$D,"*"&amp;$A789&amp;"*",'All Papers'!$G:$G,"*"&amp;Table1[[#Headers],[Selection]]&amp;"*")</f>
        <v>0</v>
      </c>
      <c r="F789" s="8">
        <f>COUNTIFS('All Papers'!$D:$D,"*"&amp;$A789&amp;"*",'All Papers'!$G:$G,"*"&amp;Table1[[#Headers],[Recommendation]]&amp;"*")</f>
        <v>0</v>
      </c>
      <c r="G789" s="8">
        <f>COUNTIFS('All Papers'!$D:$D,"*"&amp;$A789&amp;"*",'All Papers'!$G:$G,"*"&amp;Table1[[#Headers],[Resource Management-CS]]&amp;"*")</f>
        <v>0</v>
      </c>
      <c r="H789" s="8">
        <f>COUNTIFS('All Papers'!$D:$D,"*"&amp;$A789&amp;"*",'All Papers'!$G:$G,"*"&amp;Table1[[#Headers],[Resource Management-PS]]&amp;"*")</f>
        <v>0</v>
      </c>
      <c r="I789" s="8">
        <f>COUNTIFS('All Papers'!$D:$D,"*"&amp;$A789&amp;"*",'All Papers'!$G:$G,"*"&amp;Table1[[#Headers],[SLA Management]]&amp;"*")</f>
        <v>0</v>
      </c>
      <c r="J789" s="8">
        <f>COUNTIFS('All Papers'!$D:$D,"*"&amp;$A789&amp;"*",'All Papers'!$G:$G,"*"&amp;Table1[[#Headers],[Big Data]]&amp;"*")</f>
        <v>0</v>
      </c>
      <c r="K789" s="8">
        <f>COUNTIFS('All Papers'!$D:$D,"*"&amp;$A789&amp;"*",'All Papers'!$G:$G,"*"&amp;Table1[[#Headers],[Energy Management]]&amp;"*")</f>
        <v>0</v>
      </c>
      <c r="L789" s="8">
        <f>COUNTIFS('All Papers'!$D:$D,"*"&amp;$A789&amp;"*",'All Papers'!$G:$G,"*"&amp;Table1[[#Headers],[Monitoring]]&amp;"*")</f>
        <v>0</v>
      </c>
      <c r="M789" s="8">
        <f>COUNTIFS('All Papers'!$D:$D,"*"&amp;$A789&amp;"*",'All Papers'!$G:$G,"*"&amp;Table1[[#Headers],[Pricing]]&amp;"*")</f>
        <v>0</v>
      </c>
    </row>
    <row r="790" spans="1:13" x14ac:dyDescent="0.25">
      <c r="A790" s="8" t="s">
        <v>3223</v>
      </c>
      <c r="B790" s="8">
        <f>COUNTIF('All Papers'!D:D,"*"&amp;Table1[[#This Row],[Name]]&amp;"*")</f>
        <v>1</v>
      </c>
      <c r="C790" s="8">
        <f>COUNTIFS('All Papers'!$D:$D,"*"&amp;$A790&amp;"*",'All Papers'!$G:$G,"*"&amp;Table1[[#Headers],[Composition]]&amp;"*")</f>
        <v>0</v>
      </c>
      <c r="D790" s="8">
        <f>COUNTIFS('All Papers'!$D:$D,"*"&amp;$A790&amp;"*",'All Papers'!$G:$G,"*"&amp;Table1[[#Headers],[Discovery]]&amp;"*")</f>
        <v>1</v>
      </c>
      <c r="E790" s="8">
        <f>COUNTIFS('All Papers'!$D:$D,"*"&amp;$A790&amp;"*",'All Papers'!$G:$G,"*"&amp;Table1[[#Headers],[Selection]]&amp;"*")</f>
        <v>0</v>
      </c>
      <c r="F790" s="8">
        <f>COUNTIFS('All Papers'!$D:$D,"*"&amp;$A790&amp;"*",'All Papers'!$G:$G,"*"&amp;Table1[[#Headers],[Recommendation]]&amp;"*")</f>
        <v>0</v>
      </c>
      <c r="G790" s="8">
        <f>COUNTIFS('All Papers'!$D:$D,"*"&amp;$A790&amp;"*",'All Papers'!$G:$G,"*"&amp;Table1[[#Headers],[Resource Management-CS]]&amp;"*")</f>
        <v>0</v>
      </c>
      <c r="H790" s="8">
        <f>COUNTIFS('All Papers'!$D:$D,"*"&amp;$A790&amp;"*",'All Papers'!$G:$G,"*"&amp;Table1[[#Headers],[Resource Management-PS]]&amp;"*")</f>
        <v>0</v>
      </c>
      <c r="I790" s="8">
        <f>COUNTIFS('All Papers'!$D:$D,"*"&amp;$A790&amp;"*",'All Papers'!$G:$G,"*"&amp;Table1[[#Headers],[SLA Management]]&amp;"*")</f>
        <v>0</v>
      </c>
      <c r="J790" s="8">
        <f>COUNTIFS('All Papers'!$D:$D,"*"&amp;$A790&amp;"*",'All Papers'!$G:$G,"*"&amp;Table1[[#Headers],[Big Data]]&amp;"*")</f>
        <v>0</v>
      </c>
      <c r="K790" s="8">
        <f>COUNTIFS('All Papers'!$D:$D,"*"&amp;$A790&amp;"*",'All Papers'!$G:$G,"*"&amp;Table1[[#Headers],[Energy Management]]&amp;"*")</f>
        <v>0</v>
      </c>
      <c r="L790" s="8">
        <f>COUNTIFS('All Papers'!$D:$D,"*"&amp;$A790&amp;"*",'All Papers'!$G:$G,"*"&amp;Table1[[#Headers],[Monitoring]]&amp;"*")</f>
        <v>0</v>
      </c>
      <c r="M790" s="8">
        <f>COUNTIFS('All Papers'!$D:$D,"*"&amp;$A790&amp;"*",'All Papers'!$G:$G,"*"&amp;Table1[[#Headers],[Pricing]]&amp;"*")</f>
        <v>0</v>
      </c>
    </row>
    <row r="791" spans="1:13" x14ac:dyDescent="0.25">
      <c r="A791" s="8" t="s">
        <v>3224</v>
      </c>
      <c r="B791" s="8">
        <f>COUNTIF('All Papers'!D:D,"*"&amp;Table1[[#This Row],[Name]]&amp;"*")</f>
        <v>1</v>
      </c>
      <c r="C791" s="8">
        <f>COUNTIFS('All Papers'!$D:$D,"*"&amp;$A791&amp;"*",'All Papers'!$G:$G,"*"&amp;Table1[[#Headers],[Composition]]&amp;"*")</f>
        <v>1</v>
      </c>
      <c r="D791" s="8">
        <f>COUNTIFS('All Papers'!$D:$D,"*"&amp;$A791&amp;"*",'All Papers'!$G:$G,"*"&amp;Table1[[#Headers],[Discovery]]&amp;"*")</f>
        <v>0</v>
      </c>
      <c r="E791" s="8">
        <f>COUNTIFS('All Papers'!$D:$D,"*"&amp;$A791&amp;"*",'All Papers'!$G:$G,"*"&amp;Table1[[#Headers],[Selection]]&amp;"*")</f>
        <v>0</v>
      </c>
      <c r="F791" s="8">
        <f>COUNTIFS('All Papers'!$D:$D,"*"&amp;$A791&amp;"*",'All Papers'!$G:$G,"*"&amp;Table1[[#Headers],[Recommendation]]&amp;"*")</f>
        <v>0</v>
      </c>
      <c r="G791" s="8">
        <f>COUNTIFS('All Papers'!$D:$D,"*"&amp;$A791&amp;"*",'All Papers'!$G:$G,"*"&amp;Table1[[#Headers],[Resource Management-CS]]&amp;"*")</f>
        <v>0</v>
      </c>
      <c r="H791" s="8">
        <f>COUNTIFS('All Papers'!$D:$D,"*"&amp;$A791&amp;"*",'All Papers'!$G:$G,"*"&amp;Table1[[#Headers],[Resource Management-PS]]&amp;"*")</f>
        <v>0</v>
      </c>
      <c r="I791" s="8">
        <f>COUNTIFS('All Papers'!$D:$D,"*"&amp;$A791&amp;"*",'All Papers'!$G:$G,"*"&amp;Table1[[#Headers],[SLA Management]]&amp;"*")</f>
        <v>0</v>
      </c>
      <c r="J791" s="8">
        <f>COUNTIFS('All Papers'!$D:$D,"*"&amp;$A791&amp;"*",'All Papers'!$G:$G,"*"&amp;Table1[[#Headers],[Big Data]]&amp;"*")</f>
        <v>0</v>
      </c>
      <c r="K791" s="8">
        <f>COUNTIFS('All Papers'!$D:$D,"*"&amp;$A791&amp;"*",'All Papers'!$G:$G,"*"&amp;Table1[[#Headers],[Energy Management]]&amp;"*")</f>
        <v>0</v>
      </c>
      <c r="L791" s="8">
        <f>COUNTIFS('All Papers'!$D:$D,"*"&amp;$A791&amp;"*",'All Papers'!$G:$G,"*"&amp;Table1[[#Headers],[Monitoring]]&amp;"*")</f>
        <v>0</v>
      </c>
      <c r="M791" s="8">
        <f>COUNTIFS('All Papers'!$D:$D,"*"&amp;$A791&amp;"*",'All Papers'!$G:$G,"*"&amp;Table1[[#Headers],[Pricing]]&amp;"*")</f>
        <v>0</v>
      </c>
    </row>
    <row r="792" spans="1:13" x14ac:dyDescent="0.25">
      <c r="A792" s="8" t="s">
        <v>3225</v>
      </c>
      <c r="B792" s="8">
        <f>COUNTIF('All Papers'!D:D,"*"&amp;Table1[[#This Row],[Name]]&amp;"*")</f>
        <v>1</v>
      </c>
      <c r="C792" s="8">
        <f>COUNTIFS('All Papers'!$D:$D,"*"&amp;$A792&amp;"*",'All Papers'!$G:$G,"*"&amp;Table1[[#Headers],[Composition]]&amp;"*")</f>
        <v>1</v>
      </c>
      <c r="D792" s="8">
        <f>COUNTIFS('All Papers'!$D:$D,"*"&amp;$A792&amp;"*",'All Papers'!$G:$G,"*"&amp;Table1[[#Headers],[Discovery]]&amp;"*")</f>
        <v>0</v>
      </c>
      <c r="E792" s="8">
        <f>COUNTIFS('All Papers'!$D:$D,"*"&amp;$A792&amp;"*",'All Papers'!$G:$G,"*"&amp;Table1[[#Headers],[Selection]]&amp;"*")</f>
        <v>0</v>
      </c>
      <c r="F792" s="8">
        <f>COUNTIFS('All Papers'!$D:$D,"*"&amp;$A792&amp;"*",'All Papers'!$G:$G,"*"&amp;Table1[[#Headers],[Recommendation]]&amp;"*")</f>
        <v>0</v>
      </c>
      <c r="G792" s="8">
        <f>COUNTIFS('All Papers'!$D:$D,"*"&amp;$A792&amp;"*",'All Papers'!$G:$G,"*"&amp;Table1[[#Headers],[Resource Management-CS]]&amp;"*")</f>
        <v>0</v>
      </c>
      <c r="H792" s="8">
        <f>COUNTIFS('All Papers'!$D:$D,"*"&amp;$A792&amp;"*",'All Papers'!$G:$G,"*"&amp;Table1[[#Headers],[Resource Management-PS]]&amp;"*")</f>
        <v>0</v>
      </c>
      <c r="I792" s="8">
        <f>COUNTIFS('All Papers'!$D:$D,"*"&amp;$A792&amp;"*",'All Papers'!$G:$G,"*"&amp;Table1[[#Headers],[SLA Management]]&amp;"*")</f>
        <v>0</v>
      </c>
      <c r="J792" s="8">
        <f>COUNTIFS('All Papers'!$D:$D,"*"&amp;$A792&amp;"*",'All Papers'!$G:$G,"*"&amp;Table1[[#Headers],[Big Data]]&amp;"*")</f>
        <v>0</v>
      </c>
      <c r="K792" s="8">
        <f>COUNTIFS('All Papers'!$D:$D,"*"&amp;$A792&amp;"*",'All Papers'!$G:$G,"*"&amp;Table1[[#Headers],[Energy Management]]&amp;"*")</f>
        <v>0</v>
      </c>
      <c r="L792" s="8">
        <f>COUNTIFS('All Papers'!$D:$D,"*"&amp;$A792&amp;"*",'All Papers'!$G:$G,"*"&amp;Table1[[#Headers],[Monitoring]]&amp;"*")</f>
        <v>0</v>
      </c>
      <c r="M792" s="8">
        <f>COUNTIFS('All Papers'!$D:$D,"*"&amp;$A792&amp;"*",'All Papers'!$G:$G,"*"&amp;Table1[[#Headers],[Pricing]]&amp;"*")</f>
        <v>0</v>
      </c>
    </row>
    <row r="793" spans="1:13" x14ac:dyDescent="0.25">
      <c r="A793" s="8" t="s">
        <v>3226</v>
      </c>
      <c r="B793" s="8">
        <f>COUNTIF('All Papers'!D:D,"*"&amp;Table1[[#This Row],[Name]]&amp;"*")</f>
        <v>1</v>
      </c>
      <c r="C793" s="8">
        <f>COUNTIFS('All Papers'!$D:$D,"*"&amp;$A793&amp;"*",'All Papers'!$G:$G,"*"&amp;Table1[[#Headers],[Composition]]&amp;"*")</f>
        <v>1</v>
      </c>
      <c r="D793" s="8">
        <f>COUNTIFS('All Papers'!$D:$D,"*"&amp;$A793&amp;"*",'All Papers'!$G:$G,"*"&amp;Table1[[#Headers],[Discovery]]&amp;"*")</f>
        <v>0</v>
      </c>
      <c r="E793" s="8">
        <f>COUNTIFS('All Papers'!$D:$D,"*"&amp;$A793&amp;"*",'All Papers'!$G:$G,"*"&amp;Table1[[#Headers],[Selection]]&amp;"*")</f>
        <v>0</v>
      </c>
      <c r="F793" s="8">
        <f>COUNTIFS('All Papers'!$D:$D,"*"&amp;$A793&amp;"*",'All Papers'!$G:$G,"*"&amp;Table1[[#Headers],[Recommendation]]&amp;"*")</f>
        <v>0</v>
      </c>
      <c r="G793" s="8">
        <f>COUNTIFS('All Papers'!$D:$D,"*"&amp;$A793&amp;"*",'All Papers'!$G:$G,"*"&amp;Table1[[#Headers],[Resource Management-CS]]&amp;"*")</f>
        <v>0</v>
      </c>
      <c r="H793" s="8">
        <f>COUNTIFS('All Papers'!$D:$D,"*"&amp;$A793&amp;"*",'All Papers'!$G:$G,"*"&amp;Table1[[#Headers],[Resource Management-PS]]&amp;"*")</f>
        <v>0</v>
      </c>
      <c r="I793" s="8">
        <f>COUNTIFS('All Papers'!$D:$D,"*"&amp;$A793&amp;"*",'All Papers'!$G:$G,"*"&amp;Table1[[#Headers],[SLA Management]]&amp;"*")</f>
        <v>0</v>
      </c>
      <c r="J793" s="8">
        <f>COUNTIFS('All Papers'!$D:$D,"*"&amp;$A793&amp;"*",'All Papers'!$G:$G,"*"&amp;Table1[[#Headers],[Big Data]]&amp;"*")</f>
        <v>0</v>
      </c>
      <c r="K793" s="8">
        <f>COUNTIFS('All Papers'!$D:$D,"*"&amp;$A793&amp;"*",'All Papers'!$G:$G,"*"&amp;Table1[[#Headers],[Energy Management]]&amp;"*")</f>
        <v>0</v>
      </c>
      <c r="L793" s="8">
        <f>COUNTIFS('All Papers'!$D:$D,"*"&amp;$A793&amp;"*",'All Papers'!$G:$G,"*"&amp;Table1[[#Headers],[Monitoring]]&amp;"*")</f>
        <v>0</v>
      </c>
      <c r="M793" s="8">
        <f>COUNTIFS('All Papers'!$D:$D,"*"&amp;$A793&amp;"*",'All Papers'!$G:$G,"*"&amp;Table1[[#Headers],[Pricing]]&amp;"*")</f>
        <v>0</v>
      </c>
    </row>
    <row r="794" spans="1:13" x14ac:dyDescent="0.25">
      <c r="A794" s="8" t="s">
        <v>3227</v>
      </c>
      <c r="B794" s="8">
        <f>COUNTIF('All Papers'!D:D,"*"&amp;Table1[[#This Row],[Name]]&amp;"*")</f>
        <v>1</v>
      </c>
      <c r="C794" s="8">
        <f>COUNTIFS('All Papers'!$D:$D,"*"&amp;$A794&amp;"*",'All Papers'!$G:$G,"*"&amp;Table1[[#Headers],[Composition]]&amp;"*")</f>
        <v>1</v>
      </c>
      <c r="D794" s="8">
        <f>COUNTIFS('All Papers'!$D:$D,"*"&amp;$A794&amp;"*",'All Papers'!$G:$G,"*"&amp;Table1[[#Headers],[Discovery]]&amp;"*")</f>
        <v>0</v>
      </c>
      <c r="E794" s="8">
        <f>COUNTIFS('All Papers'!$D:$D,"*"&amp;$A794&amp;"*",'All Papers'!$G:$G,"*"&amp;Table1[[#Headers],[Selection]]&amp;"*")</f>
        <v>0</v>
      </c>
      <c r="F794" s="8">
        <f>COUNTIFS('All Papers'!$D:$D,"*"&amp;$A794&amp;"*",'All Papers'!$G:$G,"*"&amp;Table1[[#Headers],[Recommendation]]&amp;"*")</f>
        <v>0</v>
      </c>
      <c r="G794" s="8">
        <f>COUNTIFS('All Papers'!$D:$D,"*"&amp;$A794&amp;"*",'All Papers'!$G:$G,"*"&amp;Table1[[#Headers],[Resource Management-CS]]&amp;"*")</f>
        <v>0</v>
      </c>
      <c r="H794" s="8">
        <f>COUNTIFS('All Papers'!$D:$D,"*"&amp;$A794&amp;"*",'All Papers'!$G:$G,"*"&amp;Table1[[#Headers],[Resource Management-PS]]&amp;"*")</f>
        <v>0</v>
      </c>
      <c r="I794" s="8">
        <f>COUNTIFS('All Papers'!$D:$D,"*"&amp;$A794&amp;"*",'All Papers'!$G:$G,"*"&amp;Table1[[#Headers],[SLA Management]]&amp;"*")</f>
        <v>0</v>
      </c>
      <c r="J794" s="8">
        <f>COUNTIFS('All Papers'!$D:$D,"*"&amp;$A794&amp;"*",'All Papers'!$G:$G,"*"&amp;Table1[[#Headers],[Big Data]]&amp;"*")</f>
        <v>0</v>
      </c>
      <c r="K794" s="8">
        <f>COUNTIFS('All Papers'!$D:$D,"*"&amp;$A794&amp;"*",'All Papers'!$G:$G,"*"&amp;Table1[[#Headers],[Energy Management]]&amp;"*")</f>
        <v>0</v>
      </c>
      <c r="L794" s="8">
        <f>COUNTIFS('All Papers'!$D:$D,"*"&amp;$A794&amp;"*",'All Papers'!$G:$G,"*"&amp;Table1[[#Headers],[Monitoring]]&amp;"*")</f>
        <v>0</v>
      </c>
      <c r="M794" s="8">
        <f>COUNTIFS('All Papers'!$D:$D,"*"&amp;$A794&amp;"*",'All Papers'!$G:$G,"*"&amp;Table1[[#Headers],[Pricing]]&amp;"*")</f>
        <v>0</v>
      </c>
    </row>
    <row r="795" spans="1:13" x14ac:dyDescent="0.25">
      <c r="A795" s="8" t="s">
        <v>3228</v>
      </c>
      <c r="B795" s="8">
        <f>COUNTIF('All Papers'!D:D,"*"&amp;Table1[[#This Row],[Name]]&amp;"*")</f>
        <v>1</v>
      </c>
      <c r="C795" s="8">
        <f>COUNTIFS('All Papers'!$D:$D,"*"&amp;$A795&amp;"*",'All Papers'!$G:$G,"*"&amp;Table1[[#Headers],[Composition]]&amp;"*")</f>
        <v>1</v>
      </c>
      <c r="D795" s="8">
        <f>COUNTIFS('All Papers'!$D:$D,"*"&amp;$A795&amp;"*",'All Papers'!$G:$G,"*"&amp;Table1[[#Headers],[Discovery]]&amp;"*")</f>
        <v>0</v>
      </c>
      <c r="E795" s="8">
        <f>COUNTIFS('All Papers'!$D:$D,"*"&amp;$A795&amp;"*",'All Papers'!$G:$G,"*"&amp;Table1[[#Headers],[Selection]]&amp;"*")</f>
        <v>0</v>
      </c>
      <c r="F795" s="8">
        <f>COUNTIFS('All Papers'!$D:$D,"*"&amp;$A795&amp;"*",'All Papers'!$G:$G,"*"&amp;Table1[[#Headers],[Recommendation]]&amp;"*")</f>
        <v>0</v>
      </c>
      <c r="G795" s="8">
        <f>COUNTIFS('All Papers'!$D:$D,"*"&amp;$A795&amp;"*",'All Papers'!$G:$G,"*"&amp;Table1[[#Headers],[Resource Management-CS]]&amp;"*")</f>
        <v>0</v>
      </c>
      <c r="H795" s="8">
        <f>COUNTIFS('All Papers'!$D:$D,"*"&amp;$A795&amp;"*",'All Papers'!$G:$G,"*"&amp;Table1[[#Headers],[Resource Management-PS]]&amp;"*")</f>
        <v>0</v>
      </c>
      <c r="I795" s="8">
        <f>COUNTIFS('All Papers'!$D:$D,"*"&amp;$A795&amp;"*",'All Papers'!$G:$G,"*"&amp;Table1[[#Headers],[SLA Management]]&amp;"*")</f>
        <v>0</v>
      </c>
      <c r="J795" s="8">
        <f>COUNTIFS('All Papers'!$D:$D,"*"&amp;$A795&amp;"*",'All Papers'!$G:$G,"*"&amp;Table1[[#Headers],[Big Data]]&amp;"*")</f>
        <v>0</v>
      </c>
      <c r="K795" s="8">
        <f>COUNTIFS('All Papers'!$D:$D,"*"&amp;$A795&amp;"*",'All Papers'!$G:$G,"*"&amp;Table1[[#Headers],[Energy Management]]&amp;"*")</f>
        <v>0</v>
      </c>
      <c r="L795" s="8">
        <f>COUNTIFS('All Papers'!$D:$D,"*"&amp;$A795&amp;"*",'All Papers'!$G:$G,"*"&amp;Table1[[#Headers],[Monitoring]]&amp;"*")</f>
        <v>0</v>
      </c>
      <c r="M795" s="8">
        <f>COUNTIFS('All Papers'!$D:$D,"*"&amp;$A795&amp;"*",'All Papers'!$G:$G,"*"&amp;Table1[[#Headers],[Pricing]]&amp;"*")</f>
        <v>0</v>
      </c>
    </row>
    <row r="796" spans="1:13" x14ac:dyDescent="0.25">
      <c r="A796" s="8" t="s">
        <v>3229</v>
      </c>
      <c r="B796" s="8">
        <f>COUNTIF('All Papers'!D:D,"*"&amp;Table1[[#This Row],[Name]]&amp;"*")</f>
        <v>1</v>
      </c>
      <c r="C796" s="8">
        <f>COUNTIFS('All Papers'!$D:$D,"*"&amp;$A796&amp;"*",'All Papers'!$G:$G,"*"&amp;Table1[[#Headers],[Composition]]&amp;"*")</f>
        <v>0</v>
      </c>
      <c r="D796" s="8">
        <f>COUNTIFS('All Papers'!$D:$D,"*"&amp;$A796&amp;"*",'All Papers'!$G:$G,"*"&amp;Table1[[#Headers],[Discovery]]&amp;"*")</f>
        <v>0</v>
      </c>
      <c r="E796" s="8">
        <f>COUNTIFS('All Papers'!$D:$D,"*"&amp;$A796&amp;"*",'All Papers'!$G:$G,"*"&amp;Table1[[#Headers],[Selection]]&amp;"*")</f>
        <v>0</v>
      </c>
      <c r="F796" s="8">
        <f>COUNTIFS('All Papers'!$D:$D,"*"&amp;$A796&amp;"*",'All Papers'!$G:$G,"*"&amp;Table1[[#Headers],[Recommendation]]&amp;"*")</f>
        <v>0</v>
      </c>
      <c r="G796" s="8">
        <f>COUNTIFS('All Papers'!$D:$D,"*"&amp;$A796&amp;"*",'All Papers'!$G:$G,"*"&amp;Table1[[#Headers],[Resource Management-CS]]&amp;"*")</f>
        <v>1</v>
      </c>
      <c r="H796" s="8">
        <f>COUNTIFS('All Papers'!$D:$D,"*"&amp;$A796&amp;"*",'All Papers'!$G:$G,"*"&amp;Table1[[#Headers],[Resource Management-PS]]&amp;"*")</f>
        <v>0</v>
      </c>
      <c r="I796" s="8">
        <f>COUNTIFS('All Papers'!$D:$D,"*"&amp;$A796&amp;"*",'All Papers'!$G:$G,"*"&amp;Table1[[#Headers],[SLA Management]]&amp;"*")</f>
        <v>0</v>
      </c>
      <c r="J796" s="8">
        <f>COUNTIFS('All Papers'!$D:$D,"*"&amp;$A796&amp;"*",'All Papers'!$G:$G,"*"&amp;Table1[[#Headers],[Big Data]]&amp;"*")</f>
        <v>0</v>
      </c>
      <c r="K796" s="8">
        <f>COUNTIFS('All Papers'!$D:$D,"*"&amp;$A796&amp;"*",'All Papers'!$G:$G,"*"&amp;Table1[[#Headers],[Energy Management]]&amp;"*")</f>
        <v>0</v>
      </c>
      <c r="L796" s="8">
        <f>COUNTIFS('All Papers'!$D:$D,"*"&amp;$A796&amp;"*",'All Papers'!$G:$G,"*"&amp;Table1[[#Headers],[Monitoring]]&amp;"*")</f>
        <v>0</v>
      </c>
      <c r="M796" s="8">
        <f>COUNTIFS('All Papers'!$D:$D,"*"&amp;$A796&amp;"*",'All Papers'!$G:$G,"*"&amp;Table1[[#Headers],[Pricing]]&amp;"*")</f>
        <v>0</v>
      </c>
    </row>
    <row r="797" spans="1:13" x14ac:dyDescent="0.25">
      <c r="A797" s="8" t="s">
        <v>3230</v>
      </c>
      <c r="B797" s="8">
        <f>COUNTIF('All Papers'!D:D,"*"&amp;Table1[[#This Row],[Name]]&amp;"*")</f>
        <v>1</v>
      </c>
      <c r="C797" s="8">
        <f>COUNTIFS('All Papers'!$D:$D,"*"&amp;$A797&amp;"*",'All Papers'!$G:$G,"*"&amp;Table1[[#Headers],[Composition]]&amp;"*")</f>
        <v>0</v>
      </c>
      <c r="D797" s="8">
        <f>COUNTIFS('All Papers'!$D:$D,"*"&amp;$A797&amp;"*",'All Papers'!$G:$G,"*"&amp;Table1[[#Headers],[Discovery]]&amp;"*")</f>
        <v>0</v>
      </c>
      <c r="E797" s="8">
        <f>COUNTIFS('All Papers'!$D:$D,"*"&amp;$A797&amp;"*",'All Papers'!$G:$G,"*"&amp;Table1[[#Headers],[Selection]]&amp;"*")</f>
        <v>0</v>
      </c>
      <c r="F797" s="8">
        <f>COUNTIFS('All Papers'!$D:$D,"*"&amp;$A797&amp;"*",'All Papers'!$G:$G,"*"&amp;Table1[[#Headers],[Recommendation]]&amp;"*")</f>
        <v>0</v>
      </c>
      <c r="G797" s="8">
        <f>COUNTIFS('All Papers'!$D:$D,"*"&amp;$A797&amp;"*",'All Papers'!$G:$G,"*"&amp;Table1[[#Headers],[Resource Management-CS]]&amp;"*")</f>
        <v>1</v>
      </c>
      <c r="H797" s="8">
        <f>COUNTIFS('All Papers'!$D:$D,"*"&amp;$A797&amp;"*",'All Papers'!$G:$G,"*"&amp;Table1[[#Headers],[Resource Management-PS]]&amp;"*")</f>
        <v>0</v>
      </c>
      <c r="I797" s="8">
        <f>COUNTIFS('All Papers'!$D:$D,"*"&amp;$A797&amp;"*",'All Papers'!$G:$G,"*"&amp;Table1[[#Headers],[SLA Management]]&amp;"*")</f>
        <v>0</v>
      </c>
      <c r="J797" s="8">
        <f>COUNTIFS('All Papers'!$D:$D,"*"&amp;$A797&amp;"*",'All Papers'!$G:$G,"*"&amp;Table1[[#Headers],[Big Data]]&amp;"*")</f>
        <v>0</v>
      </c>
      <c r="K797" s="8">
        <f>COUNTIFS('All Papers'!$D:$D,"*"&amp;$A797&amp;"*",'All Papers'!$G:$G,"*"&amp;Table1[[#Headers],[Energy Management]]&amp;"*")</f>
        <v>0</v>
      </c>
      <c r="L797" s="8">
        <f>COUNTIFS('All Papers'!$D:$D,"*"&amp;$A797&amp;"*",'All Papers'!$G:$G,"*"&amp;Table1[[#Headers],[Monitoring]]&amp;"*")</f>
        <v>0</v>
      </c>
      <c r="M797" s="8">
        <f>COUNTIFS('All Papers'!$D:$D,"*"&amp;$A797&amp;"*",'All Papers'!$G:$G,"*"&amp;Table1[[#Headers],[Pricing]]&amp;"*")</f>
        <v>0</v>
      </c>
    </row>
    <row r="798" spans="1:13" x14ac:dyDescent="0.25">
      <c r="A798" s="8" t="s">
        <v>3231</v>
      </c>
      <c r="B798" s="8">
        <f>COUNTIF('All Papers'!D:D,"*"&amp;Table1[[#This Row],[Name]]&amp;"*")</f>
        <v>1</v>
      </c>
      <c r="C798" s="8">
        <f>COUNTIFS('All Papers'!$D:$D,"*"&amp;$A798&amp;"*",'All Papers'!$G:$G,"*"&amp;Table1[[#Headers],[Composition]]&amp;"*")</f>
        <v>0</v>
      </c>
      <c r="D798" s="8">
        <f>COUNTIFS('All Papers'!$D:$D,"*"&amp;$A798&amp;"*",'All Papers'!$G:$G,"*"&amp;Table1[[#Headers],[Discovery]]&amp;"*")</f>
        <v>0</v>
      </c>
      <c r="E798" s="8">
        <f>COUNTIFS('All Papers'!$D:$D,"*"&amp;$A798&amp;"*",'All Papers'!$G:$G,"*"&amp;Table1[[#Headers],[Selection]]&amp;"*")</f>
        <v>0</v>
      </c>
      <c r="F798" s="8">
        <f>COUNTIFS('All Papers'!$D:$D,"*"&amp;$A798&amp;"*",'All Papers'!$G:$G,"*"&amp;Table1[[#Headers],[Recommendation]]&amp;"*")</f>
        <v>0</v>
      </c>
      <c r="G798" s="8">
        <f>COUNTIFS('All Papers'!$D:$D,"*"&amp;$A798&amp;"*",'All Papers'!$G:$G,"*"&amp;Table1[[#Headers],[Resource Management-CS]]&amp;"*")</f>
        <v>1</v>
      </c>
      <c r="H798" s="8">
        <f>COUNTIFS('All Papers'!$D:$D,"*"&amp;$A798&amp;"*",'All Papers'!$G:$G,"*"&amp;Table1[[#Headers],[Resource Management-PS]]&amp;"*")</f>
        <v>0</v>
      </c>
      <c r="I798" s="8">
        <f>COUNTIFS('All Papers'!$D:$D,"*"&amp;$A798&amp;"*",'All Papers'!$G:$G,"*"&amp;Table1[[#Headers],[SLA Management]]&amp;"*")</f>
        <v>0</v>
      </c>
      <c r="J798" s="8">
        <f>COUNTIFS('All Papers'!$D:$D,"*"&amp;$A798&amp;"*",'All Papers'!$G:$G,"*"&amp;Table1[[#Headers],[Big Data]]&amp;"*")</f>
        <v>0</v>
      </c>
      <c r="K798" s="8">
        <f>COUNTIFS('All Papers'!$D:$D,"*"&amp;$A798&amp;"*",'All Papers'!$G:$G,"*"&amp;Table1[[#Headers],[Energy Management]]&amp;"*")</f>
        <v>0</v>
      </c>
      <c r="L798" s="8">
        <f>COUNTIFS('All Papers'!$D:$D,"*"&amp;$A798&amp;"*",'All Papers'!$G:$G,"*"&amp;Table1[[#Headers],[Monitoring]]&amp;"*")</f>
        <v>0</v>
      </c>
      <c r="M798" s="8">
        <f>COUNTIFS('All Papers'!$D:$D,"*"&amp;$A798&amp;"*",'All Papers'!$G:$G,"*"&amp;Table1[[#Headers],[Pricing]]&amp;"*")</f>
        <v>0</v>
      </c>
    </row>
    <row r="799" spans="1:13" x14ac:dyDescent="0.25">
      <c r="A799" s="8" t="s">
        <v>3232</v>
      </c>
      <c r="B799" s="8">
        <f>COUNTIF('All Papers'!D:D,"*"&amp;Table1[[#This Row],[Name]]&amp;"*")</f>
        <v>1</v>
      </c>
      <c r="C799" s="8">
        <f>COUNTIFS('All Papers'!$D:$D,"*"&amp;$A799&amp;"*",'All Papers'!$G:$G,"*"&amp;Table1[[#Headers],[Composition]]&amp;"*")</f>
        <v>0</v>
      </c>
      <c r="D799" s="8">
        <f>COUNTIFS('All Papers'!$D:$D,"*"&amp;$A799&amp;"*",'All Papers'!$G:$G,"*"&amp;Table1[[#Headers],[Discovery]]&amp;"*")</f>
        <v>0</v>
      </c>
      <c r="E799" s="8">
        <f>COUNTIFS('All Papers'!$D:$D,"*"&amp;$A799&amp;"*",'All Papers'!$G:$G,"*"&amp;Table1[[#Headers],[Selection]]&amp;"*")</f>
        <v>0</v>
      </c>
      <c r="F799" s="8">
        <f>COUNTIFS('All Papers'!$D:$D,"*"&amp;$A799&amp;"*",'All Papers'!$G:$G,"*"&amp;Table1[[#Headers],[Recommendation]]&amp;"*")</f>
        <v>0</v>
      </c>
      <c r="G799" s="8">
        <f>COUNTIFS('All Papers'!$D:$D,"*"&amp;$A799&amp;"*",'All Papers'!$G:$G,"*"&amp;Table1[[#Headers],[Resource Management-CS]]&amp;"*")</f>
        <v>1</v>
      </c>
      <c r="H799" s="8">
        <f>COUNTIFS('All Papers'!$D:$D,"*"&amp;$A799&amp;"*",'All Papers'!$G:$G,"*"&amp;Table1[[#Headers],[Resource Management-PS]]&amp;"*")</f>
        <v>0</v>
      </c>
      <c r="I799" s="8">
        <f>COUNTIFS('All Papers'!$D:$D,"*"&amp;$A799&amp;"*",'All Papers'!$G:$G,"*"&amp;Table1[[#Headers],[SLA Management]]&amp;"*")</f>
        <v>0</v>
      </c>
      <c r="J799" s="8">
        <f>COUNTIFS('All Papers'!$D:$D,"*"&amp;$A799&amp;"*",'All Papers'!$G:$G,"*"&amp;Table1[[#Headers],[Big Data]]&amp;"*")</f>
        <v>0</v>
      </c>
      <c r="K799" s="8">
        <f>COUNTIFS('All Papers'!$D:$D,"*"&amp;$A799&amp;"*",'All Papers'!$G:$G,"*"&amp;Table1[[#Headers],[Energy Management]]&amp;"*")</f>
        <v>0</v>
      </c>
      <c r="L799" s="8">
        <f>COUNTIFS('All Papers'!$D:$D,"*"&amp;$A799&amp;"*",'All Papers'!$G:$G,"*"&amp;Table1[[#Headers],[Monitoring]]&amp;"*")</f>
        <v>0</v>
      </c>
      <c r="M799" s="8">
        <f>COUNTIFS('All Papers'!$D:$D,"*"&amp;$A799&amp;"*",'All Papers'!$G:$G,"*"&amp;Table1[[#Headers],[Pricing]]&amp;"*")</f>
        <v>0</v>
      </c>
    </row>
    <row r="800" spans="1:13" x14ac:dyDescent="0.25">
      <c r="A800" s="8" t="s">
        <v>3233</v>
      </c>
      <c r="B800" s="8">
        <f>COUNTIF('All Papers'!D:D,"*"&amp;Table1[[#This Row],[Name]]&amp;"*")</f>
        <v>1</v>
      </c>
      <c r="C800" s="8">
        <f>COUNTIFS('All Papers'!$D:$D,"*"&amp;$A800&amp;"*",'All Papers'!$G:$G,"*"&amp;Table1[[#Headers],[Composition]]&amp;"*")</f>
        <v>0</v>
      </c>
      <c r="D800" s="8">
        <f>COUNTIFS('All Papers'!$D:$D,"*"&amp;$A800&amp;"*",'All Papers'!$G:$G,"*"&amp;Table1[[#Headers],[Discovery]]&amp;"*")</f>
        <v>0</v>
      </c>
      <c r="E800" s="8">
        <f>COUNTIFS('All Papers'!$D:$D,"*"&amp;$A800&amp;"*",'All Papers'!$G:$G,"*"&amp;Table1[[#Headers],[Selection]]&amp;"*")</f>
        <v>0</v>
      </c>
      <c r="F800" s="8">
        <f>COUNTIFS('All Papers'!$D:$D,"*"&amp;$A800&amp;"*",'All Papers'!$G:$G,"*"&amp;Table1[[#Headers],[Recommendation]]&amp;"*")</f>
        <v>0</v>
      </c>
      <c r="G800" s="8">
        <f>COUNTIFS('All Papers'!$D:$D,"*"&amp;$A800&amp;"*",'All Papers'!$G:$G,"*"&amp;Table1[[#Headers],[Resource Management-CS]]&amp;"*")</f>
        <v>1</v>
      </c>
      <c r="H800" s="8">
        <f>COUNTIFS('All Papers'!$D:$D,"*"&amp;$A800&amp;"*",'All Papers'!$G:$G,"*"&amp;Table1[[#Headers],[Resource Management-PS]]&amp;"*")</f>
        <v>0</v>
      </c>
      <c r="I800" s="8">
        <f>COUNTIFS('All Papers'!$D:$D,"*"&amp;$A800&amp;"*",'All Papers'!$G:$G,"*"&amp;Table1[[#Headers],[SLA Management]]&amp;"*")</f>
        <v>0</v>
      </c>
      <c r="J800" s="8">
        <f>COUNTIFS('All Papers'!$D:$D,"*"&amp;$A800&amp;"*",'All Papers'!$G:$G,"*"&amp;Table1[[#Headers],[Big Data]]&amp;"*")</f>
        <v>0</v>
      </c>
      <c r="K800" s="8">
        <f>COUNTIFS('All Papers'!$D:$D,"*"&amp;$A800&amp;"*",'All Papers'!$G:$G,"*"&amp;Table1[[#Headers],[Energy Management]]&amp;"*")</f>
        <v>0</v>
      </c>
      <c r="L800" s="8">
        <f>COUNTIFS('All Papers'!$D:$D,"*"&amp;$A800&amp;"*",'All Papers'!$G:$G,"*"&amp;Table1[[#Headers],[Monitoring]]&amp;"*")</f>
        <v>0</v>
      </c>
      <c r="M800" s="8">
        <f>COUNTIFS('All Papers'!$D:$D,"*"&amp;$A800&amp;"*",'All Papers'!$G:$G,"*"&amp;Table1[[#Headers],[Pricing]]&amp;"*")</f>
        <v>0</v>
      </c>
    </row>
    <row r="801" spans="1:13" x14ac:dyDescent="0.25">
      <c r="A801" s="8" t="s">
        <v>3234</v>
      </c>
      <c r="B801" s="8">
        <f>COUNTIF('All Papers'!D:D,"*"&amp;Table1[[#This Row],[Name]]&amp;"*")</f>
        <v>1</v>
      </c>
      <c r="C801" s="8">
        <f>COUNTIFS('All Papers'!$D:$D,"*"&amp;$A801&amp;"*",'All Papers'!$G:$G,"*"&amp;Table1[[#Headers],[Composition]]&amp;"*")</f>
        <v>0</v>
      </c>
      <c r="D801" s="8">
        <f>COUNTIFS('All Papers'!$D:$D,"*"&amp;$A801&amp;"*",'All Papers'!$G:$G,"*"&amp;Table1[[#Headers],[Discovery]]&amp;"*")</f>
        <v>0</v>
      </c>
      <c r="E801" s="8">
        <f>COUNTIFS('All Papers'!$D:$D,"*"&amp;$A801&amp;"*",'All Papers'!$G:$G,"*"&amp;Table1[[#Headers],[Selection]]&amp;"*")</f>
        <v>0</v>
      </c>
      <c r="F801" s="8">
        <f>COUNTIFS('All Papers'!$D:$D,"*"&amp;$A801&amp;"*",'All Papers'!$G:$G,"*"&amp;Table1[[#Headers],[Recommendation]]&amp;"*")</f>
        <v>0</v>
      </c>
      <c r="G801" s="8">
        <f>COUNTIFS('All Papers'!$D:$D,"*"&amp;$A801&amp;"*",'All Papers'!$G:$G,"*"&amp;Table1[[#Headers],[Resource Management-CS]]&amp;"*")</f>
        <v>1</v>
      </c>
      <c r="H801" s="8">
        <f>COUNTIFS('All Papers'!$D:$D,"*"&amp;$A801&amp;"*",'All Papers'!$G:$G,"*"&amp;Table1[[#Headers],[Resource Management-PS]]&amp;"*")</f>
        <v>0</v>
      </c>
      <c r="I801" s="8">
        <f>COUNTIFS('All Papers'!$D:$D,"*"&amp;$A801&amp;"*",'All Papers'!$G:$G,"*"&amp;Table1[[#Headers],[SLA Management]]&amp;"*")</f>
        <v>0</v>
      </c>
      <c r="J801" s="8">
        <f>COUNTIFS('All Papers'!$D:$D,"*"&amp;$A801&amp;"*",'All Papers'!$G:$G,"*"&amp;Table1[[#Headers],[Big Data]]&amp;"*")</f>
        <v>0</v>
      </c>
      <c r="K801" s="8">
        <f>COUNTIFS('All Papers'!$D:$D,"*"&amp;$A801&amp;"*",'All Papers'!$G:$G,"*"&amp;Table1[[#Headers],[Energy Management]]&amp;"*")</f>
        <v>0</v>
      </c>
      <c r="L801" s="8">
        <f>COUNTIFS('All Papers'!$D:$D,"*"&amp;$A801&amp;"*",'All Papers'!$G:$G,"*"&amp;Table1[[#Headers],[Monitoring]]&amp;"*")</f>
        <v>0</v>
      </c>
      <c r="M801" s="8">
        <f>COUNTIFS('All Papers'!$D:$D,"*"&amp;$A801&amp;"*",'All Papers'!$G:$G,"*"&amp;Table1[[#Headers],[Pricing]]&amp;"*")</f>
        <v>0</v>
      </c>
    </row>
    <row r="802" spans="1:13" x14ac:dyDescent="0.25">
      <c r="A802" s="8" t="s">
        <v>3235</v>
      </c>
      <c r="B802" s="8">
        <f>COUNTIF('All Papers'!D:D,"*"&amp;Table1[[#This Row],[Name]]&amp;"*")</f>
        <v>1</v>
      </c>
      <c r="C802" s="8">
        <f>COUNTIFS('All Papers'!$D:$D,"*"&amp;$A802&amp;"*",'All Papers'!$G:$G,"*"&amp;Table1[[#Headers],[Composition]]&amp;"*")</f>
        <v>0</v>
      </c>
      <c r="D802" s="8">
        <f>COUNTIFS('All Papers'!$D:$D,"*"&amp;$A802&amp;"*",'All Papers'!$G:$G,"*"&amp;Table1[[#Headers],[Discovery]]&amp;"*")</f>
        <v>0</v>
      </c>
      <c r="E802" s="8">
        <f>COUNTIFS('All Papers'!$D:$D,"*"&amp;$A802&amp;"*",'All Papers'!$G:$G,"*"&amp;Table1[[#Headers],[Selection]]&amp;"*")</f>
        <v>0</v>
      </c>
      <c r="F802" s="8">
        <f>COUNTIFS('All Papers'!$D:$D,"*"&amp;$A802&amp;"*",'All Papers'!$G:$G,"*"&amp;Table1[[#Headers],[Recommendation]]&amp;"*")</f>
        <v>0</v>
      </c>
      <c r="G802" s="8">
        <f>COUNTIFS('All Papers'!$D:$D,"*"&amp;$A802&amp;"*",'All Papers'!$G:$G,"*"&amp;Table1[[#Headers],[Resource Management-CS]]&amp;"*")</f>
        <v>1</v>
      </c>
      <c r="H802" s="8">
        <f>COUNTIFS('All Papers'!$D:$D,"*"&amp;$A802&amp;"*",'All Papers'!$G:$G,"*"&amp;Table1[[#Headers],[Resource Management-PS]]&amp;"*")</f>
        <v>0</v>
      </c>
      <c r="I802" s="8">
        <f>COUNTIFS('All Papers'!$D:$D,"*"&amp;$A802&amp;"*",'All Papers'!$G:$G,"*"&amp;Table1[[#Headers],[SLA Management]]&amp;"*")</f>
        <v>0</v>
      </c>
      <c r="J802" s="8">
        <f>COUNTIFS('All Papers'!$D:$D,"*"&amp;$A802&amp;"*",'All Papers'!$G:$G,"*"&amp;Table1[[#Headers],[Big Data]]&amp;"*")</f>
        <v>0</v>
      </c>
      <c r="K802" s="8">
        <f>COUNTIFS('All Papers'!$D:$D,"*"&amp;$A802&amp;"*",'All Papers'!$G:$G,"*"&amp;Table1[[#Headers],[Energy Management]]&amp;"*")</f>
        <v>0</v>
      </c>
      <c r="L802" s="8">
        <f>COUNTIFS('All Papers'!$D:$D,"*"&amp;$A802&amp;"*",'All Papers'!$G:$G,"*"&amp;Table1[[#Headers],[Monitoring]]&amp;"*")</f>
        <v>0</v>
      </c>
      <c r="M802" s="8">
        <f>COUNTIFS('All Papers'!$D:$D,"*"&amp;$A802&amp;"*",'All Papers'!$G:$G,"*"&amp;Table1[[#Headers],[Pricing]]&amp;"*")</f>
        <v>0</v>
      </c>
    </row>
    <row r="803" spans="1:13" x14ac:dyDescent="0.25">
      <c r="A803" s="8" t="s">
        <v>3236</v>
      </c>
      <c r="B803" s="8">
        <f>COUNTIF('All Papers'!D:D,"*"&amp;Table1[[#This Row],[Name]]&amp;"*")</f>
        <v>1</v>
      </c>
      <c r="C803" s="8">
        <f>COUNTIFS('All Papers'!$D:$D,"*"&amp;$A803&amp;"*",'All Papers'!$G:$G,"*"&amp;Table1[[#Headers],[Composition]]&amp;"*")</f>
        <v>0</v>
      </c>
      <c r="D803" s="8">
        <f>COUNTIFS('All Papers'!$D:$D,"*"&amp;$A803&amp;"*",'All Papers'!$G:$G,"*"&amp;Table1[[#Headers],[Discovery]]&amp;"*")</f>
        <v>0</v>
      </c>
      <c r="E803" s="8">
        <f>COUNTIFS('All Papers'!$D:$D,"*"&amp;$A803&amp;"*",'All Papers'!$G:$G,"*"&amp;Table1[[#Headers],[Selection]]&amp;"*")</f>
        <v>0</v>
      </c>
      <c r="F803" s="8">
        <f>COUNTIFS('All Papers'!$D:$D,"*"&amp;$A803&amp;"*",'All Papers'!$G:$G,"*"&amp;Table1[[#Headers],[Recommendation]]&amp;"*")</f>
        <v>0</v>
      </c>
      <c r="G803" s="8">
        <f>COUNTIFS('All Papers'!$D:$D,"*"&amp;$A803&amp;"*",'All Papers'!$G:$G,"*"&amp;Table1[[#Headers],[Resource Management-CS]]&amp;"*")</f>
        <v>1</v>
      </c>
      <c r="H803" s="8">
        <f>COUNTIFS('All Papers'!$D:$D,"*"&amp;$A803&amp;"*",'All Papers'!$G:$G,"*"&amp;Table1[[#Headers],[Resource Management-PS]]&amp;"*")</f>
        <v>0</v>
      </c>
      <c r="I803" s="8">
        <f>COUNTIFS('All Papers'!$D:$D,"*"&amp;$A803&amp;"*",'All Papers'!$G:$G,"*"&amp;Table1[[#Headers],[SLA Management]]&amp;"*")</f>
        <v>0</v>
      </c>
      <c r="J803" s="8">
        <f>COUNTIFS('All Papers'!$D:$D,"*"&amp;$A803&amp;"*",'All Papers'!$G:$G,"*"&amp;Table1[[#Headers],[Big Data]]&amp;"*")</f>
        <v>0</v>
      </c>
      <c r="K803" s="8">
        <f>COUNTIFS('All Papers'!$D:$D,"*"&amp;$A803&amp;"*",'All Papers'!$G:$G,"*"&amp;Table1[[#Headers],[Energy Management]]&amp;"*")</f>
        <v>0</v>
      </c>
      <c r="L803" s="8">
        <f>COUNTIFS('All Papers'!$D:$D,"*"&amp;$A803&amp;"*",'All Papers'!$G:$G,"*"&amp;Table1[[#Headers],[Monitoring]]&amp;"*")</f>
        <v>0</v>
      </c>
      <c r="M803" s="8">
        <f>COUNTIFS('All Papers'!$D:$D,"*"&amp;$A803&amp;"*",'All Papers'!$G:$G,"*"&amp;Table1[[#Headers],[Pricing]]&amp;"*")</f>
        <v>0</v>
      </c>
    </row>
    <row r="804" spans="1:13" x14ac:dyDescent="0.25">
      <c r="A804" s="8" t="s">
        <v>3237</v>
      </c>
      <c r="B804" s="8">
        <f>COUNTIF('All Papers'!D:D,"*"&amp;Table1[[#This Row],[Name]]&amp;"*")</f>
        <v>1</v>
      </c>
      <c r="C804" s="8">
        <f>COUNTIFS('All Papers'!$D:$D,"*"&amp;$A804&amp;"*",'All Papers'!$G:$G,"*"&amp;Table1[[#Headers],[Composition]]&amp;"*")</f>
        <v>0</v>
      </c>
      <c r="D804" s="8">
        <f>COUNTIFS('All Papers'!$D:$D,"*"&amp;$A804&amp;"*",'All Papers'!$G:$G,"*"&amp;Table1[[#Headers],[Discovery]]&amp;"*")</f>
        <v>0</v>
      </c>
      <c r="E804" s="8">
        <f>COUNTIFS('All Papers'!$D:$D,"*"&amp;$A804&amp;"*",'All Papers'!$G:$G,"*"&amp;Table1[[#Headers],[Selection]]&amp;"*")</f>
        <v>0</v>
      </c>
      <c r="F804" s="8">
        <f>COUNTIFS('All Papers'!$D:$D,"*"&amp;$A804&amp;"*",'All Papers'!$G:$G,"*"&amp;Table1[[#Headers],[Recommendation]]&amp;"*")</f>
        <v>0</v>
      </c>
      <c r="G804" s="8">
        <f>COUNTIFS('All Papers'!$D:$D,"*"&amp;$A804&amp;"*",'All Papers'!$G:$G,"*"&amp;Table1[[#Headers],[Resource Management-CS]]&amp;"*")</f>
        <v>1</v>
      </c>
      <c r="H804" s="8">
        <f>COUNTIFS('All Papers'!$D:$D,"*"&amp;$A804&amp;"*",'All Papers'!$G:$G,"*"&amp;Table1[[#Headers],[Resource Management-PS]]&amp;"*")</f>
        <v>0</v>
      </c>
      <c r="I804" s="8">
        <f>COUNTIFS('All Papers'!$D:$D,"*"&amp;$A804&amp;"*",'All Papers'!$G:$G,"*"&amp;Table1[[#Headers],[SLA Management]]&amp;"*")</f>
        <v>0</v>
      </c>
      <c r="J804" s="8">
        <f>COUNTIFS('All Papers'!$D:$D,"*"&amp;$A804&amp;"*",'All Papers'!$G:$G,"*"&amp;Table1[[#Headers],[Big Data]]&amp;"*")</f>
        <v>0</v>
      </c>
      <c r="K804" s="8">
        <f>COUNTIFS('All Papers'!$D:$D,"*"&amp;$A804&amp;"*",'All Papers'!$G:$G,"*"&amp;Table1[[#Headers],[Energy Management]]&amp;"*")</f>
        <v>0</v>
      </c>
      <c r="L804" s="8">
        <f>COUNTIFS('All Papers'!$D:$D,"*"&amp;$A804&amp;"*",'All Papers'!$G:$G,"*"&amp;Table1[[#Headers],[Monitoring]]&amp;"*")</f>
        <v>0</v>
      </c>
      <c r="M804" s="8">
        <f>COUNTIFS('All Papers'!$D:$D,"*"&amp;$A804&amp;"*",'All Papers'!$G:$G,"*"&amp;Table1[[#Headers],[Pricing]]&amp;"*")</f>
        <v>0</v>
      </c>
    </row>
    <row r="805" spans="1:13" x14ac:dyDescent="0.25">
      <c r="A805" s="8" t="s">
        <v>3238</v>
      </c>
      <c r="B805" s="8">
        <f>COUNTIF('All Papers'!D:D,"*"&amp;Table1[[#This Row],[Name]]&amp;"*")</f>
        <v>1</v>
      </c>
      <c r="C805" s="8">
        <f>COUNTIFS('All Papers'!$D:$D,"*"&amp;$A805&amp;"*",'All Papers'!$G:$G,"*"&amp;Table1[[#Headers],[Composition]]&amp;"*")</f>
        <v>0</v>
      </c>
      <c r="D805" s="8">
        <f>COUNTIFS('All Papers'!$D:$D,"*"&amp;$A805&amp;"*",'All Papers'!$G:$G,"*"&amp;Table1[[#Headers],[Discovery]]&amp;"*")</f>
        <v>0</v>
      </c>
      <c r="E805" s="8">
        <f>COUNTIFS('All Papers'!$D:$D,"*"&amp;$A805&amp;"*",'All Papers'!$G:$G,"*"&amp;Table1[[#Headers],[Selection]]&amp;"*")</f>
        <v>0</v>
      </c>
      <c r="F805" s="8">
        <f>COUNTIFS('All Papers'!$D:$D,"*"&amp;$A805&amp;"*",'All Papers'!$G:$G,"*"&amp;Table1[[#Headers],[Recommendation]]&amp;"*")</f>
        <v>0</v>
      </c>
      <c r="G805" s="8">
        <f>COUNTIFS('All Papers'!$D:$D,"*"&amp;$A805&amp;"*",'All Papers'!$G:$G,"*"&amp;Table1[[#Headers],[Resource Management-CS]]&amp;"*")</f>
        <v>1</v>
      </c>
      <c r="H805" s="8">
        <f>COUNTIFS('All Papers'!$D:$D,"*"&amp;$A805&amp;"*",'All Papers'!$G:$G,"*"&amp;Table1[[#Headers],[Resource Management-PS]]&amp;"*")</f>
        <v>0</v>
      </c>
      <c r="I805" s="8">
        <f>COUNTIFS('All Papers'!$D:$D,"*"&amp;$A805&amp;"*",'All Papers'!$G:$G,"*"&amp;Table1[[#Headers],[SLA Management]]&amp;"*")</f>
        <v>0</v>
      </c>
      <c r="J805" s="8">
        <f>COUNTIFS('All Papers'!$D:$D,"*"&amp;$A805&amp;"*",'All Papers'!$G:$G,"*"&amp;Table1[[#Headers],[Big Data]]&amp;"*")</f>
        <v>0</v>
      </c>
      <c r="K805" s="8">
        <f>COUNTIFS('All Papers'!$D:$D,"*"&amp;$A805&amp;"*",'All Papers'!$G:$G,"*"&amp;Table1[[#Headers],[Energy Management]]&amp;"*")</f>
        <v>0</v>
      </c>
      <c r="L805" s="8">
        <f>COUNTIFS('All Papers'!$D:$D,"*"&amp;$A805&amp;"*",'All Papers'!$G:$G,"*"&amp;Table1[[#Headers],[Monitoring]]&amp;"*")</f>
        <v>0</v>
      </c>
      <c r="M805" s="8">
        <f>COUNTIFS('All Papers'!$D:$D,"*"&amp;$A805&amp;"*",'All Papers'!$G:$G,"*"&amp;Table1[[#Headers],[Pricing]]&amp;"*")</f>
        <v>0</v>
      </c>
    </row>
    <row r="806" spans="1:13" x14ac:dyDescent="0.25">
      <c r="A806" s="8" t="s">
        <v>3239</v>
      </c>
      <c r="B806" s="8">
        <f>COUNTIF('All Papers'!D:D,"*"&amp;Table1[[#This Row],[Name]]&amp;"*")</f>
        <v>1</v>
      </c>
      <c r="C806" s="8">
        <f>COUNTIFS('All Papers'!$D:$D,"*"&amp;$A806&amp;"*",'All Papers'!$G:$G,"*"&amp;Table1[[#Headers],[Composition]]&amp;"*")</f>
        <v>0</v>
      </c>
      <c r="D806" s="8">
        <f>COUNTIFS('All Papers'!$D:$D,"*"&amp;$A806&amp;"*",'All Papers'!$G:$G,"*"&amp;Table1[[#Headers],[Discovery]]&amp;"*")</f>
        <v>1</v>
      </c>
      <c r="E806" s="8">
        <f>COUNTIFS('All Papers'!$D:$D,"*"&amp;$A806&amp;"*",'All Papers'!$G:$G,"*"&amp;Table1[[#Headers],[Selection]]&amp;"*")</f>
        <v>0</v>
      </c>
      <c r="F806" s="8">
        <f>COUNTIFS('All Papers'!$D:$D,"*"&amp;$A806&amp;"*",'All Papers'!$G:$G,"*"&amp;Table1[[#Headers],[Recommendation]]&amp;"*")</f>
        <v>1</v>
      </c>
      <c r="G806" s="8">
        <f>COUNTIFS('All Papers'!$D:$D,"*"&amp;$A806&amp;"*",'All Papers'!$G:$G,"*"&amp;Table1[[#Headers],[Resource Management-CS]]&amp;"*")</f>
        <v>0</v>
      </c>
      <c r="H806" s="8">
        <f>COUNTIFS('All Papers'!$D:$D,"*"&amp;$A806&amp;"*",'All Papers'!$G:$G,"*"&amp;Table1[[#Headers],[Resource Management-PS]]&amp;"*")</f>
        <v>0</v>
      </c>
      <c r="I806" s="8">
        <f>COUNTIFS('All Papers'!$D:$D,"*"&amp;$A806&amp;"*",'All Papers'!$G:$G,"*"&amp;Table1[[#Headers],[SLA Management]]&amp;"*")</f>
        <v>1</v>
      </c>
      <c r="J806" s="8">
        <f>COUNTIFS('All Papers'!$D:$D,"*"&amp;$A806&amp;"*",'All Papers'!$G:$G,"*"&amp;Table1[[#Headers],[Big Data]]&amp;"*")</f>
        <v>0</v>
      </c>
      <c r="K806" s="8">
        <f>COUNTIFS('All Papers'!$D:$D,"*"&amp;$A806&amp;"*",'All Papers'!$G:$G,"*"&amp;Table1[[#Headers],[Energy Management]]&amp;"*")</f>
        <v>0</v>
      </c>
      <c r="L806" s="8">
        <f>COUNTIFS('All Papers'!$D:$D,"*"&amp;$A806&amp;"*",'All Papers'!$G:$G,"*"&amp;Table1[[#Headers],[Monitoring]]&amp;"*")</f>
        <v>1</v>
      </c>
      <c r="M806" s="8">
        <f>COUNTIFS('All Papers'!$D:$D,"*"&amp;$A806&amp;"*",'All Papers'!$G:$G,"*"&amp;Table1[[#Headers],[Pricing]]&amp;"*")</f>
        <v>0</v>
      </c>
    </row>
    <row r="807" spans="1:13" x14ac:dyDescent="0.25">
      <c r="A807" s="8" t="s">
        <v>3240</v>
      </c>
      <c r="B807" s="8">
        <f>COUNTIF('All Papers'!D:D,"*"&amp;Table1[[#This Row],[Name]]&amp;"*")</f>
        <v>1</v>
      </c>
      <c r="C807" s="8">
        <f>COUNTIFS('All Papers'!$D:$D,"*"&amp;$A807&amp;"*",'All Papers'!$G:$G,"*"&amp;Table1[[#Headers],[Composition]]&amp;"*")</f>
        <v>0</v>
      </c>
      <c r="D807" s="8">
        <f>COUNTIFS('All Papers'!$D:$D,"*"&amp;$A807&amp;"*",'All Papers'!$G:$G,"*"&amp;Table1[[#Headers],[Discovery]]&amp;"*")</f>
        <v>1</v>
      </c>
      <c r="E807" s="8">
        <f>COUNTIFS('All Papers'!$D:$D,"*"&amp;$A807&amp;"*",'All Papers'!$G:$G,"*"&amp;Table1[[#Headers],[Selection]]&amp;"*")</f>
        <v>0</v>
      </c>
      <c r="F807" s="8">
        <f>COUNTIFS('All Papers'!$D:$D,"*"&amp;$A807&amp;"*",'All Papers'!$G:$G,"*"&amp;Table1[[#Headers],[Recommendation]]&amp;"*")</f>
        <v>1</v>
      </c>
      <c r="G807" s="8">
        <f>COUNTIFS('All Papers'!$D:$D,"*"&amp;$A807&amp;"*",'All Papers'!$G:$G,"*"&amp;Table1[[#Headers],[Resource Management-CS]]&amp;"*")</f>
        <v>0</v>
      </c>
      <c r="H807" s="8">
        <f>COUNTIFS('All Papers'!$D:$D,"*"&amp;$A807&amp;"*",'All Papers'!$G:$G,"*"&amp;Table1[[#Headers],[Resource Management-PS]]&amp;"*")</f>
        <v>0</v>
      </c>
      <c r="I807" s="8">
        <f>COUNTIFS('All Papers'!$D:$D,"*"&amp;$A807&amp;"*",'All Papers'!$G:$G,"*"&amp;Table1[[#Headers],[SLA Management]]&amp;"*")</f>
        <v>1</v>
      </c>
      <c r="J807" s="8">
        <f>COUNTIFS('All Papers'!$D:$D,"*"&amp;$A807&amp;"*",'All Papers'!$G:$G,"*"&amp;Table1[[#Headers],[Big Data]]&amp;"*")</f>
        <v>0</v>
      </c>
      <c r="K807" s="8">
        <f>COUNTIFS('All Papers'!$D:$D,"*"&amp;$A807&amp;"*",'All Papers'!$G:$G,"*"&amp;Table1[[#Headers],[Energy Management]]&amp;"*")</f>
        <v>0</v>
      </c>
      <c r="L807" s="8">
        <f>COUNTIFS('All Papers'!$D:$D,"*"&amp;$A807&amp;"*",'All Papers'!$G:$G,"*"&amp;Table1[[#Headers],[Monitoring]]&amp;"*")</f>
        <v>1</v>
      </c>
      <c r="M807" s="8">
        <f>COUNTIFS('All Papers'!$D:$D,"*"&amp;$A807&amp;"*",'All Papers'!$G:$G,"*"&amp;Table1[[#Headers],[Pricing]]&amp;"*")</f>
        <v>0</v>
      </c>
    </row>
    <row r="808" spans="1:13" x14ac:dyDescent="0.25">
      <c r="A808" s="8" t="s">
        <v>3241</v>
      </c>
      <c r="B808" s="8">
        <f>COUNTIF('All Papers'!D:D,"*"&amp;Table1[[#This Row],[Name]]&amp;"*")</f>
        <v>1</v>
      </c>
      <c r="C808" s="8">
        <f>COUNTIFS('All Papers'!$D:$D,"*"&amp;$A808&amp;"*",'All Papers'!$G:$G,"*"&amp;Table1[[#Headers],[Composition]]&amp;"*")</f>
        <v>0</v>
      </c>
      <c r="D808" s="8">
        <f>COUNTIFS('All Papers'!$D:$D,"*"&amp;$A808&amp;"*",'All Papers'!$G:$G,"*"&amp;Table1[[#Headers],[Discovery]]&amp;"*")</f>
        <v>1</v>
      </c>
      <c r="E808" s="8">
        <f>COUNTIFS('All Papers'!$D:$D,"*"&amp;$A808&amp;"*",'All Papers'!$G:$G,"*"&amp;Table1[[#Headers],[Selection]]&amp;"*")</f>
        <v>0</v>
      </c>
      <c r="F808" s="8">
        <f>COUNTIFS('All Papers'!$D:$D,"*"&amp;$A808&amp;"*",'All Papers'!$G:$G,"*"&amp;Table1[[#Headers],[Recommendation]]&amp;"*")</f>
        <v>1</v>
      </c>
      <c r="G808" s="8">
        <f>COUNTIFS('All Papers'!$D:$D,"*"&amp;$A808&amp;"*",'All Papers'!$G:$G,"*"&amp;Table1[[#Headers],[Resource Management-CS]]&amp;"*")</f>
        <v>0</v>
      </c>
      <c r="H808" s="8">
        <f>COUNTIFS('All Papers'!$D:$D,"*"&amp;$A808&amp;"*",'All Papers'!$G:$G,"*"&amp;Table1[[#Headers],[Resource Management-PS]]&amp;"*")</f>
        <v>0</v>
      </c>
      <c r="I808" s="8">
        <f>COUNTIFS('All Papers'!$D:$D,"*"&amp;$A808&amp;"*",'All Papers'!$G:$G,"*"&amp;Table1[[#Headers],[SLA Management]]&amp;"*")</f>
        <v>1</v>
      </c>
      <c r="J808" s="8">
        <f>COUNTIFS('All Papers'!$D:$D,"*"&amp;$A808&amp;"*",'All Papers'!$G:$G,"*"&amp;Table1[[#Headers],[Big Data]]&amp;"*")</f>
        <v>0</v>
      </c>
      <c r="K808" s="8">
        <f>COUNTIFS('All Papers'!$D:$D,"*"&amp;$A808&amp;"*",'All Papers'!$G:$G,"*"&amp;Table1[[#Headers],[Energy Management]]&amp;"*")</f>
        <v>0</v>
      </c>
      <c r="L808" s="8">
        <f>COUNTIFS('All Papers'!$D:$D,"*"&amp;$A808&amp;"*",'All Papers'!$G:$G,"*"&amp;Table1[[#Headers],[Monitoring]]&amp;"*")</f>
        <v>1</v>
      </c>
      <c r="M808" s="8">
        <f>COUNTIFS('All Papers'!$D:$D,"*"&amp;$A808&amp;"*",'All Papers'!$G:$G,"*"&amp;Table1[[#Headers],[Pricing]]&amp;"*")</f>
        <v>0</v>
      </c>
    </row>
    <row r="809" spans="1:13" x14ac:dyDescent="0.25">
      <c r="A809" s="8" t="s">
        <v>3242</v>
      </c>
      <c r="B809" s="8">
        <f>COUNTIF('All Papers'!D:D,"*"&amp;Table1[[#This Row],[Name]]&amp;"*")</f>
        <v>1</v>
      </c>
      <c r="C809" s="8">
        <f>COUNTIFS('All Papers'!$D:$D,"*"&amp;$A809&amp;"*",'All Papers'!$G:$G,"*"&amp;Table1[[#Headers],[Composition]]&amp;"*")</f>
        <v>0</v>
      </c>
      <c r="D809" s="8">
        <f>COUNTIFS('All Papers'!$D:$D,"*"&amp;$A809&amp;"*",'All Papers'!$G:$G,"*"&amp;Table1[[#Headers],[Discovery]]&amp;"*")</f>
        <v>1</v>
      </c>
      <c r="E809" s="8">
        <f>COUNTIFS('All Papers'!$D:$D,"*"&amp;$A809&amp;"*",'All Papers'!$G:$G,"*"&amp;Table1[[#Headers],[Selection]]&amp;"*")</f>
        <v>0</v>
      </c>
      <c r="F809" s="8">
        <f>COUNTIFS('All Papers'!$D:$D,"*"&amp;$A809&amp;"*",'All Papers'!$G:$G,"*"&amp;Table1[[#Headers],[Recommendation]]&amp;"*")</f>
        <v>1</v>
      </c>
      <c r="G809" s="8">
        <f>COUNTIFS('All Papers'!$D:$D,"*"&amp;$A809&amp;"*",'All Papers'!$G:$G,"*"&amp;Table1[[#Headers],[Resource Management-CS]]&amp;"*")</f>
        <v>0</v>
      </c>
      <c r="H809" s="8">
        <f>COUNTIFS('All Papers'!$D:$D,"*"&amp;$A809&amp;"*",'All Papers'!$G:$G,"*"&amp;Table1[[#Headers],[Resource Management-PS]]&amp;"*")</f>
        <v>0</v>
      </c>
      <c r="I809" s="8">
        <f>COUNTIFS('All Papers'!$D:$D,"*"&amp;$A809&amp;"*",'All Papers'!$G:$G,"*"&amp;Table1[[#Headers],[SLA Management]]&amp;"*")</f>
        <v>1</v>
      </c>
      <c r="J809" s="8">
        <f>COUNTIFS('All Papers'!$D:$D,"*"&amp;$A809&amp;"*",'All Papers'!$G:$G,"*"&amp;Table1[[#Headers],[Big Data]]&amp;"*")</f>
        <v>0</v>
      </c>
      <c r="K809" s="8">
        <f>COUNTIFS('All Papers'!$D:$D,"*"&amp;$A809&amp;"*",'All Papers'!$G:$G,"*"&amp;Table1[[#Headers],[Energy Management]]&amp;"*")</f>
        <v>0</v>
      </c>
      <c r="L809" s="8">
        <f>COUNTIFS('All Papers'!$D:$D,"*"&amp;$A809&amp;"*",'All Papers'!$G:$G,"*"&amp;Table1[[#Headers],[Monitoring]]&amp;"*")</f>
        <v>1</v>
      </c>
      <c r="M809" s="8">
        <f>COUNTIFS('All Papers'!$D:$D,"*"&amp;$A809&amp;"*",'All Papers'!$G:$G,"*"&amp;Table1[[#Headers],[Pricing]]&amp;"*")</f>
        <v>0</v>
      </c>
    </row>
    <row r="810" spans="1:13" x14ac:dyDescent="0.25">
      <c r="A810" s="8" t="s">
        <v>3243</v>
      </c>
      <c r="B810" s="8">
        <f>COUNTIF('All Papers'!D:D,"*"&amp;Table1[[#This Row],[Name]]&amp;"*")</f>
        <v>1</v>
      </c>
      <c r="C810" s="8">
        <f>COUNTIFS('All Papers'!$D:$D,"*"&amp;$A810&amp;"*",'All Papers'!$G:$G,"*"&amp;Table1[[#Headers],[Composition]]&amp;"*")</f>
        <v>0</v>
      </c>
      <c r="D810" s="8">
        <f>COUNTIFS('All Papers'!$D:$D,"*"&amp;$A810&amp;"*",'All Papers'!$G:$G,"*"&amp;Table1[[#Headers],[Discovery]]&amp;"*")</f>
        <v>1</v>
      </c>
      <c r="E810" s="8">
        <f>COUNTIFS('All Papers'!$D:$D,"*"&amp;$A810&amp;"*",'All Papers'!$G:$G,"*"&amp;Table1[[#Headers],[Selection]]&amp;"*")</f>
        <v>0</v>
      </c>
      <c r="F810" s="8">
        <f>COUNTIFS('All Papers'!$D:$D,"*"&amp;$A810&amp;"*",'All Papers'!$G:$G,"*"&amp;Table1[[#Headers],[Recommendation]]&amp;"*")</f>
        <v>1</v>
      </c>
      <c r="G810" s="8">
        <f>COUNTIFS('All Papers'!$D:$D,"*"&amp;$A810&amp;"*",'All Papers'!$G:$G,"*"&amp;Table1[[#Headers],[Resource Management-CS]]&amp;"*")</f>
        <v>0</v>
      </c>
      <c r="H810" s="8">
        <f>COUNTIFS('All Papers'!$D:$D,"*"&amp;$A810&amp;"*",'All Papers'!$G:$G,"*"&amp;Table1[[#Headers],[Resource Management-PS]]&amp;"*")</f>
        <v>0</v>
      </c>
      <c r="I810" s="8">
        <f>COUNTIFS('All Papers'!$D:$D,"*"&amp;$A810&amp;"*",'All Papers'!$G:$G,"*"&amp;Table1[[#Headers],[SLA Management]]&amp;"*")</f>
        <v>1</v>
      </c>
      <c r="J810" s="8">
        <f>COUNTIFS('All Papers'!$D:$D,"*"&amp;$A810&amp;"*",'All Papers'!$G:$G,"*"&amp;Table1[[#Headers],[Big Data]]&amp;"*")</f>
        <v>0</v>
      </c>
      <c r="K810" s="8">
        <f>COUNTIFS('All Papers'!$D:$D,"*"&amp;$A810&amp;"*",'All Papers'!$G:$G,"*"&amp;Table1[[#Headers],[Energy Management]]&amp;"*")</f>
        <v>0</v>
      </c>
      <c r="L810" s="8">
        <f>COUNTIFS('All Papers'!$D:$D,"*"&amp;$A810&amp;"*",'All Papers'!$G:$G,"*"&amp;Table1[[#Headers],[Monitoring]]&amp;"*")</f>
        <v>1</v>
      </c>
      <c r="M810" s="8">
        <f>COUNTIFS('All Papers'!$D:$D,"*"&amp;$A810&amp;"*",'All Papers'!$G:$G,"*"&amp;Table1[[#Headers],[Pricing]]&amp;"*")</f>
        <v>0</v>
      </c>
    </row>
    <row r="811" spans="1:13" x14ac:dyDescent="0.25">
      <c r="A811" s="8" t="s">
        <v>3244</v>
      </c>
      <c r="B811" s="8">
        <f>COUNTIF('All Papers'!D:D,"*"&amp;Table1[[#This Row],[Name]]&amp;"*")</f>
        <v>1</v>
      </c>
      <c r="C811" s="8">
        <f>COUNTIFS('All Papers'!$D:$D,"*"&amp;$A811&amp;"*",'All Papers'!$G:$G,"*"&amp;Table1[[#Headers],[Composition]]&amp;"*")</f>
        <v>0</v>
      </c>
      <c r="D811" s="8">
        <f>COUNTIFS('All Papers'!$D:$D,"*"&amp;$A811&amp;"*",'All Papers'!$G:$G,"*"&amp;Table1[[#Headers],[Discovery]]&amp;"*")</f>
        <v>1</v>
      </c>
      <c r="E811" s="8">
        <f>COUNTIFS('All Papers'!$D:$D,"*"&amp;$A811&amp;"*",'All Papers'!$G:$G,"*"&amp;Table1[[#Headers],[Selection]]&amp;"*")</f>
        <v>0</v>
      </c>
      <c r="F811" s="8">
        <f>COUNTIFS('All Papers'!$D:$D,"*"&amp;$A811&amp;"*",'All Papers'!$G:$G,"*"&amp;Table1[[#Headers],[Recommendation]]&amp;"*")</f>
        <v>1</v>
      </c>
      <c r="G811" s="8">
        <f>COUNTIFS('All Papers'!$D:$D,"*"&amp;$A811&amp;"*",'All Papers'!$G:$G,"*"&amp;Table1[[#Headers],[Resource Management-CS]]&amp;"*")</f>
        <v>0</v>
      </c>
      <c r="H811" s="8">
        <f>COUNTIFS('All Papers'!$D:$D,"*"&amp;$A811&amp;"*",'All Papers'!$G:$G,"*"&amp;Table1[[#Headers],[Resource Management-PS]]&amp;"*")</f>
        <v>0</v>
      </c>
      <c r="I811" s="8">
        <f>COUNTIFS('All Papers'!$D:$D,"*"&amp;$A811&amp;"*",'All Papers'!$G:$G,"*"&amp;Table1[[#Headers],[SLA Management]]&amp;"*")</f>
        <v>1</v>
      </c>
      <c r="J811" s="8">
        <f>COUNTIFS('All Papers'!$D:$D,"*"&amp;$A811&amp;"*",'All Papers'!$G:$G,"*"&amp;Table1[[#Headers],[Big Data]]&amp;"*")</f>
        <v>0</v>
      </c>
      <c r="K811" s="8">
        <f>COUNTIFS('All Papers'!$D:$D,"*"&amp;$A811&amp;"*",'All Papers'!$G:$G,"*"&amp;Table1[[#Headers],[Energy Management]]&amp;"*")</f>
        <v>0</v>
      </c>
      <c r="L811" s="8">
        <f>COUNTIFS('All Papers'!$D:$D,"*"&amp;$A811&amp;"*",'All Papers'!$G:$G,"*"&amp;Table1[[#Headers],[Monitoring]]&amp;"*")</f>
        <v>1</v>
      </c>
      <c r="M811" s="8">
        <f>COUNTIFS('All Papers'!$D:$D,"*"&amp;$A811&amp;"*",'All Papers'!$G:$G,"*"&amp;Table1[[#Headers],[Pricing]]&amp;"*")</f>
        <v>0</v>
      </c>
    </row>
    <row r="812" spans="1:13" x14ac:dyDescent="0.25">
      <c r="A812" s="8" t="s">
        <v>3245</v>
      </c>
      <c r="B812" s="8">
        <f>COUNTIF('All Papers'!D:D,"*"&amp;Table1[[#This Row],[Name]]&amp;"*")</f>
        <v>1</v>
      </c>
      <c r="C812" s="8">
        <f>COUNTIFS('All Papers'!$D:$D,"*"&amp;$A812&amp;"*",'All Papers'!$G:$G,"*"&amp;Table1[[#Headers],[Composition]]&amp;"*")</f>
        <v>0</v>
      </c>
      <c r="D812" s="8">
        <f>COUNTIFS('All Papers'!$D:$D,"*"&amp;$A812&amp;"*",'All Papers'!$G:$G,"*"&amp;Table1[[#Headers],[Discovery]]&amp;"*")</f>
        <v>0</v>
      </c>
      <c r="E812" s="8">
        <f>COUNTIFS('All Papers'!$D:$D,"*"&amp;$A812&amp;"*",'All Papers'!$G:$G,"*"&amp;Table1[[#Headers],[Selection]]&amp;"*")</f>
        <v>0</v>
      </c>
      <c r="F812" s="8">
        <f>COUNTIFS('All Papers'!$D:$D,"*"&amp;$A812&amp;"*",'All Papers'!$G:$G,"*"&amp;Table1[[#Headers],[Recommendation]]&amp;"*")</f>
        <v>0</v>
      </c>
      <c r="G812" s="8">
        <f>COUNTIFS('All Papers'!$D:$D,"*"&amp;$A812&amp;"*",'All Papers'!$G:$G,"*"&amp;Table1[[#Headers],[Resource Management-CS]]&amp;"*")</f>
        <v>1</v>
      </c>
      <c r="H812" s="8">
        <f>COUNTIFS('All Papers'!$D:$D,"*"&amp;$A812&amp;"*",'All Papers'!$G:$G,"*"&amp;Table1[[#Headers],[Resource Management-PS]]&amp;"*")</f>
        <v>0</v>
      </c>
      <c r="I812" s="8">
        <f>COUNTIFS('All Papers'!$D:$D,"*"&amp;$A812&amp;"*",'All Papers'!$G:$G,"*"&amp;Table1[[#Headers],[SLA Management]]&amp;"*")</f>
        <v>0</v>
      </c>
      <c r="J812" s="8">
        <f>COUNTIFS('All Papers'!$D:$D,"*"&amp;$A812&amp;"*",'All Papers'!$G:$G,"*"&amp;Table1[[#Headers],[Big Data]]&amp;"*")</f>
        <v>0</v>
      </c>
      <c r="K812" s="8">
        <f>COUNTIFS('All Papers'!$D:$D,"*"&amp;$A812&amp;"*",'All Papers'!$G:$G,"*"&amp;Table1[[#Headers],[Energy Management]]&amp;"*")</f>
        <v>0</v>
      </c>
      <c r="L812" s="8">
        <f>COUNTIFS('All Papers'!$D:$D,"*"&amp;$A812&amp;"*",'All Papers'!$G:$G,"*"&amp;Table1[[#Headers],[Monitoring]]&amp;"*")</f>
        <v>0</v>
      </c>
      <c r="M812" s="8">
        <f>COUNTIFS('All Papers'!$D:$D,"*"&amp;$A812&amp;"*",'All Papers'!$G:$G,"*"&amp;Table1[[#Headers],[Pricing]]&amp;"*")</f>
        <v>0</v>
      </c>
    </row>
    <row r="813" spans="1:13" x14ac:dyDescent="0.25">
      <c r="A813" s="8" t="s">
        <v>3246</v>
      </c>
      <c r="B813" s="8">
        <f>COUNTIF('All Papers'!D:D,"*"&amp;Table1[[#This Row],[Name]]&amp;"*")</f>
        <v>1</v>
      </c>
      <c r="C813" s="8">
        <f>COUNTIFS('All Papers'!$D:$D,"*"&amp;$A813&amp;"*",'All Papers'!$G:$G,"*"&amp;Table1[[#Headers],[Composition]]&amp;"*")</f>
        <v>0</v>
      </c>
      <c r="D813" s="8">
        <f>COUNTIFS('All Papers'!$D:$D,"*"&amp;$A813&amp;"*",'All Papers'!$G:$G,"*"&amp;Table1[[#Headers],[Discovery]]&amp;"*")</f>
        <v>0</v>
      </c>
      <c r="E813" s="8">
        <f>COUNTIFS('All Papers'!$D:$D,"*"&amp;$A813&amp;"*",'All Papers'!$G:$G,"*"&amp;Table1[[#Headers],[Selection]]&amp;"*")</f>
        <v>0</v>
      </c>
      <c r="F813" s="8">
        <f>COUNTIFS('All Papers'!$D:$D,"*"&amp;$A813&amp;"*",'All Papers'!$G:$G,"*"&amp;Table1[[#Headers],[Recommendation]]&amp;"*")</f>
        <v>0</v>
      </c>
      <c r="G813" s="8">
        <f>COUNTIFS('All Papers'!$D:$D,"*"&amp;$A813&amp;"*",'All Papers'!$G:$G,"*"&amp;Table1[[#Headers],[Resource Management-CS]]&amp;"*")</f>
        <v>1</v>
      </c>
      <c r="H813" s="8">
        <f>COUNTIFS('All Papers'!$D:$D,"*"&amp;$A813&amp;"*",'All Papers'!$G:$G,"*"&amp;Table1[[#Headers],[Resource Management-PS]]&amp;"*")</f>
        <v>0</v>
      </c>
      <c r="I813" s="8">
        <f>COUNTIFS('All Papers'!$D:$D,"*"&amp;$A813&amp;"*",'All Papers'!$G:$G,"*"&amp;Table1[[#Headers],[SLA Management]]&amp;"*")</f>
        <v>0</v>
      </c>
      <c r="J813" s="8">
        <f>COUNTIFS('All Papers'!$D:$D,"*"&amp;$A813&amp;"*",'All Papers'!$G:$G,"*"&amp;Table1[[#Headers],[Big Data]]&amp;"*")</f>
        <v>0</v>
      </c>
      <c r="K813" s="8">
        <f>COUNTIFS('All Papers'!$D:$D,"*"&amp;$A813&amp;"*",'All Papers'!$G:$G,"*"&amp;Table1[[#Headers],[Energy Management]]&amp;"*")</f>
        <v>0</v>
      </c>
      <c r="L813" s="8">
        <f>COUNTIFS('All Papers'!$D:$D,"*"&amp;$A813&amp;"*",'All Papers'!$G:$G,"*"&amp;Table1[[#Headers],[Monitoring]]&amp;"*")</f>
        <v>0</v>
      </c>
      <c r="M813" s="8">
        <f>COUNTIFS('All Papers'!$D:$D,"*"&amp;$A813&amp;"*",'All Papers'!$G:$G,"*"&amp;Table1[[#Headers],[Pricing]]&amp;"*")</f>
        <v>0</v>
      </c>
    </row>
    <row r="814" spans="1:13" x14ac:dyDescent="0.25">
      <c r="A814" s="8" t="s">
        <v>3247</v>
      </c>
      <c r="B814" s="8">
        <f>COUNTIF('All Papers'!D:D,"*"&amp;Table1[[#This Row],[Name]]&amp;"*")</f>
        <v>1</v>
      </c>
      <c r="C814" s="8">
        <f>COUNTIFS('All Papers'!$D:$D,"*"&amp;$A814&amp;"*",'All Papers'!$G:$G,"*"&amp;Table1[[#Headers],[Composition]]&amp;"*")</f>
        <v>0</v>
      </c>
      <c r="D814" s="8">
        <f>COUNTIFS('All Papers'!$D:$D,"*"&amp;$A814&amp;"*",'All Papers'!$G:$G,"*"&amp;Table1[[#Headers],[Discovery]]&amp;"*")</f>
        <v>0</v>
      </c>
      <c r="E814" s="8">
        <f>COUNTIFS('All Papers'!$D:$D,"*"&amp;$A814&amp;"*",'All Papers'!$G:$G,"*"&amp;Table1[[#Headers],[Selection]]&amp;"*")</f>
        <v>0</v>
      </c>
      <c r="F814" s="8">
        <f>COUNTIFS('All Papers'!$D:$D,"*"&amp;$A814&amp;"*",'All Papers'!$G:$G,"*"&amp;Table1[[#Headers],[Recommendation]]&amp;"*")</f>
        <v>0</v>
      </c>
      <c r="G814" s="8">
        <f>COUNTIFS('All Papers'!$D:$D,"*"&amp;$A814&amp;"*",'All Papers'!$G:$G,"*"&amp;Table1[[#Headers],[Resource Management-CS]]&amp;"*")</f>
        <v>1</v>
      </c>
      <c r="H814" s="8">
        <f>COUNTIFS('All Papers'!$D:$D,"*"&amp;$A814&amp;"*",'All Papers'!$G:$G,"*"&amp;Table1[[#Headers],[Resource Management-PS]]&amp;"*")</f>
        <v>0</v>
      </c>
      <c r="I814" s="8">
        <f>COUNTIFS('All Papers'!$D:$D,"*"&amp;$A814&amp;"*",'All Papers'!$G:$G,"*"&amp;Table1[[#Headers],[SLA Management]]&amp;"*")</f>
        <v>0</v>
      </c>
      <c r="J814" s="8">
        <f>COUNTIFS('All Papers'!$D:$D,"*"&amp;$A814&amp;"*",'All Papers'!$G:$G,"*"&amp;Table1[[#Headers],[Big Data]]&amp;"*")</f>
        <v>0</v>
      </c>
      <c r="K814" s="8">
        <f>COUNTIFS('All Papers'!$D:$D,"*"&amp;$A814&amp;"*",'All Papers'!$G:$G,"*"&amp;Table1[[#Headers],[Energy Management]]&amp;"*")</f>
        <v>0</v>
      </c>
      <c r="L814" s="8">
        <f>COUNTIFS('All Papers'!$D:$D,"*"&amp;$A814&amp;"*",'All Papers'!$G:$G,"*"&amp;Table1[[#Headers],[Monitoring]]&amp;"*")</f>
        <v>0</v>
      </c>
      <c r="M814" s="8">
        <f>COUNTIFS('All Papers'!$D:$D,"*"&amp;$A814&amp;"*",'All Papers'!$G:$G,"*"&amp;Table1[[#Headers],[Pricing]]&amp;"*")</f>
        <v>0</v>
      </c>
    </row>
    <row r="815" spans="1:13" x14ac:dyDescent="0.25">
      <c r="A815" s="8" t="s">
        <v>3248</v>
      </c>
      <c r="B815" s="8">
        <f>COUNTIF('All Papers'!D:D,"*"&amp;Table1[[#This Row],[Name]]&amp;"*")</f>
        <v>1</v>
      </c>
      <c r="C815" s="8">
        <f>COUNTIFS('All Papers'!$D:$D,"*"&amp;$A815&amp;"*",'All Papers'!$G:$G,"*"&amp;Table1[[#Headers],[Composition]]&amp;"*")</f>
        <v>1</v>
      </c>
      <c r="D815" s="8">
        <f>COUNTIFS('All Papers'!$D:$D,"*"&amp;$A815&amp;"*",'All Papers'!$G:$G,"*"&amp;Table1[[#Headers],[Discovery]]&amp;"*")</f>
        <v>0</v>
      </c>
      <c r="E815" s="8">
        <f>COUNTIFS('All Papers'!$D:$D,"*"&amp;$A815&amp;"*",'All Papers'!$G:$G,"*"&amp;Table1[[#Headers],[Selection]]&amp;"*")</f>
        <v>0</v>
      </c>
      <c r="F815" s="8">
        <f>COUNTIFS('All Papers'!$D:$D,"*"&amp;$A815&amp;"*",'All Papers'!$G:$G,"*"&amp;Table1[[#Headers],[Recommendation]]&amp;"*")</f>
        <v>0</v>
      </c>
      <c r="G815" s="8">
        <f>COUNTIFS('All Papers'!$D:$D,"*"&amp;$A815&amp;"*",'All Papers'!$G:$G,"*"&amp;Table1[[#Headers],[Resource Management-CS]]&amp;"*")</f>
        <v>0</v>
      </c>
      <c r="H815" s="8">
        <f>COUNTIFS('All Papers'!$D:$D,"*"&amp;$A815&amp;"*",'All Papers'!$G:$G,"*"&amp;Table1[[#Headers],[Resource Management-PS]]&amp;"*")</f>
        <v>0</v>
      </c>
      <c r="I815" s="8">
        <f>COUNTIFS('All Papers'!$D:$D,"*"&amp;$A815&amp;"*",'All Papers'!$G:$G,"*"&amp;Table1[[#Headers],[SLA Management]]&amp;"*")</f>
        <v>0</v>
      </c>
      <c r="J815" s="8">
        <f>COUNTIFS('All Papers'!$D:$D,"*"&amp;$A815&amp;"*",'All Papers'!$G:$G,"*"&amp;Table1[[#Headers],[Big Data]]&amp;"*")</f>
        <v>0</v>
      </c>
      <c r="K815" s="8">
        <f>COUNTIFS('All Papers'!$D:$D,"*"&amp;$A815&amp;"*",'All Papers'!$G:$G,"*"&amp;Table1[[#Headers],[Energy Management]]&amp;"*")</f>
        <v>0</v>
      </c>
      <c r="L815" s="8">
        <f>COUNTIFS('All Papers'!$D:$D,"*"&amp;$A815&amp;"*",'All Papers'!$G:$G,"*"&amp;Table1[[#Headers],[Monitoring]]&amp;"*")</f>
        <v>0</v>
      </c>
      <c r="M815" s="8">
        <f>COUNTIFS('All Papers'!$D:$D,"*"&amp;$A815&amp;"*",'All Papers'!$G:$G,"*"&amp;Table1[[#Headers],[Pricing]]&amp;"*")</f>
        <v>0</v>
      </c>
    </row>
    <row r="816" spans="1:13" x14ac:dyDescent="0.25">
      <c r="A816" s="8" t="s">
        <v>3249</v>
      </c>
      <c r="B816" s="8">
        <f>COUNTIF('All Papers'!D:D,"*"&amp;Table1[[#This Row],[Name]]&amp;"*")</f>
        <v>1</v>
      </c>
      <c r="C816" s="8">
        <f>COUNTIFS('All Papers'!$D:$D,"*"&amp;$A816&amp;"*",'All Papers'!$G:$G,"*"&amp;Table1[[#Headers],[Composition]]&amp;"*")</f>
        <v>1</v>
      </c>
      <c r="D816" s="8">
        <f>COUNTIFS('All Papers'!$D:$D,"*"&amp;$A816&amp;"*",'All Papers'!$G:$G,"*"&amp;Table1[[#Headers],[Discovery]]&amp;"*")</f>
        <v>0</v>
      </c>
      <c r="E816" s="8">
        <f>COUNTIFS('All Papers'!$D:$D,"*"&amp;$A816&amp;"*",'All Papers'!$G:$G,"*"&amp;Table1[[#Headers],[Selection]]&amp;"*")</f>
        <v>0</v>
      </c>
      <c r="F816" s="8">
        <f>COUNTIFS('All Papers'!$D:$D,"*"&amp;$A816&amp;"*",'All Papers'!$G:$G,"*"&amp;Table1[[#Headers],[Recommendation]]&amp;"*")</f>
        <v>0</v>
      </c>
      <c r="G816" s="8">
        <f>COUNTIFS('All Papers'!$D:$D,"*"&amp;$A816&amp;"*",'All Papers'!$G:$G,"*"&amp;Table1[[#Headers],[Resource Management-CS]]&amp;"*")</f>
        <v>0</v>
      </c>
      <c r="H816" s="8">
        <f>COUNTIFS('All Papers'!$D:$D,"*"&amp;$A816&amp;"*",'All Papers'!$G:$G,"*"&amp;Table1[[#Headers],[Resource Management-PS]]&amp;"*")</f>
        <v>0</v>
      </c>
      <c r="I816" s="8">
        <f>COUNTIFS('All Papers'!$D:$D,"*"&amp;$A816&amp;"*",'All Papers'!$G:$G,"*"&amp;Table1[[#Headers],[SLA Management]]&amp;"*")</f>
        <v>0</v>
      </c>
      <c r="J816" s="8">
        <f>COUNTIFS('All Papers'!$D:$D,"*"&amp;$A816&amp;"*",'All Papers'!$G:$G,"*"&amp;Table1[[#Headers],[Big Data]]&amp;"*")</f>
        <v>0</v>
      </c>
      <c r="K816" s="8">
        <f>COUNTIFS('All Papers'!$D:$D,"*"&amp;$A816&amp;"*",'All Papers'!$G:$G,"*"&amp;Table1[[#Headers],[Energy Management]]&amp;"*")</f>
        <v>0</v>
      </c>
      <c r="L816" s="8">
        <f>COUNTIFS('All Papers'!$D:$D,"*"&amp;$A816&amp;"*",'All Papers'!$G:$G,"*"&amp;Table1[[#Headers],[Monitoring]]&amp;"*")</f>
        <v>0</v>
      </c>
      <c r="M816" s="8">
        <f>COUNTIFS('All Papers'!$D:$D,"*"&amp;$A816&amp;"*",'All Papers'!$G:$G,"*"&amp;Table1[[#Headers],[Pricing]]&amp;"*")</f>
        <v>0</v>
      </c>
    </row>
    <row r="817" spans="1:13" x14ac:dyDescent="0.25">
      <c r="A817" s="8" t="s">
        <v>3250</v>
      </c>
      <c r="B817" s="8">
        <f>COUNTIF('All Papers'!D:D,"*"&amp;Table1[[#This Row],[Name]]&amp;"*")</f>
        <v>1</v>
      </c>
      <c r="C817" s="8">
        <f>COUNTIFS('All Papers'!$D:$D,"*"&amp;$A817&amp;"*",'All Papers'!$G:$G,"*"&amp;Table1[[#Headers],[Composition]]&amp;"*")</f>
        <v>1</v>
      </c>
      <c r="D817" s="8">
        <f>COUNTIFS('All Papers'!$D:$D,"*"&amp;$A817&amp;"*",'All Papers'!$G:$G,"*"&amp;Table1[[#Headers],[Discovery]]&amp;"*")</f>
        <v>0</v>
      </c>
      <c r="E817" s="8">
        <f>COUNTIFS('All Papers'!$D:$D,"*"&amp;$A817&amp;"*",'All Papers'!$G:$G,"*"&amp;Table1[[#Headers],[Selection]]&amp;"*")</f>
        <v>0</v>
      </c>
      <c r="F817" s="8">
        <f>COUNTIFS('All Papers'!$D:$D,"*"&amp;$A817&amp;"*",'All Papers'!$G:$G,"*"&amp;Table1[[#Headers],[Recommendation]]&amp;"*")</f>
        <v>0</v>
      </c>
      <c r="G817" s="8">
        <f>COUNTIFS('All Papers'!$D:$D,"*"&amp;$A817&amp;"*",'All Papers'!$G:$G,"*"&amp;Table1[[#Headers],[Resource Management-CS]]&amp;"*")</f>
        <v>0</v>
      </c>
      <c r="H817" s="8">
        <f>COUNTIFS('All Papers'!$D:$D,"*"&amp;$A817&amp;"*",'All Papers'!$G:$G,"*"&amp;Table1[[#Headers],[Resource Management-PS]]&amp;"*")</f>
        <v>0</v>
      </c>
      <c r="I817" s="8">
        <f>COUNTIFS('All Papers'!$D:$D,"*"&amp;$A817&amp;"*",'All Papers'!$G:$G,"*"&amp;Table1[[#Headers],[SLA Management]]&amp;"*")</f>
        <v>0</v>
      </c>
      <c r="J817" s="8">
        <f>COUNTIFS('All Papers'!$D:$D,"*"&amp;$A817&amp;"*",'All Papers'!$G:$G,"*"&amp;Table1[[#Headers],[Big Data]]&amp;"*")</f>
        <v>0</v>
      </c>
      <c r="K817" s="8">
        <f>COUNTIFS('All Papers'!$D:$D,"*"&amp;$A817&amp;"*",'All Papers'!$G:$G,"*"&amp;Table1[[#Headers],[Energy Management]]&amp;"*")</f>
        <v>0</v>
      </c>
      <c r="L817" s="8">
        <f>COUNTIFS('All Papers'!$D:$D,"*"&amp;$A817&amp;"*",'All Papers'!$G:$G,"*"&amp;Table1[[#Headers],[Monitoring]]&amp;"*")</f>
        <v>0</v>
      </c>
      <c r="M817" s="8">
        <f>COUNTIFS('All Papers'!$D:$D,"*"&amp;$A817&amp;"*",'All Papers'!$G:$G,"*"&amp;Table1[[#Headers],[Pricing]]&amp;"*")</f>
        <v>0</v>
      </c>
    </row>
    <row r="818" spans="1:13" x14ac:dyDescent="0.25">
      <c r="A818" s="8" t="s">
        <v>3251</v>
      </c>
      <c r="B818" s="8">
        <f>COUNTIF('All Papers'!D:D,"*"&amp;Table1[[#This Row],[Name]]&amp;"*")</f>
        <v>1</v>
      </c>
      <c r="C818" s="8">
        <f>COUNTIFS('All Papers'!$D:$D,"*"&amp;$A818&amp;"*",'All Papers'!$G:$G,"*"&amp;Table1[[#Headers],[Composition]]&amp;"*")</f>
        <v>1</v>
      </c>
      <c r="D818" s="8">
        <f>COUNTIFS('All Papers'!$D:$D,"*"&amp;$A818&amp;"*",'All Papers'!$G:$G,"*"&amp;Table1[[#Headers],[Discovery]]&amp;"*")</f>
        <v>0</v>
      </c>
      <c r="E818" s="8">
        <f>COUNTIFS('All Papers'!$D:$D,"*"&amp;$A818&amp;"*",'All Papers'!$G:$G,"*"&amp;Table1[[#Headers],[Selection]]&amp;"*")</f>
        <v>0</v>
      </c>
      <c r="F818" s="8">
        <f>COUNTIFS('All Papers'!$D:$D,"*"&amp;$A818&amp;"*",'All Papers'!$G:$G,"*"&amp;Table1[[#Headers],[Recommendation]]&amp;"*")</f>
        <v>0</v>
      </c>
      <c r="G818" s="8">
        <f>COUNTIFS('All Papers'!$D:$D,"*"&amp;$A818&amp;"*",'All Papers'!$G:$G,"*"&amp;Table1[[#Headers],[Resource Management-CS]]&amp;"*")</f>
        <v>0</v>
      </c>
      <c r="H818" s="8">
        <f>COUNTIFS('All Papers'!$D:$D,"*"&amp;$A818&amp;"*",'All Papers'!$G:$G,"*"&amp;Table1[[#Headers],[Resource Management-PS]]&amp;"*")</f>
        <v>0</v>
      </c>
      <c r="I818" s="8">
        <f>COUNTIFS('All Papers'!$D:$D,"*"&amp;$A818&amp;"*",'All Papers'!$G:$G,"*"&amp;Table1[[#Headers],[SLA Management]]&amp;"*")</f>
        <v>0</v>
      </c>
      <c r="J818" s="8">
        <f>COUNTIFS('All Papers'!$D:$D,"*"&amp;$A818&amp;"*",'All Papers'!$G:$G,"*"&amp;Table1[[#Headers],[Big Data]]&amp;"*")</f>
        <v>0</v>
      </c>
      <c r="K818" s="8">
        <f>COUNTIFS('All Papers'!$D:$D,"*"&amp;$A818&amp;"*",'All Papers'!$G:$G,"*"&amp;Table1[[#Headers],[Energy Management]]&amp;"*")</f>
        <v>0</v>
      </c>
      <c r="L818" s="8">
        <f>COUNTIFS('All Papers'!$D:$D,"*"&amp;$A818&amp;"*",'All Papers'!$G:$G,"*"&amp;Table1[[#Headers],[Monitoring]]&amp;"*")</f>
        <v>0</v>
      </c>
      <c r="M818" s="8">
        <f>COUNTIFS('All Papers'!$D:$D,"*"&amp;$A818&amp;"*",'All Papers'!$G:$G,"*"&amp;Table1[[#Headers],[Pricing]]&amp;"*")</f>
        <v>0</v>
      </c>
    </row>
    <row r="819" spans="1:13" x14ac:dyDescent="0.25">
      <c r="A819" s="8" t="s">
        <v>3252</v>
      </c>
      <c r="B819" s="8">
        <f>COUNTIF('All Papers'!D:D,"*"&amp;Table1[[#This Row],[Name]]&amp;"*")</f>
        <v>1</v>
      </c>
      <c r="C819" s="8">
        <f>COUNTIFS('All Papers'!$D:$D,"*"&amp;$A819&amp;"*",'All Papers'!$G:$G,"*"&amp;Table1[[#Headers],[Composition]]&amp;"*")</f>
        <v>1</v>
      </c>
      <c r="D819" s="8">
        <f>COUNTIFS('All Papers'!$D:$D,"*"&amp;$A819&amp;"*",'All Papers'!$G:$G,"*"&amp;Table1[[#Headers],[Discovery]]&amp;"*")</f>
        <v>0</v>
      </c>
      <c r="E819" s="8">
        <f>COUNTIFS('All Papers'!$D:$D,"*"&amp;$A819&amp;"*",'All Papers'!$G:$G,"*"&amp;Table1[[#Headers],[Selection]]&amp;"*")</f>
        <v>0</v>
      </c>
      <c r="F819" s="8">
        <f>COUNTIFS('All Papers'!$D:$D,"*"&amp;$A819&amp;"*",'All Papers'!$G:$G,"*"&amp;Table1[[#Headers],[Recommendation]]&amp;"*")</f>
        <v>0</v>
      </c>
      <c r="G819" s="8">
        <f>COUNTIFS('All Papers'!$D:$D,"*"&amp;$A819&amp;"*",'All Papers'!$G:$G,"*"&amp;Table1[[#Headers],[Resource Management-CS]]&amp;"*")</f>
        <v>1</v>
      </c>
      <c r="H819" s="8">
        <f>COUNTIFS('All Papers'!$D:$D,"*"&amp;$A819&amp;"*",'All Papers'!$G:$G,"*"&amp;Table1[[#Headers],[Resource Management-PS]]&amp;"*")</f>
        <v>0</v>
      </c>
      <c r="I819" s="8">
        <f>COUNTIFS('All Papers'!$D:$D,"*"&amp;$A819&amp;"*",'All Papers'!$G:$G,"*"&amp;Table1[[#Headers],[SLA Management]]&amp;"*")</f>
        <v>0</v>
      </c>
      <c r="J819" s="8">
        <f>COUNTIFS('All Papers'!$D:$D,"*"&amp;$A819&amp;"*",'All Papers'!$G:$G,"*"&amp;Table1[[#Headers],[Big Data]]&amp;"*")</f>
        <v>0</v>
      </c>
      <c r="K819" s="8">
        <f>COUNTIFS('All Papers'!$D:$D,"*"&amp;$A819&amp;"*",'All Papers'!$G:$G,"*"&amp;Table1[[#Headers],[Energy Management]]&amp;"*")</f>
        <v>0</v>
      </c>
      <c r="L819" s="8">
        <f>COUNTIFS('All Papers'!$D:$D,"*"&amp;$A819&amp;"*",'All Papers'!$G:$G,"*"&amp;Table1[[#Headers],[Monitoring]]&amp;"*")</f>
        <v>1</v>
      </c>
      <c r="M819" s="8">
        <f>COUNTIFS('All Papers'!$D:$D,"*"&amp;$A819&amp;"*",'All Papers'!$G:$G,"*"&amp;Table1[[#Headers],[Pricing]]&amp;"*")</f>
        <v>0</v>
      </c>
    </row>
    <row r="820" spans="1:13" x14ac:dyDescent="0.25">
      <c r="A820" s="8" t="s">
        <v>3253</v>
      </c>
      <c r="B820" s="8">
        <f>COUNTIF('All Papers'!D:D,"*"&amp;Table1[[#This Row],[Name]]&amp;"*")</f>
        <v>1</v>
      </c>
      <c r="C820" s="8">
        <f>COUNTIFS('All Papers'!$D:$D,"*"&amp;$A820&amp;"*",'All Papers'!$G:$G,"*"&amp;Table1[[#Headers],[Composition]]&amp;"*")</f>
        <v>0</v>
      </c>
      <c r="D820" s="8">
        <f>COUNTIFS('All Papers'!$D:$D,"*"&amp;$A820&amp;"*",'All Papers'!$G:$G,"*"&amp;Table1[[#Headers],[Discovery]]&amp;"*")</f>
        <v>0</v>
      </c>
      <c r="E820" s="8">
        <f>COUNTIFS('All Papers'!$D:$D,"*"&amp;$A820&amp;"*",'All Papers'!$G:$G,"*"&amp;Table1[[#Headers],[Selection]]&amp;"*")</f>
        <v>0</v>
      </c>
      <c r="F820" s="8">
        <f>COUNTIFS('All Papers'!$D:$D,"*"&amp;$A820&amp;"*",'All Papers'!$G:$G,"*"&amp;Table1[[#Headers],[Recommendation]]&amp;"*")</f>
        <v>0</v>
      </c>
      <c r="G820" s="8">
        <f>COUNTIFS('All Papers'!$D:$D,"*"&amp;$A820&amp;"*",'All Papers'!$G:$G,"*"&amp;Table1[[#Headers],[Resource Management-CS]]&amp;"*")</f>
        <v>1</v>
      </c>
      <c r="H820" s="8">
        <f>COUNTIFS('All Papers'!$D:$D,"*"&amp;$A820&amp;"*",'All Papers'!$G:$G,"*"&amp;Table1[[#Headers],[Resource Management-PS]]&amp;"*")</f>
        <v>0</v>
      </c>
      <c r="I820" s="8">
        <f>COUNTIFS('All Papers'!$D:$D,"*"&amp;$A820&amp;"*",'All Papers'!$G:$G,"*"&amp;Table1[[#Headers],[SLA Management]]&amp;"*")</f>
        <v>0</v>
      </c>
      <c r="J820" s="8">
        <f>COUNTIFS('All Papers'!$D:$D,"*"&amp;$A820&amp;"*",'All Papers'!$G:$G,"*"&amp;Table1[[#Headers],[Big Data]]&amp;"*")</f>
        <v>0</v>
      </c>
      <c r="K820" s="8">
        <f>COUNTIFS('All Papers'!$D:$D,"*"&amp;$A820&amp;"*",'All Papers'!$G:$G,"*"&amp;Table1[[#Headers],[Energy Management]]&amp;"*")</f>
        <v>0</v>
      </c>
      <c r="L820" s="8">
        <f>COUNTIFS('All Papers'!$D:$D,"*"&amp;$A820&amp;"*",'All Papers'!$G:$G,"*"&amp;Table1[[#Headers],[Monitoring]]&amp;"*")</f>
        <v>0</v>
      </c>
      <c r="M820" s="8">
        <f>COUNTIFS('All Papers'!$D:$D,"*"&amp;$A820&amp;"*",'All Papers'!$G:$G,"*"&amp;Table1[[#Headers],[Pricing]]&amp;"*")</f>
        <v>0</v>
      </c>
    </row>
    <row r="821" spans="1:13" x14ac:dyDescent="0.25">
      <c r="A821" s="8" t="s">
        <v>3254</v>
      </c>
      <c r="B821" s="8">
        <f>COUNTIF('All Papers'!D:D,"*"&amp;Table1[[#This Row],[Name]]&amp;"*")</f>
        <v>1</v>
      </c>
      <c r="C821" s="8">
        <f>COUNTIFS('All Papers'!$D:$D,"*"&amp;$A821&amp;"*",'All Papers'!$G:$G,"*"&amp;Table1[[#Headers],[Composition]]&amp;"*")</f>
        <v>0</v>
      </c>
      <c r="D821" s="8">
        <f>COUNTIFS('All Papers'!$D:$D,"*"&amp;$A821&amp;"*",'All Papers'!$G:$G,"*"&amp;Table1[[#Headers],[Discovery]]&amp;"*")</f>
        <v>0</v>
      </c>
      <c r="E821" s="8">
        <f>COUNTIFS('All Papers'!$D:$D,"*"&amp;$A821&amp;"*",'All Papers'!$G:$G,"*"&amp;Table1[[#Headers],[Selection]]&amp;"*")</f>
        <v>0</v>
      </c>
      <c r="F821" s="8">
        <f>COUNTIFS('All Papers'!$D:$D,"*"&amp;$A821&amp;"*",'All Papers'!$G:$G,"*"&amp;Table1[[#Headers],[Recommendation]]&amp;"*")</f>
        <v>0</v>
      </c>
      <c r="G821" s="8">
        <f>COUNTIFS('All Papers'!$D:$D,"*"&amp;$A821&amp;"*",'All Papers'!$G:$G,"*"&amp;Table1[[#Headers],[Resource Management-CS]]&amp;"*")</f>
        <v>1</v>
      </c>
      <c r="H821" s="8">
        <f>COUNTIFS('All Papers'!$D:$D,"*"&amp;$A821&amp;"*",'All Papers'!$G:$G,"*"&amp;Table1[[#Headers],[Resource Management-PS]]&amp;"*")</f>
        <v>0</v>
      </c>
      <c r="I821" s="8">
        <f>COUNTIFS('All Papers'!$D:$D,"*"&amp;$A821&amp;"*",'All Papers'!$G:$G,"*"&amp;Table1[[#Headers],[SLA Management]]&amp;"*")</f>
        <v>0</v>
      </c>
      <c r="J821" s="8">
        <f>COUNTIFS('All Papers'!$D:$D,"*"&amp;$A821&amp;"*",'All Papers'!$G:$G,"*"&amp;Table1[[#Headers],[Big Data]]&amp;"*")</f>
        <v>0</v>
      </c>
      <c r="K821" s="8">
        <f>COUNTIFS('All Papers'!$D:$D,"*"&amp;$A821&amp;"*",'All Papers'!$G:$G,"*"&amp;Table1[[#Headers],[Energy Management]]&amp;"*")</f>
        <v>0</v>
      </c>
      <c r="L821" s="8">
        <f>COUNTIFS('All Papers'!$D:$D,"*"&amp;$A821&amp;"*",'All Papers'!$G:$G,"*"&amp;Table1[[#Headers],[Monitoring]]&amp;"*")</f>
        <v>0</v>
      </c>
      <c r="M821" s="8">
        <f>COUNTIFS('All Papers'!$D:$D,"*"&amp;$A821&amp;"*",'All Papers'!$G:$G,"*"&amp;Table1[[#Headers],[Pricing]]&amp;"*")</f>
        <v>0</v>
      </c>
    </row>
    <row r="822" spans="1:13" x14ac:dyDescent="0.25">
      <c r="A822" s="8" t="s">
        <v>3255</v>
      </c>
      <c r="B822" s="8">
        <f>COUNTIF('All Papers'!D:D,"*"&amp;Table1[[#This Row],[Name]]&amp;"*")</f>
        <v>1</v>
      </c>
      <c r="C822" s="8">
        <f>COUNTIFS('All Papers'!$D:$D,"*"&amp;$A822&amp;"*",'All Papers'!$G:$G,"*"&amp;Table1[[#Headers],[Composition]]&amp;"*")</f>
        <v>0</v>
      </c>
      <c r="D822" s="8">
        <f>COUNTIFS('All Papers'!$D:$D,"*"&amp;$A822&amp;"*",'All Papers'!$G:$G,"*"&amp;Table1[[#Headers],[Discovery]]&amp;"*")</f>
        <v>0</v>
      </c>
      <c r="E822" s="8">
        <f>COUNTIFS('All Papers'!$D:$D,"*"&amp;$A822&amp;"*",'All Papers'!$G:$G,"*"&amp;Table1[[#Headers],[Selection]]&amp;"*")</f>
        <v>0</v>
      </c>
      <c r="F822" s="8">
        <f>COUNTIFS('All Papers'!$D:$D,"*"&amp;$A822&amp;"*",'All Papers'!$G:$G,"*"&amp;Table1[[#Headers],[Recommendation]]&amp;"*")</f>
        <v>0</v>
      </c>
      <c r="G822" s="8">
        <f>COUNTIFS('All Papers'!$D:$D,"*"&amp;$A822&amp;"*",'All Papers'!$G:$G,"*"&amp;Table1[[#Headers],[Resource Management-CS]]&amp;"*")</f>
        <v>1</v>
      </c>
      <c r="H822" s="8">
        <f>COUNTIFS('All Papers'!$D:$D,"*"&amp;$A822&amp;"*",'All Papers'!$G:$G,"*"&amp;Table1[[#Headers],[Resource Management-PS]]&amp;"*")</f>
        <v>0</v>
      </c>
      <c r="I822" s="8">
        <f>COUNTIFS('All Papers'!$D:$D,"*"&amp;$A822&amp;"*",'All Papers'!$G:$G,"*"&amp;Table1[[#Headers],[SLA Management]]&amp;"*")</f>
        <v>0</v>
      </c>
      <c r="J822" s="8">
        <f>COUNTIFS('All Papers'!$D:$D,"*"&amp;$A822&amp;"*",'All Papers'!$G:$G,"*"&amp;Table1[[#Headers],[Big Data]]&amp;"*")</f>
        <v>0</v>
      </c>
      <c r="K822" s="8">
        <f>COUNTIFS('All Papers'!$D:$D,"*"&amp;$A822&amp;"*",'All Papers'!$G:$G,"*"&amp;Table1[[#Headers],[Energy Management]]&amp;"*")</f>
        <v>0</v>
      </c>
      <c r="L822" s="8">
        <f>COUNTIFS('All Papers'!$D:$D,"*"&amp;$A822&amp;"*",'All Papers'!$G:$G,"*"&amp;Table1[[#Headers],[Monitoring]]&amp;"*")</f>
        <v>0</v>
      </c>
      <c r="M822" s="8">
        <f>COUNTIFS('All Papers'!$D:$D,"*"&amp;$A822&amp;"*",'All Papers'!$G:$G,"*"&amp;Table1[[#Headers],[Pricing]]&amp;"*")</f>
        <v>0</v>
      </c>
    </row>
    <row r="823" spans="1:13" x14ac:dyDescent="0.25">
      <c r="A823" s="8" t="s">
        <v>3256</v>
      </c>
      <c r="B823" s="8">
        <f>COUNTIF('All Papers'!D:D,"*"&amp;Table1[[#This Row],[Name]]&amp;"*")</f>
        <v>1</v>
      </c>
      <c r="C823" s="8">
        <f>COUNTIFS('All Papers'!$D:$D,"*"&amp;$A823&amp;"*",'All Papers'!$G:$G,"*"&amp;Table1[[#Headers],[Composition]]&amp;"*")</f>
        <v>0</v>
      </c>
      <c r="D823" s="8">
        <f>COUNTIFS('All Papers'!$D:$D,"*"&amp;$A823&amp;"*",'All Papers'!$G:$G,"*"&amp;Table1[[#Headers],[Discovery]]&amp;"*")</f>
        <v>0</v>
      </c>
      <c r="E823" s="8">
        <f>COUNTIFS('All Papers'!$D:$D,"*"&amp;$A823&amp;"*",'All Papers'!$G:$G,"*"&amp;Table1[[#Headers],[Selection]]&amp;"*")</f>
        <v>0</v>
      </c>
      <c r="F823" s="8">
        <f>COUNTIFS('All Papers'!$D:$D,"*"&amp;$A823&amp;"*",'All Papers'!$G:$G,"*"&amp;Table1[[#Headers],[Recommendation]]&amp;"*")</f>
        <v>0</v>
      </c>
      <c r="G823" s="8">
        <f>COUNTIFS('All Papers'!$D:$D,"*"&amp;$A823&amp;"*",'All Papers'!$G:$G,"*"&amp;Table1[[#Headers],[Resource Management-CS]]&amp;"*")</f>
        <v>1</v>
      </c>
      <c r="H823" s="8">
        <f>COUNTIFS('All Papers'!$D:$D,"*"&amp;$A823&amp;"*",'All Papers'!$G:$G,"*"&amp;Table1[[#Headers],[Resource Management-PS]]&amp;"*")</f>
        <v>0</v>
      </c>
      <c r="I823" s="8">
        <f>COUNTIFS('All Papers'!$D:$D,"*"&amp;$A823&amp;"*",'All Papers'!$G:$G,"*"&amp;Table1[[#Headers],[SLA Management]]&amp;"*")</f>
        <v>0</v>
      </c>
      <c r="J823" s="8">
        <f>COUNTIFS('All Papers'!$D:$D,"*"&amp;$A823&amp;"*",'All Papers'!$G:$G,"*"&amp;Table1[[#Headers],[Big Data]]&amp;"*")</f>
        <v>0</v>
      </c>
      <c r="K823" s="8">
        <f>COUNTIFS('All Papers'!$D:$D,"*"&amp;$A823&amp;"*",'All Papers'!$G:$G,"*"&amp;Table1[[#Headers],[Energy Management]]&amp;"*")</f>
        <v>0</v>
      </c>
      <c r="L823" s="8">
        <f>COUNTIFS('All Papers'!$D:$D,"*"&amp;$A823&amp;"*",'All Papers'!$G:$G,"*"&amp;Table1[[#Headers],[Monitoring]]&amp;"*")</f>
        <v>0</v>
      </c>
      <c r="M823" s="8">
        <f>COUNTIFS('All Papers'!$D:$D,"*"&amp;$A823&amp;"*",'All Papers'!$G:$G,"*"&amp;Table1[[#Headers],[Pricing]]&amp;"*")</f>
        <v>0</v>
      </c>
    </row>
    <row r="824" spans="1:13" x14ac:dyDescent="0.25">
      <c r="A824" s="8" t="s">
        <v>3257</v>
      </c>
      <c r="B824" s="8">
        <f>COUNTIF('All Papers'!D:D,"*"&amp;Table1[[#This Row],[Name]]&amp;"*")</f>
        <v>1</v>
      </c>
      <c r="C824" s="8">
        <f>COUNTIFS('All Papers'!$D:$D,"*"&amp;$A824&amp;"*",'All Papers'!$G:$G,"*"&amp;Table1[[#Headers],[Composition]]&amp;"*")</f>
        <v>0</v>
      </c>
      <c r="D824" s="8">
        <f>COUNTIFS('All Papers'!$D:$D,"*"&amp;$A824&amp;"*",'All Papers'!$G:$G,"*"&amp;Table1[[#Headers],[Discovery]]&amp;"*")</f>
        <v>0</v>
      </c>
      <c r="E824" s="8">
        <f>COUNTIFS('All Papers'!$D:$D,"*"&amp;$A824&amp;"*",'All Papers'!$G:$G,"*"&amp;Table1[[#Headers],[Selection]]&amp;"*")</f>
        <v>0</v>
      </c>
      <c r="F824" s="8">
        <f>COUNTIFS('All Papers'!$D:$D,"*"&amp;$A824&amp;"*",'All Papers'!$G:$G,"*"&amp;Table1[[#Headers],[Recommendation]]&amp;"*")</f>
        <v>0</v>
      </c>
      <c r="G824" s="8">
        <f>COUNTIFS('All Papers'!$D:$D,"*"&amp;$A824&amp;"*",'All Papers'!$G:$G,"*"&amp;Table1[[#Headers],[Resource Management-CS]]&amp;"*")</f>
        <v>1</v>
      </c>
      <c r="H824" s="8">
        <f>COUNTIFS('All Papers'!$D:$D,"*"&amp;$A824&amp;"*",'All Papers'!$G:$G,"*"&amp;Table1[[#Headers],[Resource Management-PS]]&amp;"*")</f>
        <v>0</v>
      </c>
      <c r="I824" s="8">
        <f>COUNTIFS('All Papers'!$D:$D,"*"&amp;$A824&amp;"*",'All Papers'!$G:$G,"*"&amp;Table1[[#Headers],[SLA Management]]&amp;"*")</f>
        <v>0</v>
      </c>
      <c r="J824" s="8">
        <f>COUNTIFS('All Papers'!$D:$D,"*"&amp;$A824&amp;"*",'All Papers'!$G:$G,"*"&amp;Table1[[#Headers],[Big Data]]&amp;"*")</f>
        <v>0</v>
      </c>
      <c r="K824" s="8">
        <f>COUNTIFS('All Papers'!$D:$D,"*"&amp;$A824&amp;"*",'All Papers'!$G:$G,"*"&amp;Table1[[#Headers],[Energy Management]]&amp;"*")</f>
        <v>0</v>
      </c>
      <c r="L824" s="8">
        <f>COUNTIFS('All Papers'!$D:$D,"*"&amp;$A824&amp;"*",'All Papers'!$G:$G,"*"&amp;Table1[[#Headers],[Monitoring]]&amp;"*")</f>
        <v>0</v>
      </c>
      <c r="M824" s="8">
        <f>COUNTIFS('All Papers'!$D:$D,"*"&amp;$A824&amp;"*",'All Papers'!$G:$G,"*"&amp;Table1[[#Headers],[Pricing]]&amp;"*")</f>
        <v>0</v>
      </c>
    </row>
    <row r="825" spans="1:13" x14ac:dyDescent="0.25">
      <c r="A825" s="8" t="s">
        <v>3258</v>
      </c>
      <c r="B825" s="8">
        <f>COUNTIF('All Papers'!D:D,"*"&amp;Table1[[#This Row],[Name]]&amp;"*")</f>
        <v>1</v>
      </c>
      <c r="C825" s="8">
        <f>COUNTIFS('All Papers'!$D:$D,"*"&amp;$A825&amp;"*",'All Papers'!$G:$G,"*"&amp;Table1[[#Headers],[Composition]]&amp;"*")</f>
        <v>0</v>
      </c>
      <c r="D825" s="8">
        <f>COUNTIFS('All Papers'!$D:$D,"*"&amp;$A825&amp;"*",'All Papers'!$G:$G,"*"&amp;Table1[[#Headers],[Discovery]]&amp;"*")</f>
        <v>0</v>
      </c>
      <c r="E825" s="8">
        <f>COUNTIFS('All Papers'!$D:$D,"*"&amp;$A825&amp;"*",'All Papers'!$G:$G,"*"&amp;Table1[[#Headers],[Selection]]&amp;"*")</f>
        <v>0</v>
      </c>
      <c r="F825" s="8">
        <f>COUNTIFS('All Papers'!$D:$D,"*"&amp;$A825&amp;"*",'All Papers'!$G:$G,"*"&amp;Table1[[#Headers],[Recommendation]]&amp;"*")</f>
        <v>0</v>
      </c>
      <c r="G825" s="8">
        <f>COUNTIFS('All Papers'!$D:$D,"*"&amp;$A825&amp;"*",'All Papers'!$G:$G,"*"&amp;Table1[[#Headers],[Resource Management-CS]]&amp;"*")</f>
        <v>1</v>
      </c>
      <c r="H825" s="8">
        <f>COUNTIFS('All Papers'!$D:$D,"*"&amp;$A825&amp;"*",'All Papers'!$G:$G,"*"&amp;Table1[[#Headers],[Resource Management-PS]]&amp;"*")</f>
        <v>0</v>
      </c>
      <c r="I825" s="8">
        <f>COUNTIFS('All Papers'!$D:$D,"*"&amp;$A825&amp;"*",'All Papers'!$G:$G,"*"&amp;Table1[[#Headers],[SLA Management]]&amp;"*")</f>
        <v>0</v>
      </c>
      <c r="J825" s="8">
        <f>COUNTIFS('All Papers'!$D:$D,"*"&amp;$A825&amp;"*",'All Papers'!$G:$G,"*"&amp;Table1[[#Headers],[Big Data]]&amp;"*")</f>
        <v>0</v>
      </c>
      <c r="K825" s="8">
        <f>COUNTIFS('All Papers'!$D:$D,"*"&amp;$A825&amp;"*",'All Papers'!$G:$G,"*"&amp;Table1[[#Headers],[Energy Management]]&amp;"*")</f>
        <v>0</v>
      </c>
      <c r="L825" s="8">
        <f>COUNTIFS('All Papers'!$D:$D,"*"&amp;$A825&amp;"*",'All Papers'!$G:$G,"*"&amp;Table1[[#Headers],[Monitoring]]&amp;"*")</f>
        <v>0</v>
      </c>
      <c r="M825" s="8">
        <f>COUNTIFS('All Papers'!$D:$D,"*"&amp;$A825&amp;"*",'All Papers'!$G:$G,"*"&amp;Table1[[#Headers],[Pricing]]&amp;"*")</f>
        <v>0</v>
      </c>
    </row>
    <row r="826" spans="1:13" x14ac:dyDescent="0.25">
      <c r="A826" s="8" t="s">
        <v>3259</v>
      </c>
      <c r="B826" s="8">
        <f>COUNTIF('All Papers'!D:D,"*"&amp;Table1[[#This Row],[Name]]&amp;"*")</f>
        <v>1</v>
      </c>
      <c r="C826" s="8">
        <f>COUNTIFS('All Papers'!$D:$D,"*"&amp;$A826&amp;"*",'All Papers'!$G:$G,"*"&amp;Table1[[#Headers],[Composition]]&amp;"*")</f>
        <v>1</v>
      </c>
      <c r="D826" s="8">
        <f>COUNTIFS('All Papers'!$D:$D,"*"&amp;$A826&amp;"*",'All Papers'!$G:$G,"*"&amp;Table1[[#Headers],[Discovery]]&amp;"*")</f>
        <v>0</v>
      </c>
      <c r="E826" s="8">
        <f>COUNTIFS('All Papers'!$D:$D,"*"&amp;$A826&amp;"*",'All Papers'!$G:$G,"*"&amp;Table1[[#Headers],[Selection]]&amp;"*")</f>
        <v>0</v>
      </c>
      <c r="F826" s="8">
        <f>COUNTIFS('All Papers'!$D:$D,"*"&amp;$A826&amp;"*",'All Papers'!$G:$G,"*"&amp;Table1[[#Headers],[Recommendation]]&amp;"*")</f>
        <v>0</v>
      </c>
      <c r="G826" s="8">
        <f>COUNTIFS('All Papers'!$D:$D,"*"&amp;$A826&amp;"*",'All Papers'!$G:$G,"*"&amp;Table1[[#Headers],[Resource Management-CS]]&amp;"*")</f>
        <v>0</v>
      </c>
      <c r="H826" s="8">
        <f>COUNTIFS('All Papers'!$D:$D,"*"&amp;$A826&amp;"*",'All Papers'!$G:$G,"*"&amp;Table1[[#Headers],[Resource Management-PS]]&amp;"*")</f>
        <v>0</v>
      </c>
      <c r="I826" s="8">
        <f>COUNTIFS('All Papers'!$D:$D,"*"&amp;$A826&amp;"*",'All Papers'!$G:$G,"*"&amp;Table1[[#Headers],[SLA Management]]&amp;"*")</f>
        <v>0</v>
      </c>
      <c r="J826" s="8">
        <f>COUNTIFS('All Papers'!$D:$D,"*"&amp;$A826&amp;"*",'All Papers'!$G:$G,"*"&amp;Table1[[#Headers],[Big Data]]&amp;"*")</f>
        <v>0</v>
      </c>
      <c r="K826" s="8">
        <f>COUNTIFS('All Papers'!$D:$D,"*"&amp;$A826&amp;"*",'All Papers'!$G:$G,"*"&amp;Table1[[#Headers],[Energy Management]]&amp;"*")</f>
        <v>0</v>
      </c>
      <c r="L826" s="8">
        <f>COUNTIFS('All Papers'!$D:$D,"*"&amp;$A826&amp;"*",'All Papers'!$G:$G,"*"&amp;Table1[[#Headers],[Monitoring]]&amp;"*")</f>
        <v>0</v>
      </c>
      <c r="M826" s="8">
        <f>COUNTIFS('All Papers'!$D:$D,"*"&amp;$A826&amp;"*",'All Papers'!$G:$G,"*"&amp;Table1[[#Headers],[Pricing]]&amp;"*")</f>
        <v>0</v>
      </c>
    </row>
    <row r="827" spans="1:13" x14ac:dyDescent="0.25">
      <c r="A827" s="8" t="s">
        <v>3260</v>
      </c>
      <c r="B827" s="8">
        <f>COUNTIF('All Papers'!D:D,"*"&amp;Table1[[#This Row],[Name]]&amp;"*")</f>
        <v>1</v>
      </c>
      <c r="C827" s="8">
        <f>COUNTIFS('All Papers'!$D:$D,"*"&amp;$A827&amp;"*",'All Papers'!$G:$G,"*"&amp;Table1[[#Headers],[Composition]]&amp;"*")</f>
        <v>1</v>
      </c>
      <c r="D827" s="8">
        <f>COUNTIFS('All Papers'!$D:$D,"*"&amp;$A827&amp;"*",'All Papers'!$G:$G,"*"&amp;Table1[[#Headers],[Discovery]]&amp;"*")</f>
        <v>0</v>
      </c>
      <c r="E827" s="8">
        <f>COUNTIFS('All Papers'!$D:$D,"*"&amp;$A827&amp;"*",'All Papers'!$G:$G,"*"&amp;Table1[[#Headers],[Selection]]&amp;"*")</f>
        <v>0</v>
      </c>
      <c r="F827" s="8">
        <f>COUNTIFS('All Papers'!$D:$D,"*"&amp;$A827&amp;"*",'All Papers'!$G:$G,"*"&amp;Table1[[#Headers],[Recommendation]]&amp;"*")</f>
        <v>0</v>
      </c>
      <c r="G827" s="8">
        <f>COUNTIFS('All Papers'!$D:$D,"*"&amp;$A827&amp;"*",'All Papers'!$G:$G,"*"&amp;Table1[[#Headers],[Resource Management-CS]]&amp;"*")</f>
        <v>0</v>
      </c>
      <c r="H827" s="8">
        <f>COUNTIFS('All Papers'!$D:$D,"*"&amp;$A827&amp;"*",'All Papers'!$G:$G,"*"&amp;Table1[[#Headers],[Resource Management-PS]]&amp;"*")</f>
        <v>0</v>
      </c>
      <c r="I827" s="8">
        <f>COUNTIFS('All Papers'!$D:$D,"*"&amp;$A827&amp;"*",'All Papers'!$G:$G,"*"&amp;Table1[[#Headers],[SLA Management]]&amp;"*")</f>
        <v>0</v>
      </c>
      <c r="J827" s="8">
        <f>COUNTIFS('All Papers'!$D:$D,"*"&amp;$A827&amp;"*",'All Papers'!$G:$G,"*"&amp;Table1[[#Headers],[Big Data]]&amp;"*")</f>
        <v>0</v>
      </c>
      <c r="K827" s="8">
        <f>COUNTIFS('All Papers'!$D:$D,"*"&amp;$A827&amp;"*",'All Papers'!$G:$G,"*"&amp;Table1[[#Headers],[Energy Management]]&amp;"*")</f>
        <v>0</v>
      </c>
      <c r="L827" s="8">
        <f>COUNTIFS('All Papers'!$D:$D,"*"&amp;$A827&amp;"*",'All Papers'!$G:$G,"*"&amp;Table1[[#Headers],[Monitoring]]&amp;"*")</f>
        <v>0</v>
      </c>
      <c r="M827" s="8">
        <f>COUNTIFS('All Papers'!$D:$D,"*"&amp;$A827&amp;"*",'All Papers'!$G:$G,"*"&amp;Table1[[#Headers],[Pricing]]&amp;"*")</f>
        <v>0</v>
      </c>
    </row>
    <row r="828" spans="1:13" x14ac:dyDescent="0.25">
      <c r="A828" s="8" t="s">
        <v>3261</v>
      </c>
      <c r="B828" s="8">
        <f>COUNTIF('All Papers'!D:D,"*"&amp;Table1[[#This Row],[Name]]&amp;"*")</f>
        <v>1</v>
      </c>
      <c r="C828" s="8">
        <f>COUNTIFS('All Papers'!$D:$D,"*"&amp;$A828&amp;"*",'All Papers'!$G:$G,"*"&amp;Table1[[#Headers],[Composition]]&amp;"*")</f>
        <v>1</v>
      </c>
      <c r="D828" s="8">
        <f>COUNTIFS('All Papers'!$D:$D,"*"&amp;$A828&amp;"*",'All Papers'!$G:$G,"*"&amp;Table1[[#Headers],[Discovery]]&amp;"*")</f>
        <v>0</v>
      </c>
      <c r="E828" s="8">
        <f>COUNTIFS('All Papers'!$D:$D,"*"&amp;$A828&amp;"*",'All Papers'!$G:$G,"*"&amp;Table1[[#Headers],[Selection]]&amp;"*")</f>
        <v>0</v>
      </c>
      <c r="F828" s="8">
        <f>COUNTIFS('All Papers'!$D:$D,"*"&amp;$A828&amp;"*",'All Papers'!$G:$G,"*"&amp;Table1[[#Headers],[Recommendation]]&amp;"*")</f>
        <v>0</v>
      </c>
      <c r="G828" s="8">
        <f>COUNTIFS('All Papers'!$D:$D,"*"&amp;$A828&amp;"*",'All Papers'!$G:$G,"*"&amp;Table1[[#Headers],[Resource Management-CS]]&amp;"*")</f>
        <v>0</v>
      </c>
      <c r="H828" s="8">
        <f>COUNTIFS('All Papers'!$D:$D,"*"&amp;$A828&amp;"*",'All Papers'!$G:$G,"*"&amp;Table1[[#Headers],[Resource Management-PS]]&amp;"*")</f>
        <v>0</v>
      </c>
      <c r="I828" s="8">
        <f>COUNTIFS('All Papers'!$D:$D,"*"&amp;$A828&amp;"*",'All Papers'!$G:$G,"*"&amp;Table1[[#Headers],[SLA Management]]&amp;"*")</f>
        <v>0</v>
      </c>
      <c r="J828" s="8">
        <f>COUNTIFS('All Papers'!$D:$D,"*"&amp;$A828&amp;"*",'All Papers'!$G:$G,"*"&amp;Table1[[#Headers],[Big Data]]&amp;"*")</f>
        <v>0</v>
      </c>
      <c r="K828" s="8">
        <f>COUNTIFS('All Papers'!$D:$D,"*"&amp;$A828&amp;"*",'All Papers'!$G:$G,"*"&amp;Table1[[#Headers],[Energy Management]]&amp;"*")</f>
        <v>0</v>
      </c>
      <c r="L828" s="8">
        <f>COUNTIFS('All Papers'!$D:$D,"*"&amp;$A828&amp;"*",'All Papers'!$G:$G,"*"&amp;Table1[[#Headers],[Monitoring]]&amp;"*")</f>
        <v>0</v>
      </c>
      <c r="M828" s="8">
        <f>COUNTIFS('All Papers'!$D:$D,"*"&amp;$A828&amp;"*",'All Papers'!$G:$G,"*"&amp;Table1[[#Headers],[Pricing]]&amp;"*")</f>
        <v>0</v>
      </c>
    </row>
    <row r="829" spans="1:13" x14ac:dyDescent="0.25">
      <c r="A829" s="8" t="s">
        <v>3262</v>
      </c>
      <c r="B829" s="8">
        <f>COUNTIF('All Papers'!D:D,"*"&amp;Table1[[#This Row],[Name]]&amp;"*")</f>
        <v>1</v>
      </c>
      <c r="C829" s="8">
        <f>COUNTIFS('All Papers'!$D:$D,"*"&amp;$A829&amp;"*",'All Papers'!$G:$G,"*"&amp;Table1[[#Headers],[Composition]]&amp;"*")</f>
        <v>1</v>
      </c>
      <c r="D829" s="8">
        <f>COUNTIFS('All Papers'!$D:$D,"*"&amp;$A829&amp;"*",'All Papers'!$G:$G,"*"&amp;Table1[[#Headers],[Discovery]]&amp;"*")</f>
        <v>0</v>
      </c>
      <c r="E829" s="8">
        <f>COUNTIFS('All Papers'!$D:$D,"*"&amp;$A829&amp;"*",'All Papers'!$G:$G,"*"&amp;Table1[[#Headers],[Selection]]&amp;"*")</f>
        <v>0</v>
      </c>
      <c r="F829" s="8">
        <f>COUNTIFS('All Papers'!$D:$D,"*"&amp;$A829&amp;"*",'All Papers'!$G:$G,"*"&amp;Table1[[#Headers],[Recommendation]]&amp;"*")</f>
        <v>0</v>
      </c>
      <c r="G829" s="8">
        <f>COUNTIFS('All Papers'!$D:$D,"*"&amp;$A829&amp;"*",'All Papers'!$G:$G,"*"&amp;Table1[[#Headers],[Resource Management-CS]]&amp;"*")</f>
        <v>0</v>
      </c>
      <c r="H829" s="8">
        <f>COUNTIFS('All Papers'!$D:$D,"*"&amp;$A829&amp;"*",'All Papers'!$G:$G,"*"&amp;Table1[[#Headers],[Resource Management-PS]]&amp;"*")</f>
        <v>0</v>
      </c>
      <c r="I829" s="8">
        <f>COUNTIFS('All Papers'!$D:$D,"*"&amp;$A829&amp;"*",'All Papers'!$G:$G,"*"&amp;Table1[[#Headers],[SLA Management]]&amp;"*")</f>
        <v>0</v>
      </c>
      <c r="J829" s="8">
        <f>COUNTIFS('All Papers'!$D:$D,"*"&amp;$A829&amp;"*",'All Papers'!$G:$G,"*"&amp;Table1[[#Headers],[Big Data]]&amp;"*")</f>
        <v>0</v>
      </c>
      <c r="K829" s="8">
        <f>COUNTIFS('All Papers'!$D:$D,"*"&amp;$A829&amp;"*",'All Papers'!$G:$G,"*"&amp;Table1[[#Headers],[Energy Management]]&amp;"*")</f>
        <v>0</v>
      </c>
      <c r="L829" s="8">
        <f>COUNTIFS('All Papers'!$D:$D,"*"&amp;$A829&amp;"*",'All Papers'!$G:$G,"*"&amp;Table1[[#Headers],[Monitoring]]&amp;"*")</f>
        <v>0</v>
      </c>
      <c r="M829" s="8">
        <f>COUNTIFS('All Papers'!$D:$D,"*"&amp;$A829&amp;"*",'All Papers'!$G:$G,"*"&amp;Table1[[#Headers],[Pricing]]&amp;"*")</f>
        <v>0</v>
      </c>
    </row>
    <row r="830" spans="1:13" x14ac:dyDescent="0.25">
      <c r="A830" s="8" t="s">
        <v>3263</v>
      </c>
      <c r="B830" s="8">
        <f>COUNTIF('All Papers'!D:D,"*"&amp;Table1[[#This Row],[Name]]&amp;"*")</f>
        <v>1</v>
      </c>
      <c r="C830" s="8">
        <f>COUNTIFS('All Papers'!$D:$D,"*"&amp;$A830&amp;"*",'All Papers'!$G:$G,"*"&amp;Table1[[#Headers],[Composition]]&amp;"*")</f>
        <v>1</v>
      </c>
      <c r="D830" s="8">
        <f>COUNTIFS('All Papers'!$D:$D,"*"&amp;$A830&amp;"*",'All Papers'!$G:$G,"*"&amp;Table1[[#Headers],[Discovery]]&amp;"*")</f>
        <v>0</v>
      </c>
      <c r="E830" s="8">
        <f>COUNTIFS('All Papers'!$D:$D,"*"&amp;$A830&amp;"*",'All Papers'!$G:$G,"*"&amp;Table1[[#Headers],[Selection]]&amp;"*")</f>
        <v>0</v>
      </c>
      <c r="F830" s="8">
        <f>COUNTIFS('All Papers'!$D:$D,"*"&amp;$A830&amp;"*",'All Papers'!$G:$G,"*"&amp;Table1[[#Headers],[Recommendation]]&amp;"*")</f>
        <v>0</v>
      </c>
      <c r="G830" s="8">
        <f>COUNTIFS('All Papers'!$D:$D,"*"&amp;$A830&amp;"*",'All Papers'!$G:$G,"*"&amp;Table1[[#Headers],[Resource Management-CS]]&amp;"*")</f>
        <v>0</v>
      </c>
      <c r="H830" s="8">
        <f>COUNTIFS('All Papers'!$D:$D,"*"&amp;$A830&amp;"*",'All Papers'!$G:$G,"*"&amp;Table1[[#Headers],[Resource Management-PS]]&amp;"*")</f>
        <v>0</v>
      </c>
      <c r="I830" s="8">
        <f>COUNTIFS('All Papers'!$D:$D,"*"&amp;$A830&amp;"*",'All Papers'!$G:$G,"*"&amp;Table1[[#Headers],[SLA Management]]&amp;"*")</f>
        <v>0</v>
      </c>
      <c r="J830" s="8">
        <f>COUNTIFS('All Papers'!$D:$D,"*"&amp;$A830&amp;"*",'All Papers'!$G:$G,"*"&amp;Table1[[#Headers],[Big Data]]&amp;"*")</f>
        <v>0</v>
      </c>
      <c r="K830" s="8">
        <f>COUNTIFS('All Papers'!$D:$D,"*"&amp;$A830&amp;"*",'All Papers'!$G:$G,"*"&amp;Table1[[#Headers],[Energy Management]]&amp;"*")</f>
        <v>0</v>
      </c>
      <c r="L830" s="8">
        <f>COUNTIFS('All Papers'!$D:$D,"*"&amp;$A830&amp;"*",'All Papers'!$G:$G,"*"&amp;Table1[[#Headers],[Monitoring]]&amp;"*")</f>
        <v>0</v>
      </c>
      <c r="M830" s="8">
        <f>COUNTIFS('All Papers'!$D:$D,"*"&amp;$A830&amp;"*",'All Papers'!$G:$G,"*"&amp;Table1[[#Headers],[Pricing]]&amp;"*")</f>
        <v>0</v>
      </c>
    </row>
    <row r="831" spans="1:13" x14ac:dyDescent="0.25">
      <c r="A831" s="8" t="s">
        <v>3264</v>
      </c>
      <c r="B831" s="8">
        <f>COUNTIF('All Papers'!D:D,"*"&amp;Table1[[#This Row],[Name]]&amp;"*")</f>
        <v>1</v>
      </c>
      <c r="C831" s="8">
        <f>COUNTIFS('All Papers'!$D:$D,"*"&amp;$A831&amp;"*",'All Papers'!$G:$G,"*"&amp;Table1[[#Headers],[Composition]]&amp;"*")</f>
        <v>1</v>
      </c>
      <c r="D831" s="8">
        <f>COUNTIFS('All Papers'!$D:$D,"*"&amp;$A831&amp;"*",'All Papers'!$G:$G,"*"&amp;Table1[[#Headers],[Discovery]]&amp;"*")</f>
        <v>0</v>
      </c>
      <c r="E831" s="8">
        <f>COUNTIFS('All Papers'!$D:$D,"*"&amp;$A831&amp;"*",'All Papers'!$G:$G,"*"&amp;Table1[[#Headers],[Selection]]&amp;"*")</f>
        <v>0</v>
      </c>
      <c r="F831" s="8">
        <f>COUNTIFS('All Papers'!$D:$D,"*"&amp;$A831&amp;"*",'All Papers'!$G:$G,"*"&amp;Table1[[#Headers],[Recommendation]]&amp;"*")</f>
        <v>0</v>
      </c>
      <c r="G831" s="8">
        <f>COUNTIFS('All Papers'!$D:$D,"*"&amp;$A831&amp;"*",'All Papers'!$G:$G,"*"&amp;Table1[[#Headers],[Resource Management-CS]]&amp;"*")</f>
        <v>0</v>
      </c>
      <c r="H831" s="8">
        <f>COUNTIFS('All Papers'!$D:$D,"*"&amp;$A831&amp;"*",'All Papers'!$G:$G,"*"&amp;Table1[[#Headers],[Resource Management-PS]]&amp;"*")</f>
        <v>0</v>
      </c>
      <c r="I831" s="8">
        <f>COUNTIFS('All Papers'!$D:$D,"*"&amp;$A831&amp;"*",'All Papers'!$G:$G,"*"&amp;Table1[[#Headers],[SLA Management]]&amp;"*")</f>
        <v>0</v>
      </c>
      <c r="J831" s="8">
        <f>COUNTIFS('All Papers'!$D:$D,"*"&amp;$A831&amp;"*",'All Papers'!$G:$G,"*"&amp;Table1[[#Headers],[Big Data]]&amp;"*")</f>
        <v>0</v>
      </c>
      <c r="K831" s="8">
        <f>COUNTIFS('All Papers'!$D:$D,"*"&amp;$A831&amp;"*",'All Papers'!$G:$G,"*"&amp;Table1[[#Headers],[Energy Management]]&amp;"*")</f>
        <v>0</v>
      </c>
      <c r="L831" s="8">
        <f>COUNTIFS('All Papers'!$D:$D,"*"&amp;$A831&amp;"*",'All Papers'!$G:$G,"*"&amp;Table1[[#Headers],[Monitoring]]&amp;"*")</f>
        <v>0</v>
      </c>
      <c r="M831" s="8">
        <f>COUNTIFS('All Papers'!$D:$D,"*"&amp;$A831&amp;"*",'All Papers'!$G:$G,"*"&amp;Table1[[#Headers],[Pricing]]&amp;"*")</f>
        <v>0</v>
      </c>
    </row>
    <row r="832" spans="1:13" x14ac:dyDescent="0.25">
      <c r="A832" s="8" t="s">
        <v>3265</v>
      </c>
      <c r="B832" s="8">
        <f>COUNTIF('All Papers'!D:D,"*"&amp;Table1[[#This Row],[Name]]&amp;"*")</f>
        <v>1</v>
      </c>
      <c r="C832" s="8">
        <f>COUNTIFS('All Papers'!$D:$D,"*"&amp;$A832&amp;"*",'All Papers'!$G:$G,"*"&amp;Table1[[#Headers],[Composition]]&amp;"*")</f>
        <v>0</v>
      </c>
      <c r="D832" s="8">
        <f>COUNTIFS('All Papers'!$D:$D,"*"&amp;$A832&amp;"*",'All Papers'!$G:$G,"*"&amp;Table1[[#Headers],[Discovery]]&amp;"*")</f>
        <v>0</v>
      </c>
      <c r="E832" s="8">
        <f>COUNTIFS('All Papers'!$D:$D,"*"&amp;$A832&amp;"*",'All Papers'!$G:$G,"*"&amp;Table1[[#Headers],[Selection]]&amp;"*")</f>
        <v>1</v>
      </c>
      <c r="F832" s="8">
        <f>COUNTIFS('All Papers'!$D:$D,"*"&amp;$A832&amp;"*",'All Papers'!$G:$G,"*"&amp;Table1[[#Headers],[Recommendation]]&amp;"*")</f>
        <v>0</v>
      </c>
      <c r="G832" s="8">
        <f>COUNTIFS('All Papers'!$D:$D,"*"&amp;$A832&amp;"*",'All Papers'!$G:$G,"*"&amp;Table1[[#Headers],[Resource Management-CS]]&amp;"*")</f>
        <v>0</v>
      </c>
      <c r="H832" s="8">
        <f>COUNTIFS('All Papers'!$D:$D,"*"&amp;$A832&amp;"*",'All Papers'!$G:$G,"*"&amp;Table1[[#Headers],[Resource Management-PS]]&amp;"*")</f>
        <v>0</v>
      </c>
      <c r="I832" s="8">
        <f>COUNTIFS('All Papers'!$D:$D,"*"&amp;$A832&amp;"*",'All Papers'!$G:$G,"*"&amp;Table1[[#Headers],[SLA Management]]&amp;"*")</f>
        <v>0</v>
      </c>
      <c r="J832" s="8">
        <f>COUNTIFS('All Papers'!$D:$D,"*"&amp;$A832&amp;"*",'All Papers'!$G:$G,"*"&amp;Table1[[#Headers],[Big Data]]&amp;"*")</f>
        <v>0</v>
      </c>
      <c r="K832" s="8">
        <f>COUNTIFS('All Papers'!$D:$D,"*"&amp;$A832&amp;"*",'All Papers'!$G:$G,"*"&amp;Table1[[#Headers],[Energy Management]]&amp;"*")</f>
        <v>0</v>
      </c>
      <c r="L832" s="8">
        <f>COUNTIFS('All Papers'!$D:$D,"*"&amp;$A832&amp;"*",'All Papers'!$G:$G,"*"&amp;Table1[[#Headers],[Monitoring]]&amp;"*")</f>
        <v>0</v>
      </c>
      <c r="M832" s="8">
        <f>COUNTIFS('All Papers'!$D:$D,"*"&amp;$A832&amp;"*",'All Papers'!$G:$G,"*"&amp;Table1[[#Headers],[Pricing]]&amp;"*")</f>
        <v>0</v>
      </c>
    </row>
    <row r="833" spans="1:13" x14ac:dyDescent="0.25">
      <c r="A833" s="8" t="s">
        <v>3266</v>
      </c>
      <c r="B833" s="8">
        <f>COUNTIF('All Papers'!D:D,"*"&amp;Table1[[#This Row],[Name]]&amp;"*")</f>
        <v>1</v>
      </c>
      <c r="C833" s="8">
        <f>COUNTIFS('All Papers'!$D:$D,"*"&amp;$A833&amp;"*",'All Papers'!$G:$G,"*"&amp;Table1[[#Headers],[Composition]]&amp;"*")</f>
        <v>0</v>
      </c>
      <c r="D833" s="8">
        <f>COUNTIFS('All Papers'!$D:$D,"*"&amp;$A833&amp;"*",'All Papers'!$G:$G,"*"&amp;Table1[[#Headers],[Discovery]]&amp;"*")</f>
        <v>0</v>
      </c>
      <c r="E833" s="8">
        <f>COUNTIFS('All Papers'!$D:$D,"*"&amp;$A833&amp;"*",'All Papers'!$G:$G,"*"&amp;Table1[[#Headers],[Selection]]&amp;"*")</f>
        <v>1</v>
      </c>
      <c r="F833" s="8">
        <f>COUNTIFS('All Papers'!$D:$D,"*"&amp;$A833&amp;"*",'All Papers'!$G:$G,"*"&amp;Table1[[#Headers],[Recommendation]]&amp;"*")</f>
        <v>0</v>
      </c>
      <c r="G833" s="8">
        <f>COUNTIFS('All Papers'!$D:$D,"*"&amp;$A833&amp;"*",'All Papers'!$G:$G,"*"&amp;Table1[[#Headers],[Resource Management-CS]]&amp;"*")</f>
        <v>0</v>
      </c>
      <c r="H833" s="8">
        <f>COUNTIFS('All Papers'!$D:$D,"*"&amp;$A833&amp;"*",'All Papers'!$G:$G,"*"&amp;Table1[[#Headers],[Resource Management-PS]]&amp;"*")</f>
        <v>0</v>
      </c>
      <c r="I833" s="8">
        <f>COUNTIFS('All Papers'!$D:$D,"*"&amp;$A833&amp;"*",'All Papers'!$G:$G,"*"&amp;Table1[[#Headers],[SLA Management]]&amp;"*")</f>
        <v>0</v>
      </c>
      <c r="J833" s="8">
        <f>COUNTIFS('All Papers'!$D:$D,"*"&amp;$A833&amp;"*",'All Papers'!$G:$G,"*"&amp;Table1[[#Headers],[Big Data]]&amp;"*")</f>
        <v>0</v>
      </c>
      <c r="K833" s="8">
        <f>COUNTIFS('All Papers'!$D:$D,"*"&amp;$A833&amp;"*",'All Papers'!$G:$G,"*"&amp;Table1[[#Headers],[Energy Management]]&amp;"*")</f>
        <v>0</v>
      </c>
      <c r="L833" s="8">
        <f>COUNTIFS('All Papers'!$D:$D,"*"&amp;$A833&amp;"*",'All Papers'!$G:$G,"*"&amp;Table1[[#Headers],[Monitoring]]&amp;"*")</f>
        <v>0</v>
      </c>
      <c r="M833" s="8">
        <f>COUNTIFS('All Papers'!$D:$D,"*"&amp;$A833&amp;"*",'All Papers'!$G:$G,"*"&amp;Table1[[#Headers],[Pricing]]&amp;"*")</f>
        <v>0</v>
      </c>
    </row>
    <row r="834" spans="1:13" x14ac:dyDescent="0.25">
      <c r="A834" s="8" t="s">
        <v>3267</v>
      </c>
      <c r="B834" s="8">
        <f>COUNTIF('All Papers'!D:D,"*"&amp;Table1[[#This Row],[Name]]&amp;"*")</f>
        <v>1</v>
      </c>
      <c r="C834" s="8">
        <f>COUNTIFS('All Papers'!$D:$D,"*"&amp;$A834&amp;"*",'All Papers'!$G:$G,"*"&amp;Table1[[#Headers],[Composition]]&amp;"*")</f>
        <v>1</v>
      </c>
      <c r="D834" s="8">
        <f>COUNTIFS('All Papers'!$D:$D,"*"&amp;$A834&amp;"*",'All Papers'!$G:$G,"*"&amp;Table1[[#Headers],[Discovery]]&amp;"*")</f>
        <v>1</v>
      </c>
      <c r="E834" s="8">
        <f>COUNTIFS('All Papers'!$D:$D,"*"&amp;$A834&amp;"*",'All Papers'!$G:$G,"*"&amp;Table1[[#Headers],[Selection]]&amp;"*")</f>
        <v>1</v>
      </c>
      <c r="F834" s="8">
        <f>COUNTIFS('All Papers'!$D:$D,"*"&amp;$A834&amp;"*",'All Papers'!$G:$G,"*"&amp;Table1[[#Headers],[Recommendation]]&amp;"*")</f>
        <v>0</v>
      </c>
      <c r="G834" s="8">
        <f>COUNTIFS('All Papers'!$D:$D,"*"&amp;$A834&amp;"*",'All Papers'!$G:$G,"*"&amp;Table1[[#Headers],[Resource Management-CS]]&amp;"*")</f>
        <v>0</v>
      </c>
      <c r="H834" s="8">
        <f>COUNTIFS('All Papers'!$D:$D,"*"&amp;$A834&amp;"*",'All Papers'!$G:$G,"*"&amp;Table1[[#Headers],[Resource Management-PS]]&amp;"*")</f>
        <v>0</v>
      </c>
      <c r="I834" s="8">
        <f>COUNTIFS('All Papers'!$D:$D,"*"&amp;$A834&amp;"*",'All Papers'!$G:$G,"*"&amp;Table1[[#Headers],[SLA Management]]&amp;"*")</f>
        <v>0</v>
      </c>
      <c r="J834" s="8">
        <f>COUNTIFS('All Papers'!$D:$D,"*"&amp;$A834&amp;"*",'All Papers'!$G:$G,"*"&amp;Table1[[#Headers],[Big Data]]&amp;"*")</f>
        <v>0</v>
      </c>
      <c r="K834" s="8">
        <f>COUNTIFS('All Papers'!$D:$D,"*"&amp;$A834&amp;"*",'All Papers'!$G:$G,"*"&amp;Table1[[#Headers],[Energy Management]]&amp;"*")</f>
        <v>0</v>
      </c>
      <c r="L834" s="8">
        <f>COUNTIFS('All Papers'!$D:$D,"*"&amp;$A834&amp;"*",'All Papers'!$G:$G,"*"&amp;Table1[[#Headers],[Monitoring]]&amp;"*")</f>
        <v>0</v>
      </c>
      <c r="M834" s="8">
        <f>COUNTIFS('All Papers'!$D:$D,"*"&amp;$A834&amp;"*",'All Papers'!$G:$G,"*"&amp;Table1[[#Headers],[Pricing]]&amp;"*")</f>
        <v>0</v>
      </c>
    </row>
    <row r="835" spans="1:13" x14ac:dyDescent="0.25">
      <c r="A835" s="8" t="s">
        <v>3268</v>
      </c>
      <c r="B835" s="8">
        <f>COUNTIF('All Papers'!D:D,"*"&amp;Table1[[#This Row],[Name]]&amp;"*")</f>
        <v>1</v>
      </c>
      <c r="C835" s="8">
        <f>COUNTIFS('All Papers'!$D:$D,"*"&amp;$A835&amp;"*",'All Papers'!$G:$G,"*"&amp;Table1[[#Headers],[Composition]]&amp;"*")</f>
        <v>1</v>
      </c>
      <c r="D835" s="8">
        <f>COUNTIFS('All Papers'!$D:$D,"*"&amp;$A835&amp;"*",'All Papers'!$G:$G,"*"&amp;Table1[[#Headers],[Discovery]]&amp;"*")</f>
        <v>1</v>
      </c>
      <c r="E835" s="8">
        <f>COUNTIFS('All Papers'!$D:$D,"*"&amp;$A835&amp;"*",'All Papers'!$G:$G,"*"&amp;Table1[[#Headers],[Selection]]&amp;"*")</f>
        <v>1</v>
      </c>
      <c r="F835" s="8">
        <f>COUNTIFS('All Papers'!$D:$D,"*"&amp;$A835&amp;"*",'All Papers'!$G:$G,"*"&amp;Table1[[#Headers],[Recommendation]]&amp;"*")</f>
        <v>0</v>
      </c>
      <c r="G835" s="8">
        <f>COUNTIFS('All Papers'!$D:$D,"*"&amp;$A835&amp;"*",'All Papers'!$G:$G,"*"&amp;Table1[[#Headers],[Resource Management-CS]]&amp;"*")</f>
        <v>0</v>
      </c>
      <c r="H835" s="8">
        <f>COUNTIFS('All Papers'!$D:$D,"*"&amp;$A835&amp;"*",'All Papers'!$G:$G,"*"&amp;Table1[[#Headers],[Resource Management-PS]]&amp;"*")</f>
        <v>0</v>
      </c>
      <c r="I835" s="8">
        <f>COUNTIFS('All Papers'!$D:$D,"*"&amp;$A835&amp;"*",'All Papers'!$G:$G,"*"&amp;Table1[[#Headers],[SLA Management]]&amp;"*")</f>
        <v>0</v>
      </c>
      <c r="J835" s="8">
        <f>COUNTIFS('All Papers'!$D:$D,"*"&amp;$A835&amp;"*",'All Papers'!$G:$G,"*"&amp;Table1[[#Headers],[Big Data]]&amp;"*")</f>
        <v>0</v>
      </c>
      <c r="K835" s="8">
        <f>COUNTIFS('All Papers'!$D:$D,"*"&amp;$A835&amp;"*",'All Papers'!$G:$G,"*"&amp;Table1[[#Headers],[Energy Management]]&amp;"*")</f>
        <v>0</v>
      </c>
      <c r="L835" s="8">
        <f>COUNTIFS('All Papers'!$D:$D,"*"&amp;$A835&amp;"*",'All Papers'!$G:$G,"*"&amp;Table1[[#Headers],[Monitoring]]&amp;"*")</f>
        <v>0</v>
      </c>
      <c r="M835" s="8">
        <f>COUNTIFS('All Papers'!$D:$D,"*"&amp;$A835&amp;"*",'All Papers'!$G:$G,"*"&amp;Table1[[#Headers],[Pricing]]&amp;"*")</f>
        <v>0</v>
      </c>
    </row>
    <row r="836" spans="1:13" x14ac:dyDescent="0.25">
      <c r="A836" s="8" t="s">
        <v>3269</v>
      </c>
      <c r="B836" s="8">
        <f>COUNTIF('All Papers'!D:D,"*"&amp;Table1[[#This Row],[Name]]&amp;"*")</f>
        <v>1</v>
      </c>
      <c r="C836" s="8">
        <f>COUNTIFS('All Papers'!$D:$D,"*"&amp;$A836&amp;"*",'All Papers'!$G:$G,"*"&amp;Table1[[#Headers],[Composition]]&amp;"*")</f>
        <v>1</v>
      </c>
      <c r="D836" s="8">
        <f>COUNTIFS('All Papers'!$D:$D,"*"&amp;$A836&amp;"*",'All Papers'!$G:$G,"*"&amp;Table1[[#Headers],[Discovery]]&amp;"*")</f>
        <v>1</v>
      </c>
      <c r="E836" s="8">
        <f>COUNTIFS('All Papers'!$D:$D,"*"&amp;$A836&amp;"*",'All Papers'!$G:$G,"*"&amp;Table1[[#Headers],[Selection]]&amp;"*")</f>
        <v>1</v>
      </c>
      <c r="F836" s="8">
        <f>COUNTIFS('All Papers'!$D:$D,"*"&amp;$A836&amp;"*",'All Papers'!$G:$G,"*"&amp;Table1[[#Headers],[Recommendation]]&amp;"*")</f>
        <v>0</v>
      </c>
      <c r="G836" s="8">
        <f>COUNTIFS('All Papers'!$D:$D,"*"&amp;$A836&amp;"*",'All Papers'!$G:$G,"*"&amp;Table1[[#Headers],[Resource Management-CS]]&amp;"*")</f>
        <v>0</v>
      </c>
      <c r="H836" s="8">
        <f>COUNTIFS('All Papers'!$D:$D,"*"&amp;$A836&amp;"*",'All Papers'!$G:$G,"*"&amp;Table1[[#Headers],[Resource Management-PS]]&amp;"*")</f>
        <v>0</v>
      </c>
      <c r="I836" s="8">
        <f>COUNTIFS('All Papers'!$D:$D,"*"&amp;$A836&amp;"*",'All Papers'!$G:$G,"*"&amp;Table1[[#Headers],[SLA Management]]&amp;"*")</f>
        <v>0</v>
      </c>
      <c r="J836" s="8">
        <f>COUNTIFS('All Papers'!$D:$D,"*"&amp;$A836&amp;"*",'All Papers'!$G:$G,"*"&amp;Table1[[#Headers],[Big Data]]&amp;"*")</f>
        <v>0</v>
      </c>
      <c r="K836" s="8">
        <f>COUNTIFS('All Papers'!$D:$D,"*"&amp;$A836&amp;"*",'All Papers'!$G:$G,"*"&amp;Table1[[#Headers],[Energy Management]]&amp;"*")</f>
        <v>0</v>
      </c>
      <c r="L836" s="8">
        <f>COUNTIFS('All Papers'!$D:$D,"*"&amp;$A836&amp;"*",'All Papers'!$G:$G,"*"&amp;Table1[[#Headers],[Monitoring]]&amp;"*")</f>
        <v>0</v>
      </c>
      <c r="M836" s="8">
        <f>COUNTIFS('All Papers'!$D:$D,"*"&amp;$A836&amp;"*",'All Papers'!$G:$G,"*"&amp;Table1[[#Headers],[Pricing]]&amp;"*")</f>
        <v>0</v>
      </c>
    </row>
    <row r="837" spans="1:13" x14ac:dyDescent="0.25">
      <c r="A837" s="8" t="s">
        <v>3270</v>
      </c>
      <c r="B837" s="8">
        <f>COUNTIF('All Papers'!D:D,"*"&amp;Table1[[#This Row],[Name]]&amp;"*")</f>
        <v>1</v>
      </c>
      <c r="C837" s="8">
        <f>COUNTIFS('All Papers'!$D:$D,"*"&amp;$A837&amp;"*",'All Papers'!$G:$G,"*"&amp;Table1[[#Headers],[Composition]]&amp;"*")</f>
        <v>0</v>
      </c>
      <c r="D837" s="8">
        <f>COUNTIFS('All Papers'!$D:$D,"*"&amp;$A837&amp;"*",'All Papers'!$G:$G,"*"&amp;Table1[[#Headers],[Discovery]]&amp;"*")</f>
        <v>0</v>
      </c>
      <c r="E837" s="8">
        <f>COUNTIFS('All Papers'!$D:$D,"*"&amp;$A837&amp;"*",'All Papers'!$G:$G,"*"&amp;Table1[[#Headers],[Selection]]&amp;"*")</f>
        <v>0</v>
      </c>
      <c r="F837" s="8">
        <f>COUNTIFS('All Papers'!$D:$D,"*"&amp;$A837&amp;"*",'All Papers'!$G:$G,"*"&amp;Table1[[#Headers],[Recommendation]]&amp;"*")</f>
        <v>0</v>
      </c>
      <c r="G837" s="8">
        <f>COUNTIFS('All Papers'!$D:$D,"*"&amp;$A837&amp;"*",'All Papers'!$G:$G,"*"&amp;Table1[[#Headers],[Resource Management-CS]]&amp;"*")</f>
        <v>1</v>
      </c>
      <c r="H837" s="8">
        <f>COUNTIFS('All Papers'!$D:$D,"*"&amp;$A837&amp;"*",'All Papers'!$G:$G,"*"&amp;Table1[[#Headers],[Resource Management-PS]]&amp;"*")</f>
        <v>0</v>
      </c>
      <c r="I837" s="8">
        <f>COUNTIFS('All Papers'!$D:$D,"*"&amp;$A837&amp;"*",'All Papers'!$G:$G,"*"&amp;Table1[[#Headers],[SLA Management]]&amp;"*")</f>
        <v>0</v>
      </c>
      <c r="J837" s="8">
        <f>COUNTIFS('All Papers'!$D:$D,"*"&amp;$A837&amp;"*",'All Papers'!$G:$G,"*"&amp;Table1[[#Headers],[Big Data]]&amp;"*")</f>
        <v>0</v>
      </c>
      <c r="K837" s="8">
        <f>COUNTIFS('All Papers'!$D:$D,"*"&amp;$A837&amp;"*",'All Papers'!$G:$G,"*"&amp;Table1[[#Headers],[Energy Management]]&amp;"*")</f>
        <v>1</v>
      </c>
      <c r="L837" s="8">
        <f>COUNTIFS('All Papers'!$D:$D,"*"&amp;$A837&amp;"*",'All Papers'!$G:$G,"*"&amp;Table1[[#Headers],[Monitoring]]&amp;"*")</f>
        <v>0</v>
      </c>
      <c r="M837" s="8">
        <f>COUNTIFS('All Papers'!$D:$D,"*"&amp;$A837&amp;"*",'All Papers'!$G:$G,"*"&amp;Table1[[#Headers],[Pricing]]&amp;"*")</f>
        <v>0</v>
      </c>
    </row>
    <row r="838" spans="1:13" x14ac:dyDescent="0.25">
      <c r="A838" s="8" t="s">
        <v>3271</v>
      </c>
      <c r="B838" s="8">
        <f>COUNTIF('All Papers'!D:D,"*"&amp;Table1[[#This Row],[Name]]&amp;"*")</f>
        <v>1</v>
      </c>
      <c r="C838" s="8">
        <f>COUNTIFS('All Papers'!$D:$D,"*"&amp;$A838&amp;"*",'All Papers'!$G:$G,"*"&amp;Table1[[#Headers],[Composition]]&amp;"*")</f>
        <v>0</v>
      </c>
      <c r="D838" s="8">
        <f>COUNTIFS('All Papers'!$D:$D,"*"&amp;$A838&amp;"*",'All Papers'!$G:$G,"*"&amp;Table1[[#Headers],[Discovery]]&amp;"*")</f>
        <v>0</v>
      </c>
      <c r="E838" s="8">
        <f>COUNTIFS('All Papers'!$D:$D,"*"&amp;$A838&amp;"*",'All Papers'!$G:$G,"*"&amp;Table1[[#Headers],[Selection]]&amp;"*")</f>
        <v>0</v>
      </c>
      <c r="F838" s="8">
        <f>COUNTIFS('All Papers'!$D:$D,"*"&amp;$A838&amp;"*",'All Papers'!$G:$G,"*"&amp;Table1[[#Headers],[Recommendation]]&amp;"*")</f>
        <v>0</v>
      </c>
      <c r="G838" s="8">
        <f>COUNTIFS('All Papers'!$D:$D,"*"&amp;$A838&amp;"*",'All Papers'!$G:$G,"*"&amp;Table1[[#Headers],[Resource Management-CS]]&amp;"*")</f>
        <v>1</v>
      </c>
      <c r="H838" s="8">
        <f>COUNTIFS('All Papers'!$D:$D,"*"&amp;$A838&amp;"*",'All Papers'!$G:$G,"*"&amp;Table1[[#Headers],[Resource Management-PS]]&amp;"*")</f>
        <v>0</v>
      </c>
      <c r="I838" s="8">
        <f>COUNTIFS('All Papers'!$D:$D,"*"&amp;$A838&amp;"*",'All Papers'!$G:$G,"*"&amp;Table1[[#Headers],[SLA Management]]&amp;"*")</f>
        <v>0</v>
      </c>
      <c r="J838" s="8">
        <f>COUNTIFS('All Papers'!$D:$D,"*"&amp;$A838&amp;"*",'All Papers'!$G:$G,"*"&amp;Table1[[#Headers],[Big Data]]&amp;"*")</f>
        <v>0</v>
      </c>
      <c r="K838" s="8">
        <f>COUNTIFS('All Papers'!$D:$D,"*"&amp;$A838&amp;"*",'All Papers'!$G:$G,"*"&amp;Table1[[#Headers],[Energy Management]]&amp;"*")</f>
        <v>1</v>
      </c>
      <c r="L838" s="8">
        <f>COUNTIFS('All Papers'!$D:$D,"*"&amp;$A838&amp;"*",'All Papers'!$G:$G,"*"&amp;Table1[[#Headers],[Monitoring]]&amp;"*")</f>
        <v>0</v>
      </c>
      <c r="M838" s="8">
        <f>COUNTIFS('All Papers'!$D:$D,"*"&amp;$A838&amp;"*",'All Papers'!$G:$G,"*"&amp;Table1[[#Headers],[Pricing]]&amp;"*")</f>
        <v>0</v>
      </c>
    </row>
    <row r="839" spans="1:13" x14ac:dyDescent="0.25">
      <c r="A839" s="8" t="s">
        <v>3272</v>
      </c>
      <c r="B839" s="8">
        <f>COUNTIF('All Papers'!D:D,"*"&amp;Table1[[#This Row],[Name]]&amp;"*")</f>
        <v>1</v>
      </c>
      <c r="C839" s="8">
        <f>COUNTIFS('All Papers'!$D:$D,"*"&amp;$A839&amp;"*",'All Papers'!$G:$G,"*"&amp;Table1[[#Headers],[Composition]]&amp;"*")</f>
        <v>0</v>
      </c>
      <c r="D839" s="8">
        <f>COUNTIFS('All Papers'!$D:$D,"*"&amp;$A839&amp;"*",'All Papers'!$G:$G,"*"&amp;Table1[[#Headers],[Discovery]]&amp;"*")</f>
        <v>0</v>
      </c>
      <c r="E839" s="8">
        <f>COUNTIFS('All Papers'!$D:$D,"*"&amp;$A839&amp;"*",'All Papers'!$G:$G,"*"&amp;Table1[[#Headers],[Selection]]&amp;"*")</f>
        <v>0</v>
      </c>
      <c r="F839" s="8">
        <f>COUNTIFS('All Papers'!$D:$D,"*"&amp;$A839&amp;"*",'All Papers'!$G:$G,"*"&amp;Table1[[#Headers],[Recommendation]]&amp;"*")</f>
        <v>0</v>
      </c>
      <c r="G839" s="8">
        <f>COUNTIFS('All Papers'!$D:$D,"*"&amp;$A839&amp;"*",'All Papers'!$G:$G,"*"&amp;Table1[[#Headers],[Resource Management-CS]]&amp;"*")</f>
        <v>1</v>
      </c>
      <c r="H839" s="8">
        <f>COUNTIFS('All Papers'!$D:$D,"*"&amp;$A839&amp;"*",'All Papers'!$G:$G,"*"&amp;Table1[[#Headers],[Resource Management-PS]]&amp;"*")</f>
        <v>0</v>
      </c>
      <c r="I839" s="8">
        <f>COUNTIFS('All Papers'!$D:$D,"*"&amp;$A839&amp;"*",'All Papers'!$G:$G,"*"&amp;Table1[[#Headers],[SLA Management]]&amp;"*")</f>
        <v>0</v>
      </c>
      <c r="J839" s="8">
        <f>COUNTIFS('All Papers'!$D:$D,"*"&amp;$A839&amp;"*",'All Papers'!$G:$G,"*"&amp;Table1[[#Headers],[Big Data]]&amp;"*")</f>
        <v>0</v>
      </c>
      <c r="K839" s="8">
        <f>COUNTIFS('All Papers'!$D:$D,"*"&amp;$A839&amp;"*",'All Papers'!$G:$G,"*"&amp;Table1[[#Headers],[Energy Management]]&amp;"*")</f>
        <v>1</v>
      </c>
      <c r="L839" s="8">
        <f>COUNTIFS('All Papers'!$D:$D,"*"&amp;$A839&amp;"*",'All Papers'!$G:$G,"*"&amp;Table1[[#Headers],[Monitoring]]&amp;"*")</f>
        <v>0</v>
      </c>
      <c r="M839" s="8">
        <f>COUNTIFS('All Papers'!$D:$D,"*"&amp;$A839&amp;"*",'All Papers'!$G:$G,"*"&amp;Table1[[#Headers],[Pricing]]&amp;"*")</f>
        <v>0</v>
      </c>
    </row>
    <row r="840" spans="1:13" x14ac:dyDescent="0.25">
      <c r="A840" s="8" t="s">
        <v>3273</v>
      </c>
      <c r="B840" s="8">
        <f>COUNTIF('All Papers'!D:D,"*"&amp;Table1[[#This Row],[Name]]&amp;"*")</f>
        <v>1</v>
      </c>
      <c r="C840" s="8">
        <f>COUNTIFS('All Papers'!$D:$D,"*"&amp;$A840&amp;"*",'All Papers'!$G:$G,"*"&amp;Table1[[#Headers],[Composition]]&amp;"*")</f>
        <v>0</v>
      </c>
      <c r="D840" s="8">
        <f>COUNTIFS('All Papers'!$D:$D,"*"&amp;$A840&amp;"*",'All Papers'!$G:$G,"*"&amp;Table1[[#Headers],[Discovery]]&amp;"*")</f>
        <v>0</v>
      </c>
      <c r="E840" s="8">
        <f>COUNTIFS('All Papers'!$D:$D,"*"&amp;$A840&amp;"*",'All Papers'!$G:$G,"*"&amp;Table1[[#Headers],[Selection]]&amp;"*")</f>
        <v>0</v>
      </c>
      <c r="F840" s="8">
        <f>COUNTIFS('All Papers'!$D:$D,"*"&amp;$A840&amp;"*",'All Papers'!$G:$G,"*"&amp;Table1[[#Headers],[Recommendation]]&amp;"*")</f>
        <v>0</v>
      </c>
      <c r="G840" s="8">
        <f>COUNTIFS('All Papers'!$D:$D,"*"&amp;$A840&amp;"*",'All Papers'!$G:$G,"*"&amp;Table1[[#Headers],[Resource Management-CS]]&amp;"*")</f>
        <v>1</v>
      </c>
      <c r="H840" s="8">
        <f>COUNTIFS('All Papers'!$D:$D,"*"&amp;$A840&amp;"*",'All Papers'!$G:$G,"*"&amp;Table1[[#Headers],[Resource Management-PS]]&amp;"*")</f>
        <v>0</v>
      </c>
      <c r="I840" s="8">
        <f>COUNTIFS('All Papers'!$D:$D,"*"&amp;$A840&amp;"*",'All Papers'!$G:$G,"*"&amp;Table1[[#Headers],[SLA Management]]&amp;"*")</f>
        <v>0</v>
      </c>
      <c r="J840" s="8">
        <f>COUNTIFS('All Papers'!$D:$D,"*"&amp;$A840&amp;"*",'All Papers'!$G:$G,"*"&amp;Table1[[#Headers],[Big Data]]&amp;"*")</f>
        <v>0</v>
      </c>
      <c r="K840" s="8">
        <f>COUNTIFS('All Papers'!$D:$D,"*"&amp;$A840&amp;"*",'All Papers'!$G:$G,"*"&amp;Table1[[#Headers],[Energy Management]]&amp;"*")</f>
        <v>1</v>
      </c>
      <c r="L840" s="8">
        <f>COUNTIFS('All Papers'!$D:$D,"*"&amp;$A840&amp;"*",'All Papers'!$G:$G,"*"&amp;Table1[[#Headers],[Monitoring]]&amp;"*")</f>
        <v>0</v>
      </c>
      <c r="M840" s="8">
        <f>COUNTIFS('All Papers'!$D:$D,"*"&amp;$A840&amp;"*",'All Papers'!$G:$G,"*"&amp;Table1[[#Headers],[Pricing]]&amp;"*")</f>
        <v>0</v>
      </c>
    </row>
    <row r="841" spans="1:13" x14ac:dyDescent="0.25">
      <c r="A841" s="8" t="s">
        <v>3274</v>
      </c>
      <c r="B841" s="8">
        <f>COUNTIF('All Papers'!D:D,"*"&amp;Table1[[#This Row],[Name]]&amp;"*")</f>
        <v>1</v>
      </c>
      <c r="C841" s="8">
        <f>COUNTIFS('All Papers'!$D:$D,"*"&amp;$A841&amp;"*",'All Papers'!$G:$G,"*"&amp;Table1[[#Headers],[Composition]]&amp;"*")</f>
        <v>0</v>
      </c>
      <c r="D841" s="8">
        <f>COUNTIFS('All Papers'!$D:$D,"*"&amp;$A841&amp;"*",'All Papers'!$G:$G,"*"&amp;Table1[[#Headers],[Discovery]]&amp;"*")</f>
        <v>0</v>
      </c>
      <c r="E841" s="8">
        <f>COUNTIFS('All Papers'!$D:$D,"*"&amp;$A841&amp;"*",'All Papers'!$G:$G,"*"&amp;Table1[[#Headers],[Selection]]&amp;"*")</f>
        <v>0</v>
      </c>
      <c r="F841" s="8">
        <f>COUNTIFS('All Papers'!$D:$D,"*"&amp;$A841&amp;"*",'All Papers'!$G:$G,"*"&amp;Table1[[#Headers],[Recommendation]]&amp;"*")</f>
        <v>0</v>
      </c>
      <c r="G841" s="8">
        <f>COUNTIFS('All Papers'!$D:$D,"*"&amp;$A841&amp;"*",'All Papers'!$G:$G,"*"&amp;Table1[[#Headers],[Resource Management-CS]]&amp;"*")</f>
        <v>1</v>
      </c>
      <c r="H841" s="8">
        <f>COUNTIFS('All Papers'!$D:$D,"*"&amp;$A841&amp;"*",'All Papers'!$G:$G,"*"&amp;Table1[[#Headers],[Resource Management-PS]]&amp;"*")</f>
        <v>0</v>
      </c>
      <c r="I841" s="8">
        <f>COUNTIFS('All Papers'!$D:$D,"*"&amp;$A841&amp;"*",'All Papers'!$G:$G,"*"&amp;Table1[[#Headers],[SLA Management]]&amp;"*")</f>
        <v>0</v>
      </c>
      <c r="J841" s="8">
        <f>COUNTIFS('All Papers'!$D:$D,"*"&amp;$A841&amp;"*",'All Papers'!$G:$G,"*"&amp;Table1[[#Headers],[Big Data]]&amp;"*")</f>
        <v>0</v>
      </c>
      <c r="K841" s="8">
        <f>COUNTIFS('All Papers'!$D:$D,"*"&amp;$A841&amp;"*",'All Papers'!$G:$G,"*"&amp;Table1[[#Headers],[Energy Management]]&amp;"*")</f>
        <v>1</v>
      </c>
      <c r="L841" s="8">
        <f>COUNTIFS('All Papers'!$D:$D,"*"&amp;$A841&amp;"*",'All Papers'!$G:$G,"*"&amp;Table1[[#Headers],[Monitoring]]&amp;"*")</f>
        <v>0</v>
      </c>
      <c r="M841" s="8">
        <f>COUNTIFS('All Papers'!$D:$D,"*"&amp;$A841&amp;"*",'All Papers'!$G:$G,"*"&amp;Table1[[#Headers],[Pricing]]&amp;"*")</f>
        <v>0</v>
      </c>
    </row>
    <row r="842" spans="1:13" x14ac:dyDescent="0.25">
      <c r="A842" s="8" t="s">
        <v>3275</v>
      </c>
      <c r="B842" s="8">
        <f>COUNTIF('All Papers'!D:D,"*"&amp;Table1[[#This Row],[Name]]&amp;"*")</f>
        <v>1</v>
      </c>
      <c r="C842" s="8">
        <f>COUNTIFS('All Papers'!$D:$D,"*"&amp;$A842&amp;"*",'All Papers'!$G:$G,"*"&amp;Table1[[#Headers],[Composition]]&amp;"*")</f>
        <v>0</v>
      </c>
      <c r="D842" s="8">
        <f>COUNTIFS('All Papers'!$D:$D,"*"&amp;$A842&amp;"*",'All Papers'!$G:$G,"*"&amp;Table1[[#Headers],[Discovery]]&amp;"*")</f>
        <v>0</v>
      </c>
      <c r="E842" s="8">
        <f>COUNTIFS('All Papers'!$D:$D,"*"&amp;$A842&amp;"*",'All Papers'!$G:$G,"*"&amp;Table1[[#Headers],[Selection]]&amp;"*")</f>
        <v>0</v>
      </c>
      <c r="F842" s="8">
        <f>COUNTIFS('All Papers'!$D:$D,"*"&amp;$A842&amp;"*",'All Papers'!$G:$G,"*"&amp;Table1[[#Headers],[Recommendation]]&amp;"*")</f>
        <v>0</v>
      </c>
      <c r="G842" s="8">
        <f>COUNTIFS('All Papers'!$D:$D,"*"&amp;$A842&amp;"*",'All Papers'!$G:$G,"*"&amp;Table1[[#Headers],[Resource Management-CS]]&amp;"*")</f>
        <v>1</v>
      </c>
      <c r="H842" s="8">
        <f>COUNTIFS('All Papers'!$D:$D,"*"&amp;$A842&amp;"*",'All Papers'!$G:$G,"*"&amp;Table1[[#Headers],[Resource Management-PS]]&amp;"*")</f>
        <v>0</v>
      </c>
      <c r="I842" s="8">
        <f>COUNTIFS('All Papers'!$D:$D,"*"&amp;$A842&amp;"*",'All Papers'!$G:$G,"*"&amp;Table1[[#Headers],[SLA Management]]&amp;"*")</f>
        <v>0</v>
      </c>
      <c r="J842" s="8">
        <f>COUNTIFS('All Papers'!$D:$D,"*"&amp;$A842&amp;"*",'All Papers'!$G:$G,"*"&amp;Table1[[#Headers],[Big Data]]&amp;"*")</f>
        <v>0</v>
      </c>
      <c r="K842" s="8">
        <f>COUNTIFS('All Papers'!$D:$D,"*"&amp;$A842&amp;"*",'All Papers'!$G:$G,"*"&amp;Table1[[#Headers],[Energy Management]]&amp;"*")</f>
        <v>1</v>
      </c>
      <c r="L842" s="8">
        <f>COUNTIFS('All Papers'!$D:$D,"*"&amp;$A842&amp;"*",'All Papers'!$G:$G,"*"&amp;Table1[[#Headers],[Monitoring]]&amp;"*")</f>
        <v>0</v>
      </c>
      <c r="M842" s="8">
        <f>COUNTIFS('All Papers'!$D:$D,"*"&amp;$A842&amp;"*",'All Papers'!$G:$G,"*"&amp;Table1[[#Headers],[Pricing]]&amp;"*")</f>
        <v>0</v>
      </c>
    </row>
    <row r="843" spans="1:13" x14ac:dyDescent="0.25">
      <c r="A843" s="8" t="s">
        <v>3276</v>
      </c>
      <c r="B843" s="8">
        <f>COUNTIF('All Papers'!D:D,"*"&amp;Table1[[#This Row],[Name]]&amp;"*")</f>
        <v>1</v>
      </c>
      <c r="C843" s="8">
        <f>COUNTIFS('All Papers'!$D:$D,"*"&amp;$A843&amp;"*",'All Papers'!$G:$G,"*"&amp;Table1[[#Headers],[Composition]]&amp;"*")</f>
        <v>0</v>
      </c>
      <c r="D843" s="8">
        <f>COUNTIFS('All Papers'!$D:$D,"*"&amp;$A843&amp;"*",'All Papers'!$G:$G,"*"&amp;Table1[[#Headers],[Discovery]]&amp;"*")</f>
        <v>0</v>
      </c>
      <c r="E843" s="8">
        <f>COUNTIFS('All Papers'!$D:$D,"*"&amp;$A843&amp;"*",'All Papers'!$G:$G,"*"&amp;Table1[[#Headers],[Selection]]&amp;"*")</f>
        <v>0</v>
      </c>
      <c r="F843" s="8">
        <f>COUNTIFS('All Papers'!$D:$D,"*"&amp;$A843&amp;"*",'All Papers'!$G:$G,"*"&amp;Table1[[#Headers],[Recommendation]]&amp;"*")</f>
        <v>0</v>
      </c>
      <c r="G843" s="8">
        <f>COUNTIFS('All Papers'!$D:$D,"*"&amp;$A843&amp;"*",'All Papers'!$G:$G,"*"&amp;Table1[[#Headers],[Resource Management-CS]]&amp;"*")</f>
        <v>1</v>
      </c>
      <c r="H843" s="8">
        <f>COUNTIFS('All Papers'!$D:$D,"*"&amp;$A843&amp;"*",'All Papers'!$G:$G,"*"&amp;Table1[[#Headers],[Resource Management-PS]]&amp;"*")</f>
        <v>0</v>
      </c>
      <c r="I843" s="8">
        <f>COUNTIFS('All Papers'!$D:$D,"*"&amp;$A843&amp;"*",'All Papers'!$G:$G,"*"&amp;Table1[[#Headers],[SLA Management]]&amp;"*")</f>
        <v>0</v>
      </c>
      <c r="J843" s="8">
        <f>COUNTIFS('All Papers'!$D:$D,"*"&amp;$A843&amp;"*",'All Papers'!$G:$G,"*"&amp;Table1[[#Headers],[Big Data]]&amp;"*")</f>
        <v>0</v>
      </c>
      <c r="K843" s="8">
        <f>COUNTIFS('All Papers'!$D:$D,"*"&amp;$A843&amp;"*",'All Papers'!$G:$G,"*"&amp;Table1[[#Headers],[Energy Management]]&amp;"*")</f>
        <v>1</v>
      </c>
      <c r="L843" s="8">
        <f>COUNTIFS('All Papers'!$D:$D,"*"&amp;$A843&amp;"*",'All Papers'!$G:$G,"*"&amp;Table1[[#Headers],[Monitoring]]&amp;"*")</f>
        <v>0</v>
      </c>
      <c r="M843" s="8">
        <f>COUNTIFS('All Papers'!$D:$D,"*"&amp;$A843&amp;"*",'All Papers'!$G:$G,"*"&amp;Table1[[#Headers],[Pricing]]&amp;"*")</f>
        <v>0</v>
      </c>
    </row>
    <row r="844" spans="1:13" x14ac:dyDescent="0.25">
      <c r="A844" s="8" t="s">
        <v>3277</v>
      </c>
      <c r="B844" s="8">
        <f>COUNTIF('All Papers'!D:D,"*"&amp;Table1[[#This Row],[Name]]&amp;"*")</f>
        <v>1</v>
      </c>
      <c r="C844" s="8">
        <f>COUNTIFS('All Papers'!$D:$D,"*"&amp;$A844&amp;"*",'All Papers'!$G:$G,"*"&amp;Table1[[#Headers],[Composition]]&amp;"*")</f>
        <v>0</v>
      </c>
      <c r="D844" s="8">
        <f>COUNTIFS('All Papers'!$D:$D,"*"&amp;$A844&amp;"*",'All Papers'!$G:$G,"*"&amp;Table1[[#Headers],[Discovery]]&amp;"*")</f>
        <v>0</v>
      </c>
      <c r="E844" s="8">
        <f>COUNTIFS('All Papers'!$D:$D,"*"&amp;$A844&amp;"*",'All Papers'!$G:$G,"*"&amp;Table1[[#Headers],[Selection]]&amp;"*")</f>
        <v>0</v>
      </c>
      <c r="F844" s="8">
        <f>COUNTIFS('All Papers'!$D:$D,"*"&amp;$A844&amp;"*",'All Papers'!$G:$G,"*"&amp;Table1[[#Headers],[Recommendation]]&amp;"*")</f>
        <v>0</v>
      </c>
      <c r="G844" s="8">
        <f>COUNTIFS('All Papers'!$D:$D,"*"&amp;$A844&amp;"*",'All Papers'!$G:$G,"*"&amp;Table1[[#Headers],[Resource Management-CS]]&amp;"*")</f>
        <v>1</v>
      </c>
      <c r="H844" s="8">
        <f>COUNTIFS('All Papers'!$D:$D,"*"&amp;$A844&amp;"*",'All Papers'!$G:$G,"*"&amp;Table1[[#Headers],[Resource Management-PS]]&amp;"*")</f>
        <v>0</v>
      </c>
      <c r="I844" s="8">
        <f>COUNTIFS('All Papers'!$D:$D,"*"&amp;$A844&amp;"*",'All Papers'!$G:$G,"*"&amp;Table1[[#Headers],[SLA Management]]&amp;"*")</f>
        <v>0</v>
      </c>
      <c r="J844" s="8">
        <f>COUNTIFS('All Papers'!$D:$D,"*"&amp;$A844&amp;"*",'All Papers'!$G:$G,"*"&amp;Table1[[#Headers],[Big Data]]&amp;"*")</f>
        <v>0</v>
      </c>
      <c r="K844" s="8">
        <f>COUNTIFS('All Papers'!$D:$D,"*"&amp;$A844&amp;"*",'All Papers'!$G:$G,"*"&amp;Table1[[#Headers],[Energy Management]]&amp;"*")</f>
        <v>1</v>
      </c>
      <c r="L844" s="8">
        <f>COUNTIFS('All Papers'!$D:$D,"*"&amp;$A844&amp;"*",'All Papers'!$G:$G,"*"&amp;Table1[[#Headers],[Monitoring]]&amp;"*")</f>
        <v>0</v>
      </c>
      <c r="M844" s="8">
        <f>COUNTIFS('All Papers'!$D:$D,"*"&amp;$A844&amp;"*",'All Papers'!$G:$G,"*"&amp;Table1[[#Headers],[Pricing]]&amp;"*")</f>
        <v>0</v>
      </c>
    </row>
    <row r="845" spans="1:13" x14ac:dyDescent="0.25">
      <c r="A845" s="8" t="s">
        <v>3278</v>
      </c>
      <c r="B845" s="8">
        <f>COUNTIF('All Papers'!D:D,"*"&amp;Table1[[#This Row],[Name]]&amp;"*")</f>
        <v>1</v>
      </c>
      <c r="C845" s="8">
        <f>COUNTIFS('All Papers'!$D:$D,"*"&amp;$A845&amp;"*",'All Papers'!$G:$G,"*"&amp;Table1[[#Headers],[Composition]]&amp;"*")</f>
        <v>0</v>
      </c>
      <c r="D845" s="8">
        <f>COUNTIFS('All Papers'!$D:$D,"*"&amp;$A845&amp;"*",'All Papers'!$G:$G,"*"&amp;Table1[[#Headers],[Discovery]]&amp;"*")</f>
        <v>0</v>
      </c>
      <c r="E845" s="8">
        <f>COUNTIFS('All Papers'!$D:$D,"*"&amp;$A845&amp;"*",'All Papers'!$G:$G,"*"&amp;Table1[[#Headers],[Selection]]&amp;"*")</f>
        <v>0</v>
      </c>
      <c r="F845" s="8">
        <f>COUNTIFS('All Papers'!$D:$D,"*"&amp;$A845&amp;"*",'All Papers'!$G:$G,"*"&amp;Table1[[#Headers],[Recommendation]]&amp;"*")</f>
        <v>0</v>
      </c>
      <c r="G845" s="8">
        <f>COUNTIFS('All Papers'!$D:$D,"*"&amp;$A845&amp;"*",'All Papers'!$G:$G,"*"&amp;Table1[[#Headers],[Resource Management-CS]]&amp;"*")</f>
        <v>1</v>
      </c>
      <c r="H845" s="8">
        <f>COUNTIFS('All Papers'!$D:$D,"*"&amp;$A845&amp;"*",'All Papers'!$G:$G,"*"&amp;Table1[[#Headers],[Resource Management-PS]]&amp;"*")</f>
        <v>0</v>
      </c>
      <c r="I845" s="8">
        <f>COUNTIFS('All Papers'!$D:$D,"*"&amp;$A845&amp;"*",'All Papers'!$G:$G,"*"&amp;Table1[[#Headers],[SLA Management]]&amp;"*")</f>
        <v>0</v>
      </c>
      <c r="J845" s="8">
        <f>COUNTIFS('All Papers'!$D:$D,"*"&amp;$A845&amp;"*",'All Papers'!$G:$G,"*"&amp;Table1[[#Headers],[Big Data]]&amp;"*")</f>
        <v>0</v>
      </c>
      <c r="K845" s="8">
        <f>COUNTIFS('All Papers'!$D:$D,"*"&amp;$A845&amp;"*",'All Papers'!$G:$G,"*"&amp;Table1[[#Headers],[Energy Management]]&amp;"*")</f>
        <v>1</v>
      </c>
      <c r="L845" s="8">
        <f>COUNTIFS('All Papers'!$D:$D,"*"&amp;$A845&amp;"*",'All Papers'!$G:$G,"*"&amp;Table1[[#Headers],[Monitoring]]&amp;"*")</f>
        <v>0</v>
      </c>
      <c r="M845" s="8">
        <f>COUNTIFS('All Papers'!$D:$D,"*"&amp;$A845&amp;"*",'All Papers'!$G:$G,"*"&amp;Table1[[#Headers],[Pricing]]&amp;"*")</f>
        <v>0</v>
      </c>
    </row>
    <row r="846" spans="1:13" x14ac:dyDescent="0.25">
      <c r="A846" s="8" t="s">
        <v>3279</v>
      </c>
      <c r="B846" s="8">
        <f>COUNTIF('All Papers'!D:D,"*"&amp;Table1[[#This Row],[Name]]&amp;"*")</f>
        <v>1</v>
      </c>
      <c r="C846" s="8">
        <f>COUNTIFS('All Papers'!$D:$D,"*"&amp;$A846&amp;"*",'All Papers'!$G:$G,"*"&amp;Table1[[#Headers],[Composition]]&amp;"*")</f>
        <v>0</v>
      </c>
      <c r="D846" s="8">
        <f>COUNTIFS('All Papers'!$D:$D,"*"&amp;$A846&amp;"*",'All Papers'!$G:$G,"*"&amp;Table1[[#Headers],[Discovery]]&amp;"*")</f>
        <v>0</v>
      </c>
      <c r="E846" s="8">
        <f>COUNTIFS('All Papers'!$D:$D,"*"&amp;$A846&amp;"*",'All Papers'!$G:$G,"*"&amp;Table1[[#Headers],[Selection]]&amp;"*")</f>
        <v>0</v>
      </c>
      <c r="F846" s="8">
        <f>COUNTIFS('All Papers'!$D:$D,"*"&amp;$A846&amp;"*",'All Papers'!$G:$G,"*"&amp;Table1[[#Headers],[Recommendation]]&amp;"*")</f>
        <v>0</v>
      </c>
      <c r="G846" s="8">
        <f>COUNTIFS('All Papers'!$D:$D,"*"&amp;$A846&amp;"*",'All Papers'!$G:$G,"*"&amp;Table1[[#Headers],[Resource Management-CS]]&amp;"*")</f>
        <v>1</v>
      </c>
      <c r="H846" s="8">
        <f>COUNTIFS('All Papers'!$D:$D,"*"&amp;$A846&amp;"*",'All Papers'!$G:$G,"*"&amp;Table1[[#Headers],[Resource Management-PS]]&amp;"*")</f>
        <v>0</v>
      </c>
      <c r="I846" s="8">
        <f>COUNTIFS('All Papers'!$D:$D,"*"&amp;$A846&amp;"*",'All Papers'!$G:$G,"*"&amp;Table1[[#Headers],[SLA Management]]&amp;"*")</f>
        <v>0</v>
      </c>
      <c r="J846" s="8">
        <f>COUNTIFS('All Papers'!$D:$D,"*"&amp;$A846&amp;"*",'All Papers'!$G:$G,"*"&amp;Table1[[#Headers],[Big Data]]&amp;"*")</f>
        <v>0</v>
      </c>
      <c r="K846" s="8">
        <f>COUNTIFS('All Papers'!$D:$D,"*"&amp;$A846&amp;"*",'All Papers'!$G:$G,"*"&amp;Table1[[#Headers],[Energy Management]]&amp;"*")</f>
        <v>1</v>
      </c>
      <c r="L846" s="8">
        <f>COUNTIFS('All Papers'!$D:$D,"*"&amp;$A846&amp;"*",'All Papers'!$G:$G,"*"&amp;Table1[[#Headers],[Monitoring]]&amp;"*")</f>
        <v>0</v>
      </c>
      <c r="M846" s="8">
        <f>COUNTIFS('All Papers'!$D:$D,"*"&amp;$A846&amp;"*",'All Papers'!$G:$G,"*"&amp;Table1[[#Headers],[Pricing]]&amp;"*")</f>
        <v>0</v>
      </c>
    </row>
    <row r="847" spans="1:13" x14ac:dyDescent="0.25">
      <c r="A847" s="8" t="s">
        <v>3280</v>
      </c>
      <c r="B847" s="8">
        <f>COUNTIF('All Papers'!D:D,"*"&amp;Table1[[#This Row],[Name]]&amp;"*")</f>
        <v>1</v>
      </c>
      <c r="C847" s="8">
        <f>COUNTIFS('All Papers'!$D:$D,"*"&amp;$A847&amp;"*",'All Papers'!$G:$G,"*"&amp;Table1[[#Headers],[Composition]]&amp;"*")</f>
        <v>0</v>
      </c>
      <c r="D847" s="8">
        <f>COUNTIFS('All Papers'!$D:$D,"*"&amp;$A847&amp;"*",'All Papers'!$G:$G,"*"&amp;Table1[[#Headers],[Discovery]]&amp;"*")</f>
        <v>0</v>
      </c>
      <c r="E847" s="8">
        <f>COUNTIFS('All Papers'!$D:$D,"*"&amp;$A847&amp;"*",'All Papers'!$G:$G,"*"&amp;Table1[[#Headers],[Selection]]&amp;"*")</f>
        <v>0</v>
      </c>
      <c r="F847" s="8">
        <f>COUNTIFS('All Papers'!$D:$D,"*"&amp;$A847&amp;"*",'All Papers'!$G:$G,"*"&amp;Table1[[#Headers],[Recommendation]]&amp;"*")</f>
        <v>0</v>
      </c>
      <c r="G847" s="8">
        <f>COUNTIFS('All Papers'!$D:$D,"*"&amp;$A847&amp;"*",'All Papers'!$G:$G,"*"&amp;Table1[[#Headers],[Resource Management-CS]]&amp;"*")</f>
        <v>1</v>
      </c>
      <c r="H847" s="8">
        <f>COUNTIFS('All Papers'!$D:$D,"*"&amp;$A847&amp;"*",'All Papers'!$G:$G,"*"&amp;Table1[[#Headers],[Resource Management-PS]]&amp;"*")</f>
        <v>0</v>
      </c>
      <c r="I847" s="8">
        <f>COUNTIFS('All Papers'!$D:$D,"*"&amp;$A847&amp;"*",'All Papers'!$G:$G,"*"&amp;Table1[[#Headers],[SLA Management]]&amp;"*")</f>
        <v>0</v>
      </c>
      <c r="J847" s="8">
        <f>COUNTIFS('All Papers'!$D:$D,"*"&amp;$A847&amp;"*",'All Papers'!$G:$G,"*"&amp;Table1[[#Headers],[Big Data]]&amp;"*")</f>
        <v>0</v>
      </c>
      <c r="K847" s="8">
        <f>COUNTIFS('All Papers'!$D:$D,"*"&amp;$A847&amp;"*",'All Papers'!$G:$G,"*"&amp;Table1[[#Headers],[Energy Management]]&amp;"*")</f>
        <v>1</v>
      </c>
      <c r="L847" s="8">
        <f>COUNTIFS('All Papers'!$D:$D,"*"&amp;$A847&amp;"*",'All Papers'!$G:$G,"*"&amp;Table1[[#Headers],[Monitoring]]&amp;"*")</f>
        <v>0</v>
      </c>
      <c r="M847" s="8">
        <f>COUNTIFS('All Papers'!$D:$D,"*"&amp;$A847&amp;"*",'All Papers'!$G:$G,"*"&amp;Table1[[#Headers],[Pricing]]&amp;"*")</f>
        <v>0</v>
      </c>
    </row>
    <row r="848" spans="1:13" x14ac:dyDescent="0.25">
      <c r="A848" s="8" t="s">
        <v>3281</v>
      </c>
      <c r="B848" s="8">
        <f>COUNTIF('All Papers'!D:D,"*"&amp;Table1[[#This Row],[Name]]&amp;"*")</f>
        <v>1</v>
      </c>
      <c r="C848" s="8">
        <f>COUNTIFS('All Papers'!$D:$D,"*"&amp;$A848&amp;"*",'All Papers'!$G:$G,"*"&amp;Table1[[#Headers],[Composition]]&amp;"*")</f>
        <v>1</v>
      </c>
      <c r="D848" s="8">
        <f>COUNTIFS('All Papers'!$D:$D,"*"&amp;$A848&amp;"*",'All Papers'!$G:$G,"*"&amp;Table1[[#Headers],[Discovery]]&amp;"*")</f>
        <v>0</v>
      </c>
      <c r="E848" s="8">
        <f>COUNTIFS('All Papers'!$D:$D,"*"&amp;$A848&amp;"*",'All Papers'!$G:$G,"*"&amp;Table1[[#Headers],[Selection]]&amp;"*")</f>
        <v>0</v>
      </c>
      <c r="F848" s="8">
        <f>COUNTIFS('All Papers'!$D:$D,"*"&amp;$A848&amp;"*",'All Papers'!$G:$G,"*"&amp;Table1[[#Headers],[Recommendation]]&amp;"*")</f>
        <v>0</v>
      </c>
      <c r="G848" s="8">
        <f>COUNTIFS('All Papers'!$D:$D,"*"&amp;$A848&amp;"*",'All Papers'!$G:$G,"*"&amp;Table1[[#Headers],[Resource Management-CS]]&amp;"*")</f>
        <v>0</v>
      </c>
      <c r="H848" s="8">
        <f>COUNTIFS('All Papers'!$D:$D,"*"&amp;$A848&amp;"*",'All Papers'!$G:$G,"*"&amp;Table1[[#Headers],[Resource Management-PS]]&amp;"*")</f>
        <v>0</v>
      </c>
      <c r="I848" s="8">
        <f>COUNTIFS('All Papers'!$D:$D,"*"&amp;$A848&amp;"*",'All Papers'!$G:$G,"*"&amp;Table1[[#Headers],[SLA Management]]&amp;"*")</f>
        <v>0</v>
      </c>
      <c r="J848" s="8">
        <f>COUNTIFS('All Papers'!$D:$D,"*"&amp;$A848&amp;"*",'All Papers'!$G:$G,"*"&amp;Table1[[#Headers],[Big Data]]&amp;"*")</f>
        <v>0</v>
      </c>
      <c r="K848" s="8">
        <f>COUNTIFS('All Papers'!$D:$D,"*"&amp;$A848&amp;"*",'All Papers'!$G:$G,"*"&amp;Table1[[#Headers],[Energy Management]]&amp;"*")</f>
        <v>0</v>
      </c>
      <c r="L848" s="8">
        <f>COUNTIFS('All Papers'!$D:$D,"*"&amp;$A848&amp;"*",'All Papers'!$G:$G,"*"&amp;Table1[[#Headers],[Monitoring]]&amp;"*")</f>
        <v>0</v>
      </c>
      <c r="M848" s="8">
        <f>COUNTIFS('All Papers'!$D:$D,"*"&amp;$A848&amp;"*",'All Papers'!$G:$G,"*"&amp;Table1[[#Headers],[Pricing]]&amp;"*")</f>
        <v>0</v>
      </c>
    </row>
    <row r="849" spans="1:13" x14ac:dyDescent="0.25">
      <c r="A849" s="8" t="s">
        <v>3282</v>
      </c>
      <c r="B849" s="8">
        <f>COUNTIF('All Papers'!D:D,"*"&amp;Table1[[#This Row],[Name]]&amp;"*")</f>
        <v>1</v>
      </c>
      <c r="C849" s="8">
        <f>COUNTIFS('All Papers'!$D:$D,"*"&amp;$A849&amp;"*",'All Papers'!$G:$G,"*"&amp;Table1[[#Headers],[Composition]]&amp;"*")</f>
        <v>1</v>
      </c>
      <c r="D849" s="8">
        <f>COUNTIFS('All Papers'!$D:$D,"*"&amp;$A849&amp;"*",'All Papers'!$G:$G,"*"&amp;Table1[[#Headers],[Discovery]]&amp;"*")</f>
        <v>0</v>
      </c>
      <c r="E849" s="8">
        <f>COUNTIFS('All Papers'!$D:$D,"*"&amp;$A849&amp;"*",'All Papers'!$G:$G,"*"&amp;Table1[[#Headers],[Selection]]&amp;"*")</f>
        <v>0</v>
      </c>
      <c r="F849" s="8">
        <f>COUNTIFS('All Papers'!$D:$D,"*"&amp;$A849&amp;"*",'All Papers'!$G:$G,"*"&amp;Table1[[#Headers],[Recommendation]]&amp;"*")</f>
        <v>0</v>
      </c>
      <c r="G849" s="8">
        <f>COUNTIFS('All Papers'!$D:$D,"*"&amp;$A849&amp;"*",'All Papers'!$G:$G,"*"&amp;Table1[[#Headers],[Resource Management-CS]]&amp;"*")</f>
        <v>0</v>
      </c>
      <c r="H849" s="8">
        <f>COUNTIFS('All Papers'!$D:$D,"*"&amp;$A849&amp;"*",'All Papers'!$G:$G,"*"&amp;Table1[[#Headers],[Resource Management-PS]]&amp;"*")</f>
        <v>0</v>
      </c>
      <c r="I849" s="8">
        <f>COUNTIFS('All Papers'!$D:$D,"*"&amp;$A849&amp;"*",'All Papers'!$G:$G,"*"&amp;Table1[[#Headers],[SLA Management]]&amp;"*")</f>
        <v>0</v>
      </c>
      <c r="J849" s="8">
        <f>COUNTIFS('All Papers'!$D:$D,"*"&amp;$A849&amp;"*",'All Papers'!$G:$G,"*"&amp;Table1[[#Headers],[Big Data]]&amp;"*")</f>
        <v>0</v>
      </c>
      <c r="K849" s="8">
        <f>COUNTIFS('All Papers'!$D:$D,"*"&amp;$A849&amp;"*",'All Papers'!$G:$G,"*"&amp;Table1[[#Headers],[Energy Management]]&amp;"*")</f>
        <v>0</v>
      </c>
      <c r="L849" s="8">
        <f>COUNTIFS('All Papers'!$D:$D,"*"&amp;$A849&amp;"*",'All Papers'!$G:$G,"*"&amp;Table1[[#Headers],[Monitoring]]&amp;"*")</f>
        <v>0</v>
      </c>
      <c r="M849" s="8">
        <f>COUNTIFS('All Papers'!$D:$D,"*"&amp;$A849&amp;"*",'All Papers'!$G:$G,"*"&amp;Table1[[#Headers],[Pricing]]&amp;"*")</f>
        <v>0</v>
      </c>
    </row>
    <row r="850" spans="1:13" x14ac:dyDescent="0.25">
      <c r="A850" s="8" t="s">
        <v>3283</v>
      </c>
      <c r="B850" s="8">
        <f>COUNTIF('All Papers'!D:D,"*"&amp;Table1[[#This Row],[Name]]&amp;"*")</f>
        <v>1</v>
      </c>
      <c r="C850" s="8">
        <f>COUNTIFS('All Papers'!$D:$D,"*"&amp;$A850&amp;"*",'All Papers'!$G:$G,"*"&amp;Table1[[#Headers],[Composition]]&amp;"*")</f>
        <v>1</v>
      </c>
      <c r="D850" s="8">
        <f>COUNTIFS('All Papers'!$D:$D,"*"&amp;$A850&amp;"*",'All Papers'!$G:$G,"*"&amp;Table1[[#Headers],[Discovery]]&amp;"*")</f>
        <v>0</v>
      </c>
      <c r="E850" s="8">
        <f>COUNTIFS('All Papers'!$D:$D,"*"&amp;$A850&amp;"*",'All Papers'!$G:$G,"*"&amp;Table1[[#Headers],[Selection]]&amp;"*")</f>
        <v>0</v>
      </c>
      <c r="F850" s="8">
        <f>COUNTIFS('All Papers'!$D:$D,"*"&amp;$A850&amp;"*",'All Papers'!$G:$G,"*"&amp;Table1[[#Headers],[Recommendation]]&amp;"*")</f>
        <v>0</v>
      </c>
      <c r="G850" s="8">
        <f>COUNTIFS('All Papers'!$D:$D,"*"&amp;$A850&amp;"*",'All Papers'!$G:$G,"*"&amp;Table1[[#Headers],[Resource Management-CS]]&amp;"*")</f>
        <v>0</v>
      </c>
      <c r="H850" s="8">
        <f>COUNTIFS('All Papers'!$D:$D,"*"&amp;$A850&amp;"*",'All Papers'!$G:$G,"*"&amp;Table1[[#Headers],[Resource Management-PS]]&amp;"*")</f>
        <v>0</v>
      </c>
      <c r="I850" s="8">
        <f>COUNTIFS('All Papers'!$D:$D,"*"&amp;$A850&amp;"*",'All Papers'!$G:$G,"*"&amp;Table1[[#Headers],[SLA Management]]&amp;"*")</f>
        <v>0</v>
      </c>
      <c r="J850" s="8">
        <f>COUNTIFS('All Papers'!$D:$D,"*"&amp;$A850&amp;"*",'All Papers'!$G:$G,"*"&amp;Table1[[#Headers],[Big Data]]&amp;"*")</f>
        <v>0</v>
      </c>
      <c r="K850" s="8">
        <f>COUNTIFS('All Papers'!$D:$D,"*"&amp;$A850&amp;"*",'All Papers'!$G:$G,"*"&amp;Table1[[#Headers],[Energy Management]]&amp;"*")</f>
        <v>0</v>
      </c>
      <c r="L850" s="8">
        <f>COUNTIFS('All Papers'!$D:$D,"*"&amp;$A850&amp;"*",'All Papers'!$G:$G,"*"&amp;Table1[[#Headers],[Monitoring]]&amp;"*")</f>
        <v>0</v>
      </c>
      <c r="M850" s="8">
        <f>COUNTIFS('All Papers'!$D:$D,"*"&amp;$A850&amp;"*",'All Papers'!$G:$G,"*"&amp;Table1[[#Headers],[Pricing]]&amp;"*")</f>
        <v>0</v>
      </c>
    </row>
    <row r="851" spans="1:13" x14ac:dyDescent="0.25">
      <c r="A851" s="8" t="s">
        <v>3284</v>
      </c>
      <c r="B851" s="8">
        <f>COUNTIF('All Papers'!D:D,"*"&amp;Table1[[#This Row],[Name]]&amp;"*")</f>
        <v>1</v>
      </c>
      <c r="C851" s="8">
        <f>COUNTIFS('All Papers'!$D:$D,"*"&amp;$A851&amp;"*",'All Papers'!$G:$G,"*"&amp;Table1[[#Headers],[Composition]]&amp;"*")</f>
        <v>1</v>
      </c>
      <c r="D851" s="8">
        <f>COUNTIFS('All Papers'!$D:$D,"*"&amp;$A851&amp;"*",'All Papers'!$G:$G,"*"&amp;Table1[[#Headers],[Discovery]]&amp;"*")</f>
        <v>0</v>
      </c>
      <c r="E851" s="8">
        <f>COUNTIFS('All Papers'!$D:$D,"*"&amp;$A851&amp;"*",'All Papers'!$G:$G,"*"&amp;Table1[[#Headers],[Selection]]&amp;"*")</f>
        <v>0</v>
      </c>
      <c r="F851" s="8">
        <f>COUNTIFS('All Papers'!$D:$D,"*"&amp;$A851&amp;"*",'All Papers'!$G:$G,"*"&amp;Table1[[#Headers],[Recommendation]]&amp;"*")</f>
        <v>0</v>
      </c>
      <c r="G851" s="8">
        <f>COUNTIFS('All Papers'!$D:$D,"*"&amp;$A851&amp;"*",'All Papers'!$G:$G,"*"&amp;Table1[[#Headers],[Resource Management-CS]]&amp;"*")</f>
        <v>0</v>
      </c>
      <c r="H851" s="8">
        <f>COUNTIFS('All Papers'!$D:$D,"*"&amp;$A851&amp;"*",'All Papers'!$G:$G,"*"&amp;Table1[[#Headers],[Resource Management-PS]]&amp;"*")</f>
        <v>0</v>
      </c>
      <c r="I851" s="8">
        <f>COUNTIFS('All Papers'!$D:$D,"*"&amp;$A851&amp;"*",'All Papers'!$G:$G,"*"&amp;Table1[[#Headers],[SLA Management]]&amp;"*")</f>
        <v>0</v>
      </c>
      <c r="J851" s="8">
        <f>COUNTIFS('All Papers'!$D:$D,"*"&amp;$A851&amp;"*",'All Papers'!$G:$G,"*"&amp;Table1[[#Headers],[Big Data]]&amp;"*")</f>
        <v>0</v>
      </c>
      <c r="K851" s="8">
        <f>COUNTIFS('All Papers'!$D:$D,"*"&amp;$A851&amp;"*",'All Papers'!$G:$G,"*"&amp;Table1[[#Headers],[Energy Management]]&amp;"*")</f>
        <v>0</v>
      </c>
      <c r="L851" s="8">
        <f>COUNTIFS('All Papers'!$D:$D,"*"&amp;$A851&amp;"*",'All Papers'!$G:$G,"*"&amp;Table1[[#Headers],[Monitoring]]&amp;"*")</f>
        <v>0</v>
      </c>
      <c r="M851" s="8">
        <f>COUNTIFS('All Papers'!$D:$D,"*"&amp;$A851&amp;"*",'All Papers'!$G:$G,"*"&amp;Table1[[#Headers],[Pricing]]&amp;"*")</f>
        <v>0</v>
      </c>
    </row>
    <row r="852" spans="1:13" x14ac:dyDescent="0.25">
      <c r="A852" s="8" t="s">
        <v>3285</v>
      </c>
      <c r="B852" s="8">
        <f>COUNTIF('All Papers'!D:D,"*"&amp;Table1[[#This Row],[Name]]&amp;"*")</f>
        <v>1</v>
      </c>
      <c r="C852" s="8">
        <f>COUNTIFS('All Papers'!$D:$D,"*"&amp;$A852&amp;"*",'All Papers'!$G:$G,"*"&amp;Table1[[#Headers],[Composition]]&amp;"*")</f>
        <v>1</v>
      </c>
      <c r="D852" s="8">
        <f>COUNTIFS('All Papers'!$D:$D,"*"&amp;$A852&amp;"*",'All Papers'!$G:$G,"*"&amp;Table1[[#Headers],[Discovery]]&amp;"*")</f>
        <v>0</v>
      </c>
      <c r="E852" s="8">
        <f>COUNTIFS('All Papers'!$D:$D,"*"&amp;$A852&amp;"*",'All Papers'!$G:$G,"*"&amp;Table1[[#Headers],[Selection]]&amp;"*")</f>
        <v>0</v>
      </c>
      <c r="F852" s="8">
        <f>COUNTIFS('All Papers'!$D:$D,"*"&amp;$A852&amp;"*",'All Papers'!$G:$G,"*"&amp;Table1[[#Headers],[Recommendation]]&amp;"*")</f>
        <v>0</v>
      </c>
      <c r="G852" s="8">
        <f>COUNTIFS('All Papers'!$D:$D,"*"&amp;$A852&amp;"*",'All Papers'!$G:$G,"*"&amp;Table1[[#Headers],[Resource Management-CS]]&amp;"*")</f>
        <v>0</v>
      </c>
      <c r="H852" s="8">
        <f>COUNTIFS('All Papers'!$D:$D,"*"&amp;$A852&amp;"*",'All Papers'!$G:$G,"*"&amp;Table1[[#Headers],[Resource Management-PS]]&amp;"*")</f>
        <v>0</v>
      </c>
      <c r="I852" s="8">
        <f>COUNTIFS('All Papers'!$D:$D,"*"&amp;$A852&amp;"*",'All Papers'!$G:$G,"*"&amp;Table1[[#Headers],[SLA Management]]&amp;"*")</f>
        <v>0</v>
      </c>
      <c r="J852" s="8">
        <f>COUNTIFS('All Papers'!$D:$D,"*"&amp;$A852&amp;"*",'All Papers'!$G:$G,"*"&amp;Table1[[#Headers],[Big Data]]&amp;"*")</f>
        <v>0</v>
      </c>
      <c r="K852" s="8">
        <f>COUNTIFS('All Papers'!$D:$D,"*"&amp;$A852&amp;"*",'All Papers'!$G:$G,"*"&amp;Table1[[#Headers],[Energy Management]]&amp;"*")</f>
        <v>0</v>
      </c>
      <c r="L852" s="8">
        <f>COUNTIFS('All Papers'!$D:$D,"*"&amp;$A852&amp;"*",'All Papers'!$G:$G,"*"&amp;Table1[[#Headers],[Monitoring]]&amp;"*")</f>
        <v>0</v>
      </c>
      <c r="M852" s="8">
        <f>COUNTIFS('All Papers'!$D:$D,"*"&amp;$A852&amp;"*",'All Papers'!$G:$G,"*"&amp;Table1[[#Headers],[Pricing]]&amp;"*")</f>
        <v>0</v>
      </c>
    </row>
    <row r="853" spans="1:13" x14ac:dyDescent="0.25">
      <c r="A853" s="8" t="s">
        <v>3286</v>
      </c>
      <c r="B853" s="8">
        <f>COUNTIF('All Papers'!D:D,"*"&amp;Table1[[#This Row],[Name]]&amp;"*")</f>
        <v>1</v>
      </c>
      <c r="C853" s="8">
        <f>COUNTIFS('All Papers'!$D:$D,"*"&amp;$A853&amp;"*",'All Papers'!$G:$G,"*"&amp;Table1[[#Headers],[Composition]]&amp;"*")</f>
        <v>1</v>
      </c>
      <c r="D853" s="8">
        <f>COUNTIFS('All Papers'!$D:$D,"*"&amp;$A853&amp;"*",'All Papers'!$G:$G,"*"&amp;Table1[[#Headers],[Discovery]]&amp;"*")</f>
        <v>0</v>
      </c>
      <c r="E853" s="8">
        <f>COUNTIFS('All Papers'!$D:$D,"*"&amp;$A853&amp;"*",'All Papers'!$G:$G,"*"&amp;Table1[[#Headers],[Selection]]&amp;"*")</f>
        <v>0</v>
      </c>
      <c r="F853" s="8">
        <f>COUNTIFS('All Papers'!$D:$D,"*"&amp;$A853&amp;"*",'All Papers'!$G:$G,"*"&amp;Table1[[#Headers],[Recommendation]]&amp;"*")</f>
        <v>0</v>
      </c>
      <c r="G853" s="8">
        <f>COUNTIFS('All Papers'!$D:$D,"*"&amp;$A853&amp;"*",'All Papers'!$G:$G,"*"&amp;Table1[[#Headers],[Resource Management-CS]]&amp;"*")</f>
        <v>0</v>
      </c>
      <c r="H853" s="8">
        <f>COUNTIFS('All Papers'!$D:$D,"*"&amp;$A853&amp;"*",'All Papers'!$G:$G,"*"&amp;Table1[[#Headers],[Resource Management-PS]]&amp;"*")</f>
        <v>0</v>
      </c>
      <c r="I853" s="8">
        <f>COUNTIFS('All Papers'!$D:$D,"*"&amp;$A853&amp;"*",'All Papers'!$G:$G,"*"&amp;Table1[[#Headers],[SLA Management]]&amp;"*")</f>
        <v>0</v>
      </c>
      <c r="J853" s="8">
        <f>COUNTIFS('All Papers'!$D:$D,"*"&amp;$A853&amp;"*",'All Papers'!$G:$G,"*"&amp;Table1[[#Headers],[Big Data]]&amp;"*")</f>
        <v>0</v>
      </c>
      <c r="K853" s="8">
        <f>COUNTIFS('All Papers'!$D:$D,"*"&amp;$A853&amp;"*",'All Papers'!$G:$G,"*"&amp;Table1[[#Headers],[Energy Management]]&amp;"*")</f>
        <v>0</v>
      </c>
      <c r="L853" s="8">
        <f>COUNTIFS('All Papers'!$D:$D,"*"&amp;$A853&amp;"*",'All Papers'!$G:$G,"*"&amp;Table1[[#Headers],[Monitoring]]&amp;"*")</f>
        <v>0</v>
      </c>
      <c r="M853" s="8">
        <f>COUNTIFS('All Papers'!$D:$D,"*"&amp;$A853&amp;"*",'All Papers'!$G:$G,"*"&amp;Table1[[#Headers],[Pricing]]&amp;"*")</f>
        <v>0</v>
      </c>
    </row>
    <row r="854" spans="1:13" x14ac:dyDescent="0.25">
      <c r="A854" s="8" t="s">
        <v>3287</v>
      </c>
      <c r="B854" s="8">
        <f>COUNTIF('All Papers'!D:D,"*"&amp;Table1[[#This Row],[Name]]&amp;"*")</f>
        <v>1</v>
      </c>
      <c r="C854" s="8">
        <f>COUNTIFS('All Papers'!$D:$D,"*"&amp;$A854&amp;"*",'All Papers'!$G:$G,"*"&amp;Table1[[#Headers],[Composition]]&amp;"*")</f>
        <v>1</v>
      </c>
      <c r="D854" s="8">
        <f>COUNTIFS('All Papers'!$D:$D,"*"&amp;$A854&amp;"*",'All Papers'!$G:$G,"*"&amp;Table1[[#Headers],[Discovery]]&amp;"*")</f>
        <v>0</v>
      </c>
      <c r="E854" s="8">
        <f>COUNTIFS('All Papers'!$D:$D,"*"&amp;$A854&amp;"*",'All Papers'!$G:$G,"*"&amp;Table1[[#Headers],[Selection]]&amp;"*")</f>
        <v>0</v>
      </c>
      <c r="F854" s="8">
        <f>COUNTIFS('All Papers'!$D:$D,"*"&amp;$A854&amp;"*",'All Papers'!$G:$G,"*"&amp;Table1[[#Headers],[Recommendation]]&amp;"*")</f>
        <v>0</v>
      </c>
      <c r="G854" s="8">
        <f>COUNTIFS('All Papers'!$D:$D,"*"&amp;$A854&amp;"*",'All Papers'!$G:$G,"*"&amp;Table1[[#Headers],[Resource Management-CS]]&amp;"*")</f>
        <v>0</v>
      </c>
      <c r="H854" s="8">
        <f>COUNTIFS('All Papers'!$D:$D,"*"&amp;$A854&amp;"*",'All Papers'!$G:$G,"*"&amp;Table1[[#Headers],[Resource Management-PS]]&amp;"*")</f>
        <v>0</v>
      </c>
      <c r="I854" s="8">
        <f>COUNTIFS('All Papers'!$D:$D,"*"&amp;$A854&amp;"*",'All Papers'!$G:$G,"*"&amp;Table1[[#Headers],[SLA Management]]&amp;"*")</f>
        <v>0</v>
      </c>
      <c r="J854" s="8">
        <f>COUNTIFS('All Papers'!$D:$D,"*"&amp;$A854&amp;"*",'All Papers'!$G:$G,"*"&amp;Table1[[#Headers],[Big Data]]&amp;"*")</f>
        <v>0</v>
      </c>
      <c r="K854" s="8">
        <f>COUNTIFS('All Papers'!$D:$D,"*"&amp;$A854&amp;"*",'All Papers'!$G:$G,"*"&amp;Table1[[#Headers],[Energy Management]]&amp;"*")</f>
        <v>0</v>
      </c>
      <c r="L854" s="8">
        <f>COUNTIFS('All Papers'!$D:$D,"*"&amp;$A854&amp;"*",'All Papers'!$G:$G,"*"&amp;Table1[[#Headers],[Monitoring]]&amp;"*")</f>
        <v>0</v>
      </c>
      <c r="M854" s="8">
        <f>COUNTIFS('All Papers'!$D:$D,"*"&amp;$A854&amp;"*",'All Papers'!$G:$G,"*"&amp;Table1[[#Headers],[Pricing]]&amp;"*")</f>
        <v>0</v>
      </c>
    </row>
    <row r="855" spans="1:13" x14ac:dyDescent="0.25">
      <c r="A855" s="8" t="s">
        <v>3288</v>
      </c>
      <c r="B855" s="8">
        <f>COUNTIF('All Papers'!D:D,"*"&amp;Table1[[#This Row],[Name]]&amp;"*")</f>
        <v>1</v>
      </c>
      <c r="C855" s="8">
        <f>COUNTIFS('All Papers'!$D:$D,"*"&amp;$A855&amp;"*",'All Papers'!$G:$G,"*"&amp;Table1[[#Headers],[Composition]]&amp;"*")</f>
        <v>1</v>
      </c>
      <c r="D855" s="8">
        <f>COUNTIFS('All Papers'!$D:$D,"*"&amp;$A855&amp;"*",'All Papers'!$G:$G,"*"&amp;Table1[[#Headers],[Discovery]]&amp;"*")</f>
        <v>0</v>
      </c>
      <c r="E855" s="8">
        <f>COUNTIFS('All Papers'!$D:$D,"*"&amp;$A855&amp;"*",'All Papers'!$G:$G,"*"&amp;Table1[[#Headers],[Selection]]&amp;"*")</f>
        <v>0</v>
      </c>
      <c r="F855" s="8">
        <f>COUNTIFS('All Papers'!$D:$D,"*"&amp;$A855&amp;"*",'All Papers'!$G:$G,"*"&amp;Table1[[#Headers],[Recommendation]]&amp;"*")</f>
        <v>0</v>
      </c>
      <c r="G855" s="8">
        <f>COUNTIFS('All Papers'!$D:$D,"*"&amp;$A855&amp;"*",'All Papers'!$G:$G,"*"&amp;Table1[[#Headers],[Resource Management-CS]]&amp;"*")</f>
        <v>0</v>
      </c>
      <c r="H855" s="8">
        <f>COUNTIFS('All Papers'!$D:$D,"*"&amp;$A855&amp;"*",'All Papers'!$G:$G,"*"&amp;Table1[[#Headers],[Resource Management-PS]]&amp;"*")</f>
        <v>0</v>
      </c>
      <c r="I855" s="8">
        <f>COUNTIFS('All Papers'!$D:$D,"*"&amp;$A855&amp;"*",'All Papers'!$G:$G,"*"&amp;Table1[[#Headers],[SLA Management]]&amp;"*")</f>
        <v>0</v>
      </c>
      <c r="J855" s="8">
        <f>COUNTIFS('All Papers'!$D:$D,"*"&amp;$A855&amp;"*",'All Papers'!$G:$G,"*"&amp;Table1[[#Headers],[Big Data]]&amp;"*")</f>
        <v>0</v>
      </c>
      <c r="K855" s="8">
        <f>COUNTIFS('All Papers'!$D:$D,"*"&amp;$A855&amp;"*",'All Papers'!$G:$G,"*"&amp;Table1[[#Headers],[Energy Management]]&amp;"*")</f>
        <v>0</v>
      </c>
      <c r="L855" s="8">
        <f>COUNTIFS('All Papers'!$D:$D,"*"&amp;$A855&amp;"*",'All Papers'!$G:$G,"*"&amp;Table1[[#Headers],[Monitoring]]&amp;"*")</f>
        <v>0</v>
      </c>
      <c r="M855" s="8">
        <f>COUNTIFS('All Papers'!$D:$D,"*"&amp;$A855&amp;"*",'All Papers'!$G:$G,"*"&amp;Table1[[#Headers],[Pricing]]&amp;"*")</f>
        <v>0</v>
      </c>
    </row>
    <row r="856" spans="1:13" x14ac:dyDescent="0.25">
      <c r="A856" s="8" t="s">
        <v>3289</v>
      </c>
      <c r="B856" s="8">
        <f>COUNTIF('All Papers'!D:D,"*"&amp;Table1[[#This Row],[Name]]&amp;"*")</f>
        <v>1</v>
      </c>
      <c r="C856" s="8">
        <f>COUNTIFS('All Papers'!$D:$D,"*"&amp;$A856&amp;"*",'All Papers'!$G:$G,"*"&amp;Table1[[#Headers],[Composition]]&amp;"*")</f>
        <v>1</v>
      </c>
      <c r="D856" s="8">
        <f>COUNTIFS('All Papers'!$D:$D,"*"&amp;$A856&amp;"*",'All Papers'!$G:$G,"*"&amp;Table1[[#Headers],[Discovery]]&amp;"*")</f>
        <v>0</v>
      </c>
      <c r="E856" s="8">
        <f>COUNTIFS('All Papers'!$D:$D,"*"&amp;$A856&amp;"*",'All Papers'!$G:$G,"*"&amp;Table1[[#Headers],[Selection]]&amp;"*")</f>
        <v>0</v>
      </c>
      <c r="F856" s="8">
        <f>COUNTIFS('All Papers'!$D:$D,"*"&amp;$A856&amp;"*",'All Papers'!$G:$G,"*"&amp;Table1[[#Headers],[Recommendation]]&amp;"*")</f>
        <v>0</v>
      </c>
      <c r="G856" s="8">
        <f>COUNTIFS('All Papers'!$D:$D,"*"&amp;$A856&amp;"*",'All Papers'!$G:$G,"*"&amp;Table1[[#Headers],[Resource Management-CS]]&amp;"*")</f>
        <v>0</v>
      </c>
      <c r="H856" s="8">
        <f>COUNTIFS('All Papers'!$D:$D,"*"&amp;$A856&amp;"*",'All Papers'!$G:$G,"*"&amp;Table1[[#Headers],[Resource Management-PS]]&amp;"*")</f>
        <v>0</v>
      </c>
      <c r="I856" s="8">
        <f>COUNTIFS('All Papers'!$D:$D,"*"&amp;$A856&amp;"*",'All Papers'!$G:$G,"*"&amp;Table1[[#Headers],[SLA Management]]&amp;"*")</f>
        <v>0</v>
      </c>
      <c r="J856" s="8">
        <f>COUNTIFS('All Papers'!$D:$D,"*"&amp;$A856&amp;"*",'All Papers'!$G:$G,"*"&amp;Table1[[#Headers],[Big Data]]&amp;"*")</f>
        <v>0</v>
      </c>
      <c r="K856" s="8">
        <f>COUNTIFS('All Papers'!$D:$D,"*"&amp;$A856&amp;"*",'All Papers'!$G:$G,"*"&amp;Table1[[#Headers],[Energy Management]]&amp;"*")</f>
        <v>0</v>
      </c>
      <c r="L856" s="8">
        <f>COUNTIFS('All Papers'!$D:$D,"*"&amp;$A856&amp;"*",'All Papers'!$G:$G,"*"&amp;Table1[[#Headers],[Monitoring]]&amp;"*")</f>
        <v>0</v>
      </c>
      <c r="M856" s="8">
        <f>COUNTIFS('All Papers'!$D:$D,"*"&amp;$A856&amp;"*",'All Papers'!$G:$G,"*"&amp;Table1[[#Headers],[Pricing]]&amp;"*")</f>
        <v>0</v>
      </c>
    </row>
    <row r="857" spans="1:13" x14ac:dyDescent="0.25">
      <c r="A857" s="8" t="s">
        <v>3290</v>
      </c>
      <c r="B857" s="8">
        <f>COUNTIF('All Papers'!D:D,"*"&amp;Table1[[#This Row],[Name]]&amp;"*")</f>
        <v>1</v>
      </c>
      <c r="C857" s="8">
        <f>COUNTIFS('All Papers'!$D:$D,"*"&amp;$A857&amp;"*",'All Papers'!$G:$G,"*"&amp;Table1[[#Headers],[Composition]]&amp;"*")</f>
        <v>0</v>
      </c>
      <c r="D857" s="8">
        <f>COUNTIFS('All Papers'!$D:$D,"*"&amp;$A857&amp;"*",'All Papers'!$G:$G,"*"&amp;Table1[[#Headers],[Discovery]]&amp;"*")</f>
        <v>0</v>
      </c>
      <c r="E857" s="8">
        <f>COUNTIFS('All Papers'!$D:$D,"*"&amp;$A857&amp;"*",'All Papers'!$G:$G,"*"&amp;Table1[[#Headers],[Selection]]&amp;"*")</f>
        <v>0</v>
      </c>
      <c r="F857" s="8">
        <f>COUNTIFS('All Papers'!$D:$D,"*"&amp;$A857&amp;"*",'All Papers'!$G:$G,"*"&amp;Table1[[#Headers],[Recommendation]]&amp;"*")</f>
        <v>0</v>
      </c>
      <c r="G857" s="8">
        <f>COUNTIFS('All Papers'!$D:$D,"*"&amp;$A857&amp;"*",'All Papers'!$G:$G,"*"&amp;Table1[[#Headers],[Resource Management-CS]]&amp;"*")</f>
        <v>1</v>
      </c>
      <c r="H857" s="8">
        <f>COUNTIFS('All Papers'!$D:$D,"*"&amp;$A857&amp;"*",'All Papers'!$G:$G,"*"&amp;Table1[[#Headers],[Resource Management-PS]]&amp;"*")</f>
        <v>0</v>
      </c>
      <c r="I857" s="8">
        <f>COUNTIFS('All Papers'!$D:$D,"*"&amp;$A857&amp;"*",'All Papers'!$G:$G,"*"&amp;Table1[[#Headers],[SLA Management]]&amp;"*")</f>
        <v>0</v>
      </c>
      <c r="J857" s="8">
        <f>COUNTIFS('All Papers'!$D:$D,"*"&amp;$A857&amp;"*",'All Papers'!$G:$G,"*"&amp;Table1[[#Headers],[Big Data]]&amp;"*")</f>
        <v>0</v>
      </c>
      <c r="K857" s="8">
        <f>COUNTIFS('All Papers'!$D:$D,"*"&amp;$A857&amp;"*",'All Papers'!$G:$G,"*"&amp;Table1[[#Headers],[Energy Management]]&amp;"*")</f>
        <v>0</v>
      </c>
      <c r="L857" s="8">
        <f>COUNTIFS('All Papers'!$D:$D,"*"&amp;$A857&amp;"*",'All Papers'!$G:$G,"*"&amp;Table1[[#Headers],[Monitoring]]&amp;"*")</f>
        <v>0</v>
      </c>
      <c r="M857" s="8">
        <f>COUNTIFS('All Papers'!$D:$D,"*"&amp;$A857&amp;"*",'All Papers'!$G:$G,"*"&amp;Table1[[#Headers],[Pricing]]&amp;"*")</f>
        <v>0</v>
      </c>
    </row>
    <row r="858" spans="1:13" x14ac:dyDescent="0.25">
      <c r="A858" s="8" t="s">
        <v>3291</v>
      </c>
      <c r="B858" s="8">
        <f>COUNTIF('All Papers'!D:D,"*"&amp;Table1[[#This Row],[Name]]&amp;"*")</f>
        <v>1</v>
      </c>
      <c r="C858" s="8">
        <f>COUNTIFS('All Papers'!$D:$D,"*"&amp;$A858&amp;"*",'All Papers'!$G:$G,"*"&amp;Table1[[#Headers],[Composition]]&amp;"*")</f>
        <v>0</v>
      </c>
      <c r="D858" s="8">
        <f>COUNTIFS('All Papers'!$D:$D,"*"&amp;$A858&amp;"*",'All Papers'!$G:$G,"*"&amp;Table1[[#Headers],[Discovery]]&amp;"*")</f>
        <v>0</v>
      </c>
      <c r="E858" s="8">
        <f>COUNTIFS('All Papers'!$D:$D,"*"&amp;$A858&amp;"*",'All Papers'!$G:$G,"*"&amp;Table1[[#Headers],[Selection]]&amp;"*")</f>
        <v>0</v>
      </c>
      <c r="F858" s="8">
        <f>COUNTIFS('All Papers'!$D:$D,"*"&amp;$A858&amp;"*",'All Papers'!$G:$G,"*"&amp;Table1[[#Headers],[Recommendation]]&amp;"*")</f>
        <v>0</v>
      </c>
      <c r="G858" s="8">
        <f>COUNTIFS('All Papers'!$D:$D,"*"&amp;$A858&amp;"*",'All Papers'!$G:$G,"*"&amp;Table1[[#Headers],[Resource Management-CS]]&amp;"*")</f>
        <v>1</v>
      </c>
      <c r="H858" s="8">
        <f>COUNTIFS('All Papers'!$D:$D,"*"&amp;$A858&amp;"*",'All Papers'!$G:$G,"*"&amp;Table1[[#Headers],[Resource Management-PS]]&amp;"*")</f>
        <v>0</v>
      </c>
      <c r="I858" s="8">
        <f>COUNTIFS('All Papers'!$D:$D,"*"&amp;$A858&amp;"*",'All Papers'!$G:$G,"*"&amp;Table1[[#Headers],[SLA Management]]&amp;"*")</f>
        <v>0</v>
      </c>
      <c r="J858" s="8">
        <f>COUNTIFS('All Papers'!$D:$D,"*"&amp;$A858&amp;"*",'All Papers'!$G:$G,"*"&amp;Table1[[#Headers],[Big Data]]&amp;"*")</f>
        <v>0</v>
      </c>
      <c r="K858" s="8">
        <f>COUNTIFS('All Papers'!$D:$D,"*"&amp;$A858&amp;"*",'All Papers'!$G:$G,"*"&amp;Table1[[#Headers],[Energy Management]]&amp;"*")</f>
        <v>0</v>
      </c>
      <c r="L858" s="8">
        <f>COUNTIFS('All Papers'!$D:$D,"*"&amp;$A858&amp;"*",'All Papers'!$G:$G,"*"&amp;Table1[[#Headers],[Monitoring]]&amp;"*")</f>
        <v>0</v>
      </c>
      <c r="M858" s="8">
        <f>COUNTIFS('All Papers'!$D:$D,"*"&amp;$A858&amp;"*",'All Papers'!$G:$G,"*"&amp;Table1[[#Headers],[Pricing]]&amp;"*")</f>
        <v>0</v>
      </c>
    </row>
    <row r="859" spans="1:13" x14ac:dyDescent="0.25">
      <c r="A859" s="8" t="s">
        <v>3292</v>
      </c>
      <c r="B859" s="8">
        <f>COUNTIF('All Papers'!D:D,"*"&amp;Table1[[#This Row],[Name]]&amp;"*")</f>
        <v>1</v>
      </c>
      <c r="C859" s="8">
        <f>COUNTIFS('All Papers'!$D:$D,"*"&amp;$A859&amp;"*",'All Papers'!$G:$G,"*"&amp;Table1[[#Headers],[Composition]]&amp;"*")</f>
        <v>0</v>
      </c>
      <c r="D859" s="8">
        <f>COUNTIFS('All Papers'!$D:$D,"*"&amp;$A859&amp;"*",'All Papers'!$G:$G,"*"&amp;Table1[[#Headers],[Discovery]]&amp;"*")</f>
        <v>0</v>
      </c>
      <c r="E859" s="8">
        <f>COUNTIFS('All Papers'!$D:$D,"*"&amp;$A859&amp;"*",'All Papers'!$G:$G,"*"&amp;Table1[[#Headers],[Selection]]&amp;"*")</f>
        <v>0</v>
      </c>
      <c r="F859" s="8">
        <f>COUNTIFS('All Papers'!$D:$D,"*"&amp;$A859&amp;"*",'All Papers'!$G:$G,"*"&amp;Table1[[#Headers],[Recommendation]]&amp;"*")</f>
        <v>0</v>
      </c>
      <c r="G859" s="8">
        <f>COUNTIFS('All Papers'!$D:$D,"*"&amp;$A859&amp;"*",'All Papers'!$G:$G,"*"&amp;Table1[[#Headers],[Resource Management-CS]]&amp;"*")</f>
        <v>1</v>
      </c>
      <c r="H859" s="8">
        <f>COUNTIFS('All Papers'!$D:$D,"*"&amp;$A859&amp;"*",'All Papers'!$G:$G,"*"&amp;Table1[[#Headers],[Resource Management-PS]]&amp;"*")</f>
        <v>0</v>
      </c>
      <c r="I859" s="8">
        <f>COUNTIFS('All Papers'!$D:$D,"*"&amp;$A859&amp;"*",'All Papers'!$G:$G,"*"&amp;Table1[[#Headers],[SLA Management]]&amp;"*")</f>
        <v>0</v>
      </c>
      <c r="J859" s="8">
        <f>COUNTIFS('All Papers'!$D:$D,"*"&amp;$A859&amp;"*",'All Papers'!$G:$G,"*"&amp;Table1[[#Headers],[Big Data]]&amp;"*")</f>
        <v>0</v>
      </c>
      <c r="K859" s="8">
        <f>COUNTIFS('All Papers'!$D:$D,"*"&amp;$A859&amp;"*",'All Papers'!$G:$G,"*"&amp;Table1[[#Headers],[Energy Management]]&amp;"*")</f>
        <v>0</v>
      </c>
      <c r="L859" s="8">
        <f>COUNTIFS('All Papers'!$D:$D,"*"&amp;$A859&amp;"*",'All Papers'!$G:$G,"*"&amp;Table1[[#Headers],[Monitoring]]&amp;"*")</f>
        <v>0</v>
      </c>
      <c r="M859" s="8">
        <f>COUNTIFS('All Papers'!$D:$D,"*"&amp;$A859&amp;"*",'All Papers'!$G:$G,"*"&amp;Table1[[#Headers],[Pricing]]&amp;"*")</f>
        <v>0</v>
      </c>
    </row>
    <row r="860" spans="1:13" x14ac:dyDescent="0.25">
      <c r="A860" s="8" t="s">
        <v>3293</v>
      </c>
      <c r="B860" s="8">
        <f>COUNTIF('All Papers'!D:D,"*"&amp;Table1[[#This Row],[Name]]&amp;"*")</f>
        <v>1</v>
      </c>
      <c r="C860" s="8">
        <f>COUNTIFS('All Papers'!$D:$D,"*"&amp;$A860&amp;"*",'All Papers'!$G:$G,"*"&amp;Table1[[#Headers],[Composition]]&amp;"*")</f>
        <v>0</v>
      </c>
      <c r="D860" s="8">
        <f>COUNTIFS('All Papers'!$D:$D,"*"&amp;$A860&amp;"*",'All Papers'!$G:$G,"*"&amp;Table1[[#Headers],[Discovery]]&amp;"*")</f>
        <v>0</v>
      </c>
      <c r="E860" s="8">
        <f>COUNTIFS('All Papers'!$D:$D,"*"&amp;$A860&amp;"*",'All Papers'!$G:$G,"*"&amp;Table1[[#Headers],[Selection]]&amp;"*")</f>
        <v>0</v>
      </c>
      <c r="F860" s="8">
        <f>COUNTIFS('All Papers'!$D:$D,"*"&amp;$A860&amp;"*",'All Papers'!$G:$G,"*"&amp;Table1[[#Headers],[Recommendation]]&amp;"*")</f>
        <v>0</v>
      </c>
      <c r="G860" s="8">
        <f>COUNTIFS('All Papers'!$D:$D,"*"&amp;$A860&amp;"*",'All Papers'!$G:$G,"*"&amp;Table1[[#Headers],[Resource Management-CS]]&amp;"*")</f>
        <v>1</v>
      </c>
      <c r="H860" s="8">
        <f>COUNTIFS('All Papers'!$D:$D,"*"&amp;$A860&amp;"*",'All Papers'!$G:$G,"*"&amp;Table1[[#Headers],[Resource Management-PS]]&amp;"*")</f>
        <v>0</v>
      </c>
      <c r="I860" s="8">
        <f>COUNTIFS('All Papers'!$D:$D,"*"&amp;$A860&amp;"*",'All Papers'!$G:$G,"*"&amp;Table1[[#Headers],[SLA Management]]&amp;"*")</f>
        <v>0</v>
      </c>
      <c r="J860" s="8">
        <f>COUNTIFS('All Papers'!$D:$D,"*"&amp;$A860&amp;"*",'All Papers'!$G:$G,"*"&amp;Table1[[#Headers],[Big Data]]&amp;"*")</f>
        <v>0</v>
      </c>
      <c r="K860" s="8">
        <f>COUNTIFS('All Papers'!$D:$D,"*"&amp;$A860&amp;"*",'All Papers'!$G:$G,"*"&amp;Table1[[#Headers],[Energy Management]]&amp;"*")</f>
        <v>0</v>
      </c>
      <c r="L860" s="8">
        <f>COUNTIFS('All Papers'!$D:$D,"*"&amp;$A860&amp;"*",'All Papers'!$G:$G,"*"&amp;Table1[[#Headers],[Monitoring]]&amp;"*")</f>
        <v>0</v>
      </c>
      <c r="M860" s="8">
        <f>COUNTIFS('All Papers'!$D:$D,"*"&amp;$A860&amp;"*",'All Papers'!$G:$G,"*"&amp;Table1[[#Headers],[Pricing]]&amp;"*")</f>
        <v>0</v>
      </c>
    </row>
    <row r="861" spans="1:13" x14ac:dyDescent="0.25">
      <c r="A861" s="8" t="s">
        <v>3294</v>
      </c>
      <c r="B861" s="8">
        <f>COUNTIF('All Papers'!D:D,"*"&amp;Table1[[#This Row],[Name]]&amp;"*")</f>
        <v>1</v>
      </c>
      <c r="C861" s="8">
        <f>COUNTIFS('All Papers'!$D:$D,"*"&amp;$A861&amp;"*",'All Papers'!$G:$G,"*"&amp;Table1[[#Headers],[Composition]]&amp;"*")</f>
        <v>0</v>
      </c>
      <c r="D861" s="8">
        <f>COUNTIFS('All Papers'!$D:$D,"*"&amp;$A861&amp;"*",'All Papers'!$G:$G,"*"&amp;Table1[[#Headers],[Discovery]]&amp;"*")</f>
        <v>0</v>
      </c>
      <c r="E861" s="8">
        <f>COUNTIFS('All Papers'!$D:$D,"*"&amp;$A861&amp;"*",'All Papers'!$G:$G,"*"&amp;Table1[[#Headers],[Selection]]&amp;"*")</f>
        <v>0</v>
      </c>
      <c r="F861" s="8">
        <f>COUNTIFS('All Papers'!$D:$D,"*"&amp;$A861&amp;"*",'All Papers'!$G:$G,"*"&amp;Table1[[#Headers],[Recommendation]]&amp;"*")</f>
        <v>0</v>
      </c>
      <c r="G861" s="8">
        <f>COUNTIFS('All Papers'!$D:$D,"*"&amp;$A861&amp;"*",'All Papers'!$G:$G,"*"&amp;Table1[[#Headers],[Resource Management-CS]]&amp;"*")</f>
        <v>1</v>
      </c>
      <c r="H861" s="8">
        <f>COUNTIFS('All Papers'!$D:$D,"*"&amp;$A861&amp;"*",'All Papers'!$G:$G,"*"&amp;Table1[[#Headers],[Resource Management-PS]]&amp;"*")</f>
        <v>0</v>
      </c>
      <c r="I861" s="8">
        <f>COUNTIFS('All Papers'!$D:$D,"*"&amp;$A861&amp;"*",'All Papers'!$G:$G,"*"&amp;Table1[[#Headers],[SLA Management]]&amp;"*")</f>
        <v>0</v>
      </c>
      <c r="J861" s="8">
        <f>COUNTIFS('All Papers'!$D:$D,"*"&amp;$A861&amp;"*",'All Papers'!$G:$G,"*"&amp;Table1[[#Headers],[Big Data]]&amp;"*")</f>
        <v>0</v>
      </c>
      <c r="K861" s="8">
        <f>COUNTIFS('All Papers'!$D:$D,"*"&amp;$A861&amp;"*",'All Papers'!$G:$G,"*"&amp;Table1[[#Headers],[Energy Management]]&amp;"*")</f>
        <v>0</v>
      </c>
      <c r="L861" s="8">
        <f>COUNTIFS('All Papers'!$D:$D,"*"&amp;$A861&amp;"*",'All Papers'!$G:$G,"*"&amp;Table1[[#Headers],[Monitoring]]&amp;"*")</f>
        <v>0</v>
      </c>
      <c r="M861" s="8">
        <f>COUNTIFS('All Papers'!$D:$D,"*"&amp;$A861&amp;"*",'All Papers'!$G:$G,"*"&amp;Table1[[#Headers],[Pricing]]&amp;"*")</f>
        <v>0</v>
      </c>
    </row>
    <row r="862" spans="1:13" x14ac:dyDescent="0.25">
      <c r="A862" s="8" t="s">
        <v>3295</v>
      </c>
      <c r="B862" s="8">
        <f>COUNTIF('All Papers'!D:D,"*"&amp;Table1[[#This Row],[Name]]&amp;"*")</f>
        <v>1</v>
      </c>
      <c r="C862" s="8">
        <f>COUNTIFS('All Papers'!$D:$D,"*"&amp;$A862&amp;"*",'All Papers'!$G:$G,"*"&amp;Table1[[#Headers],[Composition]]&amp;"*")</f>
        <v>0</v>
      </c>
      <c r="D862" s="8">
        <f>COUNTIFS('All Papers'!$D:$D,"*"&amp;$A862&amp;"*",'All Papers'!$G:$G,"*"&amp;Table1[[#Headers],[Discovery]]&amp;"*")</f>
        <v>0</v>
      </c>
      <c r="E862" s="8">
        <f>COUNTIFS('All Papers'!$D:$D,"*"&amp;$A862&amp;"*",'All Papers'!$G:$G,"*"&amp;Table1[[#Headers],[Selection]]&amp;"*")</f>
        <v>0</v>
      </c>
      <c r="F862" s="8">
        <f>COUNTIFS('All Papers'!$D:$D,"*"&amp;$A862&amp;"*",'All Papers'!$G:$G,"*"&amp;Table1[[#Headers],[Recommendation]]&amp;"*")</f>
        <v>0</v>
      </c>
      <c r="G862" s="8">
        <f>COUNTIFS('All Papers'!$D:$D,"*"&amp;$A862&amp;"*",'All Papers'!$G:$G,"*"&amp;Table1[[#Headers],[Resource Management-CS]]&amp;"*")</f>
        <v>1</v>
      </c>
      <c r="H862" s="8">
        <f>COUNTIFS('All Papers'!$D:$D,"*"&amp;$A862&amp;"*",'All Papers'!$G:$G,"*"&amp;Table1[[#Headers],[Resource Management-PS]]&amp;"*")</f>
        <v>0</v>
      </c>
      <c r="I862" s="8">
        <f>COUNTIFS('All Papers'!$D:$D,"*"&amp;$A862&amp;"*",'All Papers'!$G:$G,"*"&amp;Table1[[#Headers],[SLA Management]]&amp;"*")</f>
        <v>0</v>
      </c>
      <c r="J862" s="8">
        <f>COUNTIFS('All Papers'!$D:$D,"*"&amp;$A862&amp;"*",'All Papers'!$G:$G,"*"&amp;Table1[[#Headers],[Big Data]]&amp;"*")</f>
        <v>0</v>
      </c>
      <c r="K862" s="8">
        <f>COUNTIFS('All Papers'!$D:$D,"*"&amp;$A862&amp;"*",'All Papers'!$G:$G,"*"&amp;Table1[[#Headers],[Energy Management]]&amp;"*")</f>
        <v>0</v>
      </c>
      <c r="L862" s="8">
        <f>COUNTIFS('All Papers'!$D:$D,"*"&amp;$A862&amp;"*",'All Papers'!$G:$G,"*"&amp;Table1[[#Headers],[Monitoring]]&amp;"*")</f>
        <v>0</v>
      </c>
      <c r="M862" s="8">
        <f>COUNTIFS('All Papers'!$D:$D,"*"&amp;$A862&amp;"*",'All Papers'!$G:$G,"*"&amp;Table1[[#Headers],[Pricing]]&amp;"*")</f>
        <v>0</v>
      </c>
    </row>
    <row r="863" spans="1:13" x14ac:dyDescent="0.25">
      <c r="A863" s="8" t="s">
        <v>3296</v>
      </c>
      <c r="B863" s="8">
        <f>COUNTIF('All Papers'!D:D,"*"&amp;Table1[[#This Row],[Name]]&amp;"*")</f>
        <v>1</v>
      </c>
      <c r="C863" s="8">
        <f>COUNTIFS('All Papers'!$D:$D,"*"&amp;$A863&amp;"*",'All Papers'!$G:$G,"*"&amp;Table1[[#Headers],[Composition]]&amp;"*")</f>
        <v>0</v>
      </c>
      <c r="D863" s="8">
        <f>COUNTIFS('All Papers'!$D:$D,"*"&amp;$A863&amp;"*",'All Papers'!$G:$G,"*"&amp;Table1[[#Headers],[Discovery]]&amp;"*")</f>
        <v>0</v>
      </c>
      <c r="E863" s="8">
        <f>COUNTIFS('All Papers'!$D:$D,"*"&amp;$A863&amp;"*",'All Papers'!$G:$G,"*"&amp;Table1[[#Headers],[Selection]]&amp;"*")</f>
        <v>0</v>
      </c>
      <c r="F863" s="8">
        <f>COUNTIFS('All Papers'!$D:$D,"*"&amp;$A863&amp;"*",'All Papers'!$G:$G,"*"&amp;Table1[[#Headers],[Recommendation]]&amp;"*")</f>
        <v>0</v>
      </c>
      <c r="G863" s="8">
        <f>COUNTIFS('All Papers'!$D:$D,"*"&amp;$A863&amp;"*",'All Papers'!$G:$G,"*"&amp;Table1[[#Headers],[Resource Management-CS]]&amp;"*")</f>
        <v>1</v>
      </c>
      <c r="H863" s="8">
        <f>COUNTIFS('All Papers'!$D:$D,"*"&amp;$A863&amp;"*",'All Papers'!$G:$G,"*"&amp;Table1[[#Headers],[Resource Management-PS]]&amp;"*")</f>
        <v>0</v>
      </c>
      <c r="I863" s="8">
        <f>COUNTIFS('All Papers'!$D:$D,"*"&amp;$A863&amp;"*",'All Papers'!$G:$G,"*"&amp;Table1[[#Headers],[SLA Management]]&amp;"*")</f>
        <v>0</v>
      </c>
      <c r="J863" s="8">
        <f>COUNTIFS('All Papers'!$D:$D,"*"&amp;$A863&amp;"*",'All Papers'!$G:$G,"*"&amp;Table1[[#Headers],[Big Data]]&amp;"*")</f>
        <v>0</v>
      </c>
      <c r="K863" s="8">
        <f>COUNTIFS('All Papers'!$D:$D,"*"&amp;$A863&amp;"*",'All Papers'!$G:$G,"*"&amp;Table1[[#Headers],[Energy Management]]&amp;"*")</f>
        <v>0</v>
      </c>
      <c r="L863" s="8">
        <f>COUNTIFS('All Papers'!$D:$D,"*"&amp;$A863&amp;"*",'All Papers'!$G:$G,"*"&amp;Table1[[#Headers],[Monitoring]]&amp;"*")</f>
        <v>0</v>
      </c>
      <c r="M863" s="8">
        <f>COUNTIFS('All Papers'!$D:$D,"*"&amp;$A863&amp;"*",'All Papers'!$G:$G,"*"&amp;Table1[[#Headers],[Pricing]]&amp;"*")</f>
        <v>0</v>
      </c>
    </row>
    <row r="864" spans="1:13" x14ac:dyDescent="0.25">
      <c r="A864" s="8" t="s">
        <v>3297</v>
      </c>
      <c r="B864" s="8">
        <f>COUNTIF('All Papers'!D:D,"*"&amp;Table1[[#This Row],[Name]]&amp;"*")</f>
        <v>1</v>
      </c>
      <c r="C864" s="8">
        <f>COUNTIFS('All Papers'!$D:$D,"*"&amp;$A864&amp;"*",'All Papers'!$G:$G,"*"&amp;Table1[[#Headers],[Composition]]&amp;"*")</f>
        <v>0</v>
      </c>
      <c r="D864" s="8">
        <f>COUNTIFS('All Papers'!$D:$D,"*"&amp;$A864&amp;"*",'All Papers'!$G:$G,"*"&amp;Table1[[#Headers],[Discovery]]&amp;"*")</f>
        <v>0</v>
      </c>
      <c r="E864" s="8">
        <f>COUNTIFS('All Papers'!$D:$D,"*"&amp;$A864&amp;"*",'All Papers'!$G:$G,"*"&amp;Table1[[#Headers],[Selection]]&amp;"*")</f>
        <v>0</v>
      </c>
      <c r="F864" s="8">
        <f>COUNTIFS('All Papers'!$D:$D,"*"&amp;$A864&amp;"*",'All Papers'!$G:$G,"*"&amp;Table1[[#Headers],[Recommendation]]&amp;"*")</f>
        <v>0</v>
      </c>
      <c r="G864" s="8">
        <f>COUNTIFS('All Papers'!$D:$D,"*"&amp;$A864&amp;"*",'All Papers'!$G:$G,"*"&amp;Table1[[#Headers],[Resource Management-CS]]&amp;"*")</f>
        <v>1</v>
      </c>
      <c r="H864" s="8">
        <f>COUNTIFS('All Papers'!$D:$D,"*"&amp;$A864&amp;"*",'All Papers'!$G:$G,"*"&amp;Table1[[#Headers],[Resource Management-PS]]&amp;"*")</f>
        <v>0</v>
      </c>
      <c r="I864" s="8">
        <f>COUNTIFS('All Papers'!$D:$D,"*"&amp;$A864&amp;"*",'All Papers'!$G:$G,"*"&amp;Table1[[#Headers],[SLA Management]]&amp;"*")</f>
        <v>0</v>
      </c>
      <c r="J864" s="8">
        <f>COUNTIFS('All Papers'!$D:$D,"*"&amp;$A864&amp;"*",'All Papers'!$G:$G,"*"&amp;Table1[[#Headers],[Big Data]]&amp;"*")</f>
        <v>0</v>
      </c>
      <c r="K864" s="8">
        <f>COUNTIFS('All Papers'!$D:$D,"*"&amp;$A864&amp;"*",'All Papers'!$G:$G,"*"&amp;Table1[[#Headers],[Energy Management]]&amp;"*")</f>
        <v>0</v>
      </c>
      <c r="L864" s="8">
        <f>COUNTIFS('All Papers'!$D:$D,"*"&amp;$A864&amp;"*",'All Papers'!$G:$G,"*"&amp;Table1[[#Headers],[Monitoring]]&amp;"*")</f>
        <v>0</v>
      </c>
      <c r="M864" s="8">
        <f>COUNTIFS('All Papers'!$D:$D,"*"&amp;$A864&amp;"*",'All Papers'!$G:$G,"*"&amp;Table1[[#Headers],[Pricing]]&amp;"*")</f>
        <v>0</v>
      </c>
    </row>
    <row r="865" spans="1:13" x14ac:dyDescent="0.25">
      <c r="A865" s="8" t="s">
        <v>3298</v>
      </c>
      <c r="B865" s="8">
        <f>COUNTIF('All Papers'!D:D,"*"&amp;Table1[[#This Row],[Name]]&amp;"*")</f>
        <v>1</v>
      </c>
      <c r="C865" s="8">
        <f>COUNTIFS('All Papers'!$D:$D,"*"&amp;$A865&amp;"*",'All Papers'!$G:$G,"*"&amp;Table1[[#Headers],[Composition]]&amp;"*")</f>
        <v>0</v>
      </c>
      <c r="D865" s="8">
        <f>COUNTIFS('All Papers'!$D:$D,"*"&amp;$A865&amp;"*",'All Papers'!$G:$G,"*"&amp;Table1[[#Headers],[Discovery]]&amp;"*")</f>
        <v>0</v>
      </c>
      <c r="E865" s="8">
        <f>COUNTIFS('All Papers'!$D:$D,"*"&amp;$A865&amp;"*",'All Papers'!$G:$G,"*"&amp;Table1[[#Headers],[Selection]]&amp;"*")</f>
        <v>0</v>
      </c>
      <c r="F865" s="8">
        <f>COUNTIFS('All Papers'!$D:$D,"*"&amp;$A865&amp;"*",'All Papers'!$G:$G,"*"&amp;Table1[[#Headers],[Recommendation]]&amp;"*")</f>
        <v>0</v>
      </c>
      <c r="G865" s="8">
        <f>COUNTIFS('All Papers'!$D:$D,"*"&amp;$A865&amp;"*",'All Papers'!$G:$G,"*"&amp;Table1[[#Headers],[Resource Management-CS]]&amp;"*")</f>
        <v>1</v>
      </c>
      <c r="H865" s="8">
        <f>COUNTIFS('All Papers'!$D:$D,"*"&amp;$A865&amp;"*",'All Papers'!$G:$G,"*"&amp;Table1[[#Headers],[Resource Management-PS]]&amp;"*")</f>
        <v>0</v>
      </c>
      <c r="I865" s="8">
        <f>COUNTIFS('All Papers'!$D:$D,"*"&amp;$A865&amp;"*",'All Papers'!$G:$G,"*"&amp;Table1[[#Headers],[SLA Management]]&amp;"*")</f>
        <v>0</v>
      </c>
      <c r="J865" s="8">
        <f>COUNTIFS('All Papers'!$D:$D,"*"&amp;$A865&amp;"*",'All Papers'!$G:$G,"*"&amp;Table1[[#Headers],[Big Data]]&amp;"*")</f>
        <v>0</v>
      </c>
      <c r="K865" s="8">
        <f>COUNTIFS('All Papers'!$D:$D,"*"&amp;$A865&amp;"*",'All Papers'!$G:$G,"*"&amp;Table1[[#Headers],[Energy Management]]&amp;"*")</f>
        <v>0</v>
      </c>
      <c r="L865" s="8">
        <f>COUNTIFS('All Papers'!$D:$D,"*"&amp;$A865&amp;"*",'All Papers'!$G:$G,"*"&amp;Table1[[#Headers],[Monitoring]]&amp;"*")</f>
        <v>0</v>
      </c>
      <c r="M865" s="8">
        <f>COUNTIFS('All Papers'!$D:$D,"*"&amp;$A865&amp;"*",'All Papers'!$G:$G,"*"&amp;Table1[[#Headers],[Pricing]]&amp;"*")</f>
        <v>0</v>
      </c>
    </row>
    <row r="866" spans="1:13" x14ac:dyDescent="0.25">
      <c r="A866" s="8" t="s">
        <v>3299</v>
      </c>
      <c r="B866" s="8">
        <f>COUNTIF('All Papers'!D:D,"*"&amp;Table1[[#This Row],[Name]]&amp;"*")</f>
        <v>1</v>
      </c>
      <c r="C866" s="8">
        <f>COUNTIFS('All Papers'!$D:$D,"*"&amp;$A866&amp;"*",'All Papers'!$G:$G,"*"&amp;Table1[[#Headers],[Composition]]&amp;"*")</f>
        <v>0</v>
      </c>
      <c r="D866" s="8">
        <f>COUNTIFS('All Papers'!$D:$D,"*"&amp;$A866&amp;"*",'All Papers'!$G:$G,"*"&amp;Table1[[#Headers],[Discovery]]&amp;"*")</f>
        <v>0</v>
      </c>
      <c r="E866" s="8">
        <f>COUNTIFS('All Papers'!$D:$D,"*"&amp;$A866&amp;"*",'All Papers'!$G:$G,"*"&amp;Table1[[#Headers],[Selection]]&amp;"*")</f>
        <v>0</v>
      </c>
      <c r="F866" s="8">
        <f>COUNTIFS('All Papers'!$D:$D,"*"&amp;$A866&amp;"*",'All Papers'!$G:$G,"*"&amp;Table1[[#Headers],[Recommendation]]&amp;"*")</f>
        <v>0</v>
      </c>
      <c r="G866" s="8">
        <f>COUNTIFS('All Papers'!$D:$D,"*"&amp;$A866&amp;"*",'All Papers'!$G:$G,"*"&amp;Table1[[#Headers],[Resource Management-CS]]&amp;"*")</f>
        <v>1</v>
      </c>
      <c r="H866" s="8">
        <f>COUNTIFS('All Papers'!$D:$D,"*"&amp;$A866&amp;"*",'All Papers'!$G:$G,"*"&amp;Table1[[#Headers],[Resource Management-PS]]&amp;"*")</f>
        <v>0</v>
      </c>
      <c r="I866" s="8">
        <f>COUNTIFS('All Papers'!$D:$D,"*"&amp;$A866&amp;"*",'All Papers'!$G:$G,"*"&amp;Table1[[#Headers],[SLA Management]]&amp;"*")</f>
        <v>0</v>
      </c>
      <c r="J866" s="8">
        <f>COUNTIFS('All Papers'!$D:$D,"*"&amp;$A866&amp;"*",'All Papers'!$G:$G,"*"&amp;Table1[[#Headers],[Big Data]]&amp;"*")</f>
        <v>0</v>
      </c>
      <c r="K866" s="8">
        <f>COUNTIFS('All Papers'!$D:$D,"*"&amp;$A866&amp;"*",'All Papers'!$G:$G,"*"&amp;Table1[[#Headers],[Energy Management]]&amp;"*")</f>
        <v>0</v>
      </c>
      <c r="L866" s="8">
        <f>COUNTIFS('All Papers'!$D:$D,"*"&amp;$A866&amp;"*",'All Papers'!$G:$G,"*"&amp;Table1[[#Headers],[Monitoring]]&amp;"*")</f>
        <v>0</v>
      </c>
      <c r="M866" s="8">
        <f>COUNTIFS('All Papers'!$D:$D,"*"&amp;$A866&amp;"*",'All Papers'!$G:$G,"*"&amp;Table1[[#Headers],[Pricing]]&amp;"*")</f>
        <v>0</v>
      </c>
    </row>
    <row r="867" spans="1:13" x14ac:dyDescent="0.25">
      <c r="A867" s="8" t="s">
        <v>3300</v>
      </c>
      <c r="B867" s="8">
        <f>COUNTIF('All Papers'!D:D,"*"&amp;Table1[[#This Row],[Name]]&amp;"*")</f>
        <v>1</v>
      </c>
      <c r="C867" s="8">
        <f>COUNTIFS('All Papers'!$D:$D,"*"&amp;$A867&amp;"*",'All Papers'!$G:$G,"*"&amp;Table1[[#Headers],[Composition]]&amp;"*")</f>
        <v>0</v>
      </c>
      <c r="D867" s="8">
        <f>COUNTIFS('All Papers'!$D:$D,"*"&amp;$A867&amp;"*",'All Papers'!$G:$G,"*"&amp;Table1[[#Headers],[Discovery]]&amp;"*")</f>
        <v>0</v>
      </c>
      <c r="E867" s="8">
        <f>COUNTIFS('All Papers'!$D:$D,"*"&amp;$A867&amp;"*",'All Papers'!$G:$G,"*"&amp;Table1[[#Headers],[Selection]]&amp;"*")</f>
        <v>0</v>
      </c>
      <c r="F867" s="8">
        <f>COUNTIFS('All Papers'!$D:$D,"*"&amp;$A867&amp;"*",'All Papers'!$G:$G,"*"&amp;Table1[[#Headers],[Recommendation]]&amp;"*")</f>
        <v>0</v>
      </c>
      <c r="G867" s="8">
        <f>COUNTIFS('All Papers'!$D:$D,"*"&amp;$A867&amp;"*",'All Papers'!$G:$G,"*"&amp;Table1[[#Headers],[Resource Management-CS]]&amp;"*")</f>
        <v>1</v>
      </c>
      <c r="H867" s="8">
        <f>COUNTIFS('All Papers'!$D:$D,"*"&amp;$A867&amp;"*",'All Papers'!$G:$G,"*"&amp;Table1[[#Headers],[Resource Management-PS]]&amp;"*")</f>
        <v>0</v>
      </c>
      <c r="I867" s="8">
        <f>COUNTIFS('All Papers'!$D:$D,"*"&amp;$A867&amp;"*",'All Papers'!$G:$G,"*"&amp;Table1[[#Headers],[SLA Management]]&amp;"*")</f>
        <v>0</v>
      </c>
      <c r="J867" s="8">
        <f>COUNTIFS('All Papers'!$D:$D,"*"&amp;$A867&amp;"*",'All Papers'!$G:$G,"*"&amp;Table1[[#Headers],[Big Data]]&amp;"*")</f>
        <v>0</v>
      </c>
      <c r="K867" s="8">
        <f>COUNTIFS('All Papers'!$D:$D,"*"&amp;$A867&amp;"*",'All Papers'!$G:$G,"*"&amp;Table1[[#Headers],[Energy Management]]&amp;"*")</f>
        <v>0</v>
      </c>
      <c r="L867" s="8">
        <f>COUNTIFS('All Papers'!$D:$D,"*"&amp;$A867&amp;"*",'All Papers'!$G:$G,"*"&amp;Table1[[#Headers],[Monitoring]]&amp;"*")</f>
        <v>0</v>
      </c>
      <c r="M867" s="8">
        <f>COUNTIFS('All Papers'!$D:$D,"*"&amp;$A867&amp;"*",'All Papers'!$G:$G,"*"&amp;Table1[[#Headers],[Pricing]]&amp;"*")</f>
        <v>0</v>
      </c>
    </row>
    <row r="868" spans="1:13" x14ac:dyDescent="0.25">
      <c r="A868" s="8" t="s">
        <v>3301</v>
      </c>
      <c r="B868" s="8">
        <f>COUNTIF('All Papers'!D:D,"*"&amp;Table1[[#This Row],[Name]]&amp;"*")</f>
        <v>1</v>
      </c>
      <c r="C868" s="8">
        <f>COUNTIFS('All Papers'!$D:$D,"*"&amp;$A868&amp;"*",'All Papers'!$G:$G,"*"&amp;Table1[[#Headers],[Composition]]&amp;"*")</f>
        <v>0</v>
      </c>
      <c r="D868" s="8">
        <f>COUNTIFS('All Papers'!$D:$D,"*"&amp;$A868&amp;"*",'All Papers'!$G:$G,"*"&amp;Table1[[#Headers],[Discovery]]&amp;"*")</f>
        <v>0</v>
      </c>
      <c r="E868" s="8">
        <f>COUNTIFS('All Papers'!$D:$D,"*"&amp;$A868&amp;"*",'All Papers'!$G:$G,"*"&amp;Table1[[#Headers],[Selection]]&amp;"*")</f>
        <v>0</v>
      </c>
      <c r="F868" s="8">
        <f>COUNTIFS('All Papers'!$D:$D,"*"&amp;$A868&amp;"*",'All Papers'!$G:$G,"*"&amp;Table1[[#Headers],[Recommendation]]&amp;"*")</f>
        <v>0</v>
      </c>
      <c r="G868" s="8">
        <f>COUNTIFS('All Papers'!$D:$D,"*"&amp;$A868&amp;"*",'All Papers'!$G:$G,"*"&amp;Table1[[#Headers],[Resource Management-CS]]&amp;"*")</f>
        <v>1</v>
      </c>
      <c r="H868" s="8">
        <f>COUNTIFS('All Papers'!$D:$D,"*"&amp;$A868&amp;"*",'All Papers'!$G:$G,"*"&amp;Table1[[#Headers],[Resource Management-PS]]&amp;"*")</f>
        <v>0</v>
      </c>
      <c r="I868" s="8">
        <f>COUNTIFS('All Papers'!$D:$D,"*"&amp;$A868&amp;"*",'All Papers'!$G:$G,"*"&amp;Table1[[#Headers],[SLA Management]]&amp;"*")</f>
        <v>0</v>
      </c>
      <c r="J868" s="8">
        <f>COUNTIFS('All Papers'!$D:$D,"*"&amp;$A868&amp;"*",'All Papers'!$G:$G,"*"&amp;Table1[[#Headers],[Big Data]]&amp;"*")</f>
        <v>0</v>
      </c>
      <c r="K868" s="8">
        <f>COUNTIFS('All Papers'!$D:$D,"*"&amp;$A868&amp;"*",'All Papers'!$G:$G,"*"&amp;Table1[[#Headers],[Energy Management]]&amp;"*")</f>
        <v>0</v>
      </c>
      <c r="L868" s="8">
        <f>COUNTIFS('All Papers'!$D:$D,"*"&amp;$A868&amp;"*",'All Papers'!$G:$G,"*"&amp;Table1[[#Headers],[Monitoring]]&amp;"*")</f>
        <v>0</v>
      </c>
      <c r="M868" s="8">
        <f>COUNTIFS('All Papers'!$D:$D,"*"&amp;$A868&amp;"*",'All Papers'!$G:$G,"*"&amp;Table1[[#Headers],[Pricing]]&amp;"*")</f>
        <v>0</v>
      </c>
    </row>
    <row r="869" spans="1:13" x14ac:dyDescent="0.25">
      <c r="A869" s="8" t="s">
        <v>3302</v>
      </c>
      <c r="B869" s="8">
        <f>COUNTIF('All Papers'!D:D,"*"&amp;Table1[[#This Row],[Name]]&amp;"*")</f>
        <v>1</v>
      </c>
      <c r="C869" s="8">
        <f>COUNTIFS('All Papers'!$D:$D,"*"&amp;$A869&amp;"*",'All Papers'!$G:$G,"*"&amp;Table1[[#Headers],[Composition]]&amp;"*")</f>
        <v>0</v>
      </c>
      <c r="D869" s="8">
        <f>COUNTIFS('All Papers'!$D:$D,"*"&amp;$A869&amp;"*",'All Papers'!$G:$G,"*"&amp;Table1[[#Headers],[Discovery]]&amp;"*")</f>
        <v>0</v>
      </c>
      <c r="E869" s="8">
        <f>COUNTIFS('All Papers'!$D:$D,"*"&amp;$A869&amp;"*",'All Papers'!$G:$G,"*"&amp;Table1[[#Headers],[Selection]]&amp;"*")</f>
        <v>0</v>
      </c>
      <c r="F869" s="8">
        <f>COUNTIFS('All Papers'!$D:$D,"*"&amp;$A869&amp;"*",'All Papers'!$G:$G,"*"&amp;Table1[[#Headers],[Recommendation]]&amp;"*")</f>
        <v>0</v>
      </c>
      <c r="G869" s="8">
        <f>COUNTIFS('All Papers'!$D:$D,"*"&amp;$A869&amp;"*",'All Papers'!$G:$G,"*"&amp;Table1[[#Headers],[Resource Management-CS]]&amp;"*")</f>
        <v>1</v>
      </c>
      <c r="H869" s="8">
        <f>COUNTIFS('All Papers'!$D:$D,"*"&amp;$A869&amp;"*",'All Papers'!$G:$G,"*"&amp;Table1[[#Headers],[Resource Management-PS]]&amp;"*")</f>
        <v>0</v>
      </c>
      <c r="I869" s="8">
        <f>COUNTIFS('All Papers'!$D:$D,"*"&amp;$A869&amp;"*",'All Papers'!$G:$G,"*"&amp;Table1[[#Headers],[SLA Management]]&amp;"*")</f>
        <v>0</v>
      </c>
      <c r="J869" s="8">
        <f>COUNTIFS('All Papers'!$D:$D,"*"&amp;$A869&amp;"*",'All Papers'!$G:$G,"*"&amp;Table1[[#Headers],[Big Data]]&amp;"*")</f>
        <v>0</v>
      </c>
      <c r="K869" s="8">
        <f>COUNTIFS('All Papers'!$D:$D,"*"&amp;$A869&amp;"*",'All Papers'!$G:$G,"*"&amp;Table1[[#Headers],[Energy Management]]&amp;"*")</f>
        <v>0</v>
      </c>
      <c r="L869" s="8">
        <f>COUNTIFS('All Papers'!$D:$D,"*"&amp;$A869&amp;"*",'All Papers'!$G:$G,"*"&amp;Table1[[#Headers],[Monitoring]]&amp;"*")</f>
        <v>0</v>
      </c>
      <c r="M869" s="8">
        <f>COUNTIFS('All Papers'!$D:$D,"*"&amp;$A869&amp;"*",'All Papers'!$G:$G,"*"&amp;Table1[[#Headers],[Pricing]]&amp;"*")</f>
        <v>0</v>
      </c>
    </row>
    <row r="870" spans="1:13" x14ac:dyDescent="0.25">
      <c r="A870" s="8" t="s">
        <v>3303</v>
      </c>
      <c r="B870" s="8">
        <f>COUNTIF('All Papers'!D:D,"*"&amp;Table1[[#This Row],[Name]]&amp;"*")</f>
        <v>1</v>
      </c>
      <c r="C870" s="8">
        <f>COUNTIFS('All Papers'!$D:$D,"*"&amp;$A870&amp;"*",'All Papers'!$G:$G,"*"&amp;Table1[[#Headers],[Composition]]&amp;"*")</f>
        <v>0</v>
      </c>
      <c r="D870" s="8">
        <f>COUNTIFS('All Papers'!$D:$D,"*"&amp;$A870&amp;"*",'All Papers'!$G:$G,"*"&amp;Table1[[#Headers],[Discovery]]&amp;"*")</f>
        <v>0</v>
      </c>
      <c r="E870" s="8">
        <f>COUNTIFS('All Papers'!$D:$D,"*"&amp;$A870&amp;"*",'All Papers'!$G:$G,"*"&amp;Table1[[#Headers],[Selection]]&amp;"*")</f>
        <v>0</v>
      </c>
      <c r="F870" s="8">
        <f>COUNTIFS('All Papers'!$D:$D,"*"&amp;$A870&amp;"*",'All Papers'!$G:$G,"*"&amp;Table1[[#Headers],[Recommendation]]&amp;"*")</f>
        <v>0</v>
      </c>
      <c r="G870" s="8">
        <f>COUNTIFS('All Papers'!$D:$D,"*"&amp;$A870&amp;"*",'All Papers'!$G:$G,"*"&amp;Table1[[#Headers],[Resource Management-CS]]&amp;"*")</f>
        <v>1</v>
      </c>
      <c r="H870" s="8">
        <f>COUNTIFS('All Papers'!$D:$D,"*"&amp;$A870&amp;"*",'All Papers'!$G:$G,"*"&amp;Table1[[#Headers],[Resource Management-PS]]&amp;"*")</f>
        <v>0</v>
      </c>
      <c r="I870" s="8">
        <f>COUNTIFS('All Papers'!$D:$D,"*"&amp;$A870&amp;"*",'All Papers'!$G:$G,"*"&amp;Table1[[#Headers],[SLA Management]]&amp;"*")</f>
        <v>0</v>
      </c>
      <c r="J870" s="8">
        <f>COUNTIFS('All Papers'!$D:$D,"*"&amp;$A870&amp;"*",'All Papers'!$G:$G,"*"&amp;Table1[[#Headers],[Big Data]]&amp;"*")</f>
        <v>0</v>
      </c>
      <c r="K870" s="8">
        <f>COUNTIFS('All Papers'!$D:$D,"*"&amp;$A870&amp;"*",'All Papers'!$G:$G,"*"&amp;Table1[[#Headers],[Energy Management]]&amp;"*")</f>
        <v>0</v>
      </c>
      <c r="L870" s="8">
        <f>COUNTIFS('All Papers'!$D:$D,"*"&amp;$A870&amp;"*",'All Papers'!$G:$G,"*"&amp;Table1[[#Headers],[Monitoring]]&amp;"*")</f>
        <v>0</v>
      </c>
      <c r="M870" s="8">
        <f>COUNTIFS('All Papers'!$D:$D,"*"&amp;$A870&amp;"*",'All Papers'!$G:$G,"*"&amp;Table1[[#Headers],[Pricing]]&amp;"*")</f>
        <v>0</v>
      </c>
    </row>
    <row r="871" spans="1:13" x14ac:dyDescent="0.25">
      <c r="A871" s="8" t="s">
        <v>3304</v>
      </c>
      <c r="B871" s="8">
        <f>COUNTIF('All Papers'!D:D,"*"&amp;Table1[[#This Row],[Name]]&amp;"*")</f>
        <v>1</v>
      </c>
      <c r="C871" s="8">
        <f>COUNTIFS('All Papers'!$D:$D,"*"&amp;$A871&amp;"*",'All Papers'!$G:$G,"*"&amp;Table1[[#Headers],[Composition]]&amp;"*")</f>
        <v>0</v>
      </c>
      <c r="D871" s="8">
        <f>COUNTIFS('All Papers'!$D:$D,"*"&amp;$A871&amp;"*",'All Papers'!$G:$G,"*"&amp;Table1[[#Headers],[Discovery]]&amp;"*")</f>
        <v>0</v>
      </c>
      <c r="E871" s="8">
        <f>COUNTIFS('All Papers'!$D:$D,"*"&amp;$A871&amp;"*",'All Papers'!$G:$G,"*"&amp;Table1[[#Headers],[Selection]]&amp;"*")</f>
        <v>0</v>
      </c>
      <c r="F871" s="8">
        <f>COUNTIFS('All Papers'!$D:$D,"*"&amp;$A871&amp;"*",'All Papers'!$G:$G,"*"&amp;Table1[[#Headers],[Recommendation]]&amp;"*")</f>
        <v>0</v>
      </c>
      <c r="G871" s="8">
        <f>COUNTIFS('All Papers'!$D:$D,"*"&amp;$A871&amp;"*",'All Papers'!$G:$G,"*"&amp;Table1[[#Headers],[Resource Management-CS]]&amp;"*")</f>
        <v>1</v>
      </c>
      <c r="H871" s="8">
        <f>COUNTIFS('All Papers'!$D:$D,"*"&amp;$A871&amp;"*",'All Papers'!$G:$G,"*"&amp;Table1[[#Headers],[Resource Management-PS]]&amp;"*")</f>
        <v>0</v>
      </c>
      <c r="I871" s="8">
        <f>COUNTIFS('All Papers'!$D:$D,"*"&amp;$A871&amp;"*",'All Papers'!$G:$G,"*"&amp;Table1[[#Headers],[SLA Management]]&amp;"*")</f>
        <v>0</v>
      </c>
      <c r="J871" s="8">
        <f>COUNTIFS('All Papers'!$D:$D,"*"&amp;$A871&amp;"*",'All Papers'!$G:$G,"*"&amp;Table1[[#Headers],[Big Data]]&amp;"*")</f>
        <v>0</v>
      </c>
      <c r="K871" s="8">
        <f>COUNTIFS('All Papers'!$D:$D,"*"&amp;$A871&amp;"*",'All Papers'!$G:$G,"*"&amp;Table1[[#Headers],[Energy Management]]&amp;"*")</f>
        <v>0</v>
      </c>
      <c r="L871" s="8">
        <f>COUNTIFS('All Papers'!$D:$D,"*"&amp;$A871&amp;"*",'All Papers'!$G:$G,"*"&amp;Table1[[#Headers],[Monitoring]]&amp;"*")</f>
        <v>0</v>
      </c>
      <c r="M871" s="8">
        <f>COUNTIFS('All Papers'!$D:$D,"*"&amp;$A871&amp;"*",'All Papers'!$G:$G,"*"&amp;Table1[[#Headers],[Pricing]]&amp;"*")</f>
        <v>0</v>
      </c>
    </row>
    <row r="872" spans="1:13" x14ac:dyDescent="0.25">
      <c r="A872" s="8" t="s">
        <v>3305</v>
      </c>
      <c r="B872" s="8">
        <f>COUNTIF('All Papers'!D:D,"*"&amp;Table1[[#This Row],[Name]]&amp;"*")</f>
        <v>1</v>
      </c>
      <c r="C872" s="8">
        <f>COUNTIFS('All Papers'!$D:$D,"*"&amp;$A872&amp;"*",'All Papers'!$G:$G,"*"&amp;Table1[[#Headers],[Composition]]&amp;"*")</f>
        <v>1</v>
      </c>
      <c r="D872" s="8">
        <f>COUNTIFS('All Papers'!$D:$D,"*"&amp;$A872&amp;"*",'All Papers'!$G:$G,"*"&amp;Table1[[#Headers],[Discovery]]&amp;"*")</f>
        <v>0</v>
      </c>
      <c r="E872" s="8">
        <f>COUNTIFS('All Papers'!$D:$D,"*"&amp;$A872&amp;"*",'All Papers'!$G:$G,"*"&amp;Table1[[#Headers],[Selection]]&amp;"*")</f>
        <v>0</v>
      </c>
      <c r="F872" s="8">
        <f>COUNTIFS('All Papers'!$D:$D,"*"&amp;$A872&amp;"*",'All Papers'!$G:$G,"*"&amp;Table1[[#Headers],[Recommendation]]&amp;"*")</f>
        <v>0</v>
      </c>
      <c r="G872" s="8">
        <f>COUNTIFS('All Papers'!$D:$D,"*"&amp;$A872&amp;"*",'All Papers'!$G:$G,"*"&amp;Table1[[#Headers],[Resource Management-CS]]&amp;"*")</f>
        <v>0</v>
      </c>
      <c r="H872" s="8">
        <f>COUNTIFS('All Papers'!$D:$D,"*"&amp;$A872&amp;"*",'All Papers'!$G:$G,"*"&amp;Table1[[#Headers],[Resource Management-PS]]&amp;"*")</f>
        <v>0</v>
      </c>
      <c r="I872" s="8">
        <f>COUNTIFS('All Papers'!$D:$D,"*"&amp;$A872&amp;"*",'All Papers'!$G:$G,"*"&amp;Table1[[#Headers],[SLA Management]]&amp;"*")</f>
        <v>0</v>
      </c>
      <c r="J872" s="8">
        <f>COUNTIFS('All Papers'!$D:$D,"*"&amp;$A872&amp;"*",'All Papers'!$G:$G,"*"&amp;Table1[[#Headers],[Big Data]]&amp;"*")</f>
        <v>0</v>
      </c>
      <c r="K872" s="8">
        <f>COUNTIFS('All Papers'!$D:$D,"*"&amp;$A872&amp;"*",'All Papers'!$G:$G,"*"&amp;Table1[[#Headers],[Energy Management]]&amp;"*")</f>
        <v>0</v>
      </c>
      <c r="L872" s="8">
        <f>COUNTIFS('All Papers'!$D:$D,"*"&amp;$A872&amp;"*",'All Papers'!$G:$G,"*"&amp;Table1[[#Headers],[Monitoring]]&amp;"*")</f>
        <v>0</v>
      </c>
      <c r="M872" s="8">
        <f>COUNTIFS('All Papers'!$D:$D,"*"&amp;$A872&amp;"*",'All Papers'!$G:$G,"*"&amp;Table1[[#Headers],[Pricing]]&amp;"*")</f>
        <v>0</v>
      </c>
    </row>
    <row r="873" spans="1:13" x14ac:dyDescent="0.25">
      <c r="A873" s="8" t="s">
        <v>3306</v>
      </c>
      <c r="B873" s="8">
        <f>COUNTIF('All Papers'!D:D,"*"&amp;Table1[[#This Row],[Name]]&amp;"*")</f>
        <v>1</v>
      </c>
      <c r="C873" s="8">
        <f>COUNTIFS('All Papers'!$D:$D,"*"&amp;$A873&amp;"*",'All Papers'!$G:$G,"*"&amp;Table1[[#Headers],[Composition]]&amp;"*")</f>
        <v>1</v>
      </c>
      <c r="D873" s="8">
        <f>COUNTIFS('All Papers'!$D:$D,"*"&amp;$A873&amp;"*",'All Papers'!$G:$G,"*"&amp;Table1[[#Headers],[Discovery]]&amp;"*")</f>
        <v>0</v>
      </c>
      <c r="E873" s="8">
        <f>COUNTIFS('All Papers'!$D:$D,"*"&amp;$A873&amp;"*",'All Papers'!$G:$G,"*"&amp;Table1[[#Headers],[Selection]]&amp;"*")</f>
        <v>0</v>
      </c>
      <c r="F873" s="8">
        <f>COUNTIFS('All Papers'!$D:$D,"*"&amp;$A873&amp;"*",'All Papers'!$G:$G,"*"&amp;Table1[[#Headers],[Recommendation]]&amp;"*")</f>
        <v>0</v>
      </c>
      <c r="G873" s="8">
        <f>COUNTIFS('All Papers'!$D:$D,"*"&amp;$A873&amp;"*",'All Papers'!$G:$G,"*"&amp;Table1[[#Headers],[Resource Management-CS]]&amp;"*")</f>
        <v>0</v>
      </c>
      <c r="H873" s="8">
        <f>COUNTIFS('All Papers'!$D:$D,"*"&amp;$A873&amp;"*",'All Papers'!$G:$G,"*"&amp;Table1[[#Headers],[Resource Management-PS]]&amp;"*")</f>
        <v>0</v>
      </c>
      <c r="I873" s="8">
        <f>COUNTIFS('All Papers'!$D:$D,"*"&amp;$A873&amp;"*",'All Papers'!$G:$G,"*"&amp;Table1[[#Headers],[SLA Management]]&amp;"*")</f>
        <v>0</v>
      </c>
      <c r="J873" s="8">
        <f>COUNTIFS('All Papers'!$D:$D,"*"&amp;$A873&amp;"*",'All Papers'!$G:$G,"*"&amp;Table1[[#Headers],[Big Data]]&amp;"*")</f>
        <v>0</v>
      </c>
      <c r="K873" s="8">
        <f>COUNTIFS('All Papers'!$D:$D,"*"&amp;$A873&amp;"*",'All Papers'!$G:$G,"*"&amp;Table1[[#Headers],[Energy Management]]&amp;"*")</f>
        <v>0</v>
      </c>
      <c r="L873" s="8">
        <f>COUNTIFS('All Papers'!$D:$D,"*"&amp;$A873&amp;"*",'All Papers'!$G:$G,"*"&amp;Table1[[#Headers],[Monitoring]]&amp;"*")</f>
        <v>0</v>
      </c>
      <c r="M873" s="8">
        <f>COUNTIFS('All Papers'!$D:$D,"*"&amp;$A873&amp;"*",'All Papers'!$G:$G,"*"&amp;Table1[[#Headers],[Pricing]]&amp;"*")</f>
        <v>0</v>
      </c>
    </row>
    <row r="874" spans="1:13" x14ac:dyDescent="0.25">
      <c r="A874" s="8" t="s">
        <v>3307</v>
      </c>
      <c r="B874" s="8">
        <f>COUNTIF('All Papers'!D:D,"*"&amp;Table1[[#This Row],[Name]]&amp;"*")</f>
        <v>1</v>
      </c>
      <c r="C874" s="8">
        <f>COUNTIFS('All Papers'!$D:$D,"*"&amp;$A874&amp;"*",'All Papers'!$G:$G,"*"&amp;Table1[[#Headers],[Composition]]&amp;"*")</f>
        <v>1</v>
      </c>
      <c r="D874" s="8">
        <f>COUNTIFS('All Papers'!$D:$D,"*"&amp;$A874&amp;"*",'All Papers'!$G:$G,"*"&amp;Table1[[#Headers],[Discovery]]&amp;"*")</f>
        <v>0</v>
      </c>
      <c r="E874" s="8">
        <f>COUNTIFS('All Papers'!$D:$D,"*"&amp;$A874&amp;"*",'All Papers'!$G:$G,"*"&amp;Table1[[#Headers],[Selection]]&amp;"*")</f>
        <v>0</v>
      </c>
      <c r="F874" s="8">
        <f>COUNTIFS('All Papers'!$D:$D,"*"&amp;$A874&amp;"*",'All Papers'!$G:$G,"*"&amp;Table1[[#Headers],[Recommendation]]&amp;"*")</f>
        <v>0</v>
      </c>
      <c r="G874" s="8">
        <f>COUNTIFS('All Papers'!$D:$D,"*"&amp;$A874&amp;"*",'All Papers'!$G:$G,"*"&amp;Table1[[#Headers],[Resource Management-CS]]&amp;"*")</f>
        <v>0</v>
      </c>
      <c r="H874" s="8">
        <f>COUNTIFS('All Papers'!$D:$D,"*"&amp;$A874&amp;"*",'All Papers'!$G:$G,"*"&amp;Table1[[#Headers],[Resource Management-PS]]&amp;"*")</f>
        <v>0</v>
      </c>
      <c r="I874" s="8">
        <f>COUNTIFS('All Papers'!$D:$D,"*"&amp;$A874&amp;"*",'All Papers'!$G:$G,"*"&amp;Table1[[#Headers],[SLA Management]]&amp;"*")</f>
        <v>0</v>
      </c>
      <c r="J874" s="8">
        <f>COUNTIFS('All Papers'!$D:$D,"*"&amp;$A874&amp;"*",'All Papers'!$G:$G,"*"&amp;Table1[[#Headers],[Big Data]]&amp;"*")</f>
        <v>0</v>
      </c>
      <c r="K874" s="8">
        <f>COUNTIFS('All Papers'!$D:$D,"*"&amp;$A874&amp;"*",'All Papers'!$G:$G,"*"&amp;Table1[[#Headers],[Energy Management]]&amp;"*")</f>
        <v>0</v>
      </c>
      <c r="L874" s="8">
        <f>COUNTIFS('All Papers'!$D:$D,"*"&amp;$A874&amp;"*",'All Papers'!$G:$G,"*"&amp;Table1[[#Headers],[Monitoring]]&amp;"*")</f>
        <v>0</v>
      </c>
      <c r="M874" s="8">
        <f>COUNTIFS('All Papers'!$D:$D,"*"&amp;$A874&amp;"*",'All Papers'!$G:$G,"*"&amp;Table1[[#Headers],[Pricing]]&amp;"*")</f>
        <v>0</v>
      </c>
    </row>
    <row r="875" spans="1:13" x14ac:dyDescent="0.25">
      <c r="A875" s="8" t="s">
        <v>3308</v>
      </c>
      <c r="B875" s="8">
        <f>COUNTIF('All Papers'!D:D,"*"&amp;Table1[[#This Row],[Name]]&amp;"*")</f>
        <v>1</v>
      </c>
      <c r="C875" s="8">
        <f>COUNTIFS('All Papers'!$D:$D,"*"&amp;$A875&amp;"*",'All Papers'!$G:$G,"*"&amp;Table1[[#Headers],[Composition]]&amp;"*")</f>
        <v>0</v>
      </c>
      <c r="D875" s="8">
        <f>COUNTIFS('All Papers'!$D:$D,"*"&amp;$A875&amp;"*",'All Papers'!$G:$G,"*"&amp;Table1[[#Headers],[Discovery]]&amp;"*")</f>
        <v>0</v>
      </c>
      <c r="E875" s="8">
        <f>COUNTIFS('All Papers'!$D:$D,"*"&amp;$A875&amp;"*",'All Papers'!$G:$G,"*"&amp;Table1[[#Headers],[Selection]]&amp;"*")</f>
        <v>0</v>
      </c>
      <c r="F875" s="8">
        <f>COUNTIFS('All Papers'!$D:$D,"*"&amp;$A875&amp;"*",'All Papers'!$G:$G,"*"&amp;Table1[[#Headers],[Recommendation]]&amp;"*")</f>
        <v>0</v>
      </c>
      <c r="G875" s="8">
        <f>COUNTIFS('All Papers'!$D:$D,"*"&amp;$A875&amp;"*",'All Papers'!$G:$G,"*"&amp;Table1[[#Headers],[Resource Management-CS]]&amp;"*")</f>
        <v>1</v>
      </c>
      <c r="H875" s="8">
        <f>COUNTIFS('All Papers'!$D:$D,"*"&amp;$A875&amp;"*",'All Papers'!$G:$G,"*"&amp;Table1[[#Headers],[Resource Management-PS]]&amp;"*")</f>
        <v>0</v>
      </c>
      <c r="I875" s="8">
        <f>COUNTIFS('All Papers'!$D:$D,"*"&amp;$A875&amp;"*",'All Papers'!$G:$G,"*"&amp;Table1[[#Headers],[SLA Management]]&amp;"*")</f>
        <v>0</v>
      </c>
      <c r="J875" s="8">
        <f>COUNTIFS('All Papers'!$D:$D,"*"&amp;$A875&amp;"*",'All Papers'!$G:$G,"*"&amp;Table1[[#Headers],[Big Data]]&amp;"*")</f>
        <v>0</v>
      </c>
      <c r="K875" s="8">
        <f>COUNTIFS('All Papers'!$D:$D,"*"&amp;$A875&amp;"*",'All Papers'!$G:$G,"*"&amp;Table1[[#Headers],[Energy Management]]&amp;"*")</f>
        <v>0</v>
      </c>
      <c r="L875" s="8">
        <f>COUNTIFS('All Papers'!$D:$D,"*"&amp;$A875&amp;"*",'All Papers'!$G:$G,"*"&amp;Table1[[#Headers],[Monitoring]]&amp;"*")</f>
        <v>0</v>
      </c>
      <c r="M875" s="8">
        <f>COUNTIFS('All Papers'!$D:$D,"*"&amp;$A875&amp;"*",'All Papers'!$G:$G,"*"&amp;Table1[[#Headers],[Pricing]]&amp;"*")</f>
        <v>0</v>
      </c>
    </row>
    <row r="876" spans="1:13" x14ac:dyDescent="0.25">
      <c r="A876" s="8" t="s">
        <v>3309</v>
      </c>
      <c r="B876" s="8">
        <f>COUNTIF('All Papers'!D:D,"*"&amp;Table1[[#This Row],[Name]]&amp;"*")</f>
        <v>1</v>
      </c>
      <c r="C876" s="8">
        <f>COUNTIFS('All Papers'!$D:$D,"*"&amp;$A876&amp;"*",'All Papers'!$G:$G,"*"&amp;Table1[[#Headers],[Composition]]&amp;"*")</f>
        <v>0</v>
      </c>
      <c r="D876" s="8">
        <f>COUNTIFS('All Papers'!$D:$D,"*"&amp;$A876&amp;"*",'All Papers'!$G:$G,"*"&amp;Table1[[#Headers],[Discovery]]&amp;"*")</f>
        <v>0</v>
      </c>
      <c r="E876" s="8">
        <f>COUNTIFS('All Papers'!$D:$D,"*"&amp;$A876&amp;"*",'All Papers'!$G:$G,"*"&amp;Table1[[#Headers],[Selection]]&amp;"*")</f>
        <v>0</v>
      </c>
      <c r="F876" s="8">
        <f>COUNTIFS('All Papers'!$D:$D,"*"&amp;$A876&amp;"*",'All Papers'!$G:$G,"*"&amp;Table1[[#Headers],[Recommendation]]&amp;"*")</f>
        <v>0</v>
      </c>
      <c r="G876" s="8">
        <f>COUNTIFS('All Papers'!$D:$D,"*"&amp;$A876&amp;"*",'All Papers'!$G:$G,"*"&amp;Table1[[#Headers],[Resource Management-CS]]&amp;"*")</f>
        <v>1</v>
      </c>
      <c r="H876" s="8">
        <f>COUNTIFS('All Papers'!$D:$D,"*"&amp;$A876&amp;"*",'All Papers'!$G:$G,"*"&amp;Table1[[#Headers],[Resource Management-PS]]&amp;"*")</f>
        <v>0</v>
      </c>
      <c r="I876" s="8">
        <f>COUNTIFS('All Papers'!$D:$D,"*"&amp;$A876&amp;"*",'All Papers'!$G:$G,"*"&amp;Table1[[#Headers],[SLA Management]]&amp;"*")</f>
        <v>0</v>
      </c>
      <c r="J876" s="8">
        <f>COUNTIFS('All Papers'!$D:$D,"*"&amp;$A876&amp;"*",'All Papers'!$G:$G,"*"&amp;Table1[[#Headers],[Big Data]]&amp;"*")</f>
        <v>0</v>
      </c>
      <c r="K876" s="8">
        <f>COUNTIFS('All Papers'!$D:$D,"*"&amp;$A876&amp;"*",'All Papers'!$G:$G,"*"&amp;Table1[[#Headers],[Energy Management]]&amp;"*")</f>
        <v>0</v>
      </c>
      <c r="L876" s="8">
        <f>COUNTIFS('All Papers'!$D:$D,"*"&amp;$A876&amp;"*",'All Papers'!$G:$G,"*"&amp;Table1[[#Headers],[Monitoring]]&amp;"*")</f>
        <v>0</v>
      </c>
      <c r="M876" s="8">
        <f>COUNTIFS('All Papers'!$D:$D,"*"&amp;$A876&amp;"*",'All Papers'!$G:$G,"*"&amp;Table1[[#Headers],[Pricing]]&amp;"*")</f>
        <v>0</v>
      </c>
    </row>
    <row r="877" spans="1:13" x14ac:dyDescent="0.25">
      <c r="A877" s="8" t="s">
        <v>3310</v>
      </c>
      <c r="B877" s="8">
        <f>COUNTIF('All Papers'!D:D,"*"&amp;Table1[[#This Row],[Name]]&amp;"*")</f>
        <v>1</v>
      </c>
      <c r="C877" s="8">
        <f>COUNTIFS('All Papers'!$D:$D,"*"&amp;$A877&amp;"*",'All Papers'!$G:$G,"*"&amp;Table1[[#Headers],[Composition]]&amp;"*")</f>
        <v>0</v>
      </c>
      <c r="D877" s="8">
        <f>COUNTIFS('All Papers'!$D:$D,"*"&amp;$A877&amp;"*",'All Papers'!$G:$G,"*"&amp;Table1[[#Headers],[Discovery]]&amp;"*")</f>
        <v>0</v>
      </c>
      <c r="E877" s="8">
        <f>COUNTIFS('All Papers'!$D:$D,"*"&amp;$A877&amp;"*",'All Papers'!$G:$G,"*"&amp;Table1[[#Headers],[Selection]]&amp;"*")</f>
        <v>0</v>
      </c>
      <c r="F877" s="8">
        <f>COUNTIFS('All Papers'!$D:$D,"*"&amp;$A877&amp;"*",'All Papers'!$G:$G,"*"&amp;Table1[[#Headers],[Recommendation]]&amp;"*")</f>
        <v>0</v>
      </c>
      <c r="G877" s="8">
        <f>COUNTIFS('All Papers'!$D:$D,"*"&amp;$A877&amp;"*",'All Papers'!$G:$G,"*"&amp;Table1[[#Headers],[Resource Management-CS]]&amp;"*")</f>
        <v>1</v>
      </c>
      <c r="H877" s="8">
        <f>COUNTIFS('All Papers'!$D:$D,"*"&amp;$A877&amp;"*",'All Papers'!$G:$G,"*"&amp;Table1[[#Headers],[Resource Management-PS]]&amp;"*")</f>
        <v>0</v>
      </c>
      <c r="I877" s="8">
        <f>COUNTIFS('All Papers'!$D:$D,"*"&amp;$A877&amp;"*",'All Papers'!$G:$G,"*"&amp;Table1[[#Headers],[SLA Management]]&amp;"*")</f>
        <v>0</v>
      </c>
      <c r="J877" s="8">
        <f>COUNTIFS('All Papers'!$D:$D,"*"&amp;$A877&amp;"*",'All Papers'!$G:$G,"*"&amp;Table1[[#Headers],[Big Data]]&amp;"*")</f>
        <v>0</v>
      </c>
      <c r="K877" s="8">
        <f>COUNTIFS('All Papers'!$D:$D,"*"&amp;$A877&amp;"*",'All Papers'!$G:$G,"*"&amp;Table1[[#Headers],[Energy Management]]&amp;"*")</f>
        <v>0</v>
      </c>
      <c r="L877" s="8">
        <f>COUNTIFS('All Papers'!$D:$D,"*"&amp;$A877&amp;"*",'All Papers'!$G:$G,"*"&amp;Table1[[#Headers],[Monitoring]]&amp;"*")</f>
        <v>0</v>
      </c>
      <c r="M877" s="8">
        <f>COUNTIFS('All Papers'!$D:$D,"*"&amp;$A877&amp;"*",'All Papers'!$G:$G,"*"&amp;Table1[[#Headers],[Pricing]]&amp;"*")</f>
        <v>0</v>
      </c>
    </row>
    <row r="878" spans="1:13" x14ac:dyDescent="0.25">
      <c r="A878" s="8" t="s">
        <v>3311</v>
      </c>
      <c r="B878" s="8">
        <f>COUNTIF('All Papers'!D:D,"*"&amp;Table1[[#This Row],[Name]]&amp;"*")</f>
        <v>1</v>
      </c>
      <c r="C878" s="8">
        <f>COUNTIFS('All Papers'!$D:$D,"*"&amp;$A878&amp;"*",'All Papers'!$G:$G,"*"&amp;Table1[[#Headers],[Composition]]&amp;"*")</f>
        <v>1</v>
      </c>
      <c r="D878" s="8">
        <f>COUNTIFS('All Papers'!$D:$D,"*"&amp;$A878&amp;"*",'All Papers'!$G:$G,"*"&amp;Table1[[#Headers],[Discovery]]&amp;"*")</f>
        <v>0</v>
      </c>
      <c r="E878" s="8">
        <f>COUNTIFS('All Papers'!$D:$D,"*"&amp;$A878&amp;"*",'All Papers'!$G:$G,"*"&amp;Table1[[#Headers],[Selection]]&amp;"*")</f>
        <v>0</v>
      </c>
      <c r="F878" s="8">
        <f>COUNTIFS('All Papers'!$D:$D,"*"&amp;$A878&amp;"*",'All Papers'!$G:$G,"*"&amp;Table1[[#Headers],[Recommendation]]&amp;"*")</f>
        <v>0</v>
      </c>
      <c r="G878" s="8">
        <f>COUNTIFS('All Papers'!$D:$D,"*"&amp;$A878&amp;"*",'All Papers'!$G:$G,"*"&amp;Table1[[#Headers],[Resource Management-CS]]&amp;"*")</f>
        <v>0</v>
      </c>
      <c r="H878" s="8">
        <f>COUNTIFS('All Papers'!$D:$D,"*"&amp;$A878&amp;"*",'All Papers'!$G:$G,"*"&amp;Table1[[#Headers],[Resource Management-PS]]&amp;"*")</f>
        <v>0</v>
      </c>
      <c r="I878" s="8">
        <f>COUNTIFS('All Papers'!$D:$D,"*"&amp;$A878&amp;"*",'All Papers'!$G:$G,"*"&amp;Table1[[#Headers],[SLA Management]]&amp;"*")</f>
        <v>0</v>
      </c>
      <c r="J878" s="8">
        <f>COUNTIFS('All Papers'!$D:$D,"*"&amp;$A878&amp;"*",'All Papers'!$G:$G,"*"&amp;Table1[[#Headers],[Big Data]]&amp;"*")</f>
        <v>0</v>
      </c>
      <c r="K878" s="8">
        <f>COUNTIFS('All Papers'!$D:$D,"*"&amp;$A878&amp;"*",'All Papers'!$G:$G,"*"&amp;Table1[[#Headers],[Energy Management]]&amp;"*")</f>
        <v>0</v>
      </c>
      <c r="L878" s="8">
        <f>COUNTIFS('All Papers'!$D:$D,"*"&amp;$A878&amp;"*",'All Papers'!$G:$G,"*"&amp;Table1[[#Headers],[Monitoring]]&amp;"*")</f>
        <v>0</v>
      </c>
      <c r="M878" s="8">
        <f>COUNTIFS('All Papers'!$D:$D,"*"&amp;$A878&amp;"*",'All Papers'!$G:$G,"*"&amp;Table1[[#Headers],[Pricing]]&amp;"*")</f>
        <v>0</v>
      </c>
    </row>
    <row r="879" spans="1:13" x14ac:dyDescent="0.25">
      <c r="A879" s="8" t="s">
        <v>3312</v>
      </c>
      <c r="B879" s="8">
        <f>COUNTIF('All Papers'!D:D,"*"&amp;Table1[[#This Row],[Name]]&amp;"*")</f>
        <v>1</v>
      </c>
      <c r="C879" s="8">
        <f>COUNTIFS('All Papers'!$D:$D,"*"&amp;$A879&amp;"*",'All Papers'!$G:$G,"*"&amp;Table1[[#Headers],[Composition]]&amp;"*")</f>
        <v>1</v>
      </c>
      <c r="D879" s="8">
        <f>COUNTIFS('All Papers'!$D:$D,"*"&amp;$A879&amp;"*",'All Papers'!$G:$G,"*"&amp;Table1[[#Headers],[Discovery]]&amp;"*")</f>
        <v>0</v>
      </c>
      <c r="E879" s="8">
        <f>COUNTIFS('All Papers'!$D:$D,"*"&amp;$A879&amp;"*",'All Papers'!$G:$G,"*"&amp;Table1[[#Headers],[Selection]]&amp;"*")</f>
        <v>0</v>
      </c>
      <c r="F879" s="8">
        <f>COUNTIFS('All Papers'!$D:$D,"*"&amp;$A879&amp;"*",'All Papers'!$G:$G,"*"&amp;Table1[[#Headers],[Recommendation]]&amp;"*")</f>
        <v>0</v>
      </c>
      <c r="G879" s="8">
        <f>COUNTIFS('All Papers'!$D:$D,"*"&amp;$A879&amp;"*",'All Papers'!$G:$G,"*"&amp;Table1[[#Headers],[Resource Management-CS]]&amp;"*")</f>
        <v>0</v>
      </c>
      <c r="H879" s="8">
        <f>COUNTIFS('All Papers'!$D:$D,"*"&amp;$A879&amp;"*",'All Papers'!$G:$G,"*"&amp;Table1[[#Headers],[Resource Management-PS]]&amp;"*")</f>
        <v>0</v>
      </c>
      <c r="I879" s="8">
        <f>COUNTIFS('All Papers'!$D:$D,"*"&amp;$A879&amp;"*",'All Papers'!$G:$G,"*"&amp;Table1[[#Headers],[SLA Management]]&amp;"*")</f>
        <v>0</v>
      </c>
      <c r="J879" s="8">
        <f>COUNTIFS('All Papers'!$D:$D,"*"&amp;$A879&amp;"*",'All Papers'!$G:$G,"*"&amp;Table1[[#Headers],[Big Data]]&amp;"*")</f>
        <v>0</v>
      </c>
      <c r="K879" s="8">
        <f>COUNTIFS('All Papers'!$D:$D,"*"&amp;$A879&amp;"*",'All Papers'!$G:$G,"*"&amp;Table1[[#Headers],[Energy Management]]&amp;"*")</f>
        <v>0</v>
      </c>
      <c r="L879" s="8">
        <f>COUNTIFS('All Papers'!$D:$D,"*"&amp;$A879&amp;"*",'All Papers'!$G:$G,"*"&amp;Table1[[#Headers],[Monitoring]]&amp;"*")</f>
        <v>0</v>
      </c>
      <c r="M879" s="8">
        <f>COUNTIFS('All Papers'!$D:$D,"*"&amp;$A879&amp;"*",'All Papers'!$G:$G,"*"&amp;Table1[[#Headers],[Pricing]]&amp;"*")</f>
        <v>0</v>
      </c>
    </row>
    <row r="880" spans="1:13" x14ac:dyDescent="0.25">
      <c r="A880" s="8" t="s">
        <v>3313</v>
      </c>
      <c r="B880" s="8">
        <f>COUNTIF('All Papers'!D:D,"*"&amp;Table1[[#This Row],[Name]]&amp;"*")</f>
        <v>1</v>
      </c>
      <c r="C880" s="8">
        <f>COUNTIFS('All Papers'!$D:$D,"*"&amp;$A880&amp;"*",'All Papers'!$G:$G,"*"&amp;Table1[[#Headers],[Composition]]&amp;"*")</f>
        <v>1</v>
      </c>
      <c r="D880" s="8">
        <f>COUNTIFS('All Papers'!$D:$D,"*"&amp;$A880&amp;"*",'All Papers'!$G:$G,"*"&amp;Table1[[#Headers],[Discovery]]&amp;"*")</f>
        <v>0</v>
      </c>
      <c r="E880" s="8">
        <f>COUNTIFS('All Papers'!$D:$D,"*"&amp;$A880&amp;"*",'All Papers'!$G:$G,"*"&amp;Table1[[#Headers],[Selection]]&amp;"*")</f>
        <v>0</v>
      </c>
      <c r="F880" s="8">
        <f>COUNTIFS('All Papers'!$D:$D,"*"&amp;$A880&amp;"*",'All Papers'!$G:$G,"*"&amp;Table1[[#Headers],[Recommendation]]&amp;"*")</f>
        <v>0</v>
      </c>
      <c r="G880" s="8">
        <f>COUNTIFS('All Papers'!$D:$D,"*"&amp;$A880&amp;"*",'All Papers'!$G:$G,"*"&amp;Table1[[#Headers],[Resource Management-CS]]&amp;"*")</f>
        <v>0</v>
      </c>
      <c r="H880" s="8">
        <f>COUNTIFS('All Papers'!$D:$D,"*"&amp;$A880&amp;"*",'All Papers'!$G:$G,"*"&amp;Table1[[#Headers],[Resource Management-PS]]&amp;"*")</f>
        <v>0</v>
      </c>
      <c r="I880" s="8">
        <f>COUNTIFS('All Papers'!$D:$D,"*"&amp;$A880&amp;"*",'All Papers'!$G:$G,"*"&amp;Table1[[#Headers],[SLA Management]]&amp;"*")</f>
        <v>0</v>
      </c>
      <c r="J880" s="8">
        <f>COUNTIFS('All Papers'!$D:$D,"*"&amp;$A880&amp;"*",'All Papers'!$G:$G,"*"&amp;Table1[[#Headers],[Big Data]]&amp;"*")</f>
        <v>0</v>
      </c>
      <c r="K880" s="8">
        <f>COUNTIFS('All Papers'!$D:$D,"*"&amp;$A880&amp;"*",'All Papers'!$G:$G,"*"&amp;Table1[[#Headers],[Energy Management]]&amp;"*")</f>
        <v>0</v>
      </c>
      <c r="L880" s="8">
        <f>COUNTIFS('All Papers'!$D:$D,"*"&amp;$A880&amp;"*",'All Papers'!$G:$G,"*"&amp;Table1[[#Headers],[Monitoring]]&amp;"*")</f>
        <v>0</v>
      </c>
      <c r="M880" s="8">
        <f>COUNTIFS('All Papers'!$D:$D,"*"&amp;$A880&amp;"*",'All Papers'!$G:$G,"*"&amp;Table1[[#Headers],[Pricing]]&amp;"*")</f>
        <v>0</v>
      </c>
    </row>
    <row r="881" spans="1:13" x14ac:dyDescent="0.25">
      <c r="A881" s="8" t="s">
        <v>3314</v>
      </c>
      <c r="B881" s="8">
        <f>COUNTIF('All Papers'!D:D,"*"&amp;Table1[[#This Row],[Name]]&amp;"*")</f>
        <v>1</v>
      </c>
      <c r="C881" s="8">
        <f>COUNTIFS('All Papers'!$D:$D,"*"&amp;$A881&amp;"*",'All Papers'!$G:$G,"*"&amp;Table1[[#Headers],[Composition]]&amp;"*")</f>
        <v>1</v>
      </c>
      <c r="D881" s="8">
        <f>COUNTIFS('All Papers'!$D:$D,"*"&amp;$A881&amp;"*",'All Papers'!$G:$G,"*"&amp;Table1[[#Headers],[Discovery]]&amp;"*")</f>
        <v>0</v>
      </c>
      <c r="E881" s="8">
        <f>COUNTIFS('All Papers'!$D:$D,"*"&amp;$A881&amp;"*",'All Papers'!$G:$G,"*"&amp;Table1[[#Headers],[Selection]]&amp;"*")</f>
        <v>0</v>
      </c>
      <c r="F881" s="8">
        <f>COUNTIFS('All Papers'!$D:$D,"*"&amp;$A881&amp;"*",'All Papers'!$G:$G,"*"&amp;Table1[[#Headers],[Recommendation]]&amp;"*")</f>
        <v>0</v>
      </c>
      <c r="G881" s="8">
        <f>COUNTIFS('All Papers'!$D:$D,"*"&amp;$A881&amp;"*",'All Papers'!$G:$G,"*"&amp;Table1[[#Headers],[Resource Management-CS]]&amp;"*")</f>
        <v>0</v>
      </c>
      <c r="H881" s="8">
        <f>COUNTIFS('All Papers'!$D:$D,"*"&amp;$A881&amp;"*",'All Papers'!$G:$G,"*"&amp;Table1[[#Headers],[Resource Management-PS]]&amp;"*")</f>
        <v>0</v>
      </c>
      <c r="I881" s="8">
        <f>COUNTIFS('All Papers'!$D:$D,"*"&amp;$A881&amp;"*",'All Papers'!$G:$G,"*"&amp;Table1[[#Headers],[SLA Management]]&amp;"*")</f>
        <v>0</v>
      </c>
      <c r="J881" s="8">
        <f>COUNTIFS('All Papers'!$D:$D,"*"&amp;$A881&amp;"*",'All Papers'!$G:$G,"*"&amp;Table1[[#Headers],[Big Data]]&amp;"*")</f>
        <v>0</v>
      </c>
      <c r="K881" s="8">
        <f>COUNTIFS('All Papers'!$D:$D,"*"&amp;$A881&amp;"*",'All Papers'!$G:$G,"*"&amp;Table1[[#Headers],[Energy Management]]&amp;"*")</f>
        <v>0</v>
      </c>
      <c r="L881" s="8">
        <f>COUNTIFS('All Papers'!$D:$D,"*"&amp;$A881&amp;"*",'All Papers'!$G:$G,"*"&amp;Table1[[#Headers],[Monitoring]]&amp;"*")</f>
        <v>0</v>
      </c>
      <c r="M881" s="8">
        <f>COUNTIFS('All Papers'!$D:$D,"*"&amp;$A881&amp;"*",'All Papers'!$G:$G,"*"&amp;Table1[[#Headers],[Pricing]]&amp;"*")</f>
        <v>0</v>
      </c>
    </row>
    <row r="882" spans="1:13" x14ac:dyDescent="0.25">
      <c r="A882" s="8" t="s">
        <v>3315</v>
      </c>
      <c r="B882" s="8">
        <f>COUNTIF('All Papers'!D:D,"*"&amp;Table1[[#This Row],[Name]]&amp;"*")</f>
        <v>1</v>
      </c>
      <c r="C882" s="8">
        <f>COUNTIFS('All Papers'!$D:$D,"*"&amp;$A882&amp;"*",'All Papers'!$G:$G,"*"&amp;Table1[[#Headers],[Composition]]&amp;"*")</f>
        <v>1</v>
      </c>
      <c r="D882" s="8">
        <f>COUNTIFS('All Papers'!$D:$D,"*"&amp;$A882&amp;"*",'All Papers'!$G:$G,"*"&amp;Table1[[#Headers],[Discovery]]&amp;"*")</f>
        <v>0</v>
      </c>
      <c r="E882" s="8">
        <f>COUNTIFS('All Papers'!$D:$D,"*"&amp;$A882&amp;"*",'All Papers'!$G:$G,"*"&amp;Table1[[#Headers],[Selection]]&amp;"*")</f>
        <v>0</v>
      </c>
      <c r="F882" s="8">
        <f>COUNTIFS('All Papers'!$D:$D,"*"&amp;$A882&amp;"*",'All Papers'!$G:$G,"*"&amp;Table1[[#Headers],[Recommendation]]&amp;"*")</f>
        <v>0</v>
      </c>
      <c r="G882" s="8">
        <f>COUNTIFS('All Papers'!$D:$D,"*"&amp;$A882&amp;"*",'All Papers'!$G:$G,"*"&amp;Table1[[#Headers],[Resource Management-CS]]&amp;"*")</f>
        <v>0</v>
      </c>
      <c r="H882" s="8">
        <f>COUNTIFS('All Papers'!$D:$D,"*"&amp;$A882&amp;"*",'All Papers'!$G:$G,"*"&amp;Table1[[#Headers],[Resource Management-PS]]&amp;"*")</f>
        <v>0</v>
      </c>
      <c r="I882" s="8">
        <f>COUNTIFS('All Papers'!$D:$D,"*"&amp;$A882&amp;"*",'All Papers'!$G:$G,"*"&amp;Table1[[#Headers],[SLA Management]]&amp;"*")</f>
        <v>0</v>
      </c>
      <c r="J882" s="8">
        <f>COUNTIFS('All Papers'!$D:$D,"*"&amp;$A882&amp;"*",'All Papers'!$G:$G,"*"&amp;Table1[[#Headers],[Big Data]]&amp;"*")</f>
        <v>0</v>
      </c>
      <c r="K882" s="8">
        <f>COUNTIFS('All Papers'!$D:$D,"*"&amp;$A882&amp;"*",'All Papers'!$G:$G,"*"&amp;Table1[[#Headers],[Energy Management]]&amp;"*")</f>
        <v>0</v>
      </c>
      <c r="L882" s="8">
        <f>COUNTIFS('All Papers'!$D:$D,"*"&amp;$A882&amp;"*",'All Papers'!$G:$G,"*"&amp;Table1[[#Headers],[Monitoring]]&amp;"*")</f>
        <v>0</v>
      </c>
      <c r="M882" s="8">
        <f>COUNTIFS('All Papers'!$D:$D,"*"&amp;$A882&amp;"*",'All Papers'!$G:$G,"*"&amp;Table1[[#Headers],[Pricing]]&amp;"*")</f>
        <v>0</v>
      </c>
    </row>
    <row r="883" spans="1:13" x14ac:dyDescent="0.25">
      <c r="A883" s="8" t="s">
        <v>3316</v>
      </c>
      <c r="B883" s="8">
        <f>COUNTIF('All Papers'!D:D,"*"&amp;Table1[[#This Row],[Name]]&amp;"*")</f>
        <v>1</v>
      </c>
      <c r="C883" s="8">
        <f>COUNTIFS('All Papers'!$D:$D,"*"&amp;$A883&amp;"*",'All Papers'!$G:$G,"*"&amp;Table1[[#Headers],[Composition]]&amp;"*")</f>
        <v>1</v>
      </c>
      <c r="D883" s="8">
        <f>COUNTIFS('All Papers'!$D:$D,"*"&amp;$A883&amp;"*",'All Papers'!$G:$G,"*"&amp;Table1[[#Headers],[Discovery]]&amp;"*")</f>
        <v>0</v>
      </c>
      <c r="E883" s="8">
        <f>COUNTIFS('All Papers'!$D:$D,"*"&amp;$A883&amp;"*",'All Papers'!$G:$G,"*"&amp;Table1[[#Headers],[Selection]]&amp;"*")</f>
        <v>0</v>
      </c>
      <c r="F883" s="8">
        <f>COUNTIFS('All Papers'!$D:$D,"*"&amp;$A883&amp;"*",'All Papers'!$G:$G,"*"&amp;Table1[[#Headers],[Recommendation]]&amp;"*")</f>
        <v>0</v>
      </c>
      <c r="G883" s="8">
        <f>COUNTIFS('All Papers'!$D:$D,"*"&amp;$A883&amp;"*",'All Papers'!$G:$G,"*"&amp;Table1[[#Headers],[Resource Management-CS]]&amp;"*")</f>
        <v>0</v>
      </c>
      <c r="H883" s="8">
        <f>COUNTIFS('All Papers'!$D:$D,"*"&amp;$A883&amp;"*",'All Papers'!$G:$G,"*"&amp;Table1[[#Headers],[Resource Management-PS]]&amp;"*")</f>
        <v>0</v>
      </c>
      <c r="I883" s="8">
        <f>COUNTIFS('All Papers'!$D:$D,"*"&amp;$A883&amp;"*",'All Papers'!$G:$G,"*"&amp;Table1[[#Headers],[SLA Management]]&amp;"*")</f>
        <v>0</v>
      </c>
      <c r="J883" s="8">
        <f>COUNTIFS('All Papers'!$D:$D,"*"&amp;$A883&amp;"*",'All Papers'!$G:$G,"*"&amp;Table1[[#Headers],[Big Data]]&amp;"*")</f>
        <v>0</v>
      </c>
      <c r="K883" s="8">
        <f>COUNTIFS('All Papers'!$D:$D,"*"&amp;$A883&amp;"*",'All Papers'!$G:$G,"*"&amp;Table1[[#Headers],[Energy Management]]&amp;"*")</f>
        <v>0</v>
      </c>
      <c r="L883" s="8">
        <f>COUNTIFS('All Papers'!$D:$D,"*"&amp;$A883&amp;"*",'All Papers'!$G:$G,"*"&amp;Table1[[#Headers],[Monitoring]]&amp;"*")</f>
        <v>0</v>
      </c>
      <c r="M883" s="8">
        <f>COUNTIFS('All Papers'!$D:$D,"*"&amp;$A883&amp;"*",'All Papers'!$G:$G,"*"&amp;Table1[[#Headers],[Pricing]]&amp;"*")</f>
        <v>0</v>
      </c>
    </row>
    <row r="884" spans="1:13" x14ac:dyDescent="0.25">
      <c r="A884" s="8" t="s">
        <v>3317</v>
      </c>
      <c r="B884" s="8">
        <f>COUNTIF('All Papers'!D:D,"*"&amp;Table1[[#This Row],[Name]]&amp;"*")</f>
        <v>1</v>
      </c>
      <c r="C884" s="8">
        <f>COUNTIFS('All Papers'!$D:$D,"*"&amp;$A884&amp;"*",'All Papers'!$G:$G,"*"&amp;Table1[[#Headers],[Composition]]&amp;"*")</f>
        <v>1</v>
      </c>
      <c r="D884" s="8">
        <f>COUNTIFS('All Papers'!$D:$D,"*"&amp;$A884&amp;"*",'All Papers'!$G:$G,"*"&amp;Table1[[#Headers],[Discovery]]&amp;"*")</f>
        <v>0</v>
      </c>
      <c r="E884" s="8">
        <f>COUNTIFS('All Papers'!$D:$D,"*"&amp;$A884&amp;"*",'All Papers'!$G:$G,"*"&amp;Table1[[#Headers],[Selection]]&amp;"*")</f>
        <v>0</v>
      </c>
      <c r="F884" s="8">
        <f>COUNTIFS('All Papers'!$D:$D,"*"&amp;$A884&amp;"*",'All Papers'!$G:$G,"*"&amp;Table1[[#Headers],[Recommendation]]&amp;"*")</f>
        <v>0</v>
      </c>
      <c r="G884" s="8">
        <f>COUNTIFS('All Papers'!$D:$D,"*"&amp;$A884&amp;"*",'All Papers'!$G:$G,"*"&amp;Table1[[#Headers],[Resource Management-CS]]&amp;"*")</f>
        <v>0</v>
      </c>
      <c r="H884" s="8">
        <f>COUNTIFS('All Papers'!$D:$D,"*"&amp;$A884&amp;"*",'All Papers'!$G:$G,"*"&amp;Table1[[#Headers],[Resource Management-PS]]&amp;"*")</f>
        <v>0</v>
      </c>
      <c r="I884" s="8">
        <f>COUNTIFS('All Papers'!$D:$D,"*"&amp;$A884&amp;"*",'All Papers'!$G:$G,"*"&amp;Table1[[#Headers],[SLA Management]]&amp;"*")</f>
        <v>0</v>
      </c>
      <c r="J884" s="8">
        <f>COUNTIFS('All Papers'!$D:$D,"*"&amp;$A884&amp;"*",'All Papers'!$G:$G,"*"&amp;Table1[[#Headers],[Big Data]]&amp;"*")</f>
        <v>0</v>
      </c>
      <c r="K884" s="8">
        <f>COUNTIFS('All Papers'!$D:$D,"*"&amp;$A884&amp;"*",'All Papers'!$G:$G,"*"&amp;Table1[[#Headers],[Energy Management]]&amp;"*")</f>
        <v>0</v>
      </c>
      <c r="L884" s="8">
        <f>COUNTIFS('All Papers'!$D:$D,"*"&amp;$A884&amp;"*",'All Papers'!$G:$G,"*"&amp;Table1[[#Headers],[Monitoring]]&amp;"*")</f>
        <v>0</v>
      </c>
      <c r="M884" s="8">
        <f>COUNTIFS('All Papers'!$D:$D,"*"&amp;$A884&amp;"*",'All Papers'!$G:$G,"*"&amp;Table1[[#Headers],[Pricing]]&amp;"*")</f>
        <v>0</v>
      </c>
    </row>
    <row r="885" spans="1:13" x14ac:dyDescent="0.25">
      <c r="A885" s="8" t="s">
        <v>3318</v>
      </c>
      <c r="B885" s="8">
        <f>COUNTIF('All Papers'!D:D,"*"&amp;Table1[[#This Row],[Name]]&amp;"*")</f>
        <v>1</v>
      </c>
      <c r="C885" s="8">
        <f>COUNTIFS('All Papers'!$D:$D,"*"&amp;$A885&amp;"*",'All Papers'!$G:$G,"*"&amp;Table1[[#Headers],[Composition]]&amp;"*")</f>
        <v>1</v>
      </c>
      <c r="D885" s="8">
        <f>COUNTIFS('All Papers'!$D:$D,"*"&amp;$A885&amp;"*",'All Papers'!$G:$G,"*"&amp;Table1[[#Headers],[Discovery]]&amp;"*")</f>
        <v>0</v>
      </c>
      <c r="E885" s="8">
        <f>COUNTIFS('All Papers'!$D:$D,"*"&amp;$A885&amp;"*",'All Papers'!$G:$G,"*"&amp;Table1[[#Headers],[Selection]]&amp;"*")</f>
        <v>0</v>
      </c>
      <c r="F885" s="8">
        <f>COUNTIFS('All Papers'!$D:$D,"*"&amp;$A885&amp;"*",'All Papers'!$G:$G,"*"&amp;Table1[[#Headers],[Recommendation]]&amp;"*")</f>
        <v>0</v>
      </c>
      <c r="G885" s="8">
        <f>COUNTIFS('All Papers'!$D:$D,"*"&amp;$A885&amp;"*",'All Papers'!$G:$G,"*"&amp;Table1[[#Headers],[Resource Management-CS]]&amp;"*")</f>
        <v>0</v>
      </c>
      <c r="H885" s="8">
        <f>COUNTIFS('All Papers'!$D:$D,"*"&amp;$A885&amp;"*",'All Papers'!$G:$G,"*"&amp;Table1[[#Headers],[Resource Management-PS]]&amp;"*")</f>
        <v>0</v>
      </c>
      <c r="I885" s="8">
        <f>COUNTIFS('All Papers'!$D:$D,"*"&amp;$A885&amp;"*",'All Papers'!$G:$G,"*"&amp;Table1[[#Headers],[SLA Management]]&amp;"*")</f>
        <v>0</v>
      </c>
      <c r="J885" s="8">
        <f>COUNTIFS('All Papers'!$D:$D,"*"&amp;$A885&amp;"*",'All Papers'!$G:$G,"*"&amp;Table1[[#Headers],[Big Data]]&amp;"*")</f>
        <v>0</v>
      </c>
      <c r="K885" s="8">
        <f>COUNTIFS('All Papers'!$D:$D,"*"&amp;$A885&amp;"*",'All Papers'!$G:$G,"*"&amp;Table1[[#Headers],[Energy Management]]&amp;"*")</f>
        <v>0</v>
      </c>
      <c r="L885" s="8">
        <f>COUNTIFS('All Papers'!$D:$D,"*"&amp;$A885&amp;"*",'All Papers'!$G:$G,"*"&amp;Table1[[#Headers],[Monitoring]]&amp;"*")</f>
        <v>0</v>
      </c>
      <c r="M885" s="8">
        <f>COUNTIFS('All Papers'!$D:$D,"*"&amp;$A885&amp;"*",'All Papers'!$G:$G,"*"&amp;Table1[[#Headers],[Pricing]]&amp;"*")</f>
        <v>0</v>
      </c>
    </row>
    <row r="886" spans="1:13" x14ac:dyDescent="0.25">
      <c r="A886" s="8" t="s">
        <v>3319</v>
      </c>
      <c r="B886" s="8">
        <f>COUNTIF('All Papers'!D:D,"*"&amp;Table1[[#This Row],[Name]]&amp;"*")</f>
        <v>1</v>
      </c>
      <c r="C886" s="8">
        <f>COUNTIFS('All Papers'!$D:$D,"*"&amp;$A886&amp;"*",'All Papers'!$G:$G,"*"&amp;Table1[[#Headers],[Composition]]&amp;"*")</f>
        <v>1</v>
      </c>
      <c r="D886" s="8">
        <f>COUNTIFS('All Papers'!$D:$D,"*"&amp;$A886&amp;"*",'All Papers'!$G:$G,"*"&amp;Table1[[#Headers],[Discovery]]&amp;"*")</f>
        <v>0</v>
      </c>
      <c r="E886" s="8">
        <f>COUNTIFS('All Papers'!$D:$D,"*"&amp;$A886&amp;"*",'All Papers'!$G:$G,"*"&amp;Table1[[#Headers],[Selection]]&amp;"*")</f>
        <v>0</v>
      </c>
      <c r="F886" s="8">
        <f>COUNTIFS('All Papers'!$D:$D,"*"&amp;$A886&amp;"*",'All Papers'!$G:$G,"*"&amp;Table1[[#Headers],[Recommendation]]&amp;"*")</f>
        <v>0</v>
      </c>
      <c r="G886" s="8">
        <f>COUNTIFS('All Papers'!$D:$D,"*"&amp;$A886&amp;"*",'All Papers'!$G:$G,"*"&amp;Table1[[#Headers],[Resource Management-CS]]&amp;"*")</f>
        <v>0</v>
      </c>
      <c r="H886" s="8">
        <f>COUNTIFS('All Papers'!$D:$D,"*"&amp;$A886&amp;"*",'All Papers'!$G:$G,"*"&amp;Table1[[#Headers],[Resource Management-PS]]&amp;"*")</f>
        <v>0</v>
      </c>
      <c r="I886" s="8">
        <f>COUNTIFS('All Papers'!$D:$D,"*"&amp;$A886&amp;"*",'All Papers'!$G:$G,"*"&amp;Table1[[#Headers],[SLA Management]]&amp;"*")</f>
        <v>0</v>
      </c>
      <c r="J886" s="8">
        <f>COUNTIFS('All Papers'!$D:$D,"*"&amp;$A886&amp;"*",'All Papers'!$G:$G,"*"&amp;Table1[[#Headers],[Big Data]]&amp;"*")</f>
        <v>0</v>
      </c>
      <c r="K886" s="8">
        <f>COUNTIFS('All Papers'!$D:$D,"*"&amp;$A886&amp;"*",'All Papers'!$G:$G,"*"&amp;Table1[[#Headers],[Energy Management]]&amp;"*")</f>
        <v>0</v>
      </c>
      <c r="L886" s="8">
        <f>COUNTIFS('All Papers'!$D:$D,"*"&amp;$A886&amp;"*",'All Papers'!$G:$G,"*"&amp;Table1[[#Headers],[Monitoring]]&amp;"*")</f>
        <v>0</v>
      </c>
      <c r="M886" s="8">
        <f>COUNTIFS('All Papers'!$D:$D,"*"&amp;$A886&amp;"*",'All Papers'!$G:$G,"*"&amp;Table1[[#Headers],[Pricing]]&amp;"*")</f>
        <v>0</v>
      </c>
    </row>
    <row r="887" spans="1:13" x14ac:dyDescent="0.25">
      <c r="A887" s="8" t="s">
        <v>3320</v>
      </c>
      <c r="B887" s="8">
        <f>COUNTIF('All Papers'!D:D,"*"&amp;Table1[[#This Row],[Name]]&amp;"*")</f>
        <v>1</v>
      </c>
      <c r="C887" s="8">
        <f>COUNTIFS('All Papers'!$D:$D,"*"&amp;$A887&amp;"*",'All Papers'!$G:$G,"*"&amp;Table1[[#Headers],[Composition]]&amp;"*")</f>
        <v>1</v>
      </c>
      <c r="D887" s="8">
        <f>COUNTIFS('All Papers'!$D:$D,"*"&amp;$A887&amp;"*",'All Papers'!$G:$G,"*"&amp;Table1[[#Headers],[Discovery]]&amp;"*")</f>
        <v>0</v>
      </c>
      <c r="E887" s="8">
        <f>COUNTIFS('All Papers'!$D:$D,"*"&amp;$A887&amp;"*",'All Papers'!$G:$G,"*"&amp;Table1[[#Headers],[Selection]]&amp;"*")</f>
        <v>0</v>
      </c>
      <c r="F887" s="8">
        <f>COUNTIFS('All Papers'!$D:$D,"*"&amp;$A887&amp;"*",'All Papers'!$G:$G,"*"&amp;Table1[[#Headers],[Recommendation]]&amp;"*")</f>
        <v>0</v>
      </c>
      <c r="G887" s="8">
        <f>COUNTIFS('All Papers'!$D:$D,"*"&amp;$A887&amp;"*",'All Papers'!$G:$G,"*"&amp;Table1[[#Headers],[Resource Management-CS]]&amp;"*")</f>
        <v>0</v>
      </c>
      <c r="H887" s="8">
        <f>COUNTIFS('All Papers'!$D:$D,"*"&amp;$A887&amp;"*",'All Papers'!$G:$G,"*"&amp;Table1[[#Headers],[Resource Management-PS]]&amp;"*")</f>
        <v>0</v>
      </c>
      <c r="I887" s="8">
        <f>COUNTIFS('All Papers'!$D:$D,"*"&amp;$A887&amp;"*",'All Papers'!$G:$G,"*"&amp;Table1[[#Headers],[SLA Management]]&amp;"*")</f>
        <v>0</v>
      </c>
      <c r="J887" s="8">
        <f>COUNTIFS('All Papers'!$D:$D,"*"&amp;$A887&amp;"*",'All Papers'!$G:$G,"*"&amp;Table1[[#Headers],[Big Data]]&amp;"*")</f>
        <v>0</v>
      </c>
      <c r="K887" s="8">
        <f>COUNTIFS('All Papers'!$D:$D,"*"&amp;$A887&amp;"*",'All Papers'!$G:$G,"*"&amp;Table1[[#Headers],[Energy Management]]&amp;"*")</f>
        <v>0</v>
      </c>
      <c r="L887" s="8">
        <f>COUNTIFS('All Papers'!$D:$D,"*"&amp;$A887&amp;"*",'All Papers'!$G:$G,"*"&amp;Table1[[#Headers],[Monitoring]]&amp;"*")</f>
        <v>0</v>
      </c>
      <c r="M887" s="8">
        <f>COUNTIFS('All Papers'!$D:$D,"*"&amp;$A887&amp;"*",'All Papers'!$G:$G,"*"&amp;Table1[[#Headers],[Pricing]]&amp;"*")</f>
        <v>0</v>
      </c>
    </row>
    <row r="888" spans="1:13" x14ac:dyDescent="0.25">
      <c r="A888" s="8" t="s">
        <v>3321</v>
      </c>
      <c r="B888" s="8">
        <f>COUNTIF('All Papers'!D:D,"*"&amp;Table1[[#This Row],[Name]]&amp;"*")</f>
        <v>1</v>
      </c>
      <c r="C888" s="8">
        <f>COUNTIFS('All Papers'!$D:$D,"*"&amp;$A888&amp;"*",'All Papers'!$G:$G,"*"&amp;Table1[[#Headers],[Composition]]&amp;"*")</f>
        <v>1</v>
      </c>
      <c r="D888" s="8">
        <f>COUNTIFS('All Papers'!$D:$D,"*"&amp;$A888&amp;"*",'All Papers'!$G:$G,"*"&amp;Table1[[#Headers],[Discovery]]&amp;"*")</f>
        <v>0</v>
      </c>
      <c r="E888" s="8">
        <f>COUNTIFS('All Papers'!$D:$D,"*"&amp;$A888&amp;"*",'All Papers'!$G:$G,"*"&amp;Table1[[#Headers],[Selection]]&amp;"*")</f>
        <v>0</v>
      </c>
      <c r="F888" s="8">
        <f>COUNTIFS('All Papers'!$D:$D,"*"&amp;$A888&amp;"*",'All Papers'!$G:$G,"*"&amp;Table1[[#Headers],[Recommendation]]&amp;"*")</f>
        <v>0</v>
      </c>
      <c r="G888" s="8">
        <f>COUNTIFS('All Papers'!$D:$D,"*"&amp;$A888&amp;"*",'All Papers'!$G:$G,"*"&amp;Table1[[#Headers],[Resource Management-CS]]&amp;"*")</f>
        <v>0</v>
      </c>
      <c r="H888" s="8">
        <f>COUNTIFS('All Papers'!$D:$D,"*"&amp;$A888&amp;"*",'All Papers'!$G:$G,"*"&amp;Table1[[#Headers],[Resource Management-PS]]&amp;"*")</f>
        <v>0</v>
      </c>
      <c r="I888" s="8">
        <f>COUNTIFS('All Papers'!$D:$D,"*"&amp;$A888&amp;"*",'All Papers'!$G:$G,"*"&amp;Table1[[#Headers],[SLA Management]]&amp;"*")</f>
        <v>0</v>
      </c>
      <c r="J888" s="8">
        <f>COUNTIFS('All Papers'!$D:$D,"*"&amp;$A888&amp;"*",'All Papers'!$G:$G,"*"&amp;Table1[[#Headers],[Big Data]]&amp;"*")</f>
        <v>0</v>
      </c>
      <c r="K888" s="8">
        <f>COUNTIFS('All Papers'!$D:$D,"*"&amp;$A888&amp;"*",'All Papers'!$G:$G,"*"&amp;Table1[[#Headers],[Energy Management]]&amp;"*")</f>
        <v>0</v>
      </c>
      <c r="L888" s="8">
        <f>COUNTIFS('All Papers'!$D:$D,"*"&amp;$A888&amp;"*",'All Papers'!$G:$G,"*"&amp;Table1[[#Headers],[Monitoring]]&amp;"*")</f>
        <v>0</v>
      </c>
      <c r="M888" s="8">
        <f>COUNTIFS('All Papers'!$D:$D,"*"&amp;$A888&amp;"*",'All Papers'!$G:$G,"*"&amp;Table1[[#Headers],[Pricing]]&amp;"*")</f>
        <v>0</v>
      </c>
    </row>
    <row r="889" spans="1:13" x14ac:dyDescent="0.25">
      <c r="A889" s="8" t="s">
        <v>3322</v>
      </c>
      <c r="B889" s="8">
        <f>COUNTIF('All Papers'!D:D,"*"&amp;Table1[[#This Row],[Name]]&amp;"*")</f>
        <v>1</v>
      </c>
      <c r="C889" s="8">
        <f>COUNTIFS('All Papers'!$D:$D,"*"&amp;$A889&amp;"*",'All Papers'!$G:$G,"*"&amp;Table1[[#Headers],[Composition]]&amp;"*")</f>
        <v>1</v>
      </c>
      <c r="D889" s="8">
        <f>COUNTIFS('All Papers'!$D:$D,"*"&amp;$A889&amp;"*",'All Papers'!$G:$G,"*"&amp;Table1[[#Headers],[Discovery]]&amp;"*")</f>
        <v>0</v>
      </c>
      <c r="E889" s="8">
        <f>COUNTIFS('All Papers'!$D:$D,"*"&amp;$A889&amp;"*",'All Papers'!$G:$G,"*"&amp;Table1[[#Headers],[Selection]]&amp;"*")</f>
        <v>0</v>
      </c>
      <c r="F889" s="8">
        <f>COUNTIFS('All Papers'!$D:$D,"*"&amp;$A889&amp;"*",'All Papers'!$G:$G,"*"&amp;Table1[[#Headers],[Recommendation]]&amp;"*")</f>
        <v>0</v>
      </c>
      <c r="G889" s="8">
        <f>COUNTIFS('All Papers'!$D:$D,"*"&amp;$A889&amp;"*",'All Papers'!$G:$G,"*"&amp;Table1[[#Headers],[Resource Management-CS]]&amp;"*")</f>
        <v>0</v>
      </c>
      <c r="H889" s="8">
        <f>COUNTIFS('All Papers'!$D:$D,"*"&amp;$A889&amp;"*",'All Papers'!$G:$G,"*"&amp;Table1[[#Headers],[Resource Management-PS]]&amp;"*")</f>
        <v>0</v>
      </c>
      <c r="I889" s="8">
        <f>COUNTIFS('All Papers'!$D:$D,"*"&amp;$A889&amp;"*",'All Papers'!$G:$G,"*"&amp;Table1[[#Headers],[SLA Management]]&amp;"*")</f>
        <v>0</v>
      </c>
      <c r="J889" s="8">
        <f>COUNTIFS('All Papers'!$D:$D,"*"&amp;$A889&amp;"*",'All Papers'!$G:$G,"*"&amp;Table1[[#Headers],[Big Data]]&amp;"*")</f>
        <v>0</v>
      </c>
      <c r="K889" s="8">
        <f>COUNTIFS('All Papers'!$D:$D,"*"&amp;$A889&amp;"*",'All Papers'!$G:$G,"*"&amp;Table1[[#Headers],[Energy Management]]&amp;"*")</f>
        <v>0</v>
      </c>
      <c r="L889" s="8">
        <f>COUNTIFS('All Papers'!$D:$D,"*"&amp;$A889&amp;"*",'All Papers'!$G:$G,"*"&amp;Table1[[#Headers],[Monitoring]]&amp;"*")</f>
        <v>0</v>
      </c>
      <c r="M889" s="8">
        <f>COUNTIFS('All Papers'!$D:$D,"*"&amp;$A889&amp;"*",'All Papers'!$G:$G,"*"&amp;Table1[[#Headers],[Pricing]]&amp;"*")</f>
        <v>0</v>
      </c>
    </row>
    <row r="890" spans="1:13" x14ac:dyDescent="0.25">
      <c r="A890" s="8" t="s">
        <v>3323</v>
      </c>
      <c r="B890" s="8">
        <f>COUNTIF('All Papers'!D:D,"*"&amp;Table1[[#This Row],[Name]]&amp;"*")</f>
        <v>1</v>
      </c>
      <c r="C890" s="8">
        <f>COUNTIFS('All Papers'!$D:$D,"*"&amp;$A890&amp;"*",'All Papers'!$G:$G,"*"&amp;Table1[[#Headers],[Composition]]&amp;"*")</f>
        <v>1</v>
      </c>
      <c r="D890" s="8">
        <f>COUNTIFS('All Papers'!$D:$D,"*"&amp;$A890&amp;"*",'All Papers'!$G:$G,"*"&amp;Table1[[#Headers],[Discovery]]&amp;"*")</f>
        <v>0</v>
      </c>
      <c r="E890" s="8">
        <f>COUNTIFS('All Papers'!$D:$D,"*"&amp;$A890&amp;"*",'All Papers'!$G:$G,"*"&amp;Table1[[#Headers],[Selection]]&amp;"*")</f>
        <v>0</v>
      </c>
      <c r="F890" s="8">
        <f>COUNTIFS('All Papers'!$D:$D,"*"&amp;$A890&amp;"*",'All Papers'!$G:$G,"*"&amp;Table1[[#Headers],[Recommendation]]&amp;"*")</f>
        <v>0</v>
      </c>
      <c r="G890" s="8">
        <f>COUNTIFS('All Papers'!$D:$D,"*"&amp;$A890&amp;"*",'All Papers'!$G:$G,"*"&amp;Table1[[#Headers],[Resource Management-CS]]&amp;"*")</f>
        <v>0</v>
      </c>
      <c r="H890" s="8">
        <f>COUNTIFS('All Papers'!$D:$D,"*"&amp;$A890&amp;"*",'All Papers'!$G:$G,"*"&amp;Table1[[#Headers],[Resource Management-PS]]&amp;"*")</f>
        <v>0</v>
      </c>
      <c r="I890" s="8">
        <f>COUNTIFS('All Papers'!$D:$D,"*"&amp;$A890&amp;"*",'All Papers'!$G:$G,"*"&amp;Table1[[#Headers],[SLA Management]]&amp;"*")</f>
        <v>0</v>
      </c>
      <c r="J890" s="8">
        <f>COUNTIFS('All Papers'!$D:$D,"*"&amp;$A890&amp;"*",'All Papers'!$G:$G,"*"&amp;Table1[[#Headers],[Big Data]]&amp;"*")</f>
        <v>0</v>
      </c>
      <c r="K890" s="8">
        <f>COUNTIFS('All Papers'!$D:$D,"*"&amp;$A890&amp;"*",'All Papers'!$G:$G,"*"&amp;Table1[[#Headers],[Energy Management]]&amp;"*")</f>
        <v>0</v>
      </c>
      <c r="L890" s="8">
        <f>COUNTIFS('All Papers'!$D:$D,"*"&amp;$A890&amp;"*",'All Papers'!$G:$G,"*"&amp;Table1[[#Headers],[Monitoring]]&amp;"*")</f>
        <v>0</v>
      </c>
      <c r="M890" s="8">
        <f>COUNTIFS('All Papers'!$D:$D,"*"&amp;$A890&amp;"*",'All Papers'!$G:$G,"*"&amp;Table1[[#Headers],[Pricing]]&amp;"*")</f>
        <v>0</v>
      </c>
    </row>
    <row r="891" spans="1:13" x14ac:dyDescent="0.25">
      <c r="A891" s="8" t="s">
        <v>3324</v>
      </c>
      <c r="B891" s="8">
        <f>COUNTIF('All Papers'!D:D,"*"&amp;Table1[[#This Row],[Name]]&amp;"*")</f>
        <v>1</v>
      </c>
      <c r="C891" s="8">
        <f>COUNTIFS('All Papers'!$D:$D,"*"&amp;$A891&amp;"*",'All Papers'!$G:$G,"*"&amp;Table1[[#Headers],[Composition]]&amp;"*")</f>
        <v>0</v>
      </c>
      <c r="D891" s="8">
        <f>COUNTIFS('All Papers'!$D:$D,"*"&amp;$A891&amp;"*",'All Papers'!$G:$G,"*"&amp;Table1[[#Headers],[Discovery]]&amp;"*")</f>
        <v>0</v>
      </c>
      <c r="E891" s="8">
        <f>COUNTIFS('All Papers'!$D:$D,"*"&amp;$A891&amp;"*",'All Papers'!$G:$G,"*"&amp;Table1[[#Headers],[Selection]]&amp;"*")</f>
        <v>1</v>
      </c>
      <c r="F891" s="8">
        <f>COUNTIFS('All Papers'!$D:$D,"*"&amp;$A891&amp;"*",'All Papers'!$G:$G,"*"&amp;Table1[[#Headers],[Recommendation]]&amp;"*")</f>
        <v>0</v>
      </c>
      <c r="G891" s="8">
        <f>COUNTIFS('All Papers'!$D:$D,"*"&amp;$A891&amp;"*",'All Papers'!$G:$G,"*"&amp;Table1[[#Headers],[Resource Management-CS]]&amp;"*")</f>
        <v>0</v>
      </c>
      <c r="H891" s="8">
        <f>COUNTIFS('All Papers'!$D:$D,"*"&amp;$A891&amp;"*",'All Papers'!$G:$G,"*"&amp;Table1[[#Headers],[Resource Management-PS]]&amp;"*")</f>
        <v>0</v>
      </c>
      <c r="I891" s="8">
        <f>COUNTIFS('All Papers'!$D:$D,"*"&amp;$A891&amp;"*",'All Papers'!$G:$G,"*"&amp;Table1[[#Headers],[SLA Management]]&amp;"*")</f>
        <v>0</v>
      </c>
      <c r="J891" s="8">
        <f>COUNTIFS('All Papers'!$D:$D,"*"&amp;$A891&amp;"*",'All Papers'!$G:$G,"*"&amp;Table1[[#Headers],[Big Data]]&amp;"*")</f>
        <v>0</v>
      </c>
      <c r="K891" s="8">
        <f>COUNTIFS('All Papers'!$D:$D,"*"&amp;$A891&amp;"*",'All Papers'!$G:$G,"*"&amp;Table1[[#Headers],[Energy Management]]&amp;"*")</f>
        <v>0</v>
      </c>
      <c r="L891" s="8">
        <f>COUNTIFS('All Papers'!$D:$D,"*"&amp;$A891&amp;"*",'All Papers'!$G:$G,"*"&amp;Table1[[#Headers],[Monitoring]]&amp;"*")</f>
        <v>0</v>
      </c>
      <c r="M891" s="8">
        <f>COUNTIFS('All Papers'!$D:$D,"*"&amp;$A891&amp;"*",'All Papers'!$G:$G,"*"&amp;Table1[[#Headers],[Pricing]]&amp;"*")</f>
        <v>0</v>
      </c>
    </row>
    <row r="892" spans="1:13" x14ac:dyDescent="0.25">
      <c r="A892" s="8" t="s">
        <v>3325</v>
      </c>
      <c r="B892" s="8">
        <f>COUNTIF('All Papers'!D:D,"*"&amp;Table1[[#This Row],[Name]]&amp;"*")</f>
        <v>1</v>
      </c>
      <c r="C892" s="8">
        <f>COUNTIFS('All Papers'!$D:$D,"*"&amp;$A892&amp;"*",'All Papers'!$G:$G,"*"&amp;Table1[[#Headers],[Composition]]&amp;"*")</f>
        <v>0</v>
      </c>
      <c r="D892" s="8">
        <f>COUNTIFS('All Papers'!$D:$D,"*"&amp;$A892&amp;"*",'All Papers'!$G:$G,"*"&amp;Table1[[#Headers],[Discovery]]&amp;"*")</f>
        <v>0</v>
      </c>
      <c r="E892" s="8">
        <f>COUNTIFS('All Papers'!$D:$D,"*"&amp;$A892&amp;"*",'All Papers'!$G:$G,"*"&amp;Table1[[#Headers],[Selection]]&amp;"*")</f>
        <v>1</v>
      </c>
      <c r="F892" s="8">
        <f>COUNTIFS('All Papers'!$D:$D,"*"&amp;$A892&amp;"*",'All Papers'!$G:$G,"*"&amp;Table1[[#Headers],[Recommendation]]&amp;"*")</f>
        <v>0</v>
      </c>
      <c r="G892" s="8">
        <f>COUNTIFS('All Papers'!$D:$D,"*"&amp;$A892&amp;"*",'All Papers'!$G:$G,"*"&amp;Table1[[#Headers],[Resource Management-CS]]&amp;"*")</f>
        <v>0</v>
      </c>
      <c r="H892" s="8">
        <f>COUNTIFS('All Papers'!$D:$D,"*"&amp;$A892&amp;"*",'All Papers'!$G:$G,"*"&amp;Table1[[#Headers],[Resource Management-PS]]&amp;"*")</f>
        <v>0</v>
      </c>
      <c r="I892" s="8">
        <f>COUNTIFS('All Papers'!$D:$D,"*"&amp;$A892&amp;"*",'All Papers'!$G:$G,"*"&amp;Table1[[#Headers],[SLA Management]]&amp;"*")</f>
        <v>0</v>
      </c>
      <c r="J892" s="8">
        <f>COUNTIFS('All Papers'!$D:$D,"*"&amp;$A892&amp;"*",'All Papers'!$G:$G,"*"&amp;Table1[[#Headers],[Big Data]]&amp;"*")</f>
        <v>0</v>
      </c>
      <c r="K892" s="8">
        <f>COUNTIFS('All Papers'!$D:$D,"*"&amp;$A892&amp;"*",'All Papers'!$G:$G,"*"&amp;Table1[[#Headers],[Energy Management]]&amp;"*")</f>
        <v>0</v>
      </c>
      <c r="L892" s="8">
        <f>COUNTIFS('All Papers'!$D:$D,"*"&amp;$A892&amp;"*",'All Papers'!$G:$G,"*"&amp;Table1[[#Headers],[Monitoring]]&amp;"*")</f>
        <v>0</v>
      </c>
      <c r="M892" s="8">
        <f>COUNTIFS('All Papers'!$D:$D,"*"&amp;$A892&amp;"*",'All Papers'!$G:$G,"*"&amp;Table1[[#Headers],[Pricing]]&amp;"*")</f>
        <v>0</v>
      </c>
    </row>
    <row r="893" spans="1:13" x14ac:dyDescent="0.25">
      <c r="A893" s="8" t="s">
        <v>3326</v>
      </c>
      <c r="B893" s="8">
        <f>COUNTIF('All Papers'!D:D,"*"&amp;Table1[[#This Row],[Name]]&amp;"*")</f>
        <v>1</v>
      </c>
      <c r="C893" s="8">
        <f>COUNTIFS('All Papers'!$D:$D,"*"&amp;$A893&amp;"*",'All Papers'!$G:$G,"*"&amp;Table1[[#Headers],[Composition]]&amp;"*")</f>
        <v>0</v>
      </c>
      <c r="D893" s="8">
        <f>COUNTIFS('All Papers'!$D:$D,"*"&amp;$A893&amp;"*",'All Papers'!$G:$G,"*"&amp;Table1[[#Headers],[Discovery]]&amp;"*")</f>
        <v>0</v>
      </c>
      <c r="E893" s="8">
        <f>COUNTIFS('All Papers'!$D:$D,"*"&amp;$A893&amp;"*",'All Papers'!$G:$G,"*"&amp;Table1[[#Headers],[Selection]]&amp;"*")</f>
        <v>1</v>
      </c>
      <c r="F893" s="8">
        <f>COUNTIFS('All Papers'!$D:$D,"*"&amp;$A893&amp;"*",'All Papers'!$G:$G,"*"&amp;Table1[[#Headers],[Recommendation]]&amp;"*")</f>
        <v>0</v>
      </c>
      <c r="G893" s="8">
        <f>COUNTIFS('All Papers'!$D:$D,"*"&amp;$A893&amp;"*",'All Papers'!$G:$G,"*"&amp;Table1[[#Headers],[Resource Management-CS]]&amp;"*")</f>
        <v>0</v>
      </c>
      <c r="H893" s="8">
        <f>COUNTIFS('All Papers'!$D:$D,"*"&amp;$A893&amp;"*",'All Papers'!$G:$G,"*"&amp;Table1[[#Headers],[Resource Management-PS]]&amp;"*")</f>
        <v>0</v>
      </c>
      <c r="I893" s="8">
        <f>COUNTIFS('All Papers'!$D:$D,"*"&amp;$A893&amp;"*",'All Papers'!$G:$G,"*"&amp;Table1[[#Headers],[SLA Management]]&amp;"*")</f>
        <v>0</v>
      </c>
      <c r="J893" s="8">
        <f>COUNTIFS('All Papers'!$D:$D,"*"&amp;$A893&amp;"*",'All Papers'!$G:$G,"*"&amp;Table1[[#Headers],[Big Data]]&amp;"*")</f>
        <v>0</v>
      </c>
      <c r="K893" s="8">
        <f>COUNTIFS('All Papers'!$D:$D,"*"&amp;$A893&amp;"*",'All Papers'!$G:$G,"*"&amp;Table1[[#Headers],[Energy Management]]&amp;"*")</f>
        <v>0</v>
      </c>
      <c r="L893" s="8">
        <f>COUNTIFS('All Papers'!$D:$D,"*"&amp;$A893&amp;"*",'All Papers'!$G:$G,"*"&amp;Table1[[#Headers],[Monitoring]]&amp;"*")</f>
        <v>0</v>
      </c>
      <c r="M893" s="8">
        <f>COUNTIFS('All Papers'!$D:$D,"*"&amp;$A893&amp;"*",'All Papers'!$G:$G,"*"&amp;Table1[[#Headers],[Pricing]]&amp;"*")</f>
        <v>0</v>
      </c>
    </row>
    <row r="894" spans="1:13" x14ac:dyDescent="0.25">
      <c r="A894" s="8" t="s">
        <v>3327</v>
      </c>
      <c r="B894" s="8">
        <f>COUNTIF('All Papers'!D:D,"*"&amp;Table1[[#This Row],[Name]]&amp;"*")</f>
        <v>1</v>
      </c>
      <c r="C894" s="8">
        <f>COUNTIFS('All Papers'!$D:$D,"*"&amp;$A894&amp;"*",'All Papers'!$G:$G,"*"&amp;Table1[[#Headers],[Composition]]&amp;"*")</f>
        <v>0</v>
      </c>
      <c r="D894" s="8">
        <f>COUNTIFS('All Papers'!$D:$D,"*"&amp;$A894&amp;"*",'All Papers'!$G:$G,"*"&amp;Table1[[#Headers],[Discovery]]&amp;"*")</f>
        <v>0</v>
      </c>
      <c r="E894" s="8">
        <f>COUNTIFS('All Papers'!$D:$D,"*"&amp;$A894&amp;"*",'All Papers'!$G:$G,"*"&amp;Table1[[#Headers],[Selection]]&amp;"*")</f>
        <v>1</v>
      </c>
      <c r="F894" s="8">
        <f>COUNTIFS('All Papers'!$D:$D,"*"&amp;$A894&amp;"*",'All Papers'!$G:$G,"*"&amp;Table1[[#Headers],[Recommendation]]&amp;"*")</f>
        <v>0</v>
      </c>
      <c r="G894" s="8">
        <f>COUNTIFS('All Papers'!$D:$D,"*"&amp;$A894&amp;"*",'All Papers'!$G:$G,"*"&amp;Table1[[#Headers],[Resource Management-CS]]&amp;"*")</f>
        <v>0</v>
      </c>
      <c r="H894" s="8">
        <f>COUNTIFS('All Papers'!$D:$D,"*"&amp;$A894&amp;"*",'All Papers'!$G:$G,"*"&amp;Table1[[#Headers],[Resource Management-PS]]&amp;"*")</f>
        <v>0</v>
      </c>
      <c r="I894" s="8">
        <f>COUNTIFS('All Papers'!$D:$D,"*"&amp;$A894&amp;"*",'All Papers'!$G:$G,"*"&amp;Table1[[#Headers],[SLA Management]]&amp;"*")</f>
        <v>0</v>
      </c>
      <c r="J894" s="8">
        <f>COUNTIFS('All Papers'!$D:$D,"*"&amp;$A894&amp;"*",'All Papers'!$G:$G,"*"&amp;Table1[[#Headers],[Big Data]]&amp;"*")</f>
        <v>0</v>
      </c>
      <c r="K894" s="8">
        <f>COUNTIFS('All Papers'!$D:$D,"*"&amp;$A894&amp;"*",'All Papers'!$G:$G,"*"&amp;Table1[[#Headers],[Energy Management]]&amp;"*")</f>
        <v>0</v>
      </c>
      <c r="L894" s="8">
        <f>COUNTIFS('All Papers'!$D:$D,"*"&amp;$A894&amp;"*",'All Papers'!$G:$G,"*"&amp;Table1[[#Headers],[Monitoring]]&amp;"*")</f>
        <v>0</v>
      </c>
      <c r="M894" s="8">
        <f>COUNTIFS('All Papers'!$D:$D,"*"&amp;$A894&amp;"*",'All Papers'!$G:$G,"*"&amp;Table1[[#Headers],[Pricing]]&amp;"*")</f>
        <v>0</v>
      </c>
    </row>
    <row r="895" spans="1:13" x14ac:dyDescent="0.25">
      <c r="A895" s="8" t="s">
        <v>3328</v>
      </c>
      <c r="B895" s="8">
        <f>COUNTIF('All Papers'!D:D,"*"&amp;Table1[[#This Row],[Name]]&amp;"*")</f>
        <v>1</v>
      </c>
      <c r="C895" s="8">
        <f>COUNTIFS('All Papers'!$D:$D,"*"&amp;$A895&amp;"*",'All Papers'!$G:$G,"*"&amp;Table1[[#Headers],[Composition]]&amp;"*")</f>
        <v>0</v>
      </c>
      <c r="D895" s="8">
        <f>COUNTIFS('All Papers'!$D:$D,"*"&amp;$A895&amp;"*",'All Papers'!$G:$G,"*"&amp;Table1[[#Headers],[Discovery]]&amp;"*")</f>
        <v>0</v>
      </c>
      <c r="E895" s="8">
        <f>COUNTIFS('All Papers'!$D:$D,"*"&amp;$A895&amp;"*",'All Papers'!$G:$G,"*"&amp;Table1[[#Headers],[Selection]]&amp;"*")</f>
        <v>1</v>
      </c>
      <c r="F895" s="8">
        <f>COUNTIFS('All Papers'!$D:$D,"*"&amp;$A895&amp;"*",'All Papers'!$G:$G,"*"&amp;Table1[[#Headers],[Recommendation]]&amp;"*")</f>
        <v>0</v>
      </c>
      <c r="G895" s="8">
        <f>COUNTIFS('All Papers'!$D:$D,"*"&amp;$A895&amp;"*",'All Papers'!$G:$G,"*"&amp;Table1[[#Headers],[Resource Management-CS]]&amp;"*")</f>
        <v>0</v>
      </c>
      <c r="H895" s="8">
        <f>COUNTIFS('All Papers'!$D:$D,"*"&amp;$A895&amp;"*",'All Papers'!$G:$G,"*"&amp;Table1[[#Headers],[Resource Management-PS]]&amp;"*")</f>
        <v>0</v>
      </c>
      <c r="I895" s="8">
        <f>COUNTIFS('All Papers'!$D:$D,"*"&amp;$A895&amp;"*",'All Papers'!$G:$G,"*"&amp;Table1[[#Headers],[SLA Management]]&amp;"*")</f>
        <v>0</v>
      </c>
      <c r="J895" s="8">
        <f>COUNTIFS('All Papers'!$D:$D,"*"&amp;$A895&amp;"*",'All Papers'!$G:$G,"*"&amp;Table1[[#Headers],[Big Data]]&amp;"*")</f>
        <v>0</v>
      </c>
      <c r="K895" s="8">
        <f>COUNTIFS('All Papers'!$D:$D,"*"&amp;$A895&amp;"*",'All Papers'!$G:$G,"*"&amp;Table1[[#Headers],[Energy Management]]&amp;"*")</f>
        <v>0</v>
      </c>
      <c r="L895" s="8">
        <f>COUNTIFS('All Papers'!$D:$D,"*"&amp;$A895&amp;"*",'All Papers'!$G:$G,"*"&amp;Table1[[#Headers],[Monitoring]]&amp;"*")</f>
        <v>0</v>
      </c>
      <c r="M895" s="8">
        <f>COUNTIFS('All Papers'!$D:$D,"*"&amp;$A895&amp;"*",'All Papers'!$G:$G,"*"&amp;Table1[[#Headers],[Pricing]]&amp;"*")</f>
        <v>0</v>
      </c>
    </row>
    <row r="896" spans="1:13" x14ac:dyDescent="0.25">
      <c r="A896" s="8" t="s">
        <v>3329</v>
      </c>
      <c r="B896" s="8">
        <f>COUNTIF('All Papers'!D:D,"*"&amp;Table1[[#This Row],[Name]]&amp;"*")</f>
        <v>1</v>
      </c>
      <c r="C896" s="8">
        <f>COUNTIFS('All Papers'!$D:$D,"*"&amp;$A896&amp;"*",'All Papers'!$G:$G,"*"&amp;Table1[[#Headers],[Composition]]&amp;"*")</f>
        <v>0</v>
      </c>
      <c r="D896" s="8">
        <f>COUNTIFS('All Papers'!$D:$D,"*"&amp;$A896&amp;"*",'All Papers'!$G:$G,"*"&amp;Table1[[#Headers],[Discovery]]&amp;"*")</f>
        <v>0</v>
      </c>
      <c r="E896" s="8">
        <f>COUNTIFS('All Papers'!$D:$D,"*"&amp;$A896&amp;"*",'All Papers'!$G:$G,"*"&amp;Table1[[#Headers],[Selection]]&amp;"*")</f>
        <v>1</v>
      </c>
      <c r="F896" s="8">
        <f>COUNTIFS('All Papers'!$D:$D,"*"&amp;$A896&amp;"*",'All Papers'!$G:$G,"*"&amp;Table1[[#Headers],[Recommendation]]&amp;"*")</f>
        <v>0</v>
      </c>
      <c r="G896" s="8">
        <f>COUNTIFS('All Papers'!$D:$D,"*"&amp;$A896&amp;"*",'All Papers'!$G:$G,"*"&amp;Table1[[#Headers],[Resource Management-CS]]&amp;"*")</f>
        <v>0</v>
      </c>
      <c r="H896" s="8">
        <f>COUNTIFS('All Papers'!$D:$D,"*"&amp;$A896&amp;"*",'All Papers'!$G:$G,"*"&amp;Table1[[#Headers],[Resource Management-PS]]&amp;"*")</f>
        <v>0</v>
      </c>
      <c r="I896" s="8">
        <f>COUNTIFS('All Papers'!$D:$D,"*"&amp;$A896&amp;"*",'All Papers'!$G:$G,"*"&amp;Table1[[#Headers],[SLA Management]]&amp;"*")</f>
        <v>0</v>
      </c>
      <c r="J896" s="8">
        <f>COUNTIFS('All Papers'!$D:$D,"*"&amp;$A896&amp;"*",'All Papers'!$G:$G,"*"&amp;Table1[[#Headers],[Big Data]]&amp;"*")</f>
        <v>0</v>
      </c>
      <c r="K896" s="8">
        <f>COUNTIFS('All Papers'!$D:$D,"*"&amp;$A896&amp;"*",'All Papers'!$G:$G,"*"&amp;Table1[[#Headers],[Energy Management]]&amp;"*")</f>
        <v>0</v>
      </c>
      <c r="L896" s="8">
        <f>COUNTIFS('All Papers'!$D:$D,"*"&amp;$A896&amp;"*",'All Papers'!$G:$G,"*"&amp;Table1[[#Headers],[Monitoring]]&amp;"*")</f>
        <v>0</v>
      </c>
      <c r="M896" s="8">
        <f>COUNTIFS('All Papers'!$D:$D,"*"&amp;$A896&amp;"*",'All Papers'!$G:$G,"*"&amp;Table1[[#Headers],[Pricing]]&amp;"*")</f>
        <v>0</v>
      </c>
    </row>
    <row r="897" spans="1:13" x14ac:dyDescent="0.25">
      <c r="A897" s="8" t="s">
        <v>3330</v>
      </c>
      <c r="B897" s="8">
        <f>COUNTIF('All Papers'!D:D,"*"&amp;Table1[[#This Row],[Name]]&amp;"*")</f>
        <v>1</v>
      </c>
      <c r="C897" s="8">
        <f>COUNTIFS('All Papers'!$D:$D,"*"&amp;$A897&amp;"*",'All Papers'!$G:$G,"*"&amp;Table1[[#Headers],[Composition]]&amp;"*")</f>
        <v>0</v>
      </c>
      <c r="D897" s="8">
        <f>COUNTIFS('All Papers'!$D:$D,"*"&amp;$A897&amp;"*",'All Papers'!$G:$G,"*"&amp;Table1[[#Headers],[Discovery]]&amp;"*")</f>
        <v>1</v>
      </c>
      <c r="E897" s="8">
        <f>COUNTIFS('All Papers'!$D:$D,"*"&amp;$A897&amp;"*",'All Papers'!$G:$G,"*"&amp;Table1[[#Headers],[Selection]]&amp;"*")</f>
        <v>1</v>
      </c>
      <c r="F897" s="8">
        <f>COUNTIFS('All Papers'!$D:$D,"*"&amp;$A897&amp;"*",'All Papers'!$G:$G,"*"&amp;Table1[[#Headers],[Recommendation]]&amp;"*")</f>
        <v>0</v>
      </c>
      <c r="G897" s="8">
        <f>COUNTIFS('All Papers'!$D:$D,"*"&amp;$A897&amp;"*",'All Papers'!$G:$G,"*"&amp;Table1[[#Headers],[Resource Management-CS]]&amp;"*")</f>
        <v>0</v>
      </c>
      <c r="H897" s="8">
        <f>COUNTIFS('All Papers'!$D:$D,"*"&amp;$A897&amp;"*",'All Papers'!$G:$G,"*"&amp;Table1[[#Headers],[Resource Management-PS]]&amp;"*")</f>
        <v>0</v>
      </c>
      <c r="I897" s="8">
        <f>COUNTIFS('All Papers'!$D:$D,"*"&amp;$A897&amp;"*",'All Papers'!$G:$G,"*"&amp;Table1[[#Headers],[SLA Management]]&amp;"*")</f>
        <v>0</v>
      </c>
      <c r="J897" s="8">
        <f>COUNTIFS('All Papers'!$D:$D,"*"&amp;$A897&amp;"*",'All Papers'!$G:$G,"*"&amp;Table1[[#Headers],[Big Data]]&amp;"*")</f>
        <v>0</v>
      </c>
      <c r="K897" s="8">
        <f>COUNTIFS('All Papers'!$D:$D,"*"&amp;$A897&amp;"*",'All Papers'!$G:$G,"*"&amp;Table1[[#Headers],[Energy Management]]&amp;"*")</f>
        <v>0</v>
      </c>
      <c r="L897" s="8">
        <f>COUNTIFS('All Papers'!$D:$D,"*"&amp;$A897&amp;"*",'All Papers'!$G:$G,"*"&amp;Table1[[#Headers],[Monitoring]]&amp;"*")</f>
        <v>0</v>
      </c>
      <c r="M897" s="8">
        <f>COUNTIFS('All Papers'!$D:$D,"*"&amp;$A897&amp;"*",'All Papers'!$G:$G,"*"&amp;Table1[[#Headers],[Pricing]]&amp;"*")</f>
        <v>0</v>
      </c>
    </row>
    <row r="898" spans="1:13" x14ac:dyDescent="0.25">
      <c r="A898" s="8" t="s">
        <v>3331</v>
      </c>
      <c r="B898" s="8">
        <f>COUNTIF('All Papers'!D:D,"*"&amp;Table1[[#This Row],[Name]]&amp;"*")</f>
        <v>1</v>
      </c>
      <c r="C898" s="8">
        <f>COUNTIFS('All Papers'!$D:$D,"*"&amp;$A898&amp;"*",'All Papers'!$G:$G,"*"&amp;Table1[[#Headers],[Composition]]&amp;"*")</f>
        <v>0</v>
      </c>
      <c r="D898" s="8">
        <f>COUNTIFS('All Papers'!$D:$D,"*"&amp;$A898&amp;"*",'All Papers'!$G:$G,"*"&amp;Table1[[#Headers],[Discovery]]&amp;"*")</f>
        <v>1</v>
      </c>
      <c r="E898" s="8">
        <f>COUNTIFS('All Papers'!$D:$D,"*"&amp;$A898&amp;"*",'All Papers'!$G:$G,"*"&amp;Table1[[#Headers],[Selection]]&amp;"*")</f>
        <v>1</v>
      </c>
      <c r="F898" s="8">
        <f>COUNTIFS('All Papers'!$D:$D,"*"&amp;$A898&amp;"*",'All Papers'!$G:$G,"*"&amp;Table1[[#Headers],[Recommendation]]&amp;"*")</f>
        <v>0</v>
      </c>
      <c r="G898" s="8">
        <f>COUNTIFS('All Papers'!$D:$D,"*"&amp;$A898&amp;"*",'All Papers'!$G:$G,"*"&amp;Table1[[#Headers],[Resource Management-CS]]&amp;"*")</f>
        <v>0</v>
      </c>
      <c r="H898" s="8">
        <f>COUNTIFS('All Papers'!$D:$D,"*"&amp;$A898&amp;"*",'All Papers'!$G:$G,"*"&amp;Table1[[#Headers],[Resource Management-PS]]&amp;"*")</f>
        <v>0</v>
      </c>
      <c r="I898" s="8">
        <f>COUNTIFS('All Papers'!$D:$D,"*"&amp;$A898&amp;"*",'All Papers'!$G:$G,"*"&amp;Table1[[#Headers],[SLA Management]]&amp;"*")</f>
        <v>0</v>
      </c>
      <c r="J898" s="8">
        <f>COUNTIFS('All Papers'!$D:$D,"*"&amp;$A898&amp;"*",'All Papers'!$G:$G,"*"&amp;Table1[[#Headers],[Big Data]]&amp;"*")</f>
        <v>0</v>
      </c>
      <c r="K898" s="8">
        <f>COUNTIFS('All Papers'!$D:$D,"*"&amp;$A898&amp;"*",'All Papers'!$G:$G,"*"&amp;Table1[[#Headers],[Energy Management]]&amp;"*")</f>
        <v>0</v>
      </c>
      <c r="L898" s="8">
        <f>COUNTIFS('All Papers'!$D:$D,"*"&amp;$A898&amp;"*",'All Papers'!$G:$G,"*"&amp;Table1[[#Headers],[Monitoring]]&amp;"*")</f>
        <v>0</v>
      </c>
      <c r="M898" s="8">
        <f>COUNTIFS('All Papers'!$D:$D,"*"&amp;$A898&amp;"*",'All Papers'!$G:$G,"*"&amp;Table1[[#Headers],[Pricing]]&amp;"*")</f>
        <v>0</v>
      </c>
    </row>
    <row r="899" spans="1:13" x14ac:dyDescent="0.25">
      <c r="A899" s="8" t="s">
        <v>3332</v>
      </c>
      <c r="B899" s="8">
        <f>COUNTIF('All Papers'!D:D,"*"&amp;Table1[[#This Row],[Name]]&amp;"*")</f>
        <v>1</v>
      </c>
      <c r="C899" s="8">
        <f>COUNTIFS('All Papers'!$D:$D,"*"&amp;$A899&amp;"*",'All Papers'!$G:$G,"*"&amp;Table1[[#Headers],[Composition]]&amp;"*")</f>
        <v>0</v>
      </c>
      <c r="D899" s="8">
        <f>COUNTIFS('All Papers'!$D:$D,"*"&amp;$A899&amp;"*",'All Papers'!$G:$G,"*"&amp;Table1[[#Headers],[Discovery]]&amp;"*")</f>
        <v>1</v>
      </c>
      <c r="E899" s="8">
        <f>COUNTIFS('All Papers'!$D:$D,"*"&amp;$A899&amp;"*",'All Papers'!$G:$G,"*"&amp;Table1[[#Headers],[Selection]]&amp;"*")</f>
        <v>1</v>
      </c>
      <c r="F899" s="8">
        <f>COUNTIFS('All Papers'!$D:$D,"*"&amp;$A899&amp;"*",'All Papers'!$G:$G,"*"&amp;Table1[[#Headers],[Recommendation]]&amp;"*")</f>
        <v>0</v>
      </c>
      <c r="G899" s="8">
        <f>COUNTIFS('All Papers'!$D:$D,"*"&amp;$A899&amp;"*",'All Papers'!$G:$G,"*"&amp;Table1[[#Headers],[Resource Management-CS]]&amp;"*")</f>
        <v>0</v>
      </c>
      <c r="H899" s="8">
        <f>COUNTIFS('All Papers'!$D:$D,"*"&amp;$A899&amp;"*",'All Papers'!$G:$G,"*"&amp;Table1[[#Headers],[Resource Management-PS]]&amp;"*")</f>
        <v>0</v>
      </c>
      <c r="I899" s="8">
        <f>COUNTIFS('All Papers'!$D:$D,"*"&amp;$A899&amp;"*",'All Papers'!$G:$G,"*"&amp;Table1[[#Headers],[SLA Management]]&amp;"*")</f>
        <v>0</v>
      </c>
      <c r="J899" s="8">
        <f>COUNTIFS('All Papers'!$D:$D,"*"&amp;$A899&amp;"*",'All Papers'!$G:$G,"*"&amp;Table1[[#Headers],[Big Data]]&amp;"*")</f>
        <v>0</v>
      </c>
      <c r="K899" s="8">
        <f>COUNTIFS('All Papers'!$D:$D,"*"&amp;$A899&amp;"*",'All Papers'!$G:$G,"*"&amp;Table1[[#Headers],[Energy Management]]&amp;"*")</f>
        <v>0</v>
      </c>
      <c r="L899" s="8">
        <f>COUNTIFS('All Papers'!$D:$D,"*"&amp;$A899&amp;"*",'All Papers'!$G:$G,"*"&amp;Table1[[#Headers],[Monitoring]]&amp;"*")</f>
        <v>0</v>
      </c>
      <c r="M899" s="8">
        <f>COUNTIFS('All Papers'!$D:$D,"*"&amp;$A899&amp;"*",'All Papers'!$G:$G,"*"&amp;Table1[[#Headers],[Pricing]]&amp;"*")</f>
        <v>0</v>
      </c>
    </row>
    <row r="900" spans="1:13" x14ac:dyDescent="0.25">
      <c r="A900" s="8" t="s">
        <v>3333</v>
      </c>
      <c r="B900" s="8">
        <f>COUNTIF('All Papers'!D:D,"*"&amp;Table1[[#This Row],[Name]]&amp;"*")</f>
        <v>1</v>
      </c>
      <c r="C900" s="8">
        <f>COUNTIFS('All Papers'!$D:$D,"*"&amp;$A900&amp;"*",'All Papers'!$G:$G,"*"&amp;Table1[[#Headers],[Composition]]&amp;"*")</f>
        <v>0</v>
      </c>
      <c r="D900" s="8">
        <f>COUNTIFS('All Papers'!$D:$D,"*"&amp;$A900&amp;"*",'All Papers'!$G:$G,"*"&amp;Table1[[#Headers],[Discovery]]&amp;"*")</f>
        <v>0</v>
      </c>
      <c r="E900" s="8">
        <f>COUNTIFS('All Papers'!$D:$D,"*"&amp;$A900&amp;"*",'All Papers'!$G:$G,"*"&amp;Table1[[#Headers],[Selection]]&amp;"*")</f>
        <v>0</v>
      </c>
      <c r="F900" s="8">
        <f>COUNTIFS('All Papers'!$D:$D,"*"&amp;$A900&amp;"*",'All Papers'!$G:$G,"*"&amp;Table1[[#Headers],[Recommendation]]&amp;"*")</f>
        <v>1</v>
      </c>
      <c r="G900" s="8">
        <f>COUNTIFS('All Papers'!$D:$D,"*"&amp;$A900&amp;"*",'All Papers'!$G:$G,"*"&amp;Table1[[#Headers],[Resource Management-CS]]&amp;"*")</f>
        <v>0</v>
      </c>
      <c r="H900" s="8">
        <f>COUNTIFS('All Papers'!$D:$D,"*"&amp;$A900&amp;"*",'All Papers'!$G:$G,"*"&amp;Table1[[#Headers],[Resource Management-PS]]&amp;"*")</f>
        <v>0</v>
      </c>
      <c r="I900" s="8">
        <f>COUNTIFS('All Papers'!$D:$D,"*"&amp;$A900&amp;"*",'All Papers'!$G:$G,"*"&amp;Table1[[#Headers],[SLA Management]]&amp;"*")</f>
        <v>0</v>
      </c>
      <c r="J900" s="8">
        <f>COUNTIFS('All Papers'!$D:$D,"*"&amp;$A900&amp;"*",'All Papers'!$G:$G,"*"&amp;Table1[[#Headers],[Big Data]]&amp;"*")</f>
        <v>0</v>
      </c>
      <c r="K900" s="8">
        <f>COUNTIFS('All Papers'!$D:$D,"*"&amp;$A900&amp;"*",'All Papers'!$G:$G,"*"&amp;Table1[[#Headers],[Energy Management]]&amp;"*")</f>
        <v>0</v>
      </c>
      <c r="L900" s="8">
        <f>COUNTIFS('All Papers'!$D:$D,"*"&amp;$A900&amp;"*",'All Papers'!$G:$G,"*"&amp;Table1[[#Headers],[Monitoring]]&amp;"*")</f>
        <v>0</v>
      </c>
      <c r="M900" s="8">
        <f>COUNTIFS('All Papers'!$D:$D,"*"&amp;$A900&amp;"*",'All Papers'!$G:$G,"*"&amp;Table1[[#Headers],[Pricing]]&amp;"*")</f>
        <v>0</v>
      </c>
    </row>
    <row r="901" spans="1:13" x14ac:dyDescent="0.25">
      <c r="A901" s="8" t="s">
        <v>3334</v>
      </c>
      <c r="B901" s="8">
        <f>COUNTIF('All Papers'!D:D,"*"&amp;Table1[[#This Row],[Name]]&amp;"*")</f>
        <v>1</v>
      </c>
      <c r="C901" s="8">
        <f>COUNTIFS('All Papers'!$D:$D,"*"&amp;$A901&amp;"*",'All Papers'!$G:$G,"*"&amp;Table1[[#Headers],[Composition]]&amp;"*")</f>
        <v>0</v>
      </c>
      <c r="D901" s="8">
        <f>COUNTIFS('All Papers'!$D:$D,"*"&amp;$A901&amp;"*",'All Papers'!$G:$G,"*"&amp;Table1[[#Headers],[Discovery]]&amp;"*")</f>
        <v>0</v>
      </c>
      <c r="E901" s="8">
        <f>COUNTIFS('All Papers'!$D:$D,"*"&amp;$A901&amp;"*",'All Papers'!$G:$G,"*"&amp;Table1[[#Headers],[Selection]]&amp;"*")</f>
        <v>0</v>
      </c>
      <c r="F901" s="8">
        <f>COUNTIFS('All Papers'!$D:$D,"*"&amp;$A901&amp;"*",'All Papers'!$G:$G,"*"&amp;Table1[[#Headers],[Recommendation]]&amp;"*")</f>
        <v>1</v>
      </c>
      <c r="G901" s="8">
        <f>COUNTIFS('All Papers'!$D:$D,"*"&amp;$A901&amp;"*",'All Papers'!$G:$G,"*"&amp;Table1[[#Headers],[Resource Management-CS]]&amp;"*")</f>
        <v>0</v>
      </c>
      <c r="H901" s="8">
        <f>COUNTIFS('All Papers'!$D:$D,"*"&amp;$A901&amp;"*",'All Papers'!$G:$G,"*"&amp;Table1[[#Headers],[Resource Management-PS]]&amp;"*")</f>
        <v>0</v>
      </c>
      <c r="I901" s="8">
        <f>COUNTIFS('All Papers'!$D:$D,"*"&amp;$A901&amp;"*",'All Papers'!$G:$G,"*"&amp;Table1[[#Headers],[SLA Management]]&amp;"*")</f>
        <v>0</v>
      </c>
      <c r="J901" s="8">
        <f>COUNTIFS('All Papers'!$D:$D,"*"&amp;$A901&amp;"*",'All Papers'!$G:$G,"*"&amp;Table1[[#Headers],[Big Data]]&amp;"*")</f>
        <v>0</v>
      </c>
      <c r="K901" s="8">
        <f>COUNTIFS('All Papers'!$D:$D,"*"&amp;$A901&amp;"*",'All Papers'!$G:$G,"*"&amp;Table1[[#Headers],[Energy Management]]&amp;"*")</f>
        <v>0</v>
      </c>
      <c r="L901" s="8">
        <f>COUNTIFS('All Papers'!$D:$D,"*"&amp;$A901&amp;"*",'All Papers'!$G:$G,"*"&amp;Table1[[#Headers],[Monitoring]]&amp;"*")</f>
        <v>0</v>
      </c>
      <c r="M901" s="8">
        <f>COUNTIFS('All Papers'!$D:$D,"*"&amp;$A901&amp;"*",'All Papers'!$G:$G,"*"&amp;Table1[[#Headers],[Pricing]]&amp;"*")</f>
        <v>0</v>
      </c>
    </row>
    <row r="902" spans="1:13" x14ac:dyDescent="0.25">
      <c r="A902" s="8" t="s">
        <v>3335</v>
      </c>
      <c r="B902" s="8">
        <f>COUNTIF('All Papers'!D:D,"*"&amp;Table1[[#This Row],[Name]]&amp;"*")</f>
        <v>1</v>
      </c>
      <c r="C902" s="8">
        <f>COUNTIFS('All Papers'!$D:$D,"*"&amp;$A902&amp;"*",'All Papers'!$G:$G,"*"&amp;Table1[[#Headers],[Composition]]&amp;"*")</f>
        <v>0</v>
      </c>
      <c r="D902" s="8">
        <f>COUNTIFS('All Papers'!$D:$D,"*"&amp;$A902&amp;"*",'All Papers'!$G:$G,"*"&amp;Table1[[#Headers],[Discovery]]&amp;"*")</f>
        <v>0</v>
      </c>
      <c r="E902" s="8">
        <f>COUNTIFS('All Papers'!$D:$D,"*"&amp;$A902&amp;"*",'All Papers'!$G:$G,"*"&amp;Table1[[#Headers],[Selection]]&amp;"*")</f>
        <v>0</v>
      </c>
      <c r="F902" s="8">
        <f>COUNTIFS('All Papers'!$D:$D,"*"&amp;$A902&amp;"*",'All Papers'!$G:$G,"*"&amp;Table1[[#Headers],[Recommendation]]&amp;"*")</f>
        <v>1</v>
      </c>
      <c r="G902" s="8">
        <f>COUNTIFS('All Papers'!$D:$D,"*"&amp;$A902&amp;"*",'All Papers'!$G:$G,"*"&amp;Table1[[#Headers],[Resource Management-CS]]&amp;"*")</f>
        <v>0</v>
      </c>
      <c r="H902" s="8">
        <f>COUNTIFS('All Papers'!$D:$D,"*"&amp;$A902&amp;"*",'All Papers'!$G:$G,"*"&amp;Table1[[#Headers],[Resource Management-PS]]&amp;"*")</f>
        <v>0</v>
      </c>
      <c r="I902" s="8">
        <f>COUNTIFS('All Papers'!$D:$D,"*"&amp;$A902&amp;"*",'All Papers'!$G:$G,"*"&amp;Table1[[#Headers],[SLA Management]]&amp;"*")</f>
        <v>0</v>
      </c>
      <c r="J902" s="8">
        <f>COUNTIFS('All Papers'!$D:$D,"*"&amp;$A902&amp;"*",'All Papers'!$G:$G,"*"&amp;Table1[[#Headers],[Big Data]]&amp;"*")</f>
        <v>0</v>
      </c>
      <c r="K902" s="8">
        <f>COUNTIFS('All Papers'!$D:$D,"*"&amp;$A902&amp;"*",'All Papers'!$G:$G,"*"&amp;Table1[[#Headers],[Energy Management]]&amp;"*")</f>
        <v>0</v>
      </c>
      <c r="L902" s="8">
        <f>COUNTIFS('All Papers'!$D:$D,"*"&amp;$A902&amp;"*",'All Papers'!$G:$G,"*"&amp;Table1[[#Headers],[Monitoring]]&amp;"*")</f>
        <v>0</v>
      </c>
      <c r="M902" s="8">
        <f>COUNTIFS('All Papers'!$D:$D,"*"&amp;$A902&amp;"*",'All Papers'!$G:$G,"*"&amp;Table1[[#Headers],[Pricing]]&amp;"*")</f>
        <v>0</v>
      </c>
    </row>
    <row r="903" spans="1:13" x14ac:dyDescent="0.25">
      <c r="A903" s="8" t="s">
        <v>3336</v>
      </c>
      <c r="B903" s="8">
        <f>COUNTIF('All Papers'!D:D,"*"&amp;Table1[[#This Row],[Name]]&amp;"*")</f>
        <v>1</v>
      </c>
      <c r="C903" s="8">
        <f>COUNTIFS('All Papers'!$D:$D,"*"&amp;$A903&amp;"*",'All Papers'!$G:$G,"*"&amp;Table1[[#Headers],[Composition]]&amp;"*")</f>
        <v>1</v>
      </c>
      <c r="D903" s="8">
        <f>COUNTIFS('All Papers'!$D:$D,"*"&amp;$A903&amp;"*",'All Papers'!$G:$G,"*"&amp;Table1[[#Headers],[Discovery]]&amp;"*")</f>
        <v>0</v>
      </c>
      <c r="E903" s="8">
        <f>COUNTIFS('All Papers'!$D:$D,"*"&amp;$A903&amp;"*",'All Papers'!$G:$G,"*"&amp;Table1[[#Headers],[Selection]]&amp;"*")</f>
        <v>0</v>
      </c>
      <c r="F903" s="8">
        <f>COUNTIFS('All Papers'!$D:$D,"*"&amp;$A903&amp;"*",'All Papers'!$G:$G,"*"&amp;Table1[[#Headers],[Recommendation]]&amp;"*")</f>
        <v>0</v>
      </c>
      <c r="G903" s="8">
        <f>COUNTIFS('All Papers'!$D:$D,"*"&amp;$A903&amp;"*",'All Papers'!$G:$G,"*"&amp;Table1[[#Headers],[Resource Management-CS]]&amp;"*")</f>
        <v>0</v>
      </c>
      <c r="H903" s="8">
        <f>COUNTIFS('All Papers'!$D:$D,"*"&amp;$A903&amp;"*",'All Papers'!$G:$G,"*"&amp;Table1[[#Headers],[Resource Management-PS]]&amp;"*")</f>
        <v>0</v>
      </c>
      <c r="I903" s="8">
        <f>COUNTIFS('All Papers'!$D:$D,"*"&amp;$A903&amp;"*",'All Papers'!$G:$G,"*"&amp;Table1[[#Headers],[SLA Management]]&amp;"*")</f>
        <v>0</v>
      </c>
      <c r="J903" s="8">
        <f>COUNTIFS('All Papers'!$D:$D,"*"&amp;$A903&amp;"*",'All Papers'!$G:$G,"*"&amp;Table1[[#Headers],[Big Data]]&amp;"*")</f>
        <v>0</v>
      </c>
      <c r="K903" s="8">
        <f>COUNTIFS('All Papers'!$D:$D,"*"&amp;$A903&amp;"*",'All Papers'!$G:$G,"*"&amp;Table1[[#Headers],[Energy Management]]&amp;"*")</f>
        <v>0</v>
      </c>
      <c r="L903" s="8">
        <f>COUNTIFS('All Papers'!$D:$D,"*"&amp;$A903&amp;"*",'All Papers'!$G:$G,"*"&amp;Table1[[#Headers],[Monitoring]]&amp;"*")</f>
        <v>0</v>
      </c>
      <c r="M903" s="8">
        <f>COUNTIFS('All Papers'!$D:$D,"*"&amp;$A903&amp;"*",'All Papers'!$G:$G,"*"&amp;Table1[[#Headers],[Pricing]]&amp;"*")</f>
        <v>0</v>
      </c>
    </row>
    <row r="904" spans="1:13" x14ac:dyDescent="0.25">
      <c r="A904" s="8" t="s">
        <v>3337</v>
      </c>
      <c r="B904" s="8">
        <f>COUNTIF('All Papers'!D:D,"*"&amp;Table1[[#This Row],[Name]]&amp;"*")</f>
        <v>1</v>
      </c>
      <c r="C904" s="8">
        <f>COUNTIFS('All Papers'!$D:$D,"*"&amp;$A904&amp;"*",'All Papers'!$G:$G,"*"&amp;Table1[[#Headers],[Composition]]&amp;"*")</f>
        <v>1</v>
      </c>
      <c r="D904" s="8">
        <f>COUNTIFS('All Papers'!$D:$D,"*"&amp;$A904&amp;"*",'All Papers'!$G:$G,"*"&amp;Table1[[#Headers],[Discovery]]&amp;"*")</f>
        <v>0</v>
      </c>
      <c r="E904" s="8">
        <f>COUNTIFS('All Papers'!$D:$D,"*"&amp;$A904&amp;"*",'All Papers'!$G:$G,"*"&amp;Table1[[#Headers],[Selection]]&amp;"*")</f>
        <v>0</v>
      </c>
      <c r="F904" s="8">
        <f>COUNTIFS('All Papers'!$D:$D,"*"&amp;$A904&amp;"*",'All Papers'!$G:$G,"*"&amp;Table1[[#Headers],[Recommendation]]&amp;"*")</f>
        <v>0</v>
      </c>
      <c r="G904" s="8">
        <f>COUNTIFS('All Papers'!$D:$D,"*"&amp;$A904&amp;"*",'All Papers'!$G:$G,"*"&amp;Table1[[#Headers],[Resource Management-CS]]&amp;"*")</f>
        <v>0</v>
      </c>
      <c r="H904" s="8">
        <f>COUNTIFS('All Papers'!$D:$D,"*"&amp;$A904&amp;"*",'All Papers'!$G:$G,"*"&amp;Table1[[#Headers],[Resource Management-PS]]&amp;"*")</f>
        <v>0</v>
      </c>
      <c r="I904" s="8">
        <f>COUNTIFS('All Papers'!$D:$D,"*"&amp;$A904&amp;"*",'All Papers'!$G:$G,"*"&amp;Table1[[#Headers],[SLA Management]]&amp;"*")</f>
        <v>0</v>
      </c>
      <c r="J904" s="8">
        <f>COUNTIFS('All Papers'!$D:$D,"*"&amp;$A904&amp;"*",'All Papers'!$G:$G,"*"&amp;Table1[[#Headers],[Big Data]]&amp;"*")</f>
        <v>0</v>
      </c>
      <c r="K904" s="8">
        <f>COUNTIFS('All Papers'!$D:$D,"*"&amp;$A904&amp;"*",'All Papers'!$G:$G,"*"&amp;Table1[[#Headers],[Energy Management]]&amp;"*")</f>
        <v>0</v>
      </c>
      <c r="L904" s="8">
        <f>COUNTIFS('All Papers'!$D:$D,"*"&amp;$A904&amp;"*",'All Papers'!$G:$G,"*"&amp;Table1[[#Headers],[Monitoring]]&amp;"*")</f>
        <v>0</v>
      </c>
      <c r="M904" s="8">
        <f>COUNTIFS('All Papers'!$D:$D,"*"&amp;$A904&amp;"*",'All Papers'!$G:$G,"*"&amp;Table1[[#Headers],[Pricing]]&amp;"*")</f>
        <v>0</v>
      </c>
    </row>
    <row r="905" spans="1:13" x14ac:dyDescent="0.25">
      <c r="A905" s="8" t="s">
        <v>3338</v>
      </c>
      <c r="B905" s="8">
        <f>COUNTIF('All Papers'!D:D,"*"&amp;Table1[[#This Row],[Name]]&amp;"*")</f>
        <v>1</v>
      </c>
      <c r="C905" s="8">
        <f>COUNTIFS('All Papers'!$D:$D,"*"&amp;$A905&amp;"*",'All Papers'!$G:$G,"*"&amp;Table1[[#Headers],[Composition]]&amp;"*")</f>
        <v>0</v>
      </c>
      <c r="D905" s="8">
        <f>COUNTIFS('All Papers'!$D:$D,"*"&amp;$A905&amp;"*",'All Papers'!$G:$G,"*"&amp;Table1[[#Headers],[Discovery]]&amp;"*")</f>
        <v>0</v>
      </c>
      <c r="E905" s="8">
        <f>COUNTIFS('All Papers'!$D:$D,"*"&amp;$A905&amp;"*",'All Papers'!$G:$G,"*"&amp;Table1[[#Headers],[Selection]]&amp;"*")</f>
        <v>0</v>
      </c>
      <c r="F905" s="8">
        <f>COUNTIFS('All Papers'!$D:$D,"*"&amp;$A905&amp;"*",'All Papers'!$G:$G,"*"&amp;Table1[[#Headers],[Recommendation]]&amp;"*")</f>
        <v>0</v>
      </c>
      <c r="G905" s="8">
        <f>COUNTIFS('All Papers'!$D:$D,"*"&amp;$A905&amp;"*",'All Papers'!$G:$G,"*"&amp;Table1[[#Headers],[Resource Management-CS]]&amp;"*")</f>
        <v>1</v>
      </c>
      <c r="H905" s="8">
        <f>COUNTIFS('All Papers'!$D:$D,"*"&amp;$A905&amp;"*",'All Papers'!$G:$G,"*"&amp;Table1[[#Headers],[Resource Management-PS]]&amp;"*")</f>
        <v>0</v>
      </c>
      <c r="I905" s="8">
        <f>COUNTIFS('All Papers'!$D:$D,"*"&amp;$A905&amp;"*",'All Papers'!$G:$G,"*"&amp;Table1[[#Headers],[SLA Management]]&amp;"*")</f>
        <v>0</v>
      </c>
      <c r="J905" s="8">
        <f>COUNTIFS('All Papers'!$D:$D,"*"&amp;$A905&amp;"*",'All Papers'!$G:$G,"*"&amp;Table1[[#Headers],[Big Data]]&amp;"*")</f>
        <v>0</v>
      </c>
      <c r="K905" s="8">
        <f>COUNTIFS('All Papers'!$D:$D,"*"&amp;$A905&amp;"*",'All Papers'!$G:$G,"*"&amp;Table1[[#Headers],[Energy Management]]&amp;"*")</f>
        <v>0</v>
      </c>
      <c r="L905" s="8">
        <f>COUNTIFS('All Papers'!$D:$D,"*"&amp;$A905&amp;"*",'All Papers'!$G:$G,"*"&amp;Table1[[#Headers],[Monitoring]]&amp;"*")</f>
        <v>0</v>
      </c>
      <c r="M905" s="8">
        <f>COUNTIFS('All Papers'!$D:$D,"*"&amp;$A905&amp;"*",'All Papers'!$G:$G,"*"&amp;Table1[[#Headers],[Pricing]]&amp;"*")</f>
        <v>0</v>
      </c>
    </row>
    <row r="906" spans="1:13" x14ac:dyDescent="0.25">
      <c r="A906" s="8" t="s">
        <v>3339</v>
      </c>
      <c r="B906" s="8">
        <f>COUNTIF('All Papers'!D:D,"*"&amp;Table1[[#This Row],[Name]]&amp;"*")</f>
        <v>1</v>
      </c>
      <c r="C906" s="8">
        <f>COUNTIFS('All Papers'!$D:$D,"*"&amp;$A906&amp;"*",'All Papers'!$G:$G,"*"&amp;Table1[[#Headers],[Composition]]&amp;"*")</f>
        <v>0</v>
      </c>
      <c r="D906" s="8">
        <f>COUNTIFS('All Papers'!$D:$D,"*"&amp;$A906&amp;"*",'All Papers'!$G:$G,"*"&amp;Table1[[#Headers],[Discovery]]&amp;"*")</f>
        <v>0</v>
      </c>
      <c r="E906" s="8">
        <f>COUNTIFS('All Papers'!$D:$D,"*"&amp;$A906&amp;"*",'All Papers'!$G:$G,"*"&amp;Table1[[#Headers],[Selection]]&amp;"*")</f>
        <v>0</v>
      </c>
      <c r="F906" s="8">
        <f>COUNTIFS('All Papers'!$D:$D,"*"&amp;$A906&amp;"*",'All Papers'!$G:$G,"*"&amp;Table1[[#Headers],[Recommendation]]&amp;"*")</f>
        <v>0</v>
      </c>
      <c r="G906" s="8">
        <f>COUNTIFS('All Papers'!$D:$D,"*"&amp;$A906&amp;"*",'All Papers'!$G:$G,"*"&amp;Table1[[#Headers],[Resource Management-CS]]&amp;"*")</f>
        <v>1</v>
      </c>
      <c r="H906" s="8">
        <f>COUNTIFS('All Papers'!$D:$D,"*"&amp;$A906&amp;"*",'All Papers'!$G:$G,"*"&amp;Table1[[#Headers],[Resource Management-PS]]&amp;"*")</f>
        <v>0</v>
      </c>
      <c r="I906" s="8">
        <f>COUNTIFS('All Papers'!$D:$D,"*"&amp;$A906&amp;"*",'All Papers'!$G:$G,"*"&amp;Table1[[#Headers],[SLA Management]]&amp;"*")</f>
        <v>0</v>
      </c>
      <c r="J906" s="8">
        <f>COUNTIFS('All Papers'!$D:$D,"*"&amp;$A906&amp;"*",'All Papers'!$G:$G,"*"&amp;Table1[[#Headers],[Big Data]]&amp;"*")</f>
        <v>0</v>
      </c>
      <c r="K906" s="8">
        <f>COUNTIFS('All Papers'!$D:$D,"*"&amp;$A906&amp;"*",'All Papers'!$G:$G,"*"&amp;Table1[[#Headers],[Energy Management]]&amp;"*")</f>
        <v>0</v>
      </c>
      <c r="L906" s="8">
        <f>COUNTIFS('All Papers'!$D:$D,"*"&amp;$A906&amp;"*",'All Papers'!$G:$G,"*"&amp;Table1[[#Headers],[Monitoring]]&amp;"*")</f>
        <v>0</v>
      </c>
      <c r="M906" s="8">
        <f>COUNTIFS('All Papers'!$D:$D,"*"&amp;$A906&amp;"*",'All Papers'!$G:$G,"*"&amp;Table1[[#Headers],[Pricing]]&amp;"*")</f>
        <v>0</v>
      </c>
    </row>
    <row r="907" spans="1:13" x14ac:dyDescent="0.25">
      <c r="A907" s="8" t="s">
        <v>3340</v>
      </c>
      <c r="B907" s="8">
        <f>COUNTIF('All Papers'!D:D,"*"&amp;Table1[[#This Row],[Name]]&amp;"*")</f>
        <v>1</v>
      </c>
      <c r="C907" s="8">
        <f>COUNTIFS('All Papers'!$D:$D,"*"&amp;$A907&amp;"*",'All Papers'!$G:$G,"*"&amp;Table1[[#Headers],[Composition]]&amp;"*")</f>
        <v>0</v>
      </c>
      <c r="D907" s="8">
        <f>COUNTIFS('All Papers'!$D:$D,"*"&amp;$A907&amp;"*",'All Papers'!$G:$G,"*"&amp;Table1[[#Headers],[Discovery]]&amp;"*")</f>
        <v>0</v>
      </c>
      <c r="E907" s="8">
        <f>COUNTIFS('All Papers'!$D:$D,"*"&amp;$A907&amp;"*",'All Papers'!$G:$G,"*"&amp;Table1[[#Headers],[Selection]]&amp;"*")</f>
        <v>0</v>
      </c>
      <c r="F907" s="8">
        <f>COUNTIFS('All Papers'!$D:$D,"*"&amp;$A907&amp;"*",'All Papers'!$G:$G,"*"&amp;Table1[[#Headers],[Recommendation]]&amp;"*")</f>
        <v>0</v>
      </c>
      <c r="G907" s="8">
        <f>COUNTIFS('All Papers'!$D:$D,"*"&amp;$A907&amp;"*",'All Papers'!$G:$G,"*"&amp;Table1[[#Headers],[Resource Management-CS]]&amp;"*")</f>
        <v>1</v>
      </c>
      <c r="H907" s="8">
        <f>COUNTIFS('All Papers'!$D:$D,"*"&amp;$A907&amp;"*",'All Papers'!$G:$G,"*"&amp;Table1[[#Headers],[Resource Management-PS]]&amp;"*")</f>
        <v>0</v>
      </c>
      <c r="I907" s="8">
        <f>COUNTIFS('All Papers'!$D:$D,"*"&amp;$A907&amp;"*",'All Papers'!$G:$G,"*"&amp;Table1[[#Headers],[SLA Management]]&amp;"*")</f>
        <v>0</v>
      </c>
      <c r="J907" s="8">
        <f>COUNTIFS('All Papers'!$D:$D,"*"&amp;$A907&amp;"*",'All Papers'!$G:$G,"*"&amp;Table1[[#Headers],[Big Data]]&amp;"*")</f>
        <v>0</v>
      </c>
      <c r="K907" s="8">
        <f>COUNTIFS('All Papers'!$D:$D,"*"&amp;$A907&amp;"*",'All Papers'!$G:$G,"*"&amp;Table1[[#Headers],[Energy Management]]&amp;"*")</f>
        <v>0</v>
      </c>
      <c r="L907" s="8">
        <f>COUNTIFS('All Papers'!$D:$D,"*"&amp;$A907&amp;"*",'All Papers'!$G:$G,"*"&amp;Table1[[#Headers],[Monitoring]]&amp;"*")</f>
        <v>0</v>
      </c>
      <c r="M907" s="8">
        <f>COUNTIFS('All Papers'!$D:$D,"*"&amp;$A907&amp;"*",'All Papers'!$G:$G,"*"&amp;Table1[[#Headers],[Pricing]]&amp;"*")</f>
        <v>0</v>
      </c>
    </row>
    <row r="908" spans="1:13" x14ac:dyDescent="0.25">
      <c r="A908" s="8" t="s">
        <v>3341</v>
      </c>
      <c r="B908" s="8">
        <f>COUNTIF('All Papers'!D:D,"*"&amp;Table1[[#This Row],[Name]]&amp;"*")</f>
        <v>1</v>
      </c>
      <c r="C908" s="8">
        <f>COUNTIFS('All Papers'!$D:$D,"*"&amp;$A908&amp;"*",'All Papers'!$G:$G,"*"&amp;Table1[[#Headers],[Composition]]&amp;"*")</f>
        <v>0</v>
      </c>
      <c r="D908" s="8">
        <f>COUNTIFS('All Papers'!$D:$D,"*"&amp;$A908&amp;"*",'All Papers'!$G:$G,"*"&amp;Table1[[#Headers],[Discovery]]&amp;"*")</f>
        <v>0</v>
      </c>
      <c r="E908" s="8">
        <f>COUNTIFS('All Papers'!$D:$D,"*"&amp;$A908&amp;"*",'All Papers'!$G:$G,"*"&amp;Table1[[#Headers],[Selection]]&amp;"*")</f>
        <v>0</v>
      </c>
      <c r="F908" s="8">
        <f>COUNTIFS('All Papers'!$D:$D,"*"&amp;$A908&amp;"*",'All Papers'!$G:$G,"*"&amp;Table1[[#Headers],[Recommendation]]&amp;"*")</f>
        <v>0</v>
      </c>
      <c r="G908" s="8">
        <f>COUNTIFS('All Papers'!$D:$D,"*"&amp;$A908&amp;"*",'All Papers'!$G:$G,"*"&amp;Table1[[#Headers],[Resource Management-CS]]&amp;"*")</f>
        <v>1</v>
      </c>
      <c r="H908" s="8">
        <f>COUNTIFS('All Papers'!$D:$D,"*"&amp;$A908&amp;"*",'All Papers'!$G:$G,"*"&amp;Table1[[#Headers],[Resource Management-PS]]&amp;"*")</f>
        <v>0</v>
      </c>
      <c r="I908" s="8">
        <f>COUNTIFS('All Papers'!$D:$D,"*"&amp;$A908&amp;"*",'All Papers'!$G:$G,"*"&amp;Table1[[#Headers],[SLA Management]]&amp;"*")</f>
        <v>0</v>
      </c>
      <c r="J908" s="8">
        <f>COUNTIFS('All Papers'!$D:$D,"*"&amp;$A908&amp;"*",'All Papers'!$G:$G,"*"&amp;Table1[[#Headers],[Big Data]]&amp;"*")</f>
        <v>0</v>
      </c>
      <c r="K908" s="8">
        <f>COUNTIFS('All Papers'!$D:$D,"*"&amp;$A908&amp;"*",'All Papers'!$G:$G,"*"&amp;Table1[[#Headers],[Energy Management]]&amp;"*")</f>
        <v>0</v>
      </c>
      <c r="L908" s="8">
        <f>COUNTIFS('All Papers'!$D:$D,"*"&amp;$A908&amp;"*",'All Papers'!$G:$G,"*"&amp;Table1[[#Headers],[Monitoring]]&amp;"*")</f>
        <v>0</v>
      </c>
      <c r="M908" s="8">
        <f>COUNTIFS('All Papers'!$D:$D,"*"&amp;$A908&amp;"*",'All Papers'!$G:$G,"*"&amp;Table1[[#Headers],[Pricing]]&amp;"*")</f>
        <v>0</v>
      </c>
    </row>
    <row r="909" spans="1:13" x14ac:dyDescent="0.25">
      <c r="A909" s="8" t="s">
        <v>3342</v>
      </c>
      <c r="B909" s="8">
        <f>COUNTIF('All Papers'!D:D,"*"&amp;Table1[[#This Row],[Name]]&amp;"*")</f>
        <v>1</v>
      </c>
      <c r="C909" s="8">
        <f>COUNTIFS('All Papers'!$D:$D,"*"&amp;$A909&amp;"*",'All Papers'!$G:$G,"*"&amp;Table1[[#Headers],[Composition]]&amp;"*")</f>
        <v>0</v>
      </c>
      <c r="D909" s="8">
        <f>COUNTIFS('All Papers'!$D:$D,"*"&amp;$A909&amp;"*",'All Papers'!$G:$G,"*"&amp;Table1[[#Headers],[Discovery]]&amp;"*")</f>
        <v>0</v>
      </c>
      <c r="E909" s="8">
        <f>COUNTIFS('All Papers'!$D:$D,"*"&amp;$A909&amp;"*",'All Papers'!$G:$G,"*"&amp;Table1[[#Headers],[Selection]]&amp;"*")</f>
        <v>0</v>
      </c>
      <c r="F909" s="8">
        <f>COUNTIFS('All Papers'!$D:$D,"*"&amp;$A909&amp;"*",'All Papers'!$G:$G,"*"&amp;Table1[[#Headers],[Recommendation]]&amp;"*")</f>
        <v>0</v>
      </c>
      <c r="G909" s="8">
        <f>COUNTIFS('All Papers'!$D:$D,"*"&amp;$A909&amp;"*",'All Papers'!$G:$G,"*"&amp;Table1[[#Headers],[Resource Management-CS]]&amp;"*")</f>
        <v>1</v>
      </c>
      <c r="H909" s="8">
        <f>COUNTIFS('All Papers'!$D:$D,"*"&amp;$A909&amp;"*",'All Papers'!$G:$G,"*"&amp;Table1[[#Headers],[Resource Management-PS]]&amp;"*")</f>
        <v>0</v>
      </c>
      <c r="I909" s="8">
        <f>COUNTIFS('All Papers'!$D:$D,"*"&amp;$A909&amp;"*",'All Papers'!$G:$G,"*"&amp;Table1[[#Headers],[SLA Management]]&amp;"*")</f>
        <v>0</v>
      </c>
      <c r="J909" s="8">
        <f>COUNTIFS('All Papers'!$D:$D,"*"&amp;$A909&amp;"*",'All Papers'!$G:$G,"*"&amp;Table1[[#Headers],[Big Data]]&amp;"*")</f>
        <v>0</v>
      </c>
      <c r="K909" s="8">
        <f>COUNTIFS('All Papers'!$D:$D,"*"&amp;$A909&amp;"*",'All Papers'!$G:$G,"*"&amp;Table1[[#Headers],[Energy Management]]&amp;"*")</f>
        <v>0</v>
      </c>
      <c r="L909" s="8">
        <f>COUNTIFS('All Papers'!$D:$D,"*"&amp;$A909&amp;"*",'All Papers'!$G:$G,"*"&amp;Table1[[#Headers],[Monitoring]]&amp;"*")</f>
        <v>0</v>
      </c>
      <c r="M909" s="8">
        <f>COUNTIFS('All Papers'!$D:$D,"*"&amp;$A909&amp;"*",'All Papers'!$G:$G,"*"&amp;Table1[[#Headers],[Pricing]]&amp;"*")</f>
        <v>0</v>
      </c>
    </row>
    <row r="910" spans="1:13" x14ac:dyDescent="0.25">
      <c r="A910" s="8" t="s">
        <v>3343</v>
      </c>
      <c r="B910" s="8">
        <f>COUNTIF('All Papers'!D:D,"*"&amp;Table1[[#This Row],[Name]]&amp;"*")</f>
        <v>1</v>
      </c>
      <c r="C910" s="8">
        <f>COUNTIFS('All Papers'!$D:$D,"*"&amp;$A910&amp;"*",'All Papers'!$G:$G,"*"&amp;Table1[[#Headers],[Composition]]&amp;"*")</f>
        <v>0</v>
      </c>
      <c r="D910" s="8">
        <f>COUNTIFS('All Papers'!$D:$D,"*"&amp;$A910&amp;"*",'All Papers'!$G:$G,"*"&amp;Table1[[#Headers],[Discovery]]&amp;"*")</f>
        <v>0</v>
      </c>
      <c r="E910" s="8">
        <f>COUNTIFS('All Papers'!$D:$D,"*"&amp;$A910&amp;"*",'All Papers'!$G:$G,"*"&amp;Table1[[#Headers],[Selection]]&amp;"*")</f>
        <v>0</v>
      </c>
      <c r="F910" s="8">
        <f>COUNTIFS('All Papers'!$D:$D,"*"&amp;$A910&amp;"*",'All Papers'!$G:$G,"*"&amp;Table1[[#Headers],[Recommendation]]&amp;"*")</f>
        <v>0</v>
      </c>
      <c r="G910" s="8">
        <f>COUNTIFS('All Papers'!$D:$D,"*"&amp;$A910&amp;"*",'All Papers'!$G:$G,"*"&amp;Table1[[#Headers],[Resource Management-CS]]&amp;"*")</f>
        <v>0</v>
      </c>
      <c r="H910" s="8">
        <f>COUNTIFS('All Papers'!$D:$D,"*"&amp;$A910&amp;"*",'All Papers'!$G:$G,"*"&amp;Table1[[#Headers],[Resource Management-PS]]&amp;"*")</f>
        <v>1</v>
      </c>
      <c r="I910" s="8">
        <f>COUNTIFS('All Papers'!$D:$D,"*"&amp;$A910&amp;"*",'All Papers'!$G:$G,"*"&amp;Table1[[#Headers],[SLA Management]]&amp;"*")</f>
        <v>0</v>
      </c>
      <c r="J910" s="8">
        <f>COUNTIFS('All Papers'!$D:$D,"*"&amp;$A910&amp;"*",'All Papers'!$G:$G,"*"&amp;Table1[[#Headers],[Big Data]]&amp;"*")</f>
        <v>0</v>
      </c>
      <c r="K910" s="8">
        <f>COUNTIFS('All Papers'!$D:$D,"*"&amp;$A910&amp;"*",'All Papers'!$G:$G,"*"&amp;Table1[[#Headers],[Energy Management]]&amp;"*")</f>
        <v>0</v>
      </c>
      <c r="L910" s="8">
        <f>COUNTIFS('All Papers'!$D:$D,"*"&amp;$A910&amp;"*",'All Papers'!$G:$G,"*"&amp;Table1[[#Headers],[Monitoring]]&amp;"*")</f>
        <v>0</v>
      </c>
      <c r="M910" s="8">
        <f>COUNTIFS('All Papers'!$D:$D,"*"&amp;$A910&amp;"*",'All Papers'!$G:$G,"*"&amp;Table1[[#Headers],[Pricing]]&amp;"*")</f>
        <v>0</v>
      </c>
    </row>
    <row r="911" spans="1:13" x14ac:dyDescent="0.25">
      <c r="A911" s="8" t="s">
        <v>3344</v>
      </c>
      <c r="B911" s="8">
        <f>COUNTIF('All Papers'!D:D,"*"&amp;Table1[[#This Row],[Name]]&amp;"*")</f>
        <v>1</v>
      </c>
      <c r="C911" s="8">
        <f>COUNTIFS('All Papers'!$D:$D,"*"&amp;$A911&amp;"*",'All Papers'!$G:$G,"*"&amp;Table1[[#Headers],[Composition]]&amp;"*")</f>
        <v>0</v>
      </c>
      <c r="D911" s="8">
        <f>COUNTIFS('All Papers'!$D:$D,"*"&amp;$A911&amp;"*",'All Papers'!$G:$G,"*"&amp;Table1[[#Headers],[Discovery]]&amp;"*")</f>
        <v>0</v>
      </c>
      <c r="E911" s="8">
        <f>COUNTIFS('All Papers'!$D:$D,"*"&amp;$A911&amp;"*",'All Papers'!$G:$G,"*"&amp;Table1[[#Headers],[Selection]]&amp;"*")</f>
        <v>0</v>
      </c>
      <c r="F911" s="8">
        <f>COUNTIFS('All Papers'!$D:$D,"*"&amp;$A911&amp;"*",'All Papers'!$G:$G,"*"&amp;Table1[[#Headers],[Recommendation]]&amp;"*")</f>
        <v>0</v>
      </c>
      <c r="G911" s="8">
        <f>COUNTIFS('All Papers'!$D:$D,"*"&amp;$A911&amp;"*",'All Papers'!$G:$G,"*"&amp;Table1[[#Headers],[Resource Management-CS]]&amp;"*")</f>
        <v>0</v>
      </c>
      <c r="H911" s="8">
        <f>COUNTIFS('All Papers'!$D:$D,"*"&amp;$A911&amp;"*",'All Papers'!$G:$G,"*"&amp;Table1[[#Headers],[Resource Management-PS]]&amp;"*")</f>
        <v>1</v>
      </c>
      <c r="I911" s="8">
        <f>COUNTIFS('All Papers'!$D:$D,"*"&amp;$A911&amp;"*",'All Papers'!$G:$G,"*"&amp;Table1[[#Headers],[SLA Management]]&amp;"*")</f>
        <v>0</v>
      </c>
      <c r="J911" s="8">
        <f>COUNTIFS('All Papers'!$D:$D,"*"&amp;$A911&amp;"*",'All Papers'!$G:$G,"*"&amp;Table1[[#Headers],[Big Data]]&amp;"*")</f>
        <v>0</v>
      </c>
      <c r="K911" s="8">
        <f>COUNTIFS('All Papers'!$D:$D,"*"&amp;$A911&amp;"*",'All Papers'!$G:$G,"*"&amp;Table1[[#Headers],[Energy Management]]&amp;"*")</f>
        <v>0</v>
      </c>
      <c r="L911" s="8">
        <f>COUNTIFS('All Papers'!$D:$D,"*"&amp;$A911&amp;"*",'All Papers'!$G:$G,"*"&amp;Table1[[#Headers],[Monitoring]]&amp;"*")</f>
        <v>0</v>
      </c>
      <c r="M911" s="8">
        <f>COUNTIFS('All Papers'!$D:$D,"*"&amp;$A911&amp;"*",'All Papers'!$G:$G,"*"&amp;Table1[[#Headers],[Pricing]]&amp;"*")</f>
        <v>0</v>
      </c>
    </row>
    <row r="912" spans="1:13" x14ac:dyDescent="0.25">
      <c r="A912" s="8" t="s">
        <v>3345</v>
      </c>
      <c r="B912" s="8">
        <f>COUNTIF('All Papers'!D:D,"*"&amp;Table1[[#This Row],[Name]]&amp;"*")</f>
        <v>1</v>
      </c>
      <c r="C912" s="8">
        <f>COUNTIFS('All Papers'!$D:$D,"*"&amp;$A912&amp;"*",'All Papers'!$G:$G,"*"&amp;Table1[[#Headers],[Composition]]&amp;"*")</f>
        <v>0</v>
      </c>
      <c r="D912" s="8">
        <f>COUNTIFS('All Papers'!$D:$D,"*"&amp;$A912&amp;"*",'All Papers'!$G:$G,"*"&amp;Table1[[#Headers],[Discovery]]&amp;"*")</f>
        <v>0</v>
      </c>
      <c r="E912" s="8">
        <f>COUNTIFS('All Papers'!$D:$D,"*"&amp;$A912&amp;"*",'All Papers'!$G:$G,"*"&amp;Table1[[#Headers],[Selection]]&amp;"*")</f>
        <v>0</v>
      </c>
      <c r="F912" s="8">
        <f>COUNTIFS('All Papers'!$D:$D,"*"&amp;$A912&amp;"*",'All Papers'!$G:$G,"*"&amp;Table1[[#Headers],[Recommendation]]&amp;"*")</f>
        <v>0</v>
      </c>
      <c r="G912" s="8">
        <f>COUNTIFS('All Papers'!$D:$D,"*"&amp;$A912&amp;"*",'All Papers'!$G:$G,"*"&amp;Table1[[#Headers],[Resource Management-CS]]&amp;"*")</f>
        <v>0</v>
      </c>
      <c r="H912" s="8">
        <f>COUNTIFS('All Papers'!$D:$D,"*"&amp;$A912&amp;"*",'All Papers'!$G:$G,"*"&amp;Table1[[#Headers],[Resource Management-PS]]&amp;"*")</f>
        <v>1</v>
      </c>
      <c r="I912" s="8">
        <f>COUNTIFS('All Papers'!$D:$D,"*"&amp;$A912&amp;"*",'All Papers'!$G:$G,"*"&amp;Table1[[#Headers],[SLA Management]]&amp;"*")</f>
        <v>0</v>
      </c>
      <c r="J912" s="8">
        <f>COUNTIFS('All Papers'!$D:$D,"*"&amp;$A912&amp;"*",'All Papers'!$G:$G,"*"&amp;Table1[[#Headers],[Big Data]]&amp;"*")</f>
        <v>0</v>
      </c>
      <c r="K912" s="8">
        <f>COUNTIFS('All Papers'!$D:$D,"*"&amp;$A912&amp;"*",'All Papers'!$G:$G,"*"&amp;Table1[[#Headers],[Energy Management]]&amp;"*")</f>
        <v>0</v>
      </c>
      <c r="L912" s="8">
        <f>COUNTIFS('All Papers'!$D:$D,"*"&amp;$A912&amp;"*",'All Papers'!$G:$G,"*"&amp;Table1[[#Headers],[Monitoring]]&amp;"*")</f>
        <v>0</v>
      </c>
      <c r="M912" s="8">
        <f>COUNTIFS('All Papers'!$D:$D,"*"&amp;$A912&amp;"*",'All Papers'!$G:$G,"*"&amp;Table1[[#Headers],[Pricing]]&amp;"*")</f>
        <v>0</v>
      </c>
    </row>
    <row r="913" spans="1:13" x14ac:dyDescent="0.25">
      <c r="A913" s="8" t="s">
        <v>3346</v>
      </c>
      <c r="B913" s="8">
        <f>COUNTIF('All Papers'!D:D,"*"&amp;Table1[[#This Row],[Name]]&amp;"*")</f>
        <v>1</v>
      </c>
      <c r="C913" s="8">
        <f>COUNTIFS('All Papers'!$D:$D,"*"&amp;$A913&amp;"*",'All Papers'!$G:$G,"*"&amp;Table1[[#Headers],[Composition]]&amp;"*")</f>
        <v>0</v>
      </c>
      <c r="D913" s="8">
        <f>COUNTIFS('All Papers'!$D:$D,"*"&amp;$A913&amp;"*",'All Papers'!$G:$G,"*"&amp;Table1[[#Headers],[Discovery]]&amp;"*")</f>
        <v>0</v>
      </c>
      <c r="E913" s="8">
        <f>COUNTIFS('All Papers'!$D:$D,"*"&amp;$A913&amp;"*",'All Papers'!$G:$G,"*"&amp;Table1[[#Headers],[Selection]]&amp;"*")</f>
        <v>0</v>
      </c>
      <c r="F913" s="8">
        <f>COUNTIFS('All Papers'!$D:$D,"*"&amp;$A913&amp;"*",'All Papers'!$G:$G,"*"&amp;Table1[[#Headers],[Recommendation]]&amp;"*")</f>
        <v>0</v>
      </c>
      <c r="G913" s="8">
        <f>COUNTIFS('All Papers'!$D:$D,"*"&amp;$A913&amp;"*",'All Papers'!$G:$G,"*"&amp;Table1[[#Headers],[Resource Management-CS]]&amp;"*")</f>
        <v>0</v>
      </c>
      <c r="H913" s="8">
        <f>COUNTIFS('All Papers'!$D:$D,"*"&amp;$A913&amp;"*",'All Papers'!$G:$G,"*"&amp;Table1[[#Headers],[Resource Management-PS]]&amp;"*")</f>
        <v>1</v>
      </c>
      <c r="I913" s="8">
        <f>COUNTIFS('All Papers'!$D:$D,"*"&amp;$A913&amp;"*",'All Papers'!$G:$G,"*"&amp;Table1[[#Headers],[SLA Management]]&amp;"*")</f>
        <v>0</v>
      </c>
      <c r="J913" s="8">
        <f>COUNTIFS('All Papers'!$D:$D,"*"&amp;$A913&amp;"*",'All Papers'!$G:$G,"*"&amp;Table1[[#Headers],[Big Data]]&amp;"*")</f>
        <v>0</v>
      </c>
      <c r="K913" s="8">
        <f>COUNTIFS('All Papers'!$D:$D,"*"&amp;$A913&amp;"*",'All Papers'!$G:$G,"*"&amp;Table1[[#Headers],[Energy Management]]&amp;"*")</f>
        <v>0</v>
      </c>
      <c r="L913" s="8">
        <f>COUNTIFS('All Papers'!$D:$D,"*"&amp;$A913&amp;"*",'All Papers'!$G:$G,"*"&amp;Table1[[#Headers],[Monitoring]]&amp;"*")</f>
        <v>0</v>
      </c>
      <c r="M913" s="8">
        <f>COUNTIFS('All Papers'!$D:$D,"*"&amp;$A913&amp;"*",'All Papers'!$G:$G,"*"&amp;Table1[[#Headers],[Pricing]]&amp;"*")</f>
        <v>0</v>
      </c>
    </row>
    <row r="914" spans="1:13" x14ac:dyDescent="0.25">
      <c r="A914" s="8" t="s">
        <v>3347</v>
      </c>
      <c r="B914" s="8">
        <f>COUNTIF('All Papers'!D:D,"*"&amp;Table1[[#This Row],[Name]]&amp;"*")</f>
        <v>1</v>
      </c>
      <c r="C914" s="8">
        <f>COUNTIFS('All Papers'!$D:$D,"*"&amp;$A914&amp;"*",'All Papers'!$G:$G,"*"&amp;Table1[[#Headers],[Composition]]&amp;"*")</f>
        <v>0</v>
      </c>
      <c r="D914" s="8">
        <f>COUNTIFS('All Papers'!$D:$D,"*"&amp;$A914&amp;"*",'All Papers'!$G:$G,"*"&amp;Table1[[#Headers],[Discovery]]&amp;"*")</f>
        <v>0</v>
      </c>
      <c r="E914" s="8">
        <f>COUNTIFS('All Papers'!$D:$D,"*"&amp;$A914&amp;"*",'All Papers'!$G:$G,"*"&amp;Table1[[#Headers],[Selection]]&amp;"*")</f>
        <v>0</v>
      </c>
      <c r="F914" s="8">
        <f>COUNTIFS('All Papers'!$D:$D,"*"&amp;$A914&amp;"*",'All Papers'!$G:$G,"*"&amp;Table1[[#Headers],[Recommendation]]&amp;"*")</f>
        <v>0</v>
      </c>
      <c r="G914" s="8">
        <f>COUNTIFS('All Papers'!$D:$D,"*"&amp;$A914&amp;"*",'All Papers'!$G:$G,"*"&amp;Table1[[#Headers],[Resource Management-CS]]&amp;"*")</f>
        <v>0</v>
      </c>
      <c r="H914" s="8">
        <f>COUNTIFS('All Papers'!$D:$D,"*"&amp;$A914&amp;"*",'All Papers'!$G:$G,"*"&amp;Table1[[#Headers],[Resource Management-PS]]&amp;"*")</f>
        <v>1</v>
      </c>
      <c r="I914" s="8">
        <f>COUNTIFS('All Papers'!$D:$D,"*"&amp;$A914&amp;"*",'All Papers'!$G:$G,"*"&amp;Table1[[#Headers],[SLA Management]]&amp;"*")</f>
        <v>0</v>
      </c>
      <c r="J914" s="8">
        <f>COUNTIFS('All Papers'!$D:$D,"*"&amp;$A914&amp;"*",'All Papers'!$G:$G,"*"&amp;Table1[[#Headers],[Big Data]]&amp;"*")</f>
        <v>0</v>
      </c>
      <c r="K914" s="8">
        <f>COUNTIFS('All Papers'!$D:$D,"*"&amp;$A914&amp;"*",'All Papers'!$G:$G,"*"&amp;Table1[[#Headers],[Energy Management]]&amp;"*")</f>
        <v>0</v>
      </c>
      <c r="L914" s="8">
        <f>COUNTIFS('All Papers'!$D:$D,"*"&amp;$A914&amp;"*",'All Papers'!$G:$G,"*"&amp;Table1[[#Headers],[Monitoring]]&amp;"*")</f>
        <v>0</v>
      </c>
      <c r="M914" s="8">
        <f>COUNTIFS('All Papers'!$D:$D,"*"&amp;$A914&amp;"*",'All Papers'!$G:$G,"*"&amp;Table1[[#Headers],[Pricing]]&amp;"*")</f>
        <v>0</v>
      </c>
    </row>
    <row r="915" spans="1:13" x14ac:dyDescent="0.25">
      <c r="A915" s="8" t="s">
        <v>3348</v>
      </c>
      <c r="B915" s="8">
        <f>COUNTIF('All Papers'!D:D,"*"&amp;Table1[[#This Row],[Name]]&amp;"*")</f>
        <v>1</v>
      </c>
      <c r="C915" s="8">
        <f>COUNTIFS('All Papers'!$D:$D,"*"&amp;$A915&amp;"*",'All Papers'!$G:$G,"*"&amp;Table1[[#Headers],[Composition]]&amp;"*")</f>
        <v>0</v>
      </c>
      <c r="D915" s="8">
        <f>COUNTIFS('All Papers'!$D:$D,"*"&amp;$A915&amp;"*",'All Papers'!$G:$G,"*"&amp;Table1[[#Headers],[Discovery]]&amp;"*")</f>
        <v>0</v>
      </c>
      <c r="E915" s="8">
        <f>COUNTIFS('All Papers'!$D:$D,"*"&amp;$A915&amp;"*",'All Papers'!$G:$G,"*"&amp;Table1[[#Headers],[Selection]]&amp;"*")</f>
        <v>0</v>
      </c>
      <c r="F915" s="8">
        <f>COUNTIFS('All Papers'!$D:$D,"*"&amp;$A915&amp;"*",'All Papers'!$G:$G,"*"&amp;Table1[[#Headers],[Recommendation]]&amp;"*")</f>
        <v>0</v>
      </c>
      <c r="G915" s="8">
        <f>COUNTIFS('All Papers'!$D:$D,"*"&amp;$A915&amp;"*",'All Papers'!$G:$G,"*"&amp;Table1[[#Headers],[Resource Management-CS]]&amp;"*")</f>
        <v>0</v>
      </c>
      <c r="H915" s="8">
        <f>COUNTIFS('All Papers'!$D:$D,"*"&amp;$A915&amp;"*",'All Papers'!$G:$G,"*"&amp;Table1[[#Headers],[Resource Management-PS]]&amp;"*")</f>
        <v>1</v>
      </c>
      <c r="I915" s="8">
        <f>COUNTIFS('All Papers'!$D:$D,"*"&amp;$A915&amp;"*",'All Papers'!$G:$G,"*"&amp;Table1[[#Headers],[SLA Management]]&amp;"*")</f>
        <v>0</v>
      </c>
      <c r="J915" s="8">
        <f>COUNTIFS('All Papers'!$D:$D,"*"&amp;$A915&amp;"*",'All Papers'!$G:$G,"*"&amp;Table1[[#Headers],[Big Data]]&amp;"*")</f>
        <v>0</v>
      </c>
      <c r="K915" s="8">
        <f>COUNTIFS('All Papers'!$D:$D,"*"&amp;$A915&amp;"*",'All Papers'!$G:$G,"*"&amp;Table1[[#Headers],[Energy Management]]&amp;"*")</f>
        <v>0</v>
      </c>
      <c r="L915" s="8">
        <f>COUNTIFS('All Papers'!$D:$D,"*"&amp;$A915&amp;"*",'All Papers'!$G:$G,"*"&amp;Table1[[#Headers],[Monitoring]]&amp;"*")</f>
        <v>0</v>
      </c>
      <c r="M915" s="8">
        <f>COUNTIFS('All Papers'!$D:$D,"*"&amp;$A915&amp;"*",'All Papers'!$G:$G,"*"&amp;Table1[[#Headers],[Pricing]]&amp;"*")</f>
        <v>0</v>
      </c>
    </row>
    <row r="916" spans="1:13" x14ac:dyDescent="0.25">
      <c r="A916" s="8" t="s">
        <v>3349</v>
      </c>
      <c r="B916" s="8">
        <f>COUNTIF('All Papers'!D:D,"*"&amp;Table1[[#This Row],[Name]]&amp;"*")</f>
        <v>1</v>
      </c>
      <c r="C916" s="8">
        <f>COUNTIFS('All Papers'!$D:$D,"*"&amp;$A916&amp;"*",'All Papers'!$G:$G,"*"&amp;Table1[[#Headers],[Composition]]&amp;"*")</f>
        <v>0</v>
      </c>
      <c r="D916" s="8">
        <f>COUNTIFS('All Papers'!$D:$D,"*"&amp;$A916&amp;"*",'All Papers'!$G:$G,"*"&amp;Table1[[#Headers],[Discovery]]&amp;"*")</f>
        <v>0</v>
      </c>
      <c r="E916" s="8">
        <f>COUNTIFS('All Papers'!$D:$D,"*"&amp;$A916&amp;"*",'All Papers'!$G:$G,"*"&amp;Table1[[#Headers],[Selection]]&amp;"*")</f>
        <v>0</v>
      </c>
      <c r="F916" s="8">
        <f>COUNTIFS('All Papers'!$D:$D,"*"&amp;$A916&amp;"*",'All Papers'!$G:$G,"*"&amp;Table1[[#Headers],[Recommendation]]&amp;"*")</f>
        <v>0</v>
      </c>
      <c r="G916" s="8">
        <f>COUNTIFS('All Papers'!$D:$D,"*"&amp;$A916&amp;"*",'All Papers'!$G:$G,"*"&amp;Table1[[#Headers],[Resource Management-CS]]&amp;"*")</f>
        <v>0</v>
      </c>
      <c r="H916" s="8">
        <f>COUNTIFS('All Papers'!$D:$D,"*"&amp;$A916&amp;"*",'All Papers'!$G:$G,"*"&amp;Table1[[#Headers],[Resource Management-PS]]&amp;"*")</f>
        <v>1</v>
      </c>
      <c r="I916" s="8">
        <f>COUNTIFS('All Papers'!$D:$D,"*"&amp;$A916&amp;"*",'All Papers'!$G:$G,"*"&amp;Table1[[#Headers],[SLA Management]]&amp;"*")</f>
        <v>0</v>
      </c>
      <c r="J916" s="8">
        <f>COUNTIFS('All Papers'!$D:$D,"*"&amp;$A916&amp;"*",'All Papers'!$G:$G,"*"&amp;Table1[[#Headers],[Big Data]]&amp;"*")</f>
        <v>0</v>
      </c>
      <c r="K916" s="8">
        <f>COUNTIFS('All Papers'!$D:$D,"*"&amp;$A916&amp;"*",'All Papers'!$G:$G,"*"&amp;Table1[[#Headers],[Energy Management]]&amp;"*")</f>
        <v>0</v>
      </c>
      <c r="L916" s="8">
        <f>COUNTIFS('All Papers'!$D:$D,"*"&amp;$A916&amp;"*",'All Papers'!$G:$G,"*"&amp;Table1[[#Headers],[Monitoring]]&amp;"*")</f>
        <v>0</v>
      </c>
      <c r="M916" s="8">
        <f>COUNTIFS('All Papers'!$D:$D,"*"&amp;$A916&amp;"*",'All Papers'!$G:$G,"*"&amp;Table1[[#Headers],[Pricing]]&amp;"*")</f>
        <v>0</v>
      </c>
    </row>
    <row r="917" spans="1:13" x14ac:dyDescent="0.25">
      <c r="A917" s="8" t="s">
        <v>3350</v>
      </c>
      <c r="B917" s="8">
        <f>COUNTIF('All Papers'!D:D,"*"&amp;Table1[[#This Row],[Name]]&amp;"*")</f>
        <v>1</v>
      </c>
      <c r="C917" s="8">
        <f>COUNTIFS('All Papers'!$D:$D,"*"&amp;$A917&amp;"*",'All Papers'!$G:$G,"*"&amp;Table1[[#Headers],[Composition]]&amp;"*")</f>
        <v>0</v>
      </c>
      <c r="D917" s="8">
        <f>COUNTIFS('All Papers'!$D:$D,"*"&amp;$A917&amp;"*",'All Papers'!$G:$G,"*"&amp;Table1[[#Headers],[Discovery]]&amp;"*")</f>
        <v>0</v>
      </c>
      <c r="E917" s="8">
        <f>COUNTIFS('All Papers'!$D:$D,"*"&amp;$A917&amp;"*",'All Papers'!$G:$G,"*"&amp;Table1[[#Headers],[Selection]]&amp;"*")</f>
        <v>0</v>
      </c>
      <c r="F917" s="8">
        <f>COUNTIFS('All Papers'!$D:$D,"*"&amp;$A917&amp;"*",'All Papers'!$G:$G,"*"&amp;Table1[[#Headers],[Recommendation]]&amp;"*")</f>
        <v>0</v>
      </c>
      <c r="G917" s="8">
        <f>COUNTIFS('All Papers'!$D:$D,"*"&amp;$A917&amp;"*",'All Papers'!$G:$G,"*"&amp;Table1[[#Headers],[Resource Management-CS]]&amp;"*")</f>
        <v>0</v>
      </c>
      <c r="H917" s="8">
        <f>COUNTIFS('All Papers'!$D:$D,"*"&amp;$A917&amp;"*",'All Papers'!$G:$G,"*"&amp;Table1[[#Headers],[Resource Management-PS]]&amp;"*")</f>
        <v>1</v>
      </c>
      <c r="I917" s="8">
        <f>COUNTIFS('All Papers'!$D:$D,"*"&amp;$A917&amp;"*",'All Papers'!$G:$G,"*"&amp;Table1[[#Headers],[SLA Management]]&amp;"*")</f>
        <v>0</v>
      </c>
      <c r="J917" s="8">
        <f>COUNTIFS('All Papers'!$D:$D,"*"&amp;$A917&amp;"*",'All Papers'!$G:$G,"*"&amp;Table1[[#Headers],[Big Data]]&amp;"*")</f>
        <v>0</v>
      </c>
      <c r="K917" s="8">
        <f>COUNTIFS('All Papers'!$D:$D,"*"&amp;$A917&amp;"*",'All Papers'!$G:$G,"*"&amp;Table1[[#Headers],[Energy Management]]&amp;"*")</f>
        <v>0</v>
      </c>
      <c r="L917" s="8">
        <f>COUNTIFS('All Papers'!$D:$D,"*"&amp;$A917&amp;"*",'All Papers'!$G:$G,"*"&amp;Table1[[#Headers],[Monitoring]]&amp;"*")</f>
        <v>0</v>
      </c>
      <c r="M917" s="8">
        <f>COUNTIFS('All Papers'!$D:$D,"*"&amp;$A917&amp;"*",'All Papers'!$G:$G,"*"&amp;Table1[[#Headers],[Pricing]]&amp;"*")</f>
        <v>0</v>
      </c>
    </row>
    <row r="918" spans="1:13" x14ac:dyDescent="0.25">
      <c r="A918" s="8" t="s">
        <v>3351</v>
      </c>
      <c r="B918" s="8">
        <f>COUNTIF('All Papers'!D:D,"*"&amp;Table1[[#This Row],[Name]]&amp;"*")</f>
        <v>1</v>
      </c>
      <c r="C918" s="8">
        <f>COUNTIFS('All Papers'!$D:$D,"*"&amp;$A918&amp;"*",'All Papers'!$G:$G,"*"&amp;Table1[[#Headers],[Composition]]&amp;"*")</f>
        <v>0</v>
      </c>
      <c r="D918" s="8">
        <f>COUNTIFS('All Papers'!$D:$D,"*"&amp;$A918&amp;"*",'All Papers'!$G:$G,"*"&amp;Table1[[#Headers],[Discovery]]&amp;"*")</f>
        <v>0</v>
      </c>
      <c r="E918" s="8">
        <f>COUNTIFS('All Papers'!$D:$D,"*"&amp;$A918&amp;"*",'All Papers'!$G:$G,"*"&amp;Table1[[#Headers],[Selection]]&amp;"*")</f>
        <v>1</v>
      </c>
      <c r="F918" s="8">
        <f>COUNTIFS('All Papers'!$D:$D,"*"&amp;$A918&amp;"*",'All Papers'!$G:$G,"*"&amp;Table1[[#Headers],[Recommendation]]&amp;"*")</f>
        <v>0</v>
      </c>
      <c r="G918" s="8">
        <f>COUNTIFS('All Papers'!$D:$D,"*"&amp;$A918&amp;"*",'All Papers'!$G:$G,"*"&amp;Table1[[#Headers],[Resource Management-CS]]&amp;"*")</f>
        <v>0</v>
      </c>
      <c r="H918" s="8">
        <f>COUNTIFS('All Papers'!$D:$D,"*"&amp;$A918&amp;"*",'All Papers'!$G:$G,"*"&amp;Table1[[#Headers],[Resource Management-PS]]&amp;"*")</f>
        <v>0</v>
      </c>
      <c r="I918" s="8">
        <f>COUNTIFS('All Papers'!$D:$D,"*"&amp;$A918&amp;"*",'All Papers'!$G:$G,"*"&amp;Table1[[#Headers],[SLA Management]]&amp;"*")</f>
        <v>0</v>
      </c>
      <c r="J918" s="8">
        <f>COUNTIFS('All Papers'!$D:$D,"*"&amp;$A918&amp;"*",'All Papers'!$G:$G,"*"&amp;Table1[[#Headers],[Big Data]]&amp;"*")</f>
        <v>0</v>
      </c>
      <c r="K918" s="8">
        <f>COUNTIFS('All Papers'!$D:$D,"*"&amp;$A918&amp;"*",'All Papers'!$G:$G,"*"&amp;Table1[[#Headers],[Energy Management]]&amp;"*")</f>
        <v>0</v>
      </c>
      <c r="L918" s="8">
        <f>COUNTIFS('All Papers'!$D:$D,"*"&amp;$A918&amp;"*",'All Papers'!$G:$G,"*"&amp;Table1[[#Headers],[Monitoring]]&amp;"*")</f>
        <v>0</v>
      </c>
      <c r="M918" s="8">
        <f>COUNTIFS('All Papers'!$D:$D,"*"&amp;$A918&amp;"*",'All Papers'!$G:$G,"*"&amp;Table1[[#Headers],[Pricing]]&amp;"*")</f>
        <v>0</v>
      </c>
    </row>
    <row r="919" spans="1:13" x14ac:dyDescent="0.25">
      <c r="A919" s="8" t="s">
        <v>3352</v>
      </c>
      <c r="B919" s="8">
        <f>COUNTIF('All Papers'!D:D,"*"&amp;Table1[[#This Row],[Name]]&amp;"*")</f>
        <v>1</v>
      </c>
      <c r="C919" s="8">
        <f>COUNTIFS('All Papers'!$D:$D,"*"&amp;$A919&amp;"*",'All Papers'!$G:$G,"*"&amp;Table1[[#Headers],[Composition]]&amp;"*")</f>
        <v>0</v>
      </c>
      <c r="D919" s="8">
        <f>COUNTIFS('All Papers'!$D:$D,"*"&amp;$A919&amp;"*",'All Papers'!$G:$G,"*"&amp;Table1[[#Headers],[Discovery]]&amp;"*")</f>
        <v>0</v>
      </c>
      <c r="E919" s="8">
        <f>COUNTIFS('All Papers'!$D:$D,"*"&amp;$A919&amp;"*",'All Papers'!$G:$G,"*"&amp;Table1[[#Headers],[Selection]]&amp;"*")</f>
        <v>1</v>
      </c>
      <c r="F919" s="8">
        <f>COUNTIFS('All Papers'!$D:$D,"*"&amp;$A919&amp;"*",'All Papers'!$G:$G,"*"&amp;Table1[[#Headers],[Recommendation]]&amp;"*")</f>
        <v>0</v>
      </c>
      <c r="G919" s="8">
        <f>COUNTIFS('All Papers'!$D:$D,"*"&amp;$A919&amp;"*",'All Papers'!$G:$G,"*"&amp;Table1[[#Headers],[Resource Management-CS]]&amp;"*")</f>
        <v>0</v>
      </c>
      <c r="H919" s="8">
        <f>COUNTIFS('All Papers'!$D:$D,"*"&amp;$A919&amp;"*",'All Papers'!$G:$G,"*"&amp;Table1[[#Headers],[Resource Management-PS]]&amp;"*")</f>
        <v>0</v>
      </c>
      <c r="I919" s="8">
        <f>COUNTIFS('All Papers'!$D:$D,"*"&amp;$A919&amp;"*",'All Papers'!$G:$G,"*"&amp;Table1[[#Headers],[SLA Management]]&amp;"*")</f>
        <v>0</v>
      </c>
      <c r="J919" s="8">
        <f>COUNTIFS('All Papers'!$D:$D,"*"&amp;$A919&amp;"*",'All Papers'!$G:$G,"*"&amp;Table1[[#Headers],[Big Data]]&amp;"*")</f>
        <v>0</v>
      </c>
      <c r="K919" s="8">
        <f>COUNTIFS('All Papers'!$D:$D,"*"&amp;$A919&amp;"*",'All Papers'!$G:$G,"*"&amp;Table1[[#Headers],[Energy Management]]&amp;"*")</f>
        <v>0</v>
      </c>
      <c r="L919" s="8">
        <f>COUNTIFS('All Papers'!$D:$D,"*"&amp;$A919&amp;"*",'All Papers'!$G:$G,"*"&amp;Table1[[#Headers],[Monitoring]]&amp;"*")</f>
        <v>0</v>
      </c>
      <c r="M919" s="8">
        <f>COUNTIFS('All Papers'!$D:$D,"*"&amp;$A919&amp;"*",'All Papers'!$G:$G,"*"&amp;Table1[[#Headers],[Pricing]]&amp;"*")</f>
        <v>0</v>
      </c>
    </row>
    <row r="920" spans="1:13" x14ac:dyDescent="0.25">
      <c r="A920" s="8" t="s">
        <v>3353</v>
      </c>
      <c r="B920" s="8">
        <f>COUNTIF('All Papers'!D:D,"*"&amp;Table1[[#This Row],[Name]]&amp;"*")</f>
        <v>1</v>
      </c>
      <c r="C920" s="8">
        <f>COUNTIFS('All Papers'!$D:$D,"*"&amp;$A920&amp;"*",'All Papers'!$G:$G,"*"&amp;Table1[[#Headers],[Composition]]&amp;"*")</f>
        <v>0</v>
      </c>
      <c r="D920" s="8">
        <f>COUNTIFS('All Papers'!$D:$D,"*"&amp;$A920&amp;"*",'All Papers'!$G:$G,"*"&amp;Table1[[#Headers],[Discovery]]&amp;"*")</f>
        <v>0</v>
      </c>
      <c r="E920" s="8">
        <f>COUNTIFS('All Papers'!$D:$D,"*"&amp;$A920&amp;"*",'All Papers'!$G:$G,"*"&amp;Table1[[#Headers],[Selection]]&amp;"*")</f>
        <v>1</v>
      </c>
      <c r="F920" s="8">
        <f>COUNTIFS('All Papers'!$D:$D,"*"&amp;$A920&amp;"*",'All Papers'!$G:$G,"*"&amp;Table1[[#Headers],[Recommendation]]&amp;"*")</f>
        <v>0</v>
      </c>
      <c r="G920" s="8">
        <f>COUNTIFS('All Papers'!$D:$D,"*"&amp;$A920&amp;"*",'All Papers'!$G:$G,"*"&amp;Table1[[#Headers],[Resource Management-CS]]&amp;"*")</f>
        <v>0</v>
      </c>
      <c r="H920" s="8">
        <f>COUNTIFS('All Papers'!$D:$D,"*"&amp;$A920&amp;"*",'All Papers'!$G:$G,"*"&amp;Table1[[#Headers],[Resource Management-PS]]&amp;"*")</f>
        <v>0</v>
      </c>
      <c r="I920" s="8">
        <f>COUNTIFS('All Papers'!$D:$D,"*"&amp;$A920&amp;"*",'All Papers'!$G:$G,"*"&amp;Table1[[#Headers],[SLA Management]]&amp;"*")</f>
        <v>0</v>
      </c>
      <c r="J920" s="8">
        <f>COUNTIFS('All Papers'!$D:$D,"*"&amp;$A920&amp;"*",'All Papers'!$G:$G,"*"&amp;Table1[[#Headers],[Big Data]]&amp;"*")</f>
        <v>0</v>
      </c>
      <c r="K920" s="8">
        <f>COUNTIFS('All Papers'!$D:$D,"*"&amp;$A920&amp;"*",'All Papers'!$G:$G,"*"&amp;Table1[[#Headers],[Energy Management]]&amp;"*")</f>
        <v>0</v>
      </c>
      <c r="L920" s="8">
        <f>COUNTIFS('All Papers'!$D:$D,"*"&amp;$A920&amp;"*",'All Papers'!$G:$G,"*"&amp;Table1[[#Headers],[Monitoring]]&amp;"*")</f>
        <v>0</v>
      </c>
      <c r="M920" s="8">
        <f>COUNTIFS('All Papers'!$D:$D,"*"&amp;$A920&amp;"*",'All Papers'!$G:$G,"*"&amp;Table1[[#Headers],[Pricing]]&amp;"*")</f>
        <v>0</v>
      </c>
    </row>
    <row r="921" spans="1:13" x14ac:dyDescent="0.25">
      <c r="A921" s="8" t="s">
        <v>3354</v>
      </c>
      <c r="B921" s="8">
        <f>COUNTIF('All Papers'!D:D,"*"&amp;Table1[[#This Row],[Name]]&amp;"*")</f>
        <v>1</v>
      </c>
      <c r="C921" s="8">
        <f>COUNTIFS('All Papers'!$D:$D,"*"&amp;$A921&amp;"*",'All Papers'!$G:$G,"*"&amp;Table1[[#Headers],[Composition]]&amp;"*")</f>
        <v>0</v>
      </c>
      <c r="D921" s="8">
        <f>COUNTIFS('All Papers'!$D:$D,"*"&amp;$A921&amp;"*",'All Papers'!$G:$G,"*"&amp;Table1[[#Headers],[Discovery]]&amp;"*")</f>
        <v>0</v>
      </c>
      <c r="E921" s="8">
        <f>COUNTIFS('All Papers'!$D:$D,"*"&amp;$A921&amp;"*",'All Papers'!$G:$G,"*"&amp;Table1[[#Headers],[Selection]]&amp;"*")</f>
        <v>1</v>
      </c>
      <c r="F921" s="8">
        <f>COUNTIFS('All Papers'!$D:$D,"*"&amp;$A921&amp;"*",'All Papers'!$G:$G,"*"&amp;Table1[[#Headers],[Recommendation]]&amp;"*")</f>
        <v>0</v>
      </c>
      <c r="G921" s="8">
        <f>COUNTIFS('All Papers'!$D:$D,"*"&amp;$A921&amp;"*",'All Papers'!$G:$G,"*"&amp;Table1[[#Headers],[Resource Management-CS]]&amp;"*")</f>
        <v>0</v>
      </c>
      <c r="H921" s="8">
        <f>COUNTIFS('All Papers'!$D:$D,"*"&amp;$A921&amp;"*",'All Papers'!$G:$G,"*"&amp;Table1[[#Headers],[Resource Management-PS]]&amp;"*")</f>
        <v>0</v>
      </c>
      <c r="I921" s="8">
        <f>COUNTIFS('All Papers'!$D:$D,"*"&amp;$A921&amp;"*",'All Papers'!$G:$G,"*"&amp;Table1[[#Headers],[SLA Management]]&amp;"*")</f>
        <v>0</v>
      </c>
      <c r="J921" s="8">
        <f>COUNTIFS('All Papers'!$D:$D,"*"&amp;$A921&amp;"*",'All Papers'!$G:$G,"*"&amp;Table1[[#Headers],[Big Data]]&amp;"*")</f>
        <v>0</v>
      </c>
      <c r="K921" s="8">
        <f>COUNTIFS('All Papers'!$D:$D,"*"&amp;$A921&amp;"*",'All Papers'!$G:$G,"*"&amp;Table1[[#Headers],[Energy Management]]&amp;"*")</f>
        <v>0</v>
      </c>
      <c r="L921" s="8">
        <f>COUNTIFS('All Papers'!$D:$D,"*"&amp;$A921&amp;"*",'All Papers'!$G:$G,"*"&amp;Table1[[#Headers],[Monitoring]]&amp;"*")</f>
        <v>0</v>
      </c>
      <c r="M921" s="8">
        <f>COUNTIFS('All Papers'!$D:$D,"*"&amp;$A921&amp;"*",'All Papers'!$G:$G,"*"&amp;Table1[[#Headers],[Pricing]]&amp;"*")</f>
        <v>0</v>
      </c>
    </row>
    <row r="922" spans="1:13" x14ac:dyDescent="0.25">
      <c r="A922" s="8" t="s">
        <v>3355</v>
      </c>
      <c r="B922" s="8">
        <f>COUNTIF('All Papers'!D:D,"*"&amp;Table1[[#This Row],[Name]]&amp;"*")</f>
        <v>1</v>
      </c>
      <c r="C922" s="8">
        <f>COUNTIFS('All Papers'!$D:$D,"*"&amp;$A922&amp;"*",'All Papers'!$G:$G,"*"&amp;Table1[[#Headers],[Composition]]&amp;"*")</f>
        <v>0</v>
      </c>
      <c r="D922" s="8">
        <f>COUNTIFS('All Papers'!$D:$D,"*"&amp;$A922&amp;"*",'All Papers'!$G:$G,"*"&amp;Table1[[#Headers],[Discovery]]&amp;"*")</f>
        <v>0</v>
      </c>
      <c r="E922" s="8">
        <f>COUNTIFS('All Papers'!$D:$D,"*"&amp;$A922&amp;"*",'All Papers'!$G:$G,"*"&amp;Table1[[#Headers],[Selection]]&amp;"*")</f>
        <v>0</v>
      </c>
      <c r="F922" s="8">
        <f>COUNTIFS('All Papers'!$D:$D,"*"&amp;$A922&amp;"*",'All Papers'!$G:$G,"*"&amp;Table1[[#Headers],[Recommendation]]&amp;"*")</f>
        <v>0</v>
      </c>
      <c r="G922" s="8">
        <f>COUNTIFS('All Papers'!$D:$D,"*"&amp;$A922&amp;"*",'All Papers'!$G:$G,"*"&amp;Table1[[#Headers],[Resource Management-CS]]&amp;"*")</f>
        <v>0</v>
      </c>
      <c r="H922" s="8">
        <f>COUNTIFS('All Papers'!$D:$D,"*"&amp;$A922&amp;"*",'All Papers'!$G:$G,"*"&amp;Table1[[#Headers],[Resource Management-PS]]&amp;"*")</f>
        <v>0</v>
      </c>
      <c r="I922" s="8">
        <f>COUNTIFS('All Papers'!$D:$D,"*"&amp;$A922&amp;"*",'All Papers'!$G:$G,"*"&amp;Table1[[#Headers],[SLA Management]]&amp;"*")</f>
        <v>1</v>
      </c>
      <c r="J922" s="8">
        <f>COUNTIFS('All Papers'!$D:$D,"*"&amp;$A922&amp;"*",'All Papers'!$G:$G,"*"&amp;Table1[[#Headers],[Big Data]]&amp;"*")</f>
        <v>0</v>
      </c>
      <c r="K922" s="8">
        <f>COUNTIFS('All Papers'!$D:$D,"*"&amp;$A922&amp;"*",'All Papers'!$G:$G,"*"&amp;Table1[[#Headers],[Energy Management]]&amp;"*")</f>
        <v>0</v>
      </c>
      <c r="L922" s="8">
        <f>COUNTIFS('All Papers'!$D:$D,"*"&amp;$A922&amp;"*",'All Papers'!$G:$G,"*"&amp;Table1[[#Headers],[Monitoring]]&amp;"*")</f>
        <v>0</v>
      </c>
      <c r="M922" s="8">
        <f>COUNTIFS('All Papers'!$D:$D,"*"&amp;$A922&amp;"*",'All Papers'!$G:$G,"*"&amp;Table1[[#Headers],[Pricing]]&amp;"*")</f>
        <v>0</v>
      </c>
    </row>
    <row r="923" spans="1:13" x14ac:dyDescent="0.25">
      <c r="A923" s="8" t="s">
        <v>3356</v>
      </c>
      <c r="B923" s="8">
        <f>COUNTIF('All Papers'!D:D,"*"&amp;Table1[[#This Row],[Name]]&amp;"*")</f>
        <v>1</v>
      </c>
      <c r="C923" s="8">
        <f>COUNTIFS('All Papers'!$D:$D,"*"&amp;$A923&amp;"*",'All Papers'!$G:$G,"*"&amp;Table1[[#Headers],[Composition]]&amp;"*")</f>
        <v>0</v>
      </c>
      <c r="D923" s="8">
        <f>COUNTIFS('All Papers'!$D:$D,"*"&amp;$A923&amp;"*",'All Papers'!$G:$G,"*"&amp;Table1[[#Headers],[Discovery]]&amp;"*")</f>
        <v>0</v>
      </c>
      <c r="E923" s="8">
        <f>COUNTIFS('All Papers'!$D:$D,"*"&amp;$A923&amp;"*",'All Papers'!$G:$G,"*"&amp;Table1[[#Headers],[Selection]]&amp;"*")</f>
        <v>1</v>
      </c>
      <c r="F923" s="8">
        <f>COUNTIFS('All Papers'!$D:$D,"*"&amp;$A923&amp;"*",'All Papers'!$G:$G,"*"&amp;Table1[[#Headers],[Recommendation]]&amp;"*")</f>
        <v>0</v>
      </c>
      <c r="G923" s="8">
        <f>COUNTIFS('All Papers'!$D:$D,"*"&amp;$A923&amp;"*",'All Papers'!$G:$G,"*"&amp;Table1[[#Headers],[Resource Management-CS]]&amp;"*")</f>
        <v>0</v>
      </c>
      <c r="H923" s="8">
        <f>COUNTIFS('All Papers'!$D:$D,"*"&amp;$A923&amp;"*",'All Papers'!$G:$G,"*"&amp;Table1[[#Headers],[Resource Management-PS]]&amp;"*")</f>
        <v>0</v>
      </c>
      <c r="I923" s="8">
        <f>COUNTIFS('All Papers'!$D:$D,"*"&amp;$A923&amp;"*",'All Papers'!$G:$G,"*"&amp;Table1[[#Headers],[SLA Management]]&amp;"*")</f>
        <v>0</v>
      </c>
      <c r="J923" s="8">
        <f>COUNTIFS('All Papers'!$D:$D,"*"&amp;$A923&amp;"*",'All Papers'!$G:$G,"*"&amp;Table1[[#Headers],[Big Data]]&amp;"*")</f>
        <v>0</v>
      </c>
      <c r="K923" s="8">
        <f>COUNTIFS('All Papers'!$D:$D,"*"&amp;$A923&amp;"*",'All Papers'!$G:$G,"*"&amp;Table1[[#Headers],[Energy Management]]&amp;"*")</f>
        <v>0</v>
      </c>
      <c r="L923" s="8">
        <f>COUNTIFS('All Papers'!$D:$D,"*"&amp;$A923&amp;"*",'All Papers'!$G:$G,"*"&amp;Table1[[#Headers],[Monitoring]]&amp;"*")</f>
        <v>0</v>
      </c>
      <c r="M923" s="8">
        <f>COUNTIFS('All Papers'!$D:$D,"*"&amp;$A923&amp;"*",'All Papers'!$G:$G,"*"&amp;Table1[[#Headers],[Pricing]]&amp;"*")</f>
        <v>0</v>
      </c>
    </row>
    <row r="924" spans="1:13" x14ac:dyDescent="0.25">
      <c r="A924" s="8" t="s">
        <v>3357</v>
      </c>
      <c r="B924" s="8">
        <f>COUNTIF('All Papers'!D:D,"*"&amp;Table1[[#This Row],[Name]]&amp;"*")</f>
        <v>1</v>
      </c>
      <c r="C924" s="8">
        <f>COUNTIFS('All Papers'!$D:$D,"*"&amp;$A924&amp;"*",'All Papers'!$G:$G,"*"&amp;Table1[[#Headers],[Composition]]&amp;"*")</f>
        <v>0</v>
      </c>
      <c r="D924" s="8">
        <f>COUNTIFS('All Papers'!$D:$D,"*"&amp;$A924&amp;"*",'All Papers'!$G:$G,"*"&amp;Table1[[#Headers],[Discovery]]&amp;"*")</f>
        <v>0</v>
      </c>
      <c r="E924" s="8">
        <f>COUNTIFS('All Papers'!$D:$D,"*"&amp;$A924&amp;"*",'All Papers'!$G:$G,"*"&amp;Table1[[#Headers],[Selection]]&amp;"*")</f>
        <v>0</v>
      </c>
      <c r="F924" s="8">
        <f>COUNTIFS('All Papers'!$D:$D,"*"&amp;$A924&amp;"*",'All Papers'!$G:$G,"*"&amp;Table1[[#Headers],[Recommendation]]&amp;"*")</f>
        <v>0</v>
      </c>
      <c r="G924" s="8">
        <f>COUNTIFS('All Papers'!$D:$D,"*"&amp;$A924&amp;"*",'All Papers'!$G:$G,"*"&amp;Table1[[#Headers],[Resource Management-CS]]&amp;"*")</f>
        <v>1</v>
      </c>
      <c r="H924" s="8">
        <f>COUNTIFS('All Papers'!$D:$D,"*"&amp;$A924&amp;"*",'All Papers'!$G:$G,"*"&amp;Table1[[#Headers],[Resource Management-PS]]&amp;"*")</f>
        <v>0</v>
      </c>
      <c r="I924" s="8">
        <f>COUNTIFS('All Papers'!$D:$D,"*"&amp;$A924&amp;"*",'All Papers'!$G:$G,"*"&amp;Table1[[#Headers],[SLA Management]]&amp;"*")</f>
        <v>0</v>
      </c>
      <c r="J924" s="8">
        <f>COUNTIFS('All Papers'!$D:$D,"*"&amp;$A924&amp;"*",'All Papers'!$G:$G,"*"&amp;Table1[[#Headers],[Big Data]]&amp;"*")</f>
        <v>0</v>
      </c>
      <c r="K924" s="8">
        <f>COUNTIFS('All Papers'!$D:$D,"*"&amp;$A924&amp;"*",'All Papers'!$G:$G,"*"&amp;Table1[[#Headers],[Energy Management]]&amp;"*")</f>
        <v>0</v>
      </c>
      <c r="L924" s="8">
        <f>COUNTIFS('All Papers'!$D:$D,"*"&amp;$A924&amp;"*",'All Papers'!$G:$G,"*"&amp;Table1[[#Headers],[Monitoring]]&amp;"*")</f>
        <v>0</v>
      </c>
      <c r="M924" s="8">
        <f>COUNTIFS('All Papers'!$D:$D,"*"&amp;$A924&amp;"*",'All Papers'!$G:$G,"*"&amp;Table1[[#Headers],[Pricing]]&amp;"*")</f>
        <v>0</v>
      </c>
    </row>
    <row r="925" spans="1:13" x14ac:dyDescent="0.25">
      <c r="A925" s="8" t="s">
        <v>3358</v>
      </c>
      <c r="B925" s="8">
        <f>COUNTIF('All Papers'!D:D,"*"&amp;Table1[[#This Row],[Name]]&amp;"*")</f>
        <v>1</v>
      </c>
      <c r="C925" s="8">
        <f>COUNTIFS('All Papers'!$D:$D,"*"&amp;$A925&amp;"*",'All Papers'!$G:$G,"*"&amp;Table1[[#Headers],[Composition]]&amp;"*")</f>
        <v>0</v>
      </c>
      <c r="D925" s="8">
        <f>COUNTIFS('All Papers'!$D:$D,"*"&amp;$A925&amp;"*",'All Papers'!$G:$G,"*"&amp;Table1[[#Headers],[Discovery]]&amp;"*")</f>
        <v>0</v>
      </c>
      <c r="E925" s="8">
        <f>COUNTIFS('All Papers'!$D:$D,"*"&amp;$A925&amp;"*",'All Papers'!$G:$G,"*"&amp;Table1[[#Headers],[Selection]]&amp;"*")</f>
        <v>0</v>
      </c>
      <c r="F925" s="8">
        <f>COUNTIFS('All Papers'!$D:$D,"*"&amp;$A925&amp;"*",'All Papers'!$G:$G,"*"&amp;Table1[[#Headers],[Recommendation]]&amp;"*")</f>
        <v>0</v>
      </c>
      <c r="G925" s="8">
        <f>COUNTIFS('All Papers'!$D:$D,"*"&amp;$A925&amp;"*",'All Papers'!$G:$G,"*"&amp;Table1[[#Headers],[Resource Management-CS]]&amp;"*")</f>
        <v>1</v>
      </c>
      <c r="H925" s="8">
        <f>COUNTIFS('All Papers'!$D:$D,"*"&amp;$A925&amp;"*",'All Papers'!$G:$G,"*"&amp;Table1[[#Headers],[Resource Management-PS]]&amp;"*")</f>
        <v>0</v>
      </c>
      <c r="I925" s="8">
        <f>COUNTIFS('All Papers'!$D:$D,"*"&amp;$A925&amp;"*",'All Papers'!$G:$G,"*"&amp;Table1[[#Headers],[SLA Management]]&amp;"*")</f>
        <v>0</v>
      </c>
      <c r="J925" s="8">
        <f>COUNTIFS('All Papers'!$D:$D,"*"&amp;$A925&amp;"*",'All Papers'!$G:$G,"*"&amp;Table1[[#Headers],[Big Data]]&amp;"*")</f>
        <v>0</v>
      </c>
      <c r="K925" s="8">
        <f>COUNTIFS('All Papers'!$D:$D,"*"&amp;$A925&amp;"*",'All Papers'!$G:$G,"*"&amp;Table1[[#Headers],[Energy Management]]&amp;"*")</f>
        <v>0</v>
      </c>
      <c r="L925" s="8">
        <f>COUNTIFS('All Papers'!$D:$D,"*"&amp;$A925&amp;"*",'All Papers'!$G:$G,"*"&amp;Table1[[#Headers],[Monitoring]]&amp;"*")</f>
        <v>0</v>
      </c>
      <c r="M925" s="8">
        <f>COUNTIFS('All Papers'!$D:$D,"*"&amp;$A925&amp;"*",'All Papers'!$G:$G,"*"&amp;Table1[[#Headers],[Pricing]]&amp;"*")</f>
        <v>0</v>
      </c>
    </row>
    <row r="926" spans="1:13" x14ac:dyDescent="0.25">
      <c r="A926" s="8" t="s">
        <v>3359</v>
      </c>
      <c r="B926" s="8">
        <f>COUNTIF('All Papers'!D:D,"*"&amp;Table1[[#This Row],[Name]]&amp;"*")</f>
        <v>1</v>
      </c>
      <c r="C926" s="8">
        <f>COUNTIFS('All Papers'!$D:$D,"*"&amp;$A926&amp;"*",'All Papers'!$G:$G,"*"&amp;Table1[[#Headers],[Composition]]&amp;"*")</f>
        <v>0</v>
      </c>
      <c r="D926" s="8">
        <f>COUNTIFS('All Papers'!$D:$D,"*"&amp;$A926&amp;"*",'All Papers'!$G:$G,"*"&amp;Table1[[#Headers],[Discovery]]&amp;"*")</f>
        <v>0</v>
      </c>
      <c r="E926" s="8">
        <f>COUNTIFS('All Papers'!$D:$D,"*"&amp;$A926&amp;"*",'All Papers'!$G:$G,"*"&amp;Table1[[#Headers],[Selection]]&amp;"*")</f>
        <v>0</v>
      </c>
      <c r="F926" s="8">
        <f>COUNTIFS('All Papers'!$D:$D,"*"&amp;$A926&amp;"*",'All Papers'!$G:$G,"*"&amp;Table1[[#Headers],[Recommendation]]&amp;"*")</f>
        <v>0</v>
      </c>
      <c r="G926" s="8">
        <f>COUNTIFS('All Papers'!$D:$D,"*"&amp;$A926&amp;"*",'All Papers'!$G:$G,"*"&amp;Table1[[#Headers],[Resource Management-CS]]&amp;"*")</f>
        <v>1</v>
      </c>
      <c r="H926" s="8">
        <f>COUNTIFS('All Papers'!$D:$D,"*"&amp;$A926&amp;"*",'All Papers'!$G:$G,"*"&amp;Table1[[#Headers],[Resource Management-PS]]&amp;"*")</f>
        <v>0</v>
      </c>
      <c r="I926" s="8">
        <f>COUNTIFS('All Papers'!$D:$D,"*"&amp;$A926&amp;"*",'All Papers'!$G:$G,"*"&amp;Table1[[#Headers],[SLA Management]]&amp;"*")</f>
        <v>0</v>
      </c>
      <c r="J926" s="8">
        <f>COUNTIFS('All Papers'!$D:$D,"*"&amp;$A926&amp;"*",'All Papers'!$G:$G,"*"&amp;Table1[[#Headers],[Big Data]]&amp;"*")</f>
        <v>0</v>
      </c>
      <c r="K926" s="8">
        <f>COUNTIFS('All Papers'!$D:$D,"*"&amp;$A926&amp;"*",'All Papers'!$G:$G,"*"&amp;Table1[[#Headers],[Energy Management]]&amp;"*")</f>
        <v>0</v>
      </c>
      <c r="L926" s="8">
        <f>COUNTIFS('All Papers'!$D:$D,"*"&amp;$A926&amp;"*",'All Papers'!$G:$G,"*"&amp;Table1[[#Headers],[Monitoring]]&amp;"*")</f>
        <v>0</v>
      </c>
      <c r="M926" s="8">
        <f>COUNTIFS('All Papers'!$D:$D,"*"&amp;$A926&amp;"*",'All Papers'!$G:$G,"*"&amp;Table1[[#Headers],[Pricing]]&amp;"*")</f>
        <v>0</v>
      </c>
    </row>
    <row r="927" spans="1:13" x14ac:dyDescent="0.25">
      <c r="A927" s="8" t="s">
        <v>3360</v>
      </c>
      <c r="B927" s="8">
        <f>COUNTIF('All Papers'!D:D,"*"&amp;Table1[[#This Row],[Name]]&amp;"*")</f>
        <v>1</v>
      </c>
      <c r="C927" s="8">
        <f>COUNTIFS('All Papers'!$D:$D,"*"&amp;$A927&amp;"*",'All Papers'!$G:$G,"*"&amp;Table1[[#Headers],[Composition]]&amp;"*")</f>
        <v>0</v>
      </c>
      <c r="D927" s="8">
        <f>COUNTIFS('All Papers'!$D:$D,"*"&amp;$A927&amp;"*",'All Papers'!$G:$G,"*"&amp;Table1[[#Headers],[Discovery]]&amp;"*")</f>
        <v>0</v>
      </c>
      <c r="E927" s="8">
        <f>COUNTIFS('All Papers'!$D:$D,"*"&amp;$A927&amp;"*",'All Papers'!$G:$G,"*"&amp;Table1[[#Headers],[Selection]]&amp;"*")</f>
        <v>1</v>
      </c>
      <c r="F927" s="8">
        <f>COUNTIFS('All Papers'!$D:$D,"*"&amp;$A927&amp;"*",'All Papers'!$G:$G,"*"&amp;Table1[[#Headers],[Recommendation]]&amp;"*")</f>
        <v>0</v>
      </c>
      <c r="G927" s="8">
        <f>COUNTIFS('All Papers'!$D:$D,"*"&amp;$A927&amp;"*",'All Papers'!$G:$G,"*"&amp;Table1[[#Headers],[Resource Management-CS]]&amp;"*")</f>
        <v>0</v>
      </c>
      <c r="H927" s="8">
        <f>COUNTIFS('All Papers'!$D:$D,"*"&amp;$A927&amp;"*",'All Papers'!$G:$G,"*"&amp;Table1[[#Headers],[Resource Management-PS]]&amp;"*")</f>
        <v>0</v>
      </c>
      <c r="I927" s="8">
        <f>COUNTIFS('All Papers'!$D:$D,"*"&amp;$A927&amp;"*",'All Papers'!$G:$G,"*"&amp;Table1[[#Headers],[SLA Management]]&amp;"*")</f>
        <v>0</v>
      </c>
      <c r="J927" s="8">
        <f>COUNTIFS('All Papers'!$D:$D,"*"&amp;$A927&amp;"*",'All Papers'!$G:$G,"*"&amp;Table1[[#Headers],[Big Data]]&amp;"*")</f>
        <v>0</v>
      </c>
      <c r="K927" s="8">
        <f>COUNTIFS('All Papers'!$D:$D,"*"&amp;$A927&amp;"*",'All Papers'!$G:$G,"*"&amp;Table1[[#Headers],[Energy Management]]&amp;"*")</f>
        <v>0</v>
      </c>
      <c r="L927" s="8">
        <f>COUNTIFS('All Papers'!$D:$D,"*"&amp;$A927&amp;"*",'All Papers'!$G:$G,"*"&amp;Table1[[#Headers],[Monitoring]]&amp;"*")</f>
        <v>0</v>
      </c>
      <c r="M927" s="8">
        <f>COUNTIFS('All Papers'!$D:$D,"*"&amp;$A927&amp;"*",'All Papers'!$G:$G,"*"&amp;Table1[[#Headers],[Pricing]]&amp;"*")</f>
        <v>0</v>
      </c>
    </row>
    <row r="928" spans="1:13" x14ac:dyDescent="0.25">
      <c r="A928" s="8" t="s">
        <v>3361</v>
      </c>
      <c r="B928" s="8">
        <f>COUNTIF('All Papers'!D:D,"*"&amp;Table1[[#This Row],[Name]]&amp;"*")</f>
        <v>1</v>
      </c>
      <c r="C928" s="8">
        <f>COUNTIFS('All Papers'!$D:$D,"*"&amp;$A928&amp;"*",'All Papers'!$G:$G,"*"&amp;Table1[[#Headers],[Composition]]&amp;"*")</f>
        <v>0</v>
      </c>
      <c r="D928" s="8">
        <f>COUNTIFS('All Papers'!$D:$D,"*"&amp;$A928&amp;"*",'All Papers'!$G:$G,"*"&amp;Table1[[#Headers],[Discovery]]&amp;"*")</f>
        <v>0</v>
      </c>
      <c r="E928" s="8">
        <f>COUNTIFS('All Papers'!$D:$D,"*"&amp;$A928&amp;"*",'All Papers'!$G:$G,"*"&amp;Table1[[#Headers],[Selection]]&amp;"*")</f>
        <v>1</v>
      </c>
      <c r="F928" s="8">
        <f>COUNTIFS('All Papers'!$D:$D,"*"&amp;$A928&amp;"*",'All Papers'!$G:$G,"*"&amp;Table1[[#Headers],[Recommendation]]&amp;"*")</f>
        <v>0</v>
      </c>
      <c r="G928" s="8">
        <f>COUNTIFS('All Papers'!$D:$D,"*"&amp;$A928&amp;"*",'All Papers'!$G:$G,"*"&amp;Table1[[#Headers],[Resource Management-CS]]&amp;"*")</f>
        <v>0</v>
      </c>
      <c r="H928" s="8">
        <f>COUNTIFS('All Papers'!$D:$D,"*"&amp;$A928&amp;"*",'All Papers'!$G:$G,"*"&amp;Table1[[#Headers],[Resource Management-PS]]&amp;"*")</f>
        <v>0</v>
      </c>
      <c r="I928" s="8">
        <f>COUNTIFS('All Papers'!$D:$D,"*"&amp;$A928&amp;"*",'All Papers'!$G:$G,"*"&amp;Table1[[#Headers],[SLA Management]]&amp;"*")</f>
        <v>0</v>
      </c>
      <c r="J928" s="8">
        <f>COUNTIFS('All Papers'!$D:$D,"*"&amp;$A928&amp;"*",'All Papers'!$G:$G,"*"&amp;Table1[[#Headers],[Big Data]]&amp;"*")</f>
        <v>0</v>
      </c>
      <c r="K928" s="8">
        <f>COUNTIFS('All Papers'!$D:$D,"*"&amp;$A928&amp;"*",'All Papers'!$G:$G,"*"&amp;Table1[[#Headers],[Energy Management]]&amp;"*")</f>
        <v>0</v>
      </c>
      <c r="L928" s="8">
        <f>COUNTIFS('All Papers'!$D:$D,"*"&amp;$A928&amp;"*",'All Papers'!$G:$G,"*"&amp;Table1[[#Headers],[Monitoring]]&amp;"*")</f>
        <v>0</v>
      </c>
      <c r="M928" s="8">
        <f>COUNTIFS('All Papers'!$D:$D,"*"&amp;$A928&amp;"*",'All Papers'!$G:$G,"*"&amp;Table1[[#Headers],[Pricing]]&amp;"*")</f>
        <v>0</v>
      </c>
    </row>
    <row r="929" spans="1:13" x14ac:dyDescent="0.25">
      <c r="A929" s="8" t="s">
        <v>3362</v>
      </c>
      <c r="B929" s="8">
        <f>COUNTIF('All Papers'!D:D,"*"&amp;Table1[[#This Row],[Name]]&amp;"*")</f>
        <v>1</v>
      </c>
      <c r="C929" s="8">
        <f>COUNTIFS('All Papers'!$D:$D,"*"&amp;$A929&amp;"*",'All Papers'!$G:$G,"*"&amp;Table1[[#Headers],[Composition]]&amp;"*")</f>
        <v>0</v>
      </c>
      <c r="D929" s="8">
        <f>COUNTIFS('All Papers'!$D:$D,"*"&amp;$A929&amp;"*",'All Papers'!$G:$G,"*"&amp;Table1[[#Headers],[Discovery]]&amp;"*")</f>
        <v>0</v>
      </c>
      <c r="E929" s="8">
        <f>COUNTIFS('All Papers'!$D:$D,"*"&amp;$A929&amp;"*",'All Papers'!$G:$G,"*"&amp;Table1[[#Headers],[Selection]]&amp;"*")</f>
        <v>1</v>
      </c>
      <c r="F929" s="8">
        <f>COUNTIFS('All Papers'!$D:$D,"*"&amp;$A929&amp;"*",'All Papers'!$G:$G,"*"&amp;Table1[[#Headers],[Recommendation]]&amp;"*")</f>
        <v>0</v>
      </c>
      <c r="G929" s="8">
        <f>COUNTIFS('All Papers'!$D:$D,"*"&amp;$A929&amp;"*",'All Papers'!$G:$G,"*"&amp;Table1[[#Headers],[Resource Management-CS]]&amp;"*")</f>
        <v>0</v>
      </c>
      <c r="H929" s="8">
        <f>COUNTIFS('All Papers'!$D:$D,"*"&amp;$A929&amp;"*",'All Papers'!$G:$G,"*"&amp;Table1[[#Headers],[Resource Management-PS]]&amp;"*")</f>
        <v>0</v>
      </c>
      <c r="I929" s="8">
        <f>COUNTIFS('All Papers'!$D:$D,"*"&amp;$A929&amp;"*",'All Papers'!$G:$G,"*"&amp;Table1[[#Headers],[SLA Management]]&amp;"*")</f>
        <v>0</v>
      </c>
      <c r="J929" s="8">
        <f>COUNTIFS('All Papers'!$D:$D,"*"&amp;$A929&amp;"*",'All Papers'!$G:$G,"*"&amp;Table1[[#Headers],[Big Data]]&amp;"*")</f>
        <v>0</v>
      </c>
      <c r="K929" s="8">
        <f>COUNTIFS('All Papers'!$D:$D,"*"&amp;$A929&amp;"*",'All Papers'!$G:$G,"*"&amp;Table1[[#Headers],[Energy Management]]&amp;"*")</f>
        <v>0</v>
      </c>
      <c r="L929" s="8">
        <f>COUNTIFS('All Papers'!$D:$D,"*"&amp;$A929&amp;"*",'All Papers'!$G:$G,"*"&amp;Table1[[#Headers],[Monitoring]]&amp;"*")</f>
        <v>0</v>
      </c>
      <c r="M929" s="8">
        <f>COUNTIFS('All Papers'!$D:$D,"*"&amp;$A929&amp;"*",'All Papers'!$G:$G,"*"&amp;Table1[[#Headers],[Pricing]]&amp;"*")</f>
        <v>0</v>
      </c>
    </row>
    <row r="930" spans="1:13" x14ac:dyDescent="0.25">
      <c r="A930" s="8" t="s">
        <v>3363</v>
      </c>
      <c r="B930" s="8">
        <f>COUNTIF('All Papers'!D:D,"*"&amp;Table1[[#This Row],[Name]]&amp;"*")</f>
        <v>1</v>
      </c>
      <c r="C930" s="8">
        <f>COUNTIFS('All Papers'!$D:$D,"*"&amp;$A930&amp;"*",'All Papers'!$G:$G,"*"&amp;Table1[[#Headers],[Composition]]&amp;"*")</f>
        <v>0</v>
      </c>
      <c r="D930" s="8">
        <f>COUNTIFS('All Papers'!$D:$D,"*"&amp;$A930&amp;"*",'All Papers'!$G:$G,"*"&amp;Table1[[#Headers],[Discovery]]&amp;"*")</f>
        <v>0</v>
      </c>
      <c r="E930" s="8">
        <f>COUNTIFS('All Papers'!$D:$D,"*"&amp;$A930&amp;"*",'All Papers'!$G:$G,"*"&amp;Table1[[#Headers],[Selection]]&amp;"*")</f>
        <v>0</v>
      </c>
      <c r="F930" s="8">
        <f>COUNTIFS('All Papers'!$D:$D,"*"&amp;$A930&amp;"*",'All Papers'!$G:$G,"*"&amp;Table1[[#Headers],[Recommendation]]&amp;"*")</f>
        <v>1</v>
      </c>
      <c r="G930" s="8">
        <f>COUNTIFS('All Papers'!$D:$D,"*"&amp;$A930&amp;"*",'All Papers'!$G:$G,"*"&amp;Table1[[#Headers],[Resource Management-CS]]&amp;"*")</f>
        <v>0</v>
      </c>
      <c r="H930" s="8">
        <f>COUNTIFS('All Papers'!$D:$D,"*"&amp;$A930&amp;"*",'All Papers'!$G:$G,"*"&amp;Table1[[#Headers],[Resource Management-PS]]&amp;"*")</f>
        <v>0</v>
      </c>
      <c r="I930" s="8">
        <f>COUNTIFS('All Papers'!$D:$D,"*"&amp;$A930&amp;"*",'All Papers'!$G:$G,"*"&amp;Table1[[#Headers],[SLA Management]]&amp;"*")</f>
        <v>0</v>
      </c>
      <c r="J930" s="8">
        <f>COUNTIFS('All Papers'!$D:$D,"*"&amp;$A930&amp;"*",'All Papers'!$G:$G,"*"&amp;Table1[[#Headers],[Big Data]]&amp;"*")</f>
        <v>0</v>
      </c>
      <c r="K930" s="8">
        <f>COUNTIFS('All Papers'!$D:$D,"*"&amp;$A930&amp;"*",'All Papers'!$G:$G,"*"&amp;Table1[[#Headers],[Energy Management]]&amp;"*")</f>
        <v>0</v>
      </c>
      <c r="L930" s="8">
        <f>COUNTIFS('All Papers'!$D:$D,"*"&amp;$A930&amp;"*",'All Papers'!$G:$G,"*"&amp;Table1[[#Headers],[Monitoring]]&amp;"*")</f>
        <v>0</v>
      </c>
      <c r="M930" s="8">
        <f>COUNTIFS('All Papers'!$D:$D,"*"&amp;$A930&amp;"*",'All Papers'!$G:$G,"*"&amp;Table1[[#Headers],[Pricing]]&amp;"*")</f>
        <v>0</v>
      </c>
    </row>
    <row r="931" spans="1:13" x14ac:dyDescent="0.25">
      <c r="A931" s="8" t="s">
        <v>3364</v>
      </c>
      <c r="B931" s="8">
        <f>COUNTIF('All Papers'!D:D,"*"&amp;Table1[[#This Row],[Name]]&amp;"*")</f>
        <v>1</v>
      </c>
      <c r="C931" s="8">
        <f>COUNTIFS('All Papers'!$D:$D,"*"&amp;$A931&amp;"*",'All Papers'!$G:$G,"*"&amp;Table1[[#Headers],[Composition]]&amp;"*")</f>
        <v>0</v>
      </c>
      <c r="D931" s="8">
        <f>COUNTIFS('All Papers'!$D:$D,"*"&amp;$A931&amp;"*",'All Papers'!$G:$G,"*"&amp;Table1[[#Headers],[Discovery]]&amp;"*")</f>
        <v>0</v>
      </c>
      <c r="E931" s="8">
        <f>COUNTIFS('All Papers'!$D:$D,"*"&amp;$A931&amp;"*",'All Papers'!$G:$G,"*"&amp;Table1[[#Headers],[Selection]]&amp;"*")</f>
        <v>0</v>
      </c>
      <c r="F931" s="8">
        <f>COUNTIFS('All Papers'!$D:$D,"*"&amp;$A931&amp;"*",'All Papers'!$G:$G,"*"&amp;Table1[[#Headers],[Recommendation]]&amp;"*")</f>
        <v>1</v>
      </c>
      <c r="G931" s="8">
        <f>COUNTIFS('All Papers'!$D:$D,"*"&amp;$A931&amp;"*",'All Papers'!$G:$G,"*"&amp;Table1[[#Headers],[Resource Management-CS]]&amp;"*")</f>
        <v>0</v>
      </c>
      <c r="H931" s="8">
        <f>COUNTIFS('All Papers'!$D:$D,"*"&amp;$A931&amp;"*",'All Papers'!$G:$G,"*"&amp;Table1[[#Headers],[Resource Management-PS]]&amp;"*")</f>
        <v>0</v>
      </c>
      <c r="I931" s="8">
        <f>COUNTIFS('All Papers'!$D:$D,"*"&amp;$A931&amp;"*",'All Papers'!$G:$G,"*"&amp;Table1[[#Headers],[SLA Management]]&amp;"*")</f>
        <v>0</v>
      </c>
      <c r="J931" s="8">
        <f>COUNTIFS('All Papers'!$D:$D,"*"&amp;$A931&amp;"*",'All Papers'!$G:$G,"*"&amp;Table1[[#Headers],[Big Data]]&amp;"*")</f>
        <v>0</v>
      </c>
      <c r="K931" s="8">
        <f>COUNTIFS('All Papers'!$D:$D,"*"&amp;$A931&amp;"*",'All Papers'!$G:$G,"*"&amp;Table1[[#Headers],[Energy Management]]&amp;"*")</f>
        <v>0</v>
      </c>
      <c r="L931" s="8">
        <f>COUNTIFS('All Papers'!$D:$D,"*"&amp;$A931&amp;"*",'All Papers'!$G:$G,"*"&amp;Table1[[#Headers],[Monitoring]]&amp;"*")</f>
        <v>0</v>
      </c>
      <c r="M931" s="8">
        <f>COUNTIFS('All Papers'!$D:$D,"*"&amp;$A931&amp;"*",'All Papers'!$G:$G,"*"&amp;Table1[[#Headers],[Pricing]]&amp;"*")</f>
        <v>0</v>
      </c>
    </row>
    <row r="932" spans="1:13" x14ac:dyDescent="0.25">
      <c r="A932" s="8" t="s">
        <v>3365</v>
      </c>
      <c r="B932" s="8">
        <f>COUNTIF('All Papers'!D:D,"*"&amp;Table1[[#This Row],[Name]]&amp;"*")</f>
        <v>1</v>
      </c>
      <c r="C932" s="8">
        <f>COUNTIFS('All Papers'!$D:$D,"*"&amp;$A932&amp;"*",'All Papers'!$G:$G,"*"&amp;Table1[[#Headers],[Composition]]&amp;"*")</f>
        <v>0</v>
      </c>
      <c r="D932" s="8">
        <f>COUNTIFS('All Papers'!$D:$D,"*"&amp;$A932&amp;"*",'All Papers'!$G:$G,"*"&amp;Table1[[#Headers],[Discovery]]&amp;"*")</f>
        <v>0</v>
      </c>
      <c r="E932" s="8">
        <f>COUNTIFS('All Papers'!$D:$D,"*"&amp;$A932&amp;"*",'All Papers'!$G:$G,"*"&amp;Table1[[#Headers],[Selection]]&amp;"*")</f>
        <v>0</v>
      </c>
      <c r="F932" s="8">
        <f>COUNTIFS('All Papers'!$D:$D,"*"&amp;$A932&amp;"*",'All Papers'!$G:$G,"*"&amp;Table1[[#Headers],[Recommendation]]&amp;"*")</f>
        <v>1</v>
      </c>
      <c r="G932" s="8">
        <f>COUNTIFS('All Papers'!$D:$D,"*"&amp;$A932&amp;"*",'All Papers'!$G:$G,"*"&amp;Table1[[#Headers],[Resource Management-CS]]&amp;"*")</f>
        <v>0</v>
      </c>
      <c r="H932" s="8">
        <f>COUNTIFS('All Papers'!$D:$D,"*"&amp;$A932&amp;"*",'All Papers'!$G:$G,"*"&amp;Table1[[#Headers],[Resource Management-PS]]&amp;"*")</f>
        <v>0</v>
      </c>
      <c r="I932" s="8">
        <f>COUNTIFS('All Papers'!$D:$D,"*"&amp;$A932&amp;"*",'All Papers'!$G:$G,"*"&amp;Table1[[#Headers],[SLA Management]]&amp;"*")</f>
        <v>0</v>
      </c>
      <c r="J932" s="8">
        <f>COUNTIFS('All Papers'!$D:$D,"*"&amp;$A932&amp;"*",'All Papers'!$G:$G,"*"&amp;Table1[[#Headers],[Big Data]]&amp;"*")</f>
        <v>0</v>
      </c>
      <c r="K932" s="8">
        <f>COUNTIFS('All Papers'!$D:$D,"*"&amp;$A932&amp;"*",'All Papers'!$G:$G,"*"&amp;Table1[[#Headers],[Energy Management]]&amp;"*")</f>
        <v>0</v>
      </c>
      <c r="L932" s="8">
        <f>COUNTIFS('All Papers'!$D:$D,"*"&amp;$A932&amp;"*",'All Papers'!$G:$G,"*"&amp;Table1[[#Headers],[Monitoring]]&amp;"*")</f>
        <v>0</v>
      </c>
      <c r="M932" s="8">
        <f>COUNTIFS('All Papers'!$D:$D,"*"&amp;$A932&amp;"*",'All Papers'!$G:$G,"*"&amp;Table1[[#Headers],[Pricing]]&amp;"*")</f>
        <v>0</v>
      </c>
    </row>
    <row r="933" spans="1:13" x14ac:dyDescent="0.25">
      <c r="A933" s="8" t="s">
        <v>3366</v>
      </c>
      <c r="B933" s="8">
        <f>COUNTIF('All Papers'!D:D,"*"&amp;Table1[[#This Row],[Name]]&amp;"*")</f>
        <v>1</v>
      </c>
      <c r="C933" s="8">
        <f>COUNTIFS('All Papers'!$D:$D,"*"&amp;$A933&amp;"*",'All Papers'!$G:$G,"*"&amp;Table1[[#Headers],[Composition]]&amp;"*")</f>
        <v>0</v>
      </c>
      <c r="D933" s="8">
        <f>COUNTIFS('All Papers'!$D:$D,"*"&amp;$A933&amp;"*",'All Papers'!$G:$G,"*"&amp;Table1[[#Headers],[Discovery]]&amp;"*")</f>
        <v>0</v>
      </c>
      <c r="E933" s="8">
        <f>COUNTIFS('All Papers'!$D:$D,"*"&amp;$A933&amp;"*",'All Papers'!$G:$G,"*"&amp;Table1[[#Headers],[Selection]]&amp;"*")</f>
        <v>0</v>
      </c>
      <c r="F933" s="8">
        <f>COUNTIFS('All Papers'!$D:$D,"*"&amp;$A933&amp;"*",'All Papers'!$G:$G,"*"&amp;Table1[[#Headers],[Recommendation]]&amp;"*")</f>
        <v>0</v>
      </c>
      <c r="G933" s="8">
        <f>COUNTIFS('All Papers'!$D:$D,"*"&amp;$A933&amp;"*",'All Papers'!$G:$G,"*"&amp;Table1[[#Headers],[Resource Management-CS]]&amp;"*")</f>
        <v>0</v>
      </c>
      <c r="H933" s="8">
        <f>COUNTIFS('All Papers'!$D:$D,"*"&amp;$A933&amp;"*",'All Papers'!$G:$G,"*"&amp;Table1[[#Headers],[Resource Management-PS]]&amp;"*")</f>
        <v>1</v>
      </c>
      <c r="I933" s="8">
        <f>COUNTIFS('All Papers'!$D:$D,"*"&amp;$A933&amp;"*",'All Papers'!$G:$G,"*"&amp;Table1[[#Headers],[SLA Management]]&amp;"*")</f>
        <v>0</v>
      </c>
      <c r="J933" s="8">
        <f>COUNTIFS('All Papers'!$D:$D,"*"&amp;$A933&amp;"*",'All Papers'!$G:$G,"*"&amp;Table1[[#Headers],[Big Data]]&amp;"*")</f>
        <v>0</v>
      </c>
      <c r="K933" s="8">
        <f>COUNTIFS('All Papers'!$D:$D,"*"&amp;$A933&amp;"*",'All Papers'!$G:$G,"*"&amp;Table1[[#Headers],[Energy Management]]&amp;"*")</f>
        <v>0</v>
      </c>
      <c r="L933" s="8">
        <f>COUNTIFS('All Papers'!$D:$D,"*"&amp;$A933&amp;"*",'All Papers'!$G:$G,"*"&amp;Table1[[#Headers],[Monitoring]]&amp;"*")</f>
        <v>0</v>
      </c>
      <c r="M933" s="8">
        <f>COUNTIFS('All Papers'!$D:$D,"*"&amp;$A933&amp;"*",'All Papers'!$G:$G,"*"&amp;Table1[[#Headers],[Pricing]]&amp;"*")</f>
        <v>0</v>
      </c>
    </row>
    <row r="934" spans="1:13" x14ac:dyDescent="0.25">
      <c r="A934" s="8" t="s">
        <v>3367</v>
      </c>
      <c r="B934" s="8">
        <f>COUNTIF('All Papers'!D:D,"*"&amp;Table1[[#This Row],[Name]]&amp;"*")</f>
        <v>1</v>
      </c>
      <c r="C934" s="8">
        <f>COUNTIFS('All Papers'!$D:$D,"*"&amp;$A934&amp;"*",'All Papers'!$G:$G,"*"&amp;Table1[[#Headers],[Composition]]&amp;"*")</f>
        <v>0</v>
      </c>
      <c r="D934" s="8">
        <f>COUNTIFS('All Papers'!$D:$D,"*"&amp;$A934&amp;"*",'All Papers'!$G:$G,"*"&amp;Table1[[#Headers],[Discovery]]&amp;"*")</f>
        <v>0</v>
      </c>
      <c r="E934" s="8">
        <f>COUNTIFS('All Papers'!$D:$D,"*"&amp;$A934&amp;"*",'All Papers'!$G:$G,"*"&amp;Table1[[#Headers],[Selection]]&amp;"*")</f>
        <v>0</v>
      </c>
      <c r="F934" s="8">
        <f>COUNTIFS('All Papers'!$D:$D,"*"&amp;$A934&amp;"*",'All Papers'!$G:$G,"*"&amp;Table1[[#Headers],[Recommendation]]&amp;"*")</f>
        <v>0</v>
      </c>
      <c r="G934" s="8">
        <f>COUNTIFS('All Papers'!$D:$D,"*"&amp;$A934&amp;"*",'All Papers'!$G:$G,"*"&amp;Table1[[#Headers],[Resource Management-CS]]&amp;"*")</f>
        <v>0</v>
      </c>
      <c r="H934" s="8">
        <f>COUNTIFS('All Papers'!$D:$D,"*"&amp;$A934&amp;"*",'All Papers'!$G:$G,"*"&amp;Table1[[#Headers],[Resource Management-PS]]&amp;"*")</f>
        <v>1</v>
      </c>
      <c r="I934" s="8">
        <f>COUNTIFS('All Papers'!$D:$D,"*"&amp;$A934&amp;"*",'All Papers'!$G:$G,"*"&amp;Table1[[#Headers],[SLA Management]]&amp;"*")</f>
        <v>0</v>
      </c>
      <c r="J934" s="8">
        <f>COUNTIFS('All Papers'!$D:$D,"*"&amp;$A934&amp;"*",'All Papers'!$G:$G,"*"&amp;Table1[[#Headers],[Big Data]]&amp;"*")</f>
        <v>0</v>
      </c>
      <c r="K934" s="8">
        <f>COUNTIFS('All Papers'!$D:$D,"*"&amp;$A934&amp;"*",'All Papers'!$G:$G,"*"&amp;Table1[[#Headers],[Energy Management]]&amp;"*")</f>
        <v>0</v>
      </c>
      <c r="L934" s="8">
        <f>COUNTIFS('All Papers'!$D:$D,"*"&amp;$A934&amp;"*",'All Papers'!$G:$G,"*"&amp;Table1[[#Headers],[Monitoring]]&amp;"*")</f>
        <v>0</v>
      </c>
      <c r="M934" s="8">
        <f>COUNTIFS('All Papers'!$D:$D,"*"&amp;$A934&amp;"*",'All Papers'!$G:$G,"*"&amp;Table1[[#Headers],[Pricing]]&amp;"*")</f>
        <v>0</v>
      </c>
    </row>
    <row r="935" spans="1:13" x14ac:dyDescent="0.25">
      <c r="A935" s="8" t="s">
        <v>3368</v>
      </c>
      <c r="B935" s="8">
        <f>COUNTIF('All Papers'!D:D,"*"&amp;Table1[[#This Row],[Name]]&amp;"*")</f>
        <v>1</v>
      </c>
      <c r="C935" s="8">
        <f>COUNTIFS('All Papers'!$D:$D,"*"&amp;$A935&amp;"*",'All Papers'!$G:$G,"*"&amp;Table1[[#Headers],[Composition]]&amp;"*")</f>
        <v>0</v>
      </c>
      <c r="D935" s="8">
        <f>COUNTIFS('All Papers'!$D:$D,"*"&amp;$A935&amp;"*",'All Papers'!$G:$G,"*"&amp;Table1[[#Headers],[Discovery]]&amp;"*")</f>
        <v>0</v>
      </c>
      <c r="E935" s="8">
        <f>COUNTIFS('All Papers'!$D:$D,"*"&amp;$A935&amp;"*",'All Papers'!$G:$G,"*"&amp;Table1[[#Headers],[Selection]]&amp;"*")</f>
        <v>0</v>
      </c>
      <c r="F935" s="8">
        <f>COUNTIFS('All Papers'!$D:$D,"*"&amp;$A935&amp;"*",'All Papers'!$G:$G,"*"&amp;Table1[[#Headers],[Recommendation]]&amp;"*")</f>
        <v>0</v>
      </c>
      <c r="G935" s="8">
        <f>COUNTIFS('All Papers'!$D:$D,"*"&amp;$A935&amp;"*",'All Papers'!$G:$G,"*"&amp;Table1[[#Headers],[Resource Management-CS]]&amp;"*")</f>
        <v>0</v>
      </c>
      <c r="H935" s="8">
        <f>COUNTIFS('All Papers'!$D:$D,"*"&amp;$A935&amp;"*",'All Papers'!$G:$G,"*"&amp;Table1[[#Headers],[Resource Management-PS]]&amp;"*")</f>
        <v>1</v>
      </c>
      <c r="I935" s="8">
        <f>COUNTIFS('All Papers'!$D:$D,"*"&amp;$A935&amp;"*",'All Papers'!$G:$G,"*"&amp;Table1[[#Headers],[SLA Management]]&amp;"*")</f>
        <v>0</v>
      </c>
      <c r="J935" s="8">
        <f>COUNTIFS('All Papers'!$D:$D,"*"&amp;$A935&amp;"*",'All Papers'!$G:$G,"*"&amp;Table1[[#Headers],[Big Data]]&amp;"*")</f>
        <v>0</v>
      </c>
      <c r="K935" s="8">
        <f>COUNTIFS('All Papers'!$D:$D,"*"&amp;$A935&amp;"*",'All Papers'!$G:$G,"*"&amp;Table1[[#Headers],[Energy Management]]&amp;"*")</f>
        <v>0</v>
      </c>
      <c r="L935" s="8">
        <f>COUNTIFS('All Papers'!$D:$D,"*"&amp;$A935&amp;"*",'All Papers'!$G:$G,"*"&amp;Table1[[#Headers],[Monitoring]]&amp;"*")</f>
        <v>0</v>
      </c>
      <c r="M935" s="8">
        <f>COUNTIFS('All Papers'!$D:$D,"*"&amp;$A935&amp;"*",'All Papers'!$G:$G,"*"&amp;Table1[[#Headers],[Pricing]]&amp;"*")</f>
        <v>0</v>
      </c>
    </row>
    <row r="936" spans="1:13" x14ac:dyDescent="0.25">
      <c r="A936" s="8" t="s">
        <v>3369</v>
      </c>
      <c r="B936" s="8">
        <f>COUNTIF('All Papers'!D:D,"*"&amp;Table1[[#This Row],[Name]]&amp;"*")</f>
        <v>1</v>
      </c>
      <c r="C936" s="8">
        <f>COUNTIFS('All Papers'!$D:$D,"*"&amp;$A936&amp;"*",'All Papers'!$G:$G,"*"&amp;Table1[[#Headers],[Composition]]&amp;"*")</f>
        <v>0</v>
      </c>
      <c r="D936" s="8">
        <f>COUNTIFS('All Papers'!$D:$D,"*"&amp;$A936&amp;"*",'All Papers'!$G:$G,"*"&amp;Table1[[#Headers],[Discovery]]&amp;"*")</f>
        <v>0</v>
      </c>
      <c r="E936" s="8">
        <f>COUNTIFS('All Papers'!$D:$D,"*"&amp;$A936&amp;"*",'All Papers'!$G:$G,"*"&amp;Table1[[#Headers],[Selection]]&amp;"*")</f>
        <v>1</v>
      </c>
      <c r="F936" s="8">
        <f>COUNTIFS('All Papers'!$D:$D,"*"&amp;$A936&amp;"*",'All Papers'!$G:$G,"*"&amp;Table1[[#Headers],[Recommendation]]&amp;"*")</f>
        <v>0</v>
      </c>
      <c r="G936" s="8">
        <f>COUNTIFS('All Papers'!$D:$D,"*"&amp;$A936&amp;"*",'All Papers'!$G:$G,"*"&amp;Table1[[#Headers],[Resource Management-CS]]&amp;"*")</f>
        <v>0</v>
      </c>
      <c r="H936" s="8">
        <f>COUNTIFS('All Papers'!$D:$D,"*"&amp;$A936&amp;"*",'All Papers'!$G:$G,"*"&amp;Table1[[#Headers],[Resource Management-PS]]&amp;"*")</f>
        <v>0</v>
      </c>
      <c r="I936" s="8">
        <f>COUNTIFS('All Papers'!$D:$D,"*"&amp;$A936&amp;"*",'All Papers'!$G:$G,"*"&amp;Table1[[#Headers],[SLA Management]]&amp;"*")</f>
        <v>0</v>
      </c>
      <c r="J936" s="8">
        <f>COUNTIFS('All Papers'!$D:$D,"*"&amp;$A936&amp;"*",'All Papers'!$G:$G,"*"&amp;Table1[[#Headers],[Big Data]]&amp;"*")</f>
        <v>0</v>
      </c>
      <c r="K936" s="8">
        <f>COUNTIFS('All Papers'!$D:$D,"*"&amp;$A936&amp;"*",'All Papers'!$G:$G,"*"&amp;Table1[[#Headers],[Energy Management]]&amp;"*")</f>
        <v>0</v>
      </c>
      <c r="L936" s="8">
        <f>COUNTIFS('All Papers'!$D:$D,"*"&amp;$A936&amp;"*",'All Papers'!$G:$G,"*"&amp;Table1[[#Headers],[Monitoring]]&amp;"*")</f>
        <v>0</v>
      </c>
      <c r="M936" s="8">
        <f>COUNTIFS('All Papers'!$D:$D,"*"&amp;$A936&amp;"*",'All Papers'!$G:$G,"*"&amp;Table1[[#Headers],[Pricing]]&amp;"*")</f>
        <v>0</v>
      </c>
    </row>
    <row r="937" spans="1:13" x14ac:dyDescent="0.25">
      <c r="A937" s="8" t="s">
        <v>3370</v>
      </c>
      <c r="B937" s="8">
        <f>COUNTIF('All Papers'!D:D,"*"&amp;Table1[[#This Row],[Name]]&amp;"*")</f>
        <v>1</v>
      </c>
      <c r="C937" s="8">
        <f>COUNTIFS('All Papers'!$D:$D,"*"&amp;$A937&amp;"*",'All Papers'!$G:$G,"*"&amp;Table1[[#Headers],[Composition]]&amp;"*")</f>
        <v>0</v>
      </c>
      <c r="D937" s="8">
        <f>COUNTIFS('All Papers'!$D:$D,"*"&amp;$A937&amp;"*",'All Papers'!$G:$G,"*"&amp;Table1[[#Headers],[Discovery]]&amp;"*")</f>
        <v>0</v>
      </c>
      <c r="E937" s="8">
        <f>COUNTIFS('All Papers'!$D:$D,"*"&amp;$A937&amp;"*",'All Papers'!$G:$G,"*"&amp;Table1[[#Headers],[Selection]]&amp;"*")</f>
        <v>1</v>
      </c>
      <c r="F937" s="8">
        <f>COUNTIFS('All Papers'!$D:$D,"*"&amp;$A937&amp;"*",'All Papers'!$G:$G,"*"&amp;Table1[[#Headers],[Recommendation]]&amp;"*")</f>
        <v>0</v>
      </c>
      <c r="G937" s="8">
        <f>COUNTIFS('All Papers'!$D:$D,"*"&amp;$A937&amp;"*",'All Papers'!$G:$G,"*"&amp;Table1[[#Headers],[Resource Management-CS]]&amp;"*")</f>
        <v>0</v>
      </c>
      <c r="H937" s="8">
        <f>COUNTIFS('All Papers'!$D:$D,"*"&amp;$A937&amp;"*",'All Papers'!$G:$G,"*"&amp;Table1[[#Headers],[Resource Management-PS]]&amp;"*")</f>
        <v>0</v>
      </c>
      <c r="I937" s="8">
        <f>COUNTIFS('All Papers'!$D:$D,"*"&amp;$A937&amp;"*",'All Papers'!$G:$G,"*"&amp;Table1[[#Headers],[SLA Management]]&amp;"*")</f>
        <v>0</v>
      </c>
      <c r="J937" s="8">
        <f>COUNTIFS('All Papers'!$D:$D,"*"&amp;$A937&amp;"*",'All Papers'!$G:$G,"*"&amp;Table1[[#Headers],[Big Data]]&amp;"*")</f>
        <v>1</v>
      </c>
      <c r="K937" s="8">
        <f>COUNTIFS('All Papers'!$D:$D,"*"&amp;$A937&amp;"*",'All Papers'!$G:$G,"*"&amp;Table1[[#Headers],[Energy Management]]&amp;"*")</f>
        <v>0</v>
      </c>
      <c r="L937" s="8">
        <f>COUNTIFS('All Papers'!$D:$D,"*"&amp;$A937&amp;"*",'All Papers'!$G:$G,"*"&amp;Table1[[#Headers],[Monitoring]]&amp;"*")</f>
        <v>0</v>
      </c>
      <c r="M937" s="8">
        <f>COUNTIFS('All Papers'!$D:$D,"*"&amp;$A937&amp;"*",'All Papers'!$G:$G,"*"&amp;Table1[[#Headers],[Pricing]]&amp;"*")</f>
        <v>0</v>
      </c>
    </row>
    <row r="938" spans="1:13" x14ac:dyDescent="0.25">
      <c r="A938" s="8" t="s">
        <v>3371</v>
      </c>
      <c r="B938" s="8">
        <f>COUNTIF('All Papers'!D:D,"*"&amp;Table1[[#This Row],[Name]]&amp;"*")</f>
        <v>1</v>
      </c>
      <c r="C938" s="8">
        <f>COUNTIFS('All Papers'!$D:$D,"*"&amp;$A938&amp;"*",'All Papers'!$G:$G,"*"&amp;Table1[[#Headers],[Composition]]&amp;"*")</f>
        <v>0</v>
      </c>
      <c r="D938" s="8">
        <f>COUNTIFS('All Papers'!$D:$D,"*"&amp;$A938&amp;"*",'All Papers'!$G:$G,"*"&amp;Table1[[#Headers],[Discovery]]&amp;"*")</f>
        <v>1</v>
      </c>
      <c r="E938" s="8">
        <f>COUNTIFS('All Papers'!$D:$D,"*"&amp;$A938&amp;"*",'All Papers'!$G:$G,"*"&amp;Table1[[#Headers],[Selection]]&amp;"*")</f>
        <v>1</v>
      </c>
      <c r="F938" s="8">
        <f>COUNTIFS('All Papers'!$D:$D,"*"&amp;$A938&amp;"*",'All Papers'!$G:$G,"*"&amp;Table1[[#Headers],[Recommendation]]&amp;"*")</f>
        <v>0</v>
      </c>
      <c r="G938" s="8">
        <f>COUNTIFS('All Papers'!$D:$D,"*"&amp;$A938&amp;"*",'All Papers'!$G:$G,"*"&amp;Table1[[#Headers],[Resource Management-CS]]&amp;"*")</f>
        <v>0</v>
      </c>
      <c r="H938" s="8">
        <f>COUNTIFS('All Papers'!$D:$D,"*"&amp;$A938&amp;"*",'All Papers'!$G:$G,"*"&amp;Table1[[#Headers],[Resource Management-PS]]&amp;"*")</f>
        <v>0</v>
      </c>
      <c r="I938" s="8">
        <f>COUNTIFS('All Papers'!$D:$D,"*"&amp;$A938&amp;"*",'All Papers'!$G:$G,"*"&amp;Table1[[#Headers],[SLA Management]]&amp;"*")</f>
        <v>0</v>
      </c>
      <c r="J938" s="8">
        <f>COUNTIFS('All Papers'!$D:$D,"*"&amp;$A938&amp;"*",'All Papers'!$G:$G,"*"&amp;Table1[[#Headers],[Big Data]]&amp;"*")</f>
        <v>0</v>
      </c>
      <c r="K938" s="8">
        <f>COUNTIFS('All Papers'!$D:$D,"*"&amp;$A938&amp;"*",'All Papers'!$G:$G,"*"&amp;Table1[[#Headers],[Energy Management]]&amp;"*")</f>
        <v>0</v>
      </c>
      <c r="L938" s="8">
        <f>COUNTIFS('All Papers'!$D:$D,"*"&amp;$A938&amp;"*",'All Papers'!$G:$G,"*"&amp;Table1[[#Headers],[Monitoring]]&amp;"*")</f>
        <v>0</v>
      </c>
      <c r="M938" s="8">
        <f>COUNTIFS('All Papers'!$D:$D,"*"&amp;$A938&amp;"*",'All Papers'!$G:$G,"*"&amp;Table1[[#Headers],[Pricing]]&amp;"*")</f>
        <v>0</v>
      </c>
    </row>
    <row r="939" spans="1:13" x14ac:dyDescent="0.25">
      <c r="A939" s="8" t="s">
        <v>3372</v>
      </c>
      <c r="B939" s="8">
        <f>COUNTIF('All Papers'!D:D,"*"&amp;Table1[[#This Row],[Name]]&amp;"*")</f>
        <v>1</v>
      </c>
      <c r="C939" s="8">
        <f>COUNTIFS('All Papers'!$D:$D,"*"&amp;$A939&amp;"*",'All Papers'!$G:$G,"*"&amp;Table1[[#Headers],[Composition]]&amp;"*")</f>
        <v>0</v>
      </c>
      <c r="D939" s="8">
        <f>COUNTIFS('All Papers'!$D:$D,"*"&amp;$A939&amp;"*",'All Papers'!$G:$G,"*"&amp;Table1[[#Headers],[Discovery]]&amp;"*")</f>
        <v>1</v>
      </c>
      <c r="E939" s="8">
        <f>COUNTIFS('All Papers'!$D:$D,"*"&amp;$A939&amp;"*",'All Papers'!$G:$G,"*"&amp;Table1[[#Headers],[Selection]]&amp;"*")</f>
        <v>1</v>
      </c>
      <c r="F939" s="8">
        <f>COUNTIFS('All Papers'!$D:$D,"*"&amp;$A939&amp;"*",'All Papers'!$G:$G,"*"&amp;Table1[[#Headers],[Recommendation]]&amp;"*")</f>
        <v>0</v>
      </c>
      <c r="G939" s="8">
        <f>COUNTIFS('All Papers'!$D:$D,"*"&amp;$A939&amp;"*",'All Papers'!$G:$G,"*"&amp;Table1[[#Headers],[Resource Management-CS]]&amp;"*")</f>
        <v>0</v>
      </c>
      <c r="H939" s="8">
        <f>COUNTIFS('All Papers'!$D:$D,"*"&amp;$A939&amp;"*",'All Papers'!$G:$G,"*"&amp;Table1[[#Headers],[Resource Management-PS]]&amp;"*")</f>
        <v>0</v>
      </c>
      <c r="I939" s="8">
        <f>COUNTIFS('All Papers'!$D:$D,"*"&amp;$A939&amp;"*",'All Papers'!$G:$G,"*"&amp;Table1[[#Headers],[SLA Management]]&amp;"*")</f>
        <v>0</v>
      </c>
      <c r="J939" s="8">
        <f>COUNTIFS('All Papers'!$D:$D,"*"&amp;$A939&amp;"*",'All Papers'!$G:$G,"*"&amp;Table1[[#Headers],[Big Data]]&amp;"*")</f>
        <v>0</v>
      </c>
      <c r="K939" s="8">
        <f>COUNTIFS('All Papers'!$D:$D,"*"&amp;$A939&amp;"*",'All Papers'!$G:$G,"*"&amp;Table1[[#Headers],[Energy Management]]&amp;"*")</f>
        <v>0</v>
      </c>
      <c r="L939" s="8">
        <f>COUNTIFS('All Papers'!$D:$D,"*"&amp;$A939&amp;"*",'All Papers'!$G:$G,"*"&amp;Table1[[#Headers],[Monitoring]]&amp;"*")</f>
        <v>0</v>
      </c>
      <c r="M939" s="8">
        <f>COUNTIFS('All Papers'!$D:$D,"*"&amp;$A939&amp;"*",'All Papers'!$G:$G,"*"&amp;Table1[[#Headers],[Pricing]]&amp;"*")</f>
        <v>0</v>
      </c>
    </row>
    <row r="940" spans="1:13" x14ac:dyDescent="0.25">
      <c r="A940" s="8" t="s">
        <v>3373</v>
      </c>
      <c r="B940" s="8">
        <f>COUNTIF('All Papers'!D:D,"*"&amp;Table1[[#This Row],[Name]]&amp;"*")</f>
        <v>1</v>
      </c>
      <c r="C940" s="8">
        <f>COUNTIFS('All Papers'!$D:$D,"*"&amp;$A940&amp;"*",'All Papers'!$G:$G,"*"&amp;Table1[[#Headers],[Composition]]&amp;"*")</f>
        <v>0</v>
      </c>
      <c r="D940" s="8">
        <f>COUNTIFS('All Papers'!$D:$D,"*"&amp;$A940&amp;"*",'All Papers'!$G:$G,"*"&amp;Table1[[#Headers],[Discovery]]&amp;"*")</f>
        <v>1</v>
      </c>
      <c r="E940" s="8">
        <f>COUNTIFS('All Papers'!$D:$D,"*"&amp;$A940&amp;"*",'All Papers'!$G:$G,"*"&amp;Table1[[#Headers],[Selection]]&amp;"*")</f>
        <v>1</v>
      </c>
      <c r="F940" s="8">
        <f>COUNTIFS('All Papers'!$D:$D,"*"&amp;$A940&amp;"*",'All Papers'!$G:$G,"*"&amp;Table1[[#Headers],[Recommendation]]&amp;"*")</f>
        <v>0</v>
      </c>
      <c r="G940" s="8">
        <f>COUNTIFS('All Papers'!$D:$D,"*"&amp;$A940&amp;"*",'All Papers'!$G:$G,"*"&amp;Table1[[#Headers],[Resource Management-CS]]&amp;"*")</f>
        <v>0</v>
      </c>
      <c r="H940" s="8">
        <f>COUNTIFS('All Papers'!$D:$D,"*"&amp;$A940&amp;"*",'All Papers'!$G:$G,"*"&amp;Table1[[#Headers],[Resource Management-PS]]&amp;"*")</f>
        <v>0</v>
      </c>
      <c r="I940" s="8">
        <f>COUNTIFS('All Papers'!$D:$D,"*"&amp;$A940&amp;"*",'All Papers'!$G:$G,"*"&amp;Table1[[#Headers],[SLA Management]]&amp;"*")</f>
        <v>0</v>
      </c>
      <c r="J940" s="8">
        <f>COUNTIFS('All Papers'!$D:$D,"*"&amp;$A940&amp;"*",'All Papers'!$G:$G,"*"&amp;Table1[[#Headers],[Big Data]]&amp;"*")</f>
        <v>0</v>
      </c>
      <c r="K940" s="8">
        <f>COUNTIFS('All Papers'!$D:$D,"*"&amp;$A940&amp;"*",'All Papers'!$G:$G,"*"&amp;Table1[[#Headers],[Energy Management]]&amp;"*")</f>
        <v>0</v>
      </c>
      <c r="L940" s="8">
        <f>COUNTIFS('All Papers'!$D:$D,"*"&amp;$A940&amp;"*",'All Papers'!$G:$G,"*"&amp;Table1[[#Headers],[Monitoring]]&amp;"*")</f>
        <v>0</v>
      </c>
      <c r="M940" s="8">
        <f>COUNTIFS('All Papers'!$D:$D,"*"&amp;$A940&amp;"*",'All Papers'!$G:$G,"*"&amp;Table1[[#Headers],[Pricing]]&amp;"*")</f>
        <v>0</v>
      </c>
    </row>
    <row r="941" spans="1:13" x14ac:dyDescent="0.25">
      <c r="A941" s="8" t="s">
        <v>3374</v>
      </c>
      <c r="B941" s="8">
        <f>COUNTIF('All Papers'!D:D,"*"&amp;Table1[[#This Row],[Name]]&amp;"*")</f>
        <v>1</v>
      </c>
      <c r="C941" s="8">
        <f>COUNTIFS('All Papers'!$D:$D,"*"&amp;$A941&amp;"*",'All Papers'!$G:$G,"*"&amp;Table1[[#Headers],[Composition]]&amp;"*")</f>
        <v>0</v>
      </c>
      <c r="D941" s="8">
        <f>COUNTIFS('All Papers'!$D:$D,"*"&amp;$A941&amp;"*",'All Papers'!$G:$G,"*"&amp;Table1[[#Headers],[Discovery]]&amp;"*")</f>
        <v>1</v>
      </c>
      <c r="E941" s="8">
        <f>COUNTIFS('All Papers'!$D:$D,"*"&amp;$A941&amp;"*",'All Papers'!$G:$G,"*"&amp;Table1[[#Headers],[Selection]]&amp;"*")</f>
        <v>1</v>
      </c>
      <c r="F941" s="8">
        <f>COUNTIFS('All Papers'!$D:$D,"*"&amp;$A941&amp;"*",'All Papers'!$G:$G,"*"&amp;Table1[[#Headers],[Recommendation]]&amp;"*")</f>
        <v>0</v>
      </c>
      <c r="G941" s="8">
        <f>COUNTIFS('All Papers'!$D:$D,"*"&amp;$A941&amp;"*",'All Papers'!$G:$G,"*"&amp;Table1[[#Headers],[Resource Management-CS]]&amp;"*")</f>
        <v>0</v>
      </c>
      <c r="H941" s="8">
        <f>COUNTIFS('All Papers'!$D:$D,"*"&amp;$A941&amp;"*",'All Papers'!$G:$G,"*"&amp;Table1[[#Headers],[Resource Management-PS]]&amp;"*")</f>
        <v>0</v>
      </c>
      <c r="I941" s="8">
        <f>COUNTIFS('All Papers'!$D:$D,"*"&amp;$A941&amp;"*",'All Papers'!$G:$G,"*"&amp;Table1[[#Headers],[SLA Management]]&amp;"*")</f>
        <v>0</v>
      </c>
      <c r="J941" s="8">
        <f>COUNTIFS('All Papers'!$D:$D,"*"&amp;$A941&amp;"*",'All Papers'!$G:$G,"*"&amp;Table1[[#Headers],[Big Data]]&amp;"*")</f>
        <v>0</v>
      </c>
      <c r="K941" s="8">
        <f>COUNTIFS('All Papers'!$D:$D,"*"&amp;$A941&amp;"*",'All Papers'!$G:$G,"*"&amp;Table1[[#Headers],[Energy Management]]&amp;"*")</f>
        <v>0</v>
      </c>
      <c r="L941" s="8">
        <f>COUNTIFS('All Papers'!$D:$D,"*"&amp;$A941&amp;"*",'All Papers'!$G:$G,"*"&amp;Table1[[#Headers],[Monitoring]]&amp;"*")</f>
        <v>0</v>
      </c>
      <c r="M941" s="8">
        <f>COUNTIFS('All Papers'!$D:$D,"*"&amp;$A941&amp;"*",'All Papers'!$G:$G,"*"&amp;Table1[[#Headers],[Pricing]]&amp;"*")</f>
        <v>0</v>
      </c>
    </row>
    <row r="942" spans="1:13" x14ac:dyDescent="0.25">
      <c r="A942" s="8" t="s">
        <v>3375</v>
      </c>
      <c r="B942" s="8">
        <f>COUNTIF('All Papers'!D:D,"*"&amp;Table1[[#This Row],[Name]]&amp;"*")</f>
        <v>1</v>
      </c>
      <c r="C942" s="8">
        <f>COUNTIFS('All Papers'!$D:$D,"*"&amp;$A942&amp;"*",'All Papers'!$G:$G,"*"&amp;Table1[[#Headers],[Composition]]&amp;"*")</f>
        <v>0</v>
      </c>
      <c r="D942" s="8">
        <f>COUNTIFS('All Papers'!$D:$D,"*"&amp;$A942&amp;"*",'All Papers'!$G:$G,"*"&amp;Table1[[#Headers],[Discovery]]&amp;"*")</f>
        <v>0</v>
      </c>
      <c r="E942" s="8">
        <f>COUNTIFS('All Papers'!$D:$D,"*"&amp;$A942&amp;"*",'All Papers'!$G:$G,"*"&amp;Table1[[#Headers],[Selection]]&amp;"*")</f>
        <v>1</v>
      </c>
      <c r="F942" s="8">
        <f>COUNTIFS('All Papers'!$D:$D,"*"&amp;$A942&amp;"*",'All Papers'!$G:$G,"*"&amp;Table1[[#Headers],[Recommendation]]&amp;"*")</f>
        <v>0</v>
      </c>
      <c r="G942" s="8">
        <f>COUNTIFS('All Papers'!$D:$D,"*"&amp;$A942&amp;"*",'All Papers'!$G:$G,"*"&amp;Table1[[#Headers],[Resource Management-CS]]&amp;"*")</f>
        <v>0</v>
      </c>
      <c r="H942" s="8">
        <f>COUNTIFS('All Papers'!$D:$D,"*"&amp;$A942&amp;"*",'All Papers'!$G:$G,"*"&amp;Table1[[#Headers],[Resource Management-PS]]&amp;"*")</f>
        <v>0</v>
      </c>
      <c r="I942" s="8">
        <f>COUNTIFS('All Papers'!$D:$D,"*"&amp;$A942&amp;"*",'All Papers'!$G:$G,"*"&amp;Table1[[#Headers],[SLA Management]]&amp;"*")</f>
        <v>0</v>
      </c>
      <c r="J942" s="8">
        <f>COUNTIFS('All Papers'!$D:$D,"*"&amp;$A942&amp;"*",'All Papers'!$G:$G,"*"&amp;Table1[[#Headers],[Big Data]]&amp;"*")</f>
        <v>0</v>
      </c>
      <c r="K942" s="8">
        <f>COUNTIFS('All Papers'!$D:$D,"*"&amp;$A942&amp;"*",'All Papers'!$G:$G,"*"&amp;Table1[[#Headers],[Energy Management]]&amp;"*")</f>
        <v>0</v>
      </c>
      <c r="L942" s="8">
        <f>COUNTIFS('All Papers'!$D:$D,"*"&amp;$A942&amp;"*",'All Papers'!$G:$G,"*"&amp;Table1[[#Headers],[Monitoring]]&amp;"*")</f>
        <v>0</v>
      </c>
      <c r="M942" s="8">
        <f>COUNTIFS('All Papers'!$D:$D,"*"&amp;$A942&amp;"*",'All Papers'!$G:$G,"*"&amp;Table1[[#Headers],[Pricing]]&amp;"*")</f>
        <v>0</v>
      </c>
    </row>
    <row r="943" spans="1:13" x14ac:dyDescent="0.25">
      <c r="A943" s="8" t="s">
        <v>3376</v>
      </c>
      <c r="B943" s="8">
        <f>COUNTIF('All Papers'!D:D,"*"&amp;Table1[[#This Row],[Name]]&amp;"*")</f>
        <v>1</v>
      </c>
      <c r="C943" s="8">
        <f>COUNTIFS('All Papers'!$D:$D,"*"&amp;$A943&amp;"*",'All Papers'!$G:$G,"*"&amp;Table1[[#Headers],[Composition]]&amp;"*")</f>
        <v>0</v>
      </c>
      <c r="D943" s="8">
        <f>COUNTIFS('All Papers'!$D:$D,"*"&amp;$A943&amp;"*",'All Papers'!$G:$G,"*"&amp;Table1[[#Headers],[Discovery]]&amp;"*")</f>
        <v>0</v>
      </c>
      <c r="E943" s="8">
        <f>COUNTIFS('All Papers'!$D:$D,"*"&amp;$A943&amp;"*",'All Papers'!$G:$G,"*"&amp;Table1[[#Headers],[Selection]]&amp;"*")</f>
        <v>1</v>
      </c>
      <c r="F943" s="8">
        <f>COUNTIFS('All Papers'!$D:$D,"*"&amp;$A943&amp;"*",'All Papers'!$G:$G,"*"&amp;Table1[[#Headers],[Recommendation]]&amp;"*")</f>
        <v>0</v>
      </c>
      <c r="G943" s="8">
        <f>COUNTIFS('All Papers'!$D:$D,"*"&amp;$A943&amp;"*",'All Papers'!$G:$G,"*"&amp;Table1[[#Headers],[Resource Management-CS]]&amp;"*")</f>
        <v>0</v>
      </c>
      <c r="H943" s="8">
        <f>COUNTIFS('All Papers'!$D:$D,"*"&amp;$A943&amp;"*",'All Papers'!$G:$G,"*"&amp;Table1[[#Headers],[Resource Management-PS]]&amp;"*")</f>
        <v>0</v>
      </c>
      <c r="I943" s="8">
        <f>COUNTIFS('All Papers'!$D:$D,"*"&amp;$A943&amp;"*",'All Papers'!$G:$G,"*"&amp;Table1[[#Headers],[SLA Management]]&amp;"*")</f>
        <v>0</v>
      </c>
      <c r="J943" s="8">
        <f>COUNTIFS('All Papers'!$D:$D,"*"&amp;$A943&amp;"*",'All Papers'!$G:$G,"*"&amp;Table1[[#Headers],[Big Data]]&amp;"*")</f>
        <v>0</v>
      </c>
      <c r="K943" s="8">
        <f>COUNTIFS('All Papers'!$D:$D,"*"&amp;$A943&amp;"*",'All Papers'!$G:$G,"*"&amp;Table1[[#Headers],[Energy Management]]&amp;"*")</f>
        <v>0</v>
      </c>
      <c r="L943" s="8">
        <f>COUNTIFS('All Papers'!$D:$D,"*"&amp;$A943&amp;"*",'All Papers'!$G:$G,"*"&amp;Table1[[#Headers],[Monitoring]]&amp;"*")</f>
        <v>0</v>
      </c>
      <c r="M943" s="8">
        <f>COUNTIFS('All Papers'!$D:$D,"*"&amp;$A943&amp;"*",'All Papers'!$G:$G,"*"&amp;Table1[[#Headers],[Pricing]]&amp;"*")</f>
        <v>0</v>
      </c>
    </row>
    <row r="944" spans="1:13" x14ac:dyDescent="0.25">
      <c r="A944" s="8" t="s">
        <v>3377</v>
      </c>
      <c r="B944" s="8">
        <f>COUNTIF('All Papers'!D:D,"*"&amp;Table1[[#This Row],[Name]]&amp;"*")</f>
        <v>1</v>
      </c>
      <c r="C944" s="8">
        <f>COUNTIFS('All Papers'!$D:$D,"*"&amp;$A944&amp;"*",'All Papers'!$G:$G,"*"&amp;Table1[[#Headers],[Composition]]&amp;"*")</f>
        <v>0</v>
      </c>
      <c r="D944" s="8">
        <f>COUNTIFS('All Papers'!$D:$D,"*"&amp;$A944&amp;"*",'All Papers'!$G:$G,"*"&amp;Table1[[#Headers],[Discovery]]&amp;"*")</f>
        <v>0</v>
      </c>
      <c r="E944" s="8">
        <f>COUNTIFS('All Papers'!$D:$D,"*"&amp;$A944&amp;"*",'All Papers'!$G:$G,"*"&amp;Table1[[#Headers],[Selection]]&amp;"*")</f>
        <v>1</v>
      </c>
      <c r="F944" s="8">
        <f>COUNTIFS('All Papers'!$D:$D,"*"&amp;$A944&amp;"*",'All Papers'!$G:$G,"*"&amp;Table1[[#Headers],[Recommendation]]&amp;"*")</f>
        <v>0</v>
      </c>
      <c r="G944" s="8">
        <f>COUNTIFS('All Papers'!$D:$D,"*"&amp;$A944&amp;"*",'All Papers'!$G:$G,"*"&amp;Table1[[#Headers],[Resource Management-CS]]&amp;"*")</f>
        <v>0</v>
      </c>
      <c r="H944" s="8">
        <f>COUNTIFS('All Papers'!$D:$D,"*"&amp;$A944&amp;"*",'All Papers'!$G:$G,"*"&amp;Table1[[#Headers],[Resource Management-PS]]&amp;"*")</f>
        <v>0</v>
      </c>
      <c r="I944" s="8">
        <f>COUNTIFS('All Papers'!$D:$D,"*"&amp;$A944&amp;"*",'All Papers'!$G:$G,"*"&amp;Table1[[#Headers],[SLA Management]]&amp;"*")</f>
        <v>0</v>
      </c>
      <c r="J944" s="8">
        <f>COUNTIFS('All Papers'!$D:$D,"*"&amp;$A944&amp;"*",'All Papers'!$G:$G,"*"&amp;Table1[[#Headers],[Big Data]]&amp;"*")</f>
        <v>0</v>
      </c>
      <c r="K944" s="8">
        <f>COUNTIFS('All Papers'!$D:$D,"*"&amp;$A944&amp;"*",'All Papers'!$G:$G,"*"&amp;Table1[[#Headers],[Energy Management]]&amp;"*")</f>
        <v>0</v>
      </c>
      <c r="L944" s="8">
        <f>COUNTIFS('All Papers'!$D:$D,"*"&amp;$A944&amp;"*",'All Papers'!$G:$G,"*"&amp;Table1[[#Headers],[Monitoring]]&amp;"*")</f>
        <v>0</v>
      </c>
      <c r="M944" s="8">
        <f>COUNTIFS('All Papers'!$D:$D,"*"&amp;$A944&amp;"*",'All Papers'!$G:$G,"*"&amp;Table1[[#Headers],[Pricing]]&amp;"*")</f>
        <v>0</v>
      </c>
    </row>
    <row r="945" spans="1:13" x14ac:dyDescent="0.25">
      <c r="A945" s="8" t="s">
        <v>3378</v>
      </c>
      <c r="B945" s="8">
        <f>COUNTIF('All Papers'!D:D,"*"&amp;Table1[[#This Row],[Name]]&amp;"*")</f>
        <v>1</v>
      </c>
      <c r="C945" s="8">
        <f>COUNTIFS('All Papers'!$D:$D,"*"&amp;$A945&amp;"*",'All Papers'!$G:$G,"*"&amp;Table1[[#Headers],[Composition]]&amp;"*")</f>
        <v>0</v>
      </c>
      <c r="D945" s="8">
        <f>COUNTIFS('All Papers'!$D:$D,"*"&amp;$A945&amp;"*",'All Papers'!$G:$G,"*"&amp;Table1[[#Headers],[Discovery]]&amp;"*")</f>
        <v>0</v>
      </c>
      <c r="E945" s="8">
        <f>COUNTIFS('All Papers'!$D:$D,"*"&amp;$A945&amp;"*",'All Papers'!$G:$G,"*"&amp;Table1[[#Headers],[Selection]]&amp;"*")</f>
        <v>1</v>
      </c>
      <c r="F945" s="8">
        <f>COUNTIFS('All Papers'!$D:$D,"*"&amp;$A945&amp;"*",'All Papers'!$G:$G,"*"&amp;Table1[[#Headers],[Recommendation]]&amp;"*")</f>
        <v>0</v>
      </c>
      <c r="G945" s="8">
        <f>COUNTIFS('All Papers'!$D:$D,"*"&amp;$A945&amp;"*",'All Papers'!$G:$G,"*"&amp;Table1[[#Headers],[Resource Management-CS]]&amp;"*")</f>
        <v>0</v>
      </c>
      <c r="H945" s="8">
        <f>COUNTIFS('All Papers'!$D:$D,"*"&amp;$A945&amp;"*",'All Papers'!$G:$G,"*"&amp;Table1[[#Headers],[Resource Management-PS]]&amp;"*")</f>
        <v>0</v>
      </c>
      <c r="I945" s="8">
        <f>COUNTIFS('All Papers'!$D:$D,"*"&amp;$A945&amp;"*",'All Papers'!$G:$G,"*"&amp;Table1[[#Headers],[SLA Management]]&amp;"*")</f>
        <v>0</v>
      </c>
      <c r="J945" s="8">
        <f>COUNTIFS('All Papers'!$D:$D,"*"&amp;$A945&amp;"*",'All Papers'!$G:$G,"*"&amp;Table1[[#Headers],[Big Data]]&amp;"*")</f>
        <v>0</v>
      </c>
      <c r="K945" s="8">
        <f>COUNTIFS('All Papers'!$D:$D,"*"&amp;$A945&amp;"*",'All Papers'!$G:$G,"*"&amp;Table1[[#Headers],[Energy Management]]&amp;"*")</f>
        <v>0</v>
      </c>
      <c r="L945" s="8">
        <f>COUNTIFS('All Papers'!$D:$D,"*"&amp;$A945&amp;"*",'All Papers'!$G:$G,"*"&amp;Table1[[#Headers],[Monitoring]]&amp;"*")</f>
        <v>0</v>
      </c>
      <c r="M945" s="8">
        <f>COUNTIFS('All Papers'!$D:$D,"*"&amp;$A945&amp;"*",'All Papers'!$G:$G,"*"&amp;Table1[[#Headers],[Pricing]]&amp;"*")</f>
        <v>0</v>
      </c>
    </row>
    <row r="946" spans="1:13" x14ac:dyDescent="0.25">
      <c r="A946" s="8" t="s">
        <v>3379</v>
      </c>
      <c r="B946" s="8">
        <f>COUNTIF('All Papers'!D:D,"*"&amp;Table1[[#This Row],[Name]]&amp;"*")</f>
        <v>1</v>
      </c>
      <c r="C946" s="8">
        <f>COUNTIFS('All Papers'!$D:$D,"*"&amp;$A946&amp;"*",'All Papers'!$G:$G,"*"&amp;Table1[[#Headers],[Composition]]&amp;"*")</f>
        <v>0</v>
      </c>
      <c r="D946" s="8">
        <f>COUNTIFS('All Papers'!$D:$D,"*"&amp;$A946&amp;"*",'All Papers'!$G:$G,"*"&amp;Table1[[#Headers],[Discovery]]&amp;"*")</f>
        <v>0</v>
      </c>
      <c r="E946" s="8">
        <f>COUNTIFS('All Papers'!$D:$D,"*"&amp;$A946&amp;"*",'All Papers'!$G:$G,"*"&amp;Table1[[#Headers],[Selection]]&amp;"*")</f>
        <v>1</v>
      </c>
      <c r="F946" s="8">
        <f>COUNTIFS('All Papers'!$D:$D,"*"&amp;$A946&amp;"*",'All Papers'!$G:$G,"*"&amp;Table1[[#Headers],[Recommendation]]&amp;"*")</f>
        <v>0</v>
      </c>
      <c r="G946" s="8">
        <f>COUNTIFS('All Papers'!$D:$D,"*"&amp;$A946&amp;"*",'All Papers'!$G:$G,"*"&amp;Table1[[#Headers],[Resource Management-CS]]&amp;"*")</f>
        <v>0</v>
      </c>
      <c r="H946" s="8">
        <f>COUNTIFS('All Papers'!$D:$D,"*"&amp;$A946&amp;"*",'All Papers'!$G:$G,"*"&amp;Table1[[#Headers],[Resource Management-PS]]&amp;"*")</f>
        <v>0</v>
      </c>
      <c r="I946" s="8">
        <f>COUNTIFS('All Papers'!$D:$D,"*"&amp;$A946&amp;"*",'All Papers'!$G:$G,"*"&amp;Table1[[#Headers],[SLA Management]]&amp;"*")</f>
        <v>0</v>
      </c>
      <c r="J946" s="8">
        <f>COUNTIFS('All Papers'!$D:$D,"*"&amp;$A946&amp;"*",'All Papers'!$G:$G,"*"&amp;Table1[[#Headers],[Big Data]]&amp;"*")</f>
        <v>0</v>
      </c>
      <c r="K946" s="8">
        <f>COUNTIFS('All Papers'!$D:$D,"*"&amp;$A946&amp;"*",'All Papers'!$G:$G,"*"&amp;Table1[[#Headers],[Energy Management]]&amp;"*")</f>
        <v>0</v>
      </c>
      <c r="L946" s="8">
        <f>COUNTIFS('All Papers'!$D:$D,"*"&amp;$A946&amp;"*",'All Papers'!$G:$G,"*"&amp;Table1[[#Headers],[Monitoring]]&amp;"*")</f>
        <v>0</v>
      </c>
      <c r="M946" s="8">
        <f>COUNTIFS('All Papers'!$D:$D,"*"&amp;$A946&amp;"*",'All Papers'!$G:$G,"*"&amp;Table1[[#Headers],[Pricing]]&amp;"*")</f>
        <v>0</v>
      </c>
    </row>
    <row r="947" spans="1:13" x14ac:dyDescent="0.25">
      <c r="A947" s="8" t="s">
        <v>3380</v>
      </c>
      <c r="B947" s="8">
        <f>COUNTIF('All Papers'!D:D,"*"&amp;Table1[[#This Row],[Name]]&amp;"*")</f>
        <v>1</v>
      </c>
      <c r="C947" s="8">
        <f>COUNTIFS('All Papers'!$D:$D,"*"&amp;$A947&amp;"*",'All Papers'!$G:$G,"*"&amp;Table1[[#Headers],[Composition]]&amp;"*")</f>
        <v>0</v>
      </c>
      <c r="D947" s="8">
        <f>COUNTIFS('All Papers'!$D:$D,"*"&amp;$A947&amp;"*",'All Papers'!$G:$G,"*"&amp;Table1[[#Headers],[Discovery]]&amp;"*")</f>
        <v>0</v>
      </c>
      <c r="E947" s="8">
        <f>COUNTIFS('All Papers'!$D:$D,"*"&amp;$A947&amp;"*",'All Papers'!$G:$G,"*"&amp;Table1[[#Headers],[Selection]]&amp;"*")</f>
        <v>1</v>
      </c>
      <c r="F947" s="8">
        <f>COUNTIFS('All Papers'!$D:$D,"*"&amp;$A947&amp;"*",'All Papers'!$G:$G,"*"&amp;Table1[[#Headers],[Recommendation]]&amp;"*")</f>
        <v>0</v>
      </c>
      <c r="G947" s="8">
        <f>COUNTIFS('All Papers'!$D:$D,"*"&amp;$A947&amp;"*",'All Papers'!$G:$G,"*"&amp;Table1[[#Headers],[Resource Management-CS]]&amp;"*")</f>
        <v>0</v>
      </c>
      <c r="H947" s="8">
        <f>COUNTIFS('All Papers'!$D:$D,"*"&amp;$A947&amp;"*",'All Papers'!$G:$G,"*"&amp;Table1[[#Headers],[Resource Management-PS]]&amp;"*")</f>
        <v>0</v>
      </c>
      <c r="I947" s="8">
        <f>COUNTIFS('All Papers'!$D:$D,"*"&amp;$A947&amp;"*",'All Papers'!$G:$G,"*"&amp;Table1[[#Headers],[SLA Management]]&amp;"*")</f>
        <v>0</v>
      </c>
      <c r="J947" s="8">
        <f>COUNTIFS('All Papers'!$D:$D,"*"&amp;$A947&amp;"*",'All Papers'!$G:$G,"*"&amp;Table1[[#Headers],[Big Data]]&amp;"*")</f>
        <v>0</v>
      </c>
      <c r="K947" s="8">
        <f>COUNTIFS('All Papers'!$D:$D,"*"&amp;$A947&amp;"*",'All Papers'!$G:$G,"*"&amp;Table1[[#Headers],[Energy Management]]&amp;"*")</f>
        <v>0</v>
      </c>
      <c r="L947" s="8">
        <f>COUNTIFS('All Papers'!$D:$D,"*"&amp;$A947&amp;"*",'All Papers'!$G:$G,"*"&amp;Table1[[#Headers],[Monitoring]]&amp;"*")</f>
        <v>0</v>
      </c>
      <c r="M947" s="8">
        <f>COUNTIFS('All Papers'!$D:$D,"*"&amp;$A947&amp;"*",'All Papers'!$G:$G,"*"&amp;Table1[[#Headers],[Pricing]]&amp;"*")</f>
        <v>0</v>
      </c>
    </row>
    <row r="948" spans="1:13" x14ac:dyDescent="0.25">
      <c r="A948" s="8" t="s">
        <v>3381</v>
      </c>
      <c r="B948" s="8">
        <f>COUNTIF('All Papers'!D:D,"*"&amp;Table1[[#This Row],[Name]]&amp;"*")</f>
        <v>1</v>
      </c>
      <c r="C948" s="8">
        <f>COUNTIFS('All Papers'!$D:$D,"*"&amp;$A948&amp;"*",'All Papers'!$G:$G,"*"&amp;Table1[[#Headers],[Composition]]&amp;"*")</f>
        <v>0</v>
      </c>
      <c r="D948" s="8">
        <f>COUNTIFS('All Papers'!$D:$D,"*"&amp;$A948&amp;"*",'All Papers'!$G:$G,"*"&amp;Table1[[#Headers],[Discovery]]&amp;"*")</f>
        <v>0</v>
      </c>
      <c r="E948" s="8">
        <f>COUNTIFS('All Papers'!$D:$D,"*"&amp;$A948&amp;"*",'All Papers'!$G:$G,"*"&amp;Table1[[#Headers],[Selection]]&amp;"*")</f>
        <v>1</v>
      </c>
      <c r="F948" s="8">
        <f>COUNTIFS('All Papers'!$D:$D,"*"&amp;$A948&amp;"*",'All Papers'!$G:$G,"*"&amp;Table1[[#Headers],[Recommendation]]&amp;"*")</f>
        <v>0</v>
      </c>
      <c r="G948" s="8">
        <f>COUNTIFS('All Papers'!$D:$D,"*"&amp;$A948&amp;"*",'All Papers'!$G:$G,"*"&amp;Table1[[#Headers],[Resource Management-CS]]&amp;"*")</f>
        <v>0</v>
      </c>
      <c r="H948" s="8">
        <f>COUNTIFS('All Papers'!$D:$D,"*"&amp;$A948&amp;"*",'All Papers'!$G:$G,"*"&amp;Table1[[#Headers],[Resource Management-PS]]&amp;"*")</f>
        <v>0</v>
      </c>
      <c r="I948" s="8">
        <f>COUNTIFS('All Papers'!$D:$D,"*"&amp;$A948&amp;"*",'All Papers'!$G:$G,"*"&amp;Table1[[#Headers],[SLA Management]]&amp;"*")</f>
        <v>0</v>
      </c>
      <c r="J948" s="8">
        <f>COUNTIFS('All Papers'!$D:$D,"*"&amp;$A948&amp;"*",'All Papers'!$G:$G,"*"&amp;Table1[[#Headers],[Big Data]]&amp;"*")</f>
        <v>0</v>
      </c>
      <c r="K948" s="8">
        <f>COUNTIFS('All Papers'!$D:$D,"*"&amp;$A948&amp;"*",'All Papers'!$G:$G,"*"&amp;Table1[[#Headers],[Energy Management]]&amp;"*")</f>
        <v>0</v>
      </c>
      <c r="L948" s="8">
        <f>COUNTIFS('All Papers'!$D:$D,"*"&amp;$A948&amp;"*",'All Papers'!$G:$G,"*"&amp;Table1[[#Headers],[Monitoring]]&amp;"*")</f>
        <v>0</v>
      </c>
      <c r="M948" s="8">
        <f>COUNTIFS('All Papers'!$D:$D,"*"&amp;$A948&amp;"*",'All Papers'!$G:$G,"*"&amp;Table1[[#Headers],[Pricing]]&amp;"*")</f>
        <v>0</v>
      </c>
    </row>
    <row r="949" spans="1:13" x14ac:dyDescent="0.25">
      <c r="A949" s="8" t="s">
        <v>3382</v>
      </c>
      <c r="B949" s="8">
        <f>COUNTIF('All Papers'!D:D,"*"&amp;Table1[[#This Row],[Name]]&amp;"*")</f>
        <v>1</v>
      </c>
      <c r="C949" s="8">
        <f>COUNTIFS('All Papers'!$D:$D,"*"&amp;$A949&amp;"*",'All Papers'!$G:$G,"*"&amp;Table1[[#Headers],[Composition]]&amp;"*")</f>
        <v>0</v>
      </c>
      <c r="D949" s="8">
        <f>COUNTIFS('All Papers'!$D:$D,"*"&amp;$A949&amp;"*",'All Papers'!$G:$G,"*"&amp;Table1[[#Headers],[Discovery]]&amp;"*")</f>
        <v>0</v>
      </c>
      <c r="E949" s="8">
        <f>COUNTIFS('All Papers'!$D:$D,"*"&amp;$A949&amp;"*",'All Papers'!$G:$G,"*"&amp;Table1[[#Headers],[Selection]]&amp;"*")</f>
        <v>1</v>
      </c>
      <c r="F949" s="8">
        <f>COUNTIFS('All Papers'!$D:$D,"*"&amp;$A949&amp;"*",'All Papers'!$G:$G,"*"&amp;Table1[[#Headers],[Recommendation]]&amp;"*")</f>
        <v>0</v>
      </c>
      <c r="G949" s="8">
        <f>COUNTIFS('All Papers'!$D:$D,"*"&amp;$A949&amp;"*",'All Papers'!$G:$G,"*"&amp;Table1[[#Headers],[Resource Management-CS]]&amp;"*")</f>
        <v>0</v>
      </c>
      <c r="H949" s="8">
        <f>COUNTIFS('All Papers'!$D:$D,"*"&amp;$A949&amp;"*",'All Papers'!$G:$G,"*"&amp;Table1[[#Headers],[Resource Management-PS]]&amp;"*")</f>
        <v>0</v>
      </c>
      <c r="I949" s="8">
        <f>COUNTIFS('All Papers'!$D:$D,"*"&amp;$A949&amp;"*",'All Papers'!$G:$G,"*"&amp;Table1[[#Headers],[SLA Management]]&amp;"*")</f>
        <v>0</v>
      </c>
      <c r="J949" s="8">
        <f>COUNTIFS('All Papers'!$D:$D,"*"&amp;$A949&amp;"*",'All Papers'!$G:$G,"*"&amp;Table1[[#Headers],[Big Data]]&amp;"*")</f>
        <v>0</v>
      </c>
      <c r="K949" s="8">
        <f>COUNTIFS('All Papers'!$D:$D,"*"&amp;$A949&amp;"*",'All Papers'!$G:$G,"*"&amp;Table1[[#Headers],[Energy Management]]&amp;"*")</f>
        <v>0</v>
      </c>
      <c r="L949" s="8">
        <f>COUNTIFS('All Papers'!$D:$D,"*"&amp;$A949&amp;"*",'All Papers'!$G:$G,"*"&amp;Table1[[#Headers],[Monitoring]]&amp;"*")</f>
        <v>0</v>
      </c>
      <c r="M949" s="8">
        <f>COUNTIFS('All Papers'!$D:$D,"*"&amp;$A949&amp;"*",'All Papers'!$G:$G,"*"&amp;Table1[[#Headers],[Pricing]]&amp;"*")</f>
        <v>0</v>
      </c>
    </row>
    <row r="950" spans="1:13" x14ac:dyDescent="0.25">
      <c r="A950" s="8" t="s">
        <v>3383</v>
      </c>
      <c r="B950" s="8">
        <f>COUNTIF('All Papers'!D:D,"*"&amp;Table1[[#This Row],[Name]]&amp;"*")</f>
        <v>1</v>
      </c>
      <c r="C950" s="8">
        <f>COUNTIFS('All Papers'!$D:$D,"*"&amp;$A950&amp;"*",'All Papers'!$G:$G,"*"&amp;Table1[[#Headers],[Composition]]&amp;"*")</f>
        <v>0</v>
      </c>
      <c r="D950" s="8">
        <f>COUNTIFS('All Papers'!$D:$D,"*"&amp;$A950&amp;"*",'All Papers'!$G:$G,"*"&amp;Table1[[#Headers],[Discovery]]&amp;"*")</f>
        <v>0</v>
      </c>
      <c r="E950" s="8">
        <f>COUNTIFS('All Papers'!$D:$D,"*"&amp;$A950&amp;"*",'All Papers'!$G:$G,"*"&amp;Table1[[#Headers],[Selection]]&amp;"*")</f>
        <v>0</v>
      </c>
      <c r="F950" s="8">
        <f>COUNTIFS('All Papers'!$D:$D,"*"&amp;$A950&amp;"*",'All Papers'!$G:$G,"*"&amp;Table1[[#Headers],[Recommendation]]&amp;"*")</f>
        <v>0</v>
      </c>
      <c r="G950" s="8">
        <f>COUNTIFS('All Papers'!$D:$D,"*"&amp;$A950&amp;"*",'All Papers'!$G:$G,"*"&amp;Table1[[#Headers],[Resource Management-CS]]&amp;"*")</f>
        <v>1</v>
      </c>
      <c r="H950" s="8">
        <f>COUNTIFS('All Papers'!$D:$D,"*"&amp;$A950&amp;"*",'All Papers'!$G:$G,"*"&amp;Table1[[#Headers],[Resource Management-PS]]&amp;"*")</f>
        <v>0</v>
      </c>
      <c r="I950" s="8">
        <f>COUNTIFS('All Papers'!$D:$D,"*"&amp;$A950&amp;"*",'All Papers'!$G:$G,"*"&amp;Table1[[#Headers],[SLA Management]]&amp;"*")</f>
        <v>1</v>
      </c>
      <c r="J950" s="8">
        <f>COUNTIFS('All Papers'!$D:$D,"*"&amp;$A950&amp;"*",'All Papers'!$G:$G,"*"&amp;Table1[[#Headers],[Big Data]]&amp;"*")</f>
        <v>0</v>
      </c>
      <c r="K950" s="8">
        <f>COUNTIFS('All Papers'!$D:$D,"*"&amp;$A950&amp;"*",'All Papers'!$G:$G,"*"&amp;Table1[[#Headers],[Energy Management]]&amp;"*")</f>
        <v>0</v>
      </c>
      <c r="L950" s="8">
        <f>COUNTIFS('All Papers'!$D:$D,"*"&amp;$A950&amp;"*",'All Papers'!$G:$G,"*"&amp;Table1[[#Headers],[Monitoring]]&amp;"*")</f>
        <v>0</v>
      </c>
      <c r="M950" s="8">
        <f>COUNTIFS('All Papers'!$D:$D,"*"&amp;$A950&amp;"*",'All Papers'!$G:$G,"*"&amp;Table1[[#Headers],[Pricing]]&amp;"*")</f>
        <v>0</v>
      </c>
    </row>
    <row r="951" spans="1:13" x14ac:dyDescent="0.25">
      <c r="A951" s="8" t="s">
        <v>3384</v>
      </c>
      <c r="B951" s="8">
        <f>COUNTIF('All Papers'!D:D,"*"&amp;Table1[[#This Row],[Name]]&amp;"*")</f>
        <v>1</v>
      </c>
      <c r="C951" s="8">
        <f>COUNTIFS('All Papers'!$D:$D,"*"&amp;$A951&amp;"*",'All Papers'!$G:$G,"*"&amp;Table1[[#Headers],[Composition]]&amp;"*")</f>
        <v>0</v>
      </c>
      <c r="D951" s="8">
        <f>COUNTIFS('All Papers'!$D:$D,"*"&amp;$A951&amp;"*",'All Papers'!$G:$G,"*"&amp;Table1[[#Headers],[Discovery]]&amp;"*")</f>
        <v>0</v>
      </c>
      <c r="E951" s="8">
        <f>COUNTIFS('All Papers'!$D:$D,"*"&amp;$A951&amp;"*",'All Papers'!$G:$G,"*"&amp;Table1[[#Headers],[Selection]]&amp;"*")</f>
        <v>0</v>
      </c>
      <c r="F951" s="8">
        <f>COUNTIFS('All Papers'!$D:$D,"*"&amp;$A951&amp;"*",'All Papers'!$G:$G,"*"&amp;Table1[[#Headers],[Recommendation]]&amp;"*")</f>
        <v>0</v>
      </c>
      <c r="G951" s="8">
        <f>COUNTIFS('All Papers'!$D:$D,"*"&amp;$A951&amp;"*",'All Papers'!$G:$G,"*"&amp;Table1[[#Headers],[Resource Management-CS]]&amp;"*")</f>
        <v>1</v>
      </c>
      <c r="H951" s="8">
        <f>COUNTIFS('All Papers'!$D:$D,"*"&amp;$A951&amp;"*",'All Papers'!$G:$G,"*"&amp;Table1[[#Headers],[Resource Management-PS]]&amp;"*")</f>
        <v>0</v>
      </c>
      <c r="I951" s="8">
        <f>COUNTIFS('All Papers'!$D:$D,"*"&amp;$A951&amp;"*",'All Papers'!$G:$G,"*"&amp;Table1[[#Headers],[SLA Management]]&amp;"*")</f>
        <v>1</v>
      </c>
      <c r="J951" s="8">
        <f>COUNTIFS('All Papers'!$D:$D,"*"&amp;$A951&amp;"*",'All Papers'!$G:$G,"*"&amp;Table1[[#Headers],[Big Data]]&amp;"*")</f>
        <v>0</v>
      </c>
      <c r="K951" s="8">
        <f>COUNTIFS('All Papers'!$D:$D,"*"&amp;$A951&amp;"*",'All Papers'!$G:$G,"*"&amp;Table1[[#Headers],[Energy Management]]&amp;"*")</f>
        <v>0</v>
      </c>
      <c r="L951" s="8">
        <f>COUNTIFS('All Papers'!$D:$D,"*"&amp;$A951&amp;"*",'All Papers'!$G:$G,"*"&amp;Table1[[#Headers],[Monitoring]]&amp;"*")</f>
        <v>0</v>
      </c>
      <c r="M951" s="8">
        <f>COUNTIFS('All Papers'!$D:$D,"*"&amp;$A951&amp;"*",'All Papers'!$G:$G,"*"&amp;Table1[[#Headers],[Pricing]]&amp;"*")</f>
        <v>0</v>
      </c>
    </row>
    <row r="952" spans="1:13" x14ac:dyDescent="0.25">
      <c r="A952" s="8" t="s">
        <v>3385</v>
      </c>
      <c r="B952" s="8">
        <f>COUNTIF('All Papers'!D:D,"*"&amp;Table1[[#This Row],[Name]]&amp;"*")</f>
        <v>1</v>
      </c>
      <c r="C952" s="8">
        <f>COUNTIFS('All Papers'!$D:$D,"*"&amp;$A952&amp;"*",'All Papers'!$G:$G,"*"&amp;Table1[[#Headers],[Composition]]&amp;"*")</f>
        <v>0</v>
      </c>
      <c r="D952" s="8">
        <f>COUNTIFS('All Papers'!$D:$D,"*"&amp;$A952&amp;"*",'All Papers'!$G:$G,"*"&amp;Table1[[#Headers],[Discovery]]&amp;"*")</f>
        <v>0</v>
      </c>
      <c r="E952" s="8">
        <f>COUNTIFS('All Papers'!$D:$D,"*"&amp;$A952&amp;"*",'All Papers'!$G:$G,"*"&amp;Table1[[#Headers],[Selection]]&amp;"*")</f>
        <v>0</v>
      </c>
      <c r="F952" s="8">
        <f>COUNTIFS('All Papers'!$D:$D,"*"&amp;$A952&amp;"*",'All Papers'!$G:$G,"*"&amp;Table1[[#Headers],[Recommendation]]&amp;"*")</f>
        <v>0</v>
      </c>
      <c r="G952" s="8">
        <f>COUNTIFS('All Papers'!$D:$D,"*"&amp;$A952&amp;"*",'All Papers'!$G:$G,"*"&amp;Table1[[#Headers],[Resource Management-CS]]&amp;"*")</f>
        <v>1</v>
      </c>
      <c r="H952" s="8">
        <f>COUNTIFS('All Papers'!$D:$D,"*"&amp;$A952&amp;"*",'All Papers'!$G:$G,"*"&amp;Table1[[#Headers],[Resource Management-PS]]&amp;"*")</f>
        <v>0</v>
      </c>
      <c r="I952" s="8">
        <f>COUNTIFS('All Papers'!$D:$D,"*"&amp;$A952&amp;"*",'All Papers'!$G:$G,"*"&amp;Table1[[#Headers],[SLA Management]]&amp;"*")</f>
        <v>1</v>
      </c>
      <c r="J952" s="8">
        <f>COUNTIFS('All Papers'!$D:$D,"*"&amp;$A952&amp;"*",'All Papers'!$G:$G,"*"&amp;Table1[[#Headers],[Big Data]]&amp;"*")</f>
        <v>0</v>
      </c>
      <c r="K952" s="8">
        <f>COUNTIFS('All Papers'!$D:$D,"*"&amp;$A952&amp;"*",'All Papers'!$G:$G,"*"&amp;Table1[[#Headers],[Energy Management]]&amp;"*")</f>
        <v>0</v>
      </c>
      <c r="L952" s="8">
        <f>COUNTIFS('All Papers'!$D:$D,"*"&amp;$A952&amp;"*",'All Papers'!$G:$G,"*"&amp;Table1[[#Headers],[Monitoring]]&amp;"*")</f>
        <v>0</v>
      </c>
      <c r="M952" s="8">
        <f>COUNTIFS('All Papers'!$D:$D,"*"&amp;$A952&amp;"*",'All Papers'!$G:$G,"*"&amp;Table1[[#Headers],[Pricing]]&amp;"*")</f>
        <v>0</v>
      </c>
    </row>
    <row r="953" spans="1:13" x14ac:dyDescent="0.25">
      <c r="A953" s="8" t="s">
        <v>3386</v>
      </c>
      <c r="B953" s="8">
        <f>COUNTIF('All Papers'!D:D,"*"&amp;Table1[[#This Row],[Name]]&amp;"*")</f>
        <v>1</v>
      </c>
      <c r="C953" s="8">
        <f>COUNTIFS('All Papers'!$D:$D,"*"&amp;$A953&amp;"*",'All Papers'!$G:$G,"*"&amp;Table1[[#Headers],[Composition]]&amp;"*")</f>
        <v>0</v>
      </c>
      <c r="D953" s="8">
        <f>COUNTIFS('All Papers'!$D:$D,"*"&amp;$A953&amp;"*",'All Papers'!$G:$G,"*"&amp;Table1[[#Headers],[Discovery]]&amp;"*")</f>
        <v>0</v>
      </c>
      <c r="E953" s="8">
        <f>COUNTIFS('All Papers'!$D:$D,"*"&amp;$A953&amp;"*",'All Papers'!$G:$G,"*"&amp;Table1[[#Headers],[Selection]]&amp;"*")</f>
        <v>0</v>
      </c>
      <c r="F953" s="8">
        <f>COUNTIFS('All Papers'!$D:$D,"*"&amp;$A953&amp;"*",'All Papers'!$G:$G,"*"&amp;Table1[[#Headers],[Recommendation]]&amp;"*")</f>
        <v>0</v>
      </c>
      <c r="G953" s="8">
        <f>COUNTIFS('All Papers'!$D:$D,"*"&amp;$A953&amp;"*",'All Papers'!$G:$G,"*"&amp;Table1[[#Headers],[Resource Management-CS]]&amp;"*")</f>
        <v>1</v>
      </c>
      <c r="H953" s="8">
        <f>COUNTIFS('All Papers'!$D:$D,"*"&amp;$A953&amp;"*",'All Papers'!$G:$G,"*"&amp;Table1[[#Headers],[Resource Management-PS]]&amp;"*")</f>
        <v>0</v>
      </c>
      <c r="I953" s="8">
        <f>COUNTIFS('All Papers'!$D:$D,"*"&amp;$A953&amp;"*",'All Papers'!$G:$G,"*"&amp;Table1[[#Headers],[SLA Management]]&amp;"*")</f>
        <v>1</v>
      </c>
      <c r="J953" s="8">
        <f>COUNTIFS('All Papers'!$D:$D,"*"&amp;$A953&amp;"*",'All Papers'!$G:$G,"*"&amp;Table1[[#Headers],[Big Data]]&amp;"*")</f>
        <v>0</v>
      </c>
      <c r="K953" s="8">
        <f>COUNTIFS('All Papers'!$D:$D,"*"&amp;$A953&amp;"*",'All Papers'!$G:$G,"*"&amp;Table1[[#Headers],[Energy Management]]&amp;"*")</f>
        <v>0</v>
      </c>
      <c r="L953" s="8">
        <f>COUNTIFS('All Papers'!$D:$D,"*"&amp;$A953&amp;"*",'All Papers'!$G:$G,"*"&amp;Table1[[#Headers],[Monitoring]]&amp;"*")</f>
        <v>0</v>
      </c>
      <c r="M953" s="8">
        <f>COUNTIFS('All Papers'!$D:$D,"*"&amp;$A953&amp;"*",'All Papers'!$G:$G,"*"&amp;Table1[[#Headers],[Pricing]]&amp;"*")</f>
        <v>0</v>
      </c>
    </row>
    <row r="954" spans="1:13" x14ac:dyDescent="0.25">
      <c r="A954" s="8" t="s">
        <v>3387</v>
      </c>
      <c r="B954" s="8">
        <f>COUNTIF('All Papers'!D:D,"*"&amp;Table1[[#This Row],[Name]]&amp;"*")</f>
        <v>1</v>
      </c>
      <c r="C954" s="8">
        <f>COUNTIFS('All Papers'!$D:$D,"*"&amp;$A954&amp;"*",'All Papers'!$G:$G,"*"&amp;Table1[[#Headers],[Composition]]&amp;"*")</f>
        <v>0</v>
      </c>
      <c r="D954" s="8">
        <f>COUNTIFS('All Papers'!$D:$D,"*"&amp;$A954&amp;"*",'All Papers'!$G:$G,"*"&amp;Table1[[#Headers],[Discovery]]&amp;"*")</f>
        <v>0</v>
      </c>
      <c r="E954" s="8">
        <f>COUNTIFS('All Papers'!$D:$D,"*"&amp;$A954&amp;"*",'All Papers'!$G:$G,"*"&amp;Table1[[#Headers],[Selection]]&amp;"*")</f>
        <v>1</v>
      </c>
      <c r="F954" s="8">
        <f>COUNTIFS('All Papers'!$D:$D,"*"&amp;$A954&amp;"*",'All Papers'!$G:$G,"*"&amp;Table1[[#Headers],[Recommendation]]&amp;"*")</f>
        <v>0</v>
      </c>
      <c r="G954" s="8">
        <f>COUNTIFS('All Papers'!$D:$D,"*"&amp;$A954&amp;"*",'All Papers'!$G:$G,"*"&amp;Table1[[#Headers],[Resource Management-CS]]&amp;"*")</f>
        <v>0</v>
      </c>
      <c r="H954" s="8">
        <f>COUNTIFS('All Papers'!$D:$D,"*"&amp;$A954&amp;"*",'All Papers'!$G:$G,"*"&amp;Table1[[#Headers],[Resource Management-PS]]&amp;"*")</f>
        <v>0</v>
      </c>
      <c r="I954" s="8">
        <f>COUNTIFS('All Papers'!$D:$D,"*"&amp;$A954&amp;"*",'All Papers'!$G:$G,"*"&amp;Table1[[#Headers],[SLA Management]]&amp;"*")</f>
        <v>0</v>
      </c>
      <c r="J954" s="8">
        <f>COUNTIFS('All Papers'!$D:$D,"*"&amp;$A954&amp;"*",'All Papers'!$G:$G,"*"&amp;Table1[[#Headers],[Big Data]]&amp;"*")</f>
        <v>0</v>
      </c>
      <c r="K954" s="8">
        <f>COUNTIFS('All Papers'!$D:$D,"*"&amp;$A954&amp;"*",'All Papers'!$G:$G,"*"&amp;Table1[[#Headers],[Energy Management]]&amp;"*")</f>
        <v>0</v>
      </c>
      <c r="L954" s="8">
        <f>COUNTIFS('All Papers'!$D:$D,"*"&amp;$A954&amp;"*",'All Papers'!$G:$G,"*"&amp;Table1[[#Headers],[Monitoring]]&amp;"*")</f>
        <v>0</v>
      </c>
      <c r="M954" s="8">
        <f>COUNTIFS('All Papers'!$D:$D,"*"&amp;$A954&amp;"*",'All Papers'!$G:$G,"*"&amp;Table1[[#Headers],[Pricing]]&amp;"*")</f>
        <v>0</v>
      </c>
    </row>
    <row r="955" spans="1:13" x14ac:dyDescent="0.25">
      <c r="A955" s="8" t="s">
        <v>3388</v>
      </c>
      <c r="B955" s="8">
        <f>COUNTIF('All Papers'!D:D,"*"&amp;Table1[[#This Row],[Name]]&amp;"*")</f>
        <v>1</v>
      </c>
      <c r="C955" s="8">
        <f>COUNTIFS('All Papers'!$D:$D,"*"&amp;$A955&amp;"*",'All Papers'!$G:$G,"*"&amp;Table1[[#Headers],[Composition]]&amp;"*")</f>
        <v>0</v>
      </c>
      <c r="D955" s="8">
        <f>COUNTIFS('All Papers'!$D:$D,"*"&amp;$A955&amp;"*",'All Papers'!$G:$G,"*"&amp;Table1[[#Headers],[Discovery]]&amp;"*")</f>
        <v>0</v>
      </c>
      <c r="E955" s="8">
        <f>COUNTIFS('All Papers'!$D:$D,"*"&amp;$A955&amp;"*",'All Papers'!$G:$G,"*"&amp;Table1[[#Headers],[Selection]]&amp;"*")</f>
        <v>1</v>
      </c>
      <c r="F955" s="8">
        <f>COUNTIFS('All Papers'!$D:$D,"*"&amp;$A955&amp;"*",'All Papers'!$G:$G,"*"&amp;Table1[[#Headers],[Recommendation]]&amp;"*")</f>
        <v>0</v>
      </c>
      <c r="G955" s="8">
        <f>COUNTIFS('All Papers'!$D:$D,"*"&amp;$A955&amp;"*",'All Papers'!$G:$G,"*"&amp;Table1[[#Headers],[Resource Management-CS]]&amp;"*")</f>
        <v>0</v>
      </c>
      <c r="H955" s="8">
        <f>COUNTIFS('All Papers'!$D:$D,"*"&amp;$A955&amp;"*",'All Papers'!$G:$G,"*"&amp;Table1[[#Headers],[Resource Management-PS]]&amp;"*")</f>
        <v>0</v>
      </c>
      <c r="I955" s="8">
        <f>COUNTIFS('All Papers'!$D:$D,"*"&amp;$A955&amp;"*",'All Papers'!$G:$G,"*"&amp;Table1[[#Headers],[SLA Management]]&amp;"*")</f>
        <v>0</v>
      </c>
      <c r="J955" s="8">
        <f>COUNTIFS('All Papers'!$D:$D,"*"&amp;$A955&amp;"*",'All Papers'!$G:$G,"*"&amp;Table1[[#Headers],[Big Data]]&amp;"*")</f>
        <v>0</v>
      </c>
      <c r="K955" s="8">
        <f>COUNTIFS('All Papers'!$D:$D,"*"&amp;$A955&amp;"*",'All Papers'!$G:$G,"*"&amp;Table1[[#Headers],[Energy Management]]&amp;"*")</f>
        <v>0</v>
      </c>
      <c r="L955" s="8">
        <f>COUNTIFS('All Papers'!$D:$D,"*"&amp;$A955&amp;"*",'All Papers'!$G:$G,"*"&amp;Table1[[#Headers],[Monitoring]]&amp;"*")</f>
        <v>0</v>
      </c>
      <c r="M955" s="8">
        <f>COUNTIFS('All Papers'!$D:$D,"*"&amp;$A955&amp;"*",'All Papers'!$G:$G,"*"&amp;Table1[[#Headers],[Pricing]]&amp;"*")</f>
        <v>0</v>
      </c>
    </row>
    <row r="956" spans="1:13" x14ac:dyDescent="0.25">
      <c r="A956" s="8" t="s">
        <v>3389</v>
      </c>
      <c r="B956" s="8">
        <f>COUNTIF('All Papers'!D:D,"*"&amp;Table1[[#This Row],[Name]]&amp;"*")</f>
        <v>1</v>
      </c>
      <c r="C956" s="8">
        <f>COUNTIFS('All Papers'!$D:$D,"*"&amp;$A956&amp;"*",'All Papers'!$G:$G,"*"&amp;Table1[[#Headers],[Composition]]&amp;"*")</f>
        <v>0</v>
      </c>
      <c r="D956" s="8">
        <f>COUNTIFS('All Papers'!$D:$D,"*"&amp;$A956&amp;"*",'All Papers'!$G:$G,"*"&amp;Table1[[#Headers],[Discovery]]&amp;"*")</f>
        <v>0</v>
      </c>
      <c r="E956" s="8">
        <f>COUNTIFS('All Papers'!$D:$D,"*"&amp;$A956&amp;"*",'All Papers'!$G:$G,"*"&amp;Table1[[#Headers],[Selection]]&amp;"*")</f>
        <v>1</v>
      </c>
      <c r="F956" s="8">
        <f>COUNTIFS('All Papers'!$D:$D,"*"&amp;$A956&amp;"*",'All Papers'!$G:$G,"*"&amp;Table1[[#Headers],[Recommendation]]&amp;"*")</f>
        <v>0</v>
      </c>
      <c r="G956" s="8">
        <f>COUNTIFS('All Papers'!$D:$D,"*"&amp;$A956&amp;"*",'All Papers'!$G:$G,"*"&amp;Table1[[#Headers],[Resource Management-CS]]&amp;"*")</f>
        <v>0</v>
      </c>
      <c r="H956" s="8">
        <f>COUNTIFS('All Papers'!$D:$D,"*"&amp;$A956&amp;"*",'All Papers'!$G:$G,"*"&amp;Table1[[#Headers],[Resource Management-PS]]&amp;"*")</f>
        <v>0</v>
      </c>
      <c r="I956" s="8">
        <f>COUNTIFS('All Papers'!$D:$D,"*"&amp;$A956&amp;"*",'All Papers'!$G:$G,"*"&amp;Table1[[#Headers],[SLA Management]]&amp;"*")</f>
        <v>0</v>
      </c>
      <c r="J956" s="8">
        <f>COUNTIFS('All Papers'!$D:$D,"*"&amp;$A956&amp;"*",'All Papers'!$G:$G,"*"&amp;Table1[[#Headers],[Big Data]]&amp;"*")</f>
        <v>0</v>
      </c>
      <c r="K956" s="8">
        <f>COUNTIFS('All Papers'!$D:$D,"*"&amp;$A956&amp;"*",'All Papers'!$G:$G,"*"&amp;Table1[[#Headers],[Energy Management]]&amp;"*")</f>
        <v>0</v>
      </c>
      <c r="L956" s="8">
        <f>COUNTIFS('All Papers'!$D:$D,"*"&amp;$A956&amp;"*",'All Papers'!$G:$G,"*"&amp;Table1[[#Headers],[Monitoring]]&amp;"*")</f>
        <v>0</v>
      </c>
      <c r="M956" s="8">
        <f>COUNTIFS('All Papers'!$D:$D,"*"&amp;$A956&amp;"*",'All Papers'!$G:$G,"*"&amp;Table1[[#Headers],[Pricing]]&amp;"*")</f>
        <v>0</v>
      </c>
    </row>
    <row r="957" spans="1:13" x14ac:dyDescent="0.25">
      <c r="A957" s="8" t="s">
        <v>3390</v>
      </c>
      <c r="B957" s="8">
        <f>COUNTIF('All Papers'!D:D,"*"&amp;Table1[[#This Row],[Name]]&amp;"*")</f>
        <v>1</v>
      </c>
      <c r="C957" s="8">
        <f>COUNTIFS('All Papers'!$D:$D,"*"&amp;$A957&amp;"*",'All Papers'!$G:$G,"*"&amp;Table1[[#Headers],[Composition]]&amp;"*")</f>
        <v>0</v>
      </c>
      <c r="D957" s="8">
        <f>COUNTIFS('All Papers'!$D:$D,"*"&amp;$A957&amp;"*",'All Papers'!$G:$G,"*"&amp;Table1[[#Headers],[Discovery]]&amp;"*")</f>
        <v>0</v>
      </c>
      <c r="E957" s="8">
        <f>COUNTIFS('All Papers'!$D:$D,"*"&amp;$A957&amp;"*",'All Papers'!$G:$G,"*"&amp;Table1[[#Headers],[Selection]]&amp;"*")</f>
        <v>1</v>
      </c>
      <c r="F957" s="8">
        <f>COUNTIFS('All Papers'!$D:$D,"*"&amp;$A957&amp;"*",'All Papers'!$G:$G,"*"&amp;Table1[[#Headers],[Recommendation]]&amp;"*")</f>
        <v>0</v>
      </c>
      <c r="G957" s="8">
        <f>COUNTIFS('All Papers'!$D:$D,"*"&amp;$A957&amp;"*",'All Papers'!$G:$G,"*"&amp;Table1[[#Headers],[Resource Management-CS]]&amp;"*")</f>
        <v>0</v>
      </c>
      <c r="H957" s="8">
        <f>COUNTIFS('All Papers'!$D:$D,"*"&amp;$A957&amp;"*",'All Papers'!$G:$G,"*"&amp;Table1[[#Headers],[Resource Management-PS]]&amp;"*")</f>
        <v>0</v>
      </c>
      <c r="I957" s="8">
        <f>COUNTIFS('All Papers'!$D:$D,"*"&amp;$A957&amp;"*",'All Papers'!$G:$G,"*"&amp;Table1[[#Headers],[SLA Management]]&amp;"*")</f>
        <v>0</v>
      </c>
      <c r="J957" s="8">
        <f>COUNTIFS('All Papers'!$D:$D,"*"&amp;$A957&amp;"*",'All Papers'!$G:$G,"*"&amp;Table1[[#Headers],[Big Data]]&amp;"*")</f>
        <v>0</v>
      </c>
      <c r="K957" s="8">
        <f>COUNTIFS('All Papers'!$D:$D,"*"&amp;$A957&amp;"*",'All Papers'!$G:$G,"*"&amp;Table1[[#Headers],[Energy Management]]&amp;"*")</f>
        <v>0</v>
      </c>
      <c r="L957" s="8">
        <f>COUNTIFS('All Papers'!$D:$D,"*"&amp;$A957&amp;"*",'All Papers'!$G:$G,"*"&amp;Table1[[#Headers],[Monitoring]]&amp;"*")</f>
        <v>0</v>
      </c>
      <c r="M957" s="8">
        <f>COUNTIFS('All Papers'!$D:$D,"*"&amp;$A957&amp;"*",'All Papers'!$G:$G,"*"&amp;Table1[[#Headers],[Pricing]]&amp;"*")</f>
        <v>0</v>
      </c>
    </row>
    <row r="958" spans="1:13" x14ac:dyDescent="0.25">
      <c r="A958" s="8" t="s">
        <v>3391</v>
      </c>
      <c r="B958" s="8">
        <f>COUNTIF('All Papers'!D:D,"*"&amp;Table1[[#This Row],[Name]]&amp;"*")</f>
        <v>1</v>
      </c>
      <c r="C958" s="8">
        <f>COUNTIFS('All Papers'!$D:$D,"*"&amp;$A958&amp;"*",'All Papers'!$G:$G,"*"&amp;Table1[[#Headers],[Composition]]&amp;"*")</f>
        <v>0</v>
      </c>
      <c r="D958" s="8">
        <f>COUNTIFS('All Papers'!$D:$D,"*"&amp;$A958&amp;"*",'All Papers'!$G:$G,"*"&amp;Table1[[#Headers],[Discovery]]&amp;"*")</f>
        <v>0</v>
      </c>
      <c r="E958" s="8">
        <f>COUNTIFS('All Papers'!$D:$D,"*"&amp;$A958&amp;"*",'All Papers'!$G:$G,"*"&amp;Table1[[#Headers],[Selection]]&amp;"*")</f>
        <v>1</v>
      </c>
      <c r="F958" s="8">
        <f>COUNTIFS('All Papers'!$D:$D,"*"&amp;$A958&amp;"*",'All Papers'!$G:$G,"*"&amp;Table1[[#Headers],[Recommendation]]&amp;"*")</f>
        <v>0</v>
      </c>
      <c r="G958" s="8">
        <f>COUNTIFS('All Papers'!$D:$D,"*"&amp;$A958&amp;"*",'All Papers'!$G:$G,"*"&amp;Table1[[#Headers],[Resource Management-CS]]&amp;"*")</f>
        <v>0</v>
      </c>
      <c r="H958" s="8">
        <f>COUNTIFS('All Papers'!$D:$D,"*"&amp;$A958&amp;"*",'All Papers'!$G:$G,"*"&amp;Table1[[#Headers],[Resource Management-PS]]&amp;"*")</f>
        <v>0</v>
      </c>
      <c r="I958" s="8">
        <f>COUNTIFS('All Papers'!$D:$D,"*"&amp;$A958&amp;"*",'All Papers'!$G:$G,"*"&amp;Table1[[#Headers],[SLA Management]]&amp;"*")</f>
        <v>0</v>
      </c>
      <c r="J958" s="8">
        <f>COUNTIFS('All Papers'!$D:$D,"*"&amp;$A958&amp;"*",'All Papers'!$G:$G,"*"&amp;Table1[[#Headers],[Big Data]]&amp;"*")</f>
        <v>0</v>
      </c>
      <c r="K958" s="8">
        <f>COUNTIFS('All Papers'!$D:$D,"*"&amp;$A958&amp;"*",'All Papers'!$G:$G,"*"&amp;Table1[[#Headers],[Energy Management]]&amp;"*")</f>
        <v>0</v>
      </c>
      <c r="L958" s="8">
        <f>COUNTIFS('All Papers'!$D:$D,"*"&amp;$A958&amp;"*",'All Papers'!$G:$G,"*"&amp;Table1[[#Headers],[Monitoring]]&amp;"*")</f>
        <v>0</v>
      </c>
      <c r="M958" s="8">
        <f>COUNTIFS('All Papers'!$D:$D,"*"&amp;$A958&amp;"*",'All Papers'!$G:$G,"*"&amp;Table1[[#Headers],[Pricing]]&amp;"*")</f>
        <v>0</v>
      </c>
    </row>
    <row r="959" spans="1:13" x14ac:dyDescent="0.25">
      <c r="A959" s="8" t="s">
        <v>3392</v>
      </c>
      <c r="B959" s="8">
        <f>COUNTIF('All Papers'!D:D,"*"&amp;Table1[[#This Row],[Name]]&amp;"*")</f>
        <v>1</v>
      </c>
      <c r="C959" s="8">
        <f>COUNTIFS('All Papers'!$D:$D,"*"&amp;$A959&amp;"*",'All Papers'!$G:$G,"*"&amp;Table1[[#Headers],[Composition]]&amp;"*")</f>
        <v>1</v>
      </c>
      <c r="D959" s="8">
        <f>COUNTIFS('All Papers'!$D:$D,"*"&amp;$A959&amp;"*",'All Papers'!$G:$G,"*"&amp;Table1[[#Headers],[Discovery]]&amp;"*")</f>
        <v>1</v>
      </c>
      <c r="E959" s="8">
        <f>COUNTIFS('All Papers'!$D:$D,"*"&amp;$A959&amp;"*",'All Papers'!$G:$G,"*"&amp;Table1[[#Headers],[Selection]]&amp;"*")</f>
        <v>0</v>
      </c>
      <c r="F959" s="8">
        <f>COUNTIFS('All Papers'!$D:$D,"*"&amp;$A959&amp;"*",'All Papers'!$G:$G,"*"&amp;Table1[[#Headers],[Recommendation]]&amp;"*")</f>
        <v>0</v>
      </c>
      <c r="G959" s="8">
        <f>COUNTIFS('All Papers'!$D:$D,"*"&amp;$A959&amp;"*",'All Papers'!$G:$G,"*"&amp;Table1[[#Headers],[Resource Management-CS]]&amp;"*")</f>
        <v>0</v>
      </c>
      <c r="H959" s="8">
        <f>COUNTIFS('All Papers'!$D:$D,"*"&amp;$A959&amp;"*",'All Papers'!$G:$G,"*"&amp;Table1[[#Headers],[Resource Management-PS]]&amp;"*")</f>
        <v>0</v>
      </c>
      <c r="I959" s="8">
        <f>COUNTIFS('All Papers'!$D:$D,"*"&amp;$A959&amp;"*",'All Papers'!$G:$G,"*"&amp;Table1[[#Headers],[SLA Management]]&amp;"*")</f>
        <v>0</v>
      </c>
      <c r="J959" s="8">
        <f>COUNTIFS('All Papers'!$D:$D,"*"&amp;$A959&amp;"*",'All Papers'!$G:$G,"*"&amp;Table1[[#Headers],[Big Data]]&amp;"*")</f>
        <v>0</v>
      </c>
      <c r="K959" s="8">
        <f>COUNTIFS('All Papers'!$D:$D,"*"&amp;$A959&amp;"*",'All Papers'!$G:$G,"*"&amp;Table1[[#Headers],[Energy Management]]&amp;"*")</f>
        <v>0</v>
      </c>
      <c r="L959" s="8">
        <f>COUNTIFS('All Papers'!$D:$D,"*"&amp;$A959&amp;"*",'All Papers'!$G:$G,"*"&amp;Table1[[#Headers],[Monitoring]]&amp;"*")</f>
        <v>0</v>
      </c>
      <c r="M959" s="8">
        <f>COUNTIFS('All Papers'!$D:$D,"*"&amp;$A959&amp;"*",'All Papers'!$G:$G,"*"&amp;Table1[[#Headers],[Pricing]]&amp;"*")</f>
        <v>0</v>
      </c>
    </row>
    <row r="960" spans="1:13" x14ac:dyDescent="0.25">
      <c r="A960" s="8" t="s">
        <v>3393</v>
      </c>
      <c r="B960" s="8">
        <f>COUNTIF('All Papers'!D:D,"*"&amp;Table1[[#This Row],[Name]]&amp;"*")</f>
        <v>1</v>
      </c>
      <c r="C960" s="8">
        <f>COUNTIFS('All Papers'!$D:$D,"*"&amp;$A960&amp;"*",'All Papers'!$G:$G,"*"&amp;Table1[[#Headers],[Composition]]&amp;"*")</f>
        <v>1</v>
      </c>
      <c r="D960" s="8">
        <f>COUNTIFS('All Papers'!$D:$D,"*"&amp;$A960&amp;"*",'All Papers'!$G:$G,"*"&amp;Table1[[#Headers],[Discovery]]&amp;"*")</f>
        <v>1</v>
      </c>
      <c r="E960" s="8">
        <f>COUNTIFS('All Papers'!$D:$D,"*"&amp;$A960&amp;"*",'All Papers'!$G:$G,"*"&amp;Table1[[#Headers],[Selection]]&amp;"*")</f>
        <v>0</v>
      </c>
      <c r="F960" s="8">
        <f>COUNTIFS('All Papers'!$D:$D,"*"&amp;$A960&amp;"*",'All Papers'!$G:$G,"*"&amp;Table1[[#Headers],[Recommendation]]&amp;"*")</f>
        <v>0</v>
      </c>
      <c r="G960" s="8">
        <f>COUNTIFS('All Papers'!$D:$D,"*"&amp;$A960&amp;"*",'All Papers'!$G:$G,"*"&amp;Table1[[#Headers],[Resource Management-CS]]&amp;"*")</f>
        <v>0</v>
      </c>
      <c r="H960" s="8">
        <f>COUNTIFS('All Papers'!$D:$D,"*"&amp;$A960&amp;"*",'All Papers'!$G:$G,"*"&amp;Table1[[#Headers],[Resource Management-PS]]&amp;"*")</f>
        <v>0</v>
      </c>
      <c r="I960" s="8">
        <f>COUNTIFS('All Papers'!$D:$D,"*"&amp;$A960&amp;"*",'All Papers'!$G:$G,"*"&amp;Table1[[#Headers],[SLA Management]]&amp;"*")</f>
        <v>0</v>
      </c>
      <c r="J960" s="8">
        <f>COUNTIFS('All Papers'!$D:$D,"*"&amp;$A960&amp;"*",'All Papers'!$G:$G,"*"&amp;Table1[[#Headers],[Big Data]]&amp;"*")</f>
        <v>0</v>
      </c>
      <c r="K960" s="8">
        <f>COUNTIFS('All Papers'!$D:$D,"*"&amp;$A960&amp;"*",'All Papers'!$G:$G,"*"&amp;Table1[[#Headers],[Energy Management]]&amp;"*")</f>
        <v>0</v>
      </c>
      <c r="L960" s="8">
        <f>COUNTIFS('All Papers'!$D:$D,"*"&amp;$A960&amp;"*",'All Papers'!$G:$G,"*"&amp;Table1[[#Headers],[Monitoring]]&amp;"*")</f>
        <v>0</v>
      </c>
      <c r="M960" s="8">
        <f>COUNTIFS('All Papers'!$D:$D,"*"&amp;$A960&amp;"*",'All Papers'!$G:$G,"*"&amp;Table1[[#Headers],[Pricing]]&amp;"*")</f>
        <v>0</v>
      </c>
    </row>
    <row r="961" spans="1:13" x14ac:dyDescent="0.25">
      <c r="A961" s="8" t="s">
        <v>3394</v>
      </c>
      <c r="B961" s="8">
        <f>COUNTIF('All Papers'!D:D,"*"&amp;Table1[[#This Row],[Name]]&amp;"*")</f>
        <v>1</v>
      </c>
      <c r="C961" s="8">
        <f>COUNTIFS('All Papers'!$D:$D,"*"&amp;$A961&amp;"*",'All Papers'!$G:$G,"*"&amp;Table1[[#Headers],[Composition]]&amp;"*")</f>
        <v>1</v>
      </c>
      <c r="D961" s="8">
        <f>COUNTIFS('All Papers'!$D:$D,"*"&amp;$A961&amp;"*",'All Papers'!$G:$G,"*"&amp;Table1[[#Headers],[Discovery]]&amp;"*")</f>
        <v>0</v>
      </c>
      <c r="E961" s="8">
        <f>COUNTIFS('All Papers'!$D:$D,"*"&amp;$A961&amp;"*",'All Papers'!$G:$G,"*"&amp;Table1[[#Headers],[Selection]]&amp;"*")</f>
        <v>0</v>
      </c>
      <c r="F961" s="8">
        <f>COUNTIFS('All Papers'!$D:$D,"*"&amp;$A961&amp;"*",'All Papers'!$G:$G,"*"&amp;Table1[[#Headers],[Recommendation]]&amp;"*")</f>
        <v>0</v>
      </c>
      <c r="G961" s="8">
        <f>COUNTIFS('All Papers'!$D:$D,"*"&amp;$A961&amp;"*",'All Papers'!$G:$G,"*"&amp;Table1[[#Headers],[Resource Management-CS]]&amp;"*")</f>
        <v>0</v>
      </c>
      <c r="H961" s="8">
        <f>COUNTIFS('All Papers'!$D:$D,"*"&amp;$A961&amp;"*",'All Papers'!$G:$G,"*"&amp;Table1[[#Headers],[Resource Management-PS]]&amp;"*")</f>
        <v>0</v>
      </c>
      <c r="I961" s="8">
        <f>COUNTIFS('All Papers'!$D:$D,"*"&amp;$A961&amp;"*",'All Papers'!$G:$G,"*"&amp;Table1[[#Headers],[SLA Management]]&amp;"*")</f>
        <v>1</v>
      </c>
      <c r="J961" s="8">
        <f>COUNTIFS('All Papers'!$D:$D,"*"&amp;$A961&amp;"*",'All Papers'!$G:$G,"*"&amp;Table1[[#Headers],[Big Data]]&amp;"*")</f>
        <v>0</v>
      </c>
      <c r="K961" s="8">
        <f>COUNTIFS('All Papers'!$D:$D,"*"&amp;$A961&amp;"*",'All Papers'!$G:$G,"*"&amp;Table1[[#Headers],[Energy Management]]&amp;"*")</f>
        <v>0</v>
      </c>
      <c r="L961" s="8">
        <f>COUNTIFS('All Papers'!$D:$D,"*"&amp;$A961&amp;"*",'All Papers'!$G:$G,"*"&amp;Table1[[#Headers],[Monitoring]]&amp;"*")</f>
        <v>0</v>
      </c>
      <c r="M961" s="8">
        <f>COUNTIFS('All Papers'!$D:$D,"*"&amp;$A961&amp;"*",'All Papers'!$G:$G,"*"&amp;Table1[[#Headers],[Pricing]]&amp;"*")</f>
        <v>0</v>
      </c>
    </row>
    <row r="962" spans="1:13" x14ac:dyDescent="0.25">
      <c r="A962" s="8" t="s">
        <v>3395</v>
      </c>
      <c r="B962" s="8">
        <f>COUNTIF('All Papers'!D:D,"*"&amp;Table1[[#This Row],[Name]]&amp;"*")</f>
        <v>1</v>
      </c>
      <c r="C962" s="8">
        <f>COUNTIFS('All Papers'!$D:$D,"*"&amp;$A962&amp;"*",'All Papers'!$G:$G,"*"&amp;Table1[[#Headers],[Composition]]&amp;"*")</f>
        <v>1</v>
      </c>
      <c r="D962" s="8">
        <f>COUNTIFS('All Papers'!$D:$D,"*"&amp;$A962&amp;"*",'All Papers'!$G:$G,"*"&amp;Table1[[#Headers],[Discovery]]&amp;"*")</f>
        <v>0</v>
      </c>
      <c r="E962" s="8">
        <f>COUNTIFS('All Papers'!$D:$D,"*"&amp;$A962&amp;"*",'All Papers'!$G:$G,"*"&amp;Table1[[#Headers],[Selection]]&amp;"*")</f>
        <v>0</v>
      </c>
      <c r="F962" s="8">
        <f>COUNTIFS('All Papers'!$D:$D,"*"&amp;$A962&amp;"*",'All Papers'!$G:$G,"*"&amp;Table1[[#Headers],[Recommendation]]&amp;"*")</f>
        <v>0</v>
      </c>
      <c r="G962" s="8">
        <f>COUNTIFS('All Papers'!$D:$D,"*"&amp;$A962&amp;"*",'All Papers'!$G:$G,"*"&amp;Table1[[#Headers],[Resource Management-CS]]&amp;"*")</f>
        <v>0</v>
      </c>
      <c r="H962" s="8">
        <f>COUNTIFS('All Papers'!$D:$D,"*"&amp;$A962&amp;"*",'All Papers'!$G:$G,"*"&amp;Table1[[#Headers],[Resource Management-PS]]&amp;"*")</f>
        <v>0</v>
      </c>
      <c r="I962" s="8">
        <f>COUNTIFS('All Papers'!$D:$D,"*"&amp;$A962&amp;"*",'All Papers'!$G:$G,"*"&amp;Table1[[#Headers],[SLA Management]]&amp;"*")</f>
        <v>0</v>
      </c>
      <c r="J962" s="8">
        <f>COUNTIFS('All Papers'!$D:$D,"*"&amp;$A962&amp;"*",'All Papers'!$G:$G,"*"&amp;Table1[[#Headers],[Big Data]]&amp;"*")</f>
        <v>0</v>
      </c>
      <c r="K962" s="8">
        <f>COUNTIFS('All Papers'!$D:$D,"*"&amp;$A962&amp;"*",'All Papers'!$G:$G,"*"&amp;Table1[[#Headers],[Energy Management]]&amp;"*")</f>
        <v>0</v>
      </c>
      <c r="L962" s="8">
        <f>COUNTIFS('All Papers'!$D:$D,"*"&amp;$A962&amp;"*",'All Papers'!$G:$G,"*"&amp;Table1[[#Headers],[Monitoring]]&amp;"*")</f>
        <v>0</v>
      </c>
      <c r="M962" s="8">
        <f>COUNTIFS('All Papers'!$D:$D,"*"&amp;$A962&amp;"*",'All Papers'!$G:$G,"*"&amp;Table1[[#Headers],[Pricing]]&amp;"*")</f>
        <v>0</v>
      </c>
    </row>
    <row r="963" spans="1:13" x14ac:dyDescent="0.25">
      <c r="A963" s="8" t="s">
        <v>3396</v>
      </c>
      <c r="B963" s="8">
        <f>COUNTIF('All Papers'!D:D,"*"&amp;Table1[[#This Row],[Name]]&amp;"*")</f>
        <v>1</v>
      </c>
      <c r="C963" s="8">
        <f>COUNTIFS('All Papers'!$D:$D,"*"&amp;$A963&amp;"*",'All Papers'!$G:$G,"*"&amp;Table1[[#Headers],[Composition]]&amp;"*")</f>
        <v>1</v>
      </c>
      <c r="D963" s="8">
        <f>COUNTIFS('All Papers'!$D:$D,"*"&amp;$A963&amp;"*",'All Papers'!$G:$G,"*"&amp;Table1[[#Headers],[Discovery]]&amp;"*")</f>
        <v>0</v>
      </c>
      <c r="E963" s="8">
        <f>COUNTIFS('All Papers'!$D:$D,"*"&amp;$A963&amp;"*",'All Papers'!$G:$G,"*"&amp;Table1[[#Headers],[Selection]]&amp;"*")</f>
        <v>0</v>
      </c>
      <c r="F963" s="8">
        <f>COUNTIFS('All Papers'!$D:$D,"*"&amp;$A963&amp;"*",'All Papers'!$G:$G,"*"&amp;Table1[[#Headers],[Recommendation]]&amp;"*")</f>
        <v>0</v>
      </c>
      <c r="G963" s="8">
        <f>COUNTIFS('All Papers'!$D:$D,"*"&amp;$A963&amp;"*",'All Papers'!$G:$G,"*"&amp;Table1[[#Headers],[Resource Management-CS]]&amp;"*")</f>
        <v>0</v>
      </c>
      <c r="H963" s="8">
        <f>COUNTIFS('All Papers'!$D:$D,"*"&amp;$A963&amp;"*",'All Papers'!$G:$G,"*"&amp;Table1[[#Headers],[Resource Management-PS]]&amp;"*")</f>
        <v>0</v>
      </c>
      <c r="I963" s="8">
        <f>COUNTIFS('All Papers'!$D:$D,"*"&amp;$A963&amp;"*",'All Papers'!$G:$G,"*"&amp;Table1[[#Headers],[SLA Management]]&amp;"*")</f>
        <v>0</v>
      </c>
      <c r="J963" s="8">
        <f>COUNTIFS('All Papers'!$D:$D,"*"&amp;$A963&amp;"*",'All Papers'!$G:$G,"*"&amp;Table1[[#Headers],[Big Data]]&amp;"*")</f>
        <v>0</v>
      </c>
      <c r="K963" s="8">
        <f>COUNTIFS('All Papers'!$D:$D,"*"&amp;$A963&amp;"*",'All Papers'!$G:$G,"*"&amp;Table1[[#Headers],[Energy Management]]&amp;"*")</f>
        <v>0</v>
      </c>
      <c r="L963" s="8">
        <f>COUNTIFS('All Papers'!$D:$D,"*"&amp;$A963&amp;"*",'All Papers'!$G:$G,"*"&amp;Table1[[#Headers],[Monitoring]]&amp;"*")</f>
        <v>0</v>
      </c>
      <c r="M963" s="8">
        <f>COUNTIFS('All Papers'!$D:$D,"*"&amp;$A963&amp;"*",'All Papers'!$G:$G,"*"&amp;Table1[[#Headers],[Pricing]]&amp;"*")</f>
        <v>0</v>
      </c>
    </row>
    <row r="964" spans="1:13" x14ac:dyDescent="0.25">
      <c r="A964" s="8" t="s">
        <v>3397</v>
      </c>
      <c r="B964" s="8">
        <f>COUNTIF('All Papers'!D:D,"*"&amp;Table1[[#This Row],[Name]]&amp;"*")</f>
        <v>1</v>
      </c>
      <c r="C964" s="8">
        <f>COUNTIFS('All Papers'!$D:$D,"*"&amp;$A964&amp;"*",'All Papers'!$G:$G,"*"&amp;Table1[[#Headers],[Composition]]&amp;"*")</f>
        <v>1</v>
      </c>
      <c r="D964" s="8">
        <f>COUNTIFS('All Papers'!$D:$D,"*"&amp;$A964&amp;"*",'All Papers'!$G:$G,"*"&amp;Table1[[#Headers],[Discovery]]&amp;"*")</f>
        <v>0</v>
      </c>
      <c r="E964" s="8">
        <f>COUNTIFS('All Papers'!$D:$D,"*"&amp;$A964&amp;"*",'All Papers'!$G:$G,"*"&amp;Table1[[#Headers],[Selection]]&amp;"*")</f>
        <v>0</v>
      </c>
      <c r="F964" s="8">
        <f>COUNTIFS('All Papers'!$D:$D,"*"&amp;$A964&amp;"*",'All Papers'!$G:$G,"*"&amp;Table1[[#Headers],[Recommendation]]&amp;"*")</f>
        <v>0</v>
      </c>
      <c r="G964" s="8">
        <f>COUNTIFS('All Papers'!$D:$D,"*"&amp;$A964&amp;"*",'All Papers'!$G:$G,"*"&amp;Table1[[#Headers],[Resource Management-CS]]&amp;"*")</f>
        <v>0</v>
      </c>
      <c r="H964" s="8">
        <f>COUNTIFS('All Papers'!$D:$D,"*"&amp;$A964&amp;"*",'All Papers'!$G:$G,"*"&amp;Table1[[#Headers],[Resource Management-PS]]&amp;"*")</f>
        <v>0</v>
      </c>
      <c r="I964" s="8">
        <f>COUNTIFS('All Papers'!$D:$D,"*"&amp;$A964&amp;"*",'All Papers'!$G:$G,"*"&amp;Table1[[#Headers],[SLA Management]]&amp;"*")</f>
        <v>0</v>
      </c>
      <c r="J964" s="8">
        <f>COUNTIFS('All Papers'!$D:$D,"*"&amp;$A964&amp;"*",'All Papers'!$G:$G,"*"&amp;Table1[[#Headers],[Big Data]]&amp;"*")</f>
        <v>0</v>
      </c>
      <c r="K964" s="8">
        <f>COUNTIFS('All Papers'!$D:$D,"*"&amp;$A964&amp;"*",'All Papers'!$G:$G,"*"&amp;Table1[[#Headers],[Energy Management]]&amp;"*")</f>
        <v>0</v>
      </c>
      <c r="L964" s="8">
        <f>COUNTIFS('All Papers'!$D:$D,"*"&amp;$A964&amp;"*",'All Papers'!$G:$G,"*"&amp;Table1[[#Headers],[Monitoring]]&amp;"*")</f>
        <v>0</v>
      </c>
      <c r="M964" s="8">
        <f>COUNTIFS('All Papers'!$D:$D,"*"&amp;$A964&amp;"*",'All Papers'!$G:$G,"*"&amp;Table1[[#Headers],[Pricing]]&amp;"*")</f>
        <v>0</v>
      </c>
    </row>
    <row r="965" spans="1:13" x14ac:dyDescent="0.25">
      <c r="A965" s="8" t="s">
        <v>3398</v>
      </c>
      <c r="B965" s="8">
        <f>COUNTIF('All Papers'!D:D,"*"&amp;Table1[[#This Row],[Name]]&amp;"*")</f>
        <v>1</v>
      </c>
      <c r="C965" s="8">
        <f>COUNTIFS('All Papers'!$D:$D,"*"&amp;$A965&amp;"*",'All Papers'!$G:$G,"*"&amp;Table1[[#Headers],[Composition]]&amp;"*")</f>
        <v>1</v>
      </c>
      <c r="D965" s="8">
        <f>COUNTIFS('All Papers'!$D:$D,"*"&amp;$A965&amp;"*",'All Papers'!$G:$G,"*"&amp;Table1[[#Headers],[Discovery]]&amp;"*")</f>
        <v>0</v>
      </c>
      <c r="E965" s="8">
        <f>COUNTIFS('All Papers'!$D:$D,"*"&amp;$A965&amp;"*",'All Papers'!$G:$G,"*"&amp;Table1[[#Headers],[Selection]]&amp;"*")</f>
        <v>0</v>
      </c>
      <c r="F965" s="8">
        <f>COUNTIFS('All Papers'!$D:$D,"*"&amp;$A965&amp;"*",'All Papers'!$G:$G,"*"&amp;Table1[[#Headers],[Recommendation]]&amp;"*")</f>
        <v>0</v>
      </c>
      <c r="G965" s="8">
        <f>COUNTIFS('All Papers'!$D:$D,"*"&amp;$A965&amp;"*",'All Papers'!$G:$G,"*"&amp;Table1[[#Headers],[Resource Management-CS]]&amp;"*")</f>
        <v>0</v>
      </c>
      <c r="H965" s="8">
        <f>COUNTIFS('All Papers'!$D:$D,"*"&amp;$A965&amp;"*",'All Papers'!$G:$G,"*"&amp;Table1[[#Headers],[Resource Management-PS]]&amp;"*")</f>
        <v>0</v>
      </c>
      <c r="I965" s="8">
        <f>COUNTIFS('All Papers'!$D:$D,"*"&amp;$A965&amp;"*",'All Papers'!$G:$G,"*"&amp;Table1[[#Headers],[SLA Management]]&amp;"*")</f>
        <v>0</v>
      </c>
      <c r="J965" s="8">
        <f>COUNTIFS('All Papers'!$D:$D,"*"&amp;$A965&amp;"*",'All Papers'!$G:$G,"*"&amp;Table1[[#Headers],[Big Data]]&amp;"*")</f>
        <v>0</v>
      </c>
      <c r="K965" s="8">
        <f>COUNTIFS('All Papers'!$D:$D,"*"&amp;$A965&amp;"*",'All Papers'!$G:$G,"*"&amp;Table1[[#Headers],[Energy Management]]&amp;"*")</f>
        <v>0</v>
      </c>
      <c r="L965" s="8">
        <f>COUNTIFS('All Papers'!$D:$D,"*"&amp;$A965&amp;"*",'All Papers'!$G:$G,"*"&amp;Table1[[#Headers],[Monitoring]]&amp;"*")</f>
        <v>0</v>
      </c>
      <c r="M965" s="8">
        <f>COUNTIFS('All Papers'!$D:$D,"*"&amp;$A965&amp;"*",'All Papers'!$G:$G,"*"&amp;Table1[[#Headers],[Pricing]]&amp;"*")</f>
        <v>0</v>
      </c>
    </row>
    <row r="966" spans="1:13" x14ac:dyDescent="0.25">
      <c r="A966" s="8" t="s">
        <v>3399</v>
      </c>
      <c r="B966" s="8">
        <f>COUNTIF('All Papers'!D:D,"*"&amp;Table1[[#This Row],[Name]]&amp;"*")</f>
        <v>1</v>
      </c>
      <c r="C966" s="8">
        <f>COUNTIFS('All Papers'!$D:$D,"*"&amp;$A966&amp;"*",'All Papers'!$G:$G,"*"&amp;Table1[[#Headers],[Composition]]&amp;"*")</f>
        <v>1</v>
      </c>
      <c r="D966" s="8">
        <f>COUNTIFS('All Papers'!$D:$D,"*"&amp;$A966&amp;"*",'All Papers'!$G:$G,"*"&amp;Table1[[#Headers],[Discovery]]&amp;"*")</f>
        <v>0</v>
      </c>
      <c r="E966" s="8">
        <f>COUNTIFS('All Papers'!$D:$D,"*"&amp;$A966&amp;"*",'All Papers'!$G:$G,"*"&amp;Table1[[#Headers],[Selection]]&amp;"*")</f>
        <v>0</v>
      </c>
      <c r="F966" s="8">
        <f>COUNTIFS('All Papers'!$D:$D,"*"&amp;$A966&amp;"*",'All Papers'!$G:$G,"*"&amp;Table1[[#Headers],[Recommendation]]&amp;"*")</f>
        <v>0</v>
      </c>
      <c r="G966" s="8">
        <f>COUNTIFS('All Papers'!$D:$D,"*"&amp;$A966&amp;"*",'All Papers'!$G:$G,"*"&amp;Table1[[#Headers],[Resource Management-CS]]&amp;"*")</f>
        <v>0</v>
      </c>
      <c r="H966" s="8">
        <f>COUNTIFS('All Papers'!$D:$D,"*"&amp;$A966&amp;"*",'All Papers'!$G:$G,"*"&amp;Table1[[#Headers],[Resource Management-PS]]&amp;"*")</f>
        <v>0</v>
      </c>
      <c r="I966" s="8">
        <f>COUNTIFS('All Papers'!$D:$D,"*"&amp;$A966&amp;"*",'All Papers'!$G:$G,"*"&amp;Table1[[#Headers],[SLA Management]]&amp;"*")</f>
        <v>0</v>
      </c>
      <c r="J966" s="8">
        <f>COUNTIFS('All Papers'!$D:$D,"*"&amp;$A966&amp;"*",'All Papers'!$G:$G,"*"&amp;Table1[[#Headers],[Big Data]]&amp;"*")</f>
        <v>0</v>
      </c>
      <c r="K966" s="8">
        <f>COUNTIFS('All Papers'!$D:$D,"*"&amp;$A966&amp;"*",'All Papers'!$G:$G,"*"&amp;Table1[[#Headers],[Energy Management]]&amp;"*")</f>
        <v>0</v>
      </c>
      <c r="L966" s="8">
        <f>COUNTIFS('All Papers'!$D:$D,"*"&amp;$A966&amp;"*",'All Papers'!$G:$G,"*"&amp;Table1[[#Headers],[Monitoring]]&amp;"*")</f>
        <v>0</v>
      </c>
      <c r="M966" s="8">
        <f>COUNTIFS('All Papers'!$D:$D,"*"&amp;$A966&amp;"*",'All Papers'!$G:$G,"*"&amp;Table1[[#Headers],[Pricing]]&amp;"*")</f>
        <v>0</v>
      </c>
    </row>
    <row r="967" spans="1:13" x14ac:dyDescent="0.25">
      <c r="A967" s="8" t="s">
        <v>3400</v>
      </c>
      <c r="B967" s="8">
        <f>COUNTIF('All Papers'!D:D,"*"&amp;Table1[[#This Row],[Name]]&amp;"*")</f>
        <v>1</v>
      </c>
      <c r="C967" s="8">
        <f>COUNTIFS('All Papers'!$D:$D,"*"&amp;$A967&amp;"*",'All Papers'!$G:$G,"*"&amp;Table1[[#Headers],[Composition]]&amp;"*")</f>
        <v>1</v>
      </c>
      <c r="D967" s="8">
        <f>COUNTIFS('All Papers'!$D:$D,"*"&amp;$A967&amp;"*",'All Papers'!$G:$G,"*"&amp;Table1[[#Headers],[Discovery]]&amp;"*")</f>
        <v>0</v>
      </c>
      <c r="E967" s="8">
        <f>COUNTIFS('All Papers'!$D:$D,"*"&amp;$A967&amp;"*",'All Papers'!$G:$G,"*"&amp;Table1[[#Headers],[Selection]]&amp;"*")</f>
        <v>0</v>
      </c>
      <c r="F967" s="8">
        <f>COUNTIFS('All Papers'!$D:$D,"*"&amp;$A967&amp;"*",'All Papers'!$G:$G,"*"&amp;Table1[[#Headers],[Recommendation]]&amp;"*")</f>
        <v>0</v>
      </c>
      <c r="G967" s="8">
        <f>COUNTIFS('All Papers'!$D:$D,"*"&amp;$A967&amp;"*",'All Papers'!$G:$G,"*"&amp;Table1[[#Headers],[Resource Management-CS]]&amp;"*")</f>
        <v>0</v>
      </c>
      <c r="H967" s="8">
        <f>COUNTIFS('All Papers'!$D:$D,"*"&amp;$A967&amp;"*",'All Papers'!$G:$G,"*"&amp;Table1[[#Headers],[Resource Management-PS]]&amp;"*")</f>
        <v>0</v>
      </c>
      <c r="I967" s="8">
        <f>COUNTIFS('All Papers'!$D:$D,"*"&amp;$A967&amp;"*",'All Papers'!$G:$G,"*"&amp;Table1[[#Headers],[SLA Management]]&amp;"*")</f>
        <v>0</v>
      </c>
      <c r="J967" s="8">
        <f>COUNTIFS('All Papers'!$D:$D,"*"&amp;$A967&amp;"*",'All Papers'!$G:$G,"*"&amp;Table1[[#Headers],[Big Data]]&amp;"*")</f>
        <v>0</v>
      </c>
      <c r="K967" s="8">
        <f>COUNTIFS('All Papers'!$D:$D,"*"&amp;$A967&amp;"*",'All Papers'!$G:$G,"*"&amp;Table1[[#Headers],[Energy Management]]&amp;"*")</f>
        <v>0</v>
      </c>
      <c r="L967" s="8">
        <f>COUNTIFS('All Papers'!$D:$D,"*"&amp;$A967&amp;"*",'All Papers'!$G:$G,"*"&amp;Table1[[#Headers],[Monitoring]]&amp;"*")</f>
        <v>0</v>
      </c>
      <c r="M967" s="8">
        <f>COUNTIFS('All Papers'!$D:$D,"*"&amp;$A967&amp;"*",'All Papers'!$G:$G,"*"&amp;Table1[[#Headers],[Pricing]]&amp;"*")</f>
        <v>0</v>
      </c>
    </row>
    <row r="968" spans="1:13" x14ac:dyDescent="0.25">
      <c r="A968" s="8" t="s">
        <v>3401</v>
      </c>
      <c r="B968" s="8">
        <f>COUNTIF('All Papers'!D:D,"*"&amp;Table1[[#This Row],[Name]]&amp;"*")</f>
        <v>1</v>
      </c>
      <c r="C968" s="8">
        <f>COUNTIFS('All Papers'!$D:$D,"*"&amp;$A968&amp;"*",'All Papers'!$G:$G,"*"&amp;Table1[[#Headers],[Composition]]&amp;"*")</f>
        <v>1</v>
      </c>
      <c r="D968" s="8">
        <f>COUNTIFS('All Papers'!$D:$D,"*"&amp;$A968&amp;"*",'All Papers'!$G:$G,"*"&amp;Table1[[#Headers],[Discovery]]&amp;"*")</f>
        <v>0</v>
      </c>
      <c r="E968" s="8">
        <f>COUNTIFS('All Papers'!$D:$D,"*"&amp;$A968&amp;"*",'All Papers'!$G:$G,"*"&amp;Table1[[#Headers],[Selection]]&amp;"*")</f>
        <v>0</v>
      </c>
      <c r="F968" s="8">
        <f>COUNTIFS('All Papers'!$D:$D,"*"&amp;$A968&amp;"*",'All Papers'!$G:$G,"*"&amp;Table1[[#Headers],[Recommendation]]&amp;"*")</f>
        <v>0</v>
      </c>
      <c r="G968" s="8">
        <f>COUNTIFS('All Papers'!$D:$D,"*"&amp;$A968&amp;"*",'All Papers'!$G:$G,"*"&amp;Table1[[#Headers],[Resource Management-CS]]&amp;"*")</f>
        <v>0</v>
      </c>
      <c r="H968" s="8">
        <f>COUNTIFS('All Papers'!$D:$D,"*"&amp;$A968&amp;"*",'All Papers'!$G:$G,"*"&amp;Table1[[#Headers],[Resource Management-PS]]&amp;"*")</f>
        <v>0</v>
      </c>
      <c r="I968" s="8">
        <f>COUNTIFS('All Papers'!$D:$D,"*"&amp;$A968&amp;"*",'All Papers'!$G:$G,"*"&amp;Table1[[#Headers],[SLA Management]]&amp;"*")</f>
        <v>0</v>
      </c>
      <c r="J968" s="8">
        <f>COUNTIFS('All Papers'!$D:$D,"*"&amp;$A968&amp;"*",'All Papers'!$G:$G,"*"&amp;Table1[[#Headers],[Big Data]]&amp;"*")</f>
        <v>0</v>
      </c>
      <c r="K968" s="8">
        <f>COUNTIFS('All Papers'!$D:$D,"*"&amp;$A968&amp;"*",'All Papers'!$G:$G,"*"&amp;Table1[[#Headers],[Energy Management]]&amp;"*")</f>
        <v>0</v>
      </c>
      <c r="L968" s="8">
        <f>COUNTIFS('All Papers'!$D:$D,"*"&amp;$A968&amp;"*",'All Papers'!$G:$G,"*"&amp;Table1[[#Headers],[Monitoring]]&amp;"*")</f>
        <v>0</v>
      </c>
      <c r="M968" s="8">
        <f>COUNTIFS('All Papers'!$D:$D,"*"&amp;$A968&amp;"*",'All Papers'!$G:$G,"*"&amp;Table1[[#Headers],[Pricing]]&amp;"*")</f>
        <v>0</v>
      </c>
    </row>
    <row r="969" spans="1:13" x14ac:dyDescent="0.25">
      <c r="A969" s="8" t="s">
        <v>3402</v>
      </c>
      <c r="B969" s="8">
        <f>COUNTIF('All Papers'!D:D,"*"&amp;Table1[[#This Row],[Name]]&amp;"*")</f>
        <v>1</v>
      </c>
      <c r="C969" s="8">
        <f>COUNTIFS('All Papers'!$D:$D,"*"&amp;$A969&amp;"*",'All Papers'!$G:$G,"*"&amp;Table1[[#Headers],[Composition]]&amp;"*")</f>
        <v>1</v>
      </c>
      <c r="D969" s="8">
        <f>COUNTIFS('All Papers'!$D:$D,"*"&amp;$A969&amp;"*",'All Papers'!$G:$G,"*"&amp;Table1[[#Headers],[Discovery]]&amp;"*")</f>
        <v>0</v>
      </c>
      <c r="E969" s="8">
        <f>COUNTIFS('All Papers'!$D:$D,"*"&amp;$A969&amp;"*",'All Papers'!$G:$G,"*"&amp;Table1[[#Headers],[Selection]]&amp;"*")</f>
        <v>0</v>
      </c>
      <c r="F969" s="8">
        <f>COUNTIFS('All Papers'!$D:$D,"*"&amp;$A969&amp;"*",'All Papers'!$G:$G,"*"&amp;Table1[[#Headers],[Recommendation]]&amp;"*")</f>
        <v>0</v>
      </c>
      <c r="G969" s="8">
        <f>COUNTIFS('All Papers'!$D:$D,"*"&amp;$A969&amp;"*",'All Papers'!$G:$G,"*"&amp;Table1[[#Headers],[Resource Management-CS]]&amp;"*")</f>
        <v>0</v>
      </c>
      <c r="H969" s="8">
        <f>COUNTIFS('All Papers'!$D:$D,"*"&amp;$A969&amp;"*",'All Papers'!$G:$G,"*"&amp;Table1[[#Headers],[Resource Management-PS]]&amp;"*")</f>
        <v>0</v>
      </c>
      <c r="I969" s="8">
        <f>COUNTIFS('All Papers'!$D:$D,"*"&amp;$A969&amp;"*",'All Papers'!$G:$G,"*"&amp;Table1[[#Headers],[SLA Management]]&amp;"*")</f>
        <v>0</v>
      </c>
      <c r="J969" s="8">
        <f>COUNTIFS('All Papers'!$D:$D,"*"&amp;$A969&amp;"*",'All Papers'!$G:$G,"*"&amp;Table1[[#Headers],[Big Data]]&amp;"*")</f>
        <v>0</v>
      </c>
      <c r="K969" s="8">
        <f>COUNTIFS('All Papers'!$D:$D,"*"&amp;$A969&amp;"*",'All Papers'!$G:$G,"*"&amp;Table1[[#Headers],[Energy Management]]&amp;"*")</f>
        <v>0</v>
      </c>
      <c r="L969" s="8">
        <f>COUNTIFS('All Papers'!$D:$D,"*"&amp;$A969&amp;"*",'All Papers'!$G:$G,"*"&amp;Table1[[#Headers],[Monitoring]]&amp;"*")</f>
        <v>0</v>
      </c>
      <c r="M969" s="8">
        <f>COUNTIFS('All Papers'!$D:$D,"*"&amp;$A969&amp;"*",'All Papers'!$G:$G,"*"&amp;Table1[[#Headers],[Pricing]]&amp;"*")</f>
        <v>0</v>
      </c>
    </row>
    <row r="970" spans="1:13" x14ac:dyDescent="0.25">
      <c r="A970" s="8" t="s">
        <v>3403</v>
      </c>
      <c r="B970" s="8">
        <f>COUNTIF('All Papers'!D:D,"*"&amp;Table1[[#This Row],[Name]]&amp;"*")</f>
        <v>1</v>
      </c>
      <c r="C970" s="8">
        <f>COUNTIFS('All Papers'!$D:$D,"*"&amp;$A970&amp;"*",'All Papers'!$G:$G,"*"&amp;Table1[[#Headers],[Composition]]&amp;"*")</f>
        <v>0</v>
      </c>
      <c r="D970" s="8">
        <f>COUNTIFS('All Papers'!$D:$D,"*"&amp;$A970&amp;"*",'All Papers'!$G:$G,"*"&amp;Table1[[#Headers],[Discovery]]&amp;"*")</f>
        <v>0</v>
      </c>
      <c r="E970" s="8">
        <f>COUNTIFS('All Papers'!$D:$D,"*"&amp;$A970&amp;"*",'All Papers'!$G:$G,"*"&amp;Table1[[#Headers],[Selection]]&amp;"*")</f>
        <v>1</v>
      </c>
      <c r="F970" s="8">
        <f>COUNTIFS('All Papers'!$D:$D,"*"&amp;$A970&amp;"*",'All Papers'!$G:$G,"*"&amp;Table1[[#Headers],[Recommendation]]&amp;"*")</f>
        <v>0</v>
      </c>
      <c r="G970" s="8">
        <f>COUNTIFS('All Papers'!$D:$D,"*"&amp;$A970&amp;"*",'All Papers'!$G:$G,"*"&amp;Table1[[#Headers],[Resource Management-CS]]&amp;"*")</f>
        <v>0</v>
      </c>
      <c r="H970" s="8">
        <f>COUNTIFS('All Papers'!$D:$D,"*"&amp;$A970&amp;"*",'All Papers'!$G:$G,"*"&amp;Table1[[#Headers],[Resource Management-PS]]&amp;"*")</f>
        <v>0</v>
      </c>
      <c r="I970" s="8">
        <f>COUNTIFS('All Papers'!$D:$D,"*"&amp;$A970&amp;"*",'All Papers'!$G:$G,"*"&amp;Table1[[#Headers],[SLA Management]]&amp;"*")</f>
        <v>0</v>
      </c>
      <c r="J970" s="8">
        <f>COUNTIFS('All Papers'!$D:$D,"*"&amp;$A970&amp;"*",'All Papers'!$G:$G,"*"&amp;Table1[[#Headers],[Big Data]]&amp;"*")</f>
        <v>0</v>
      </c>
      <c r="K970" s="8">
        <f>COUNTIFS('All Papers'!$D:$D,"*"&amp;$A970&amp;"*",'All Papers'!$G:$G,"*"&amp;Table1[[#Headers],[Energy Management]]&amp;"*")</f>
        <v>0</v>
      </c>
      <c r="L970" s="8">
        <f>COUNTIFS('All Papers'!$D:$D,"*"&amp;$A970&amp;"*",'All Papers'!$G:$G,"*"&amp;Table1[[#Headers],[Monitoring]]&amp;"*")</f>
        <v>0</v>
      </c>
      <c r="M970" s="8">
        <f>COUNTIFS('All Papers'!$D:$D,"*"&amp;$A970&amp;"*",'All Papers'!$G:$G,"*"&amp;Table1[[#Headers],[Pricing]]&amp;"*")</f>
        <v>0</v>
      </c>
    </row>
    <row r="971" spans="1:13" x14ac:dyDescent="0.25">
      <c r="A971" s="8" t="s">
        <v>3404</v>
      </c>
      <c r="B971" s="8">
        <f>COUNTIF('All Papers'!D:D,"*"&amp;Table1[[#This Row],[Name]]&amp;"*")</f>
        <v>1</v>
      </c>
      <c r="C971" s="8">
        <f>COUNTIFS('All Papers'!$D:$D,"*"&amp;$A971&amp;"*",'All Papers'!$G:$G,"*"&amp;Table1[[#Headers],[Composition]]&amp;"*")</f>
        <v>0</v>
      </c>
      <c r="D971" s="8">
        <f>COUNTIFS('All Papers'!$D:$D,"*"&amp;$A971&amp;"*",'All Papers'!$G:$G,"*"&amp;Table1[[#Headers],[Discovery]]&amp;"*")</f>
        <v>0</v>
      </c>
      <c r="E971" s="8">
        <f>COUNTIFS('All Papers'!$D:$D,"*"&amp;$A971&amp;"*",'All Papers'!$G:$G,"*"&amp;Table1[[#Headers],[Selection]]&amp;"*")</f>
        <v>1</v>
      </c>
      <c r="F971" s="8">
        <f>COUNTIFS('All Papers'!$D:$D,"*"&amp;$A971&amp;"*",'All Papers'!$G:$G,"*"&amp;Table1[[#Headers],[Recommendation]]&amp;"*")</f>
        <v>0</v>
      </c>
      <c r="G971" s="8">
        <f>COUNTIFS('All Papers'!$D:$D,"*"&amp;$A971&amp;"*",'All Papers'!$G:$G,"*"&amp;Table1[[#Headers],[Resource Management-CS]]&amp;"*")</f>
        <v>0</v>
      </c>
      <c r="H971" s="8">
        <f>COUNTIFS('All Papers'!$D:$D,"*"&amp;$A971&amp;"*",'All Papers'!$G:$G,"*"&amp;Table1[[#Headers],[Resource Management-PS]]&amp;"*")</f>
        <v>0</v>
      </c>
      <c r="I971" s="8">
        <f>COUNTIFS('All Papers'!$D:$D,"*"&amp;$A971&amp;"*",'All Papers'!$G:$G,"*"&amp;Table1[[#Headers],[SLA Management]]&amp;"*")</f>
        <v>0</v>
      </c>
      <c r="J971" s="8">
        <f>COUNTIFS('All Papers'!$D:$D,"*"&amp;$A971&amp;"*",'All Papers'!$G:$G,"*"&amp;Table1[[#Headers],[Big Data]]&amp;"*")</f>
        <v>0</v>
      </c>
      <c r="K971" s="8">
        <f>COUNTIFS('All Papers'!$D:$D,"*"&amp;$A971&amp;"*",'All Papers'!$G:$G,"*"&amp;Table1[[#Headers],[Energy Management]]&amp;"*")</f>
        <v>0</v>
      </c>
      <c r="L971" s="8">
        <f>COUNTIFS('All Papers'!$D:$D,"*"&amp;$A971&amp;"*",'All Papers'!$G:$G,"*"&amp;Table1[[#Headers],[Monitoring]]&amp;"*")</f>
        <v>0</v>
      </c>
      <c r="M971" s="8">
        <f>COUNTIFS('All Papers'!$D:$D,"*"&amp;$A971&amp;"*",'All Papers'!$G:$G,"*"&amp;Table1[[#Headers],[Pricing]]&amp;"*")</f>
        <v>0</v>
      </c>
    </row>
    <row r="972" spans="1:13" x14ac:dyDescent="0.25">
      <c r="A972" s="8" t="s">
        <v>3405</v>
      </c>
      <c r="B972" s="8">
        <f>COUNTIF('All Papers'!D:D,"*"&amp;Table1[[#This Row],[Name]]&amp;"*")</f>
        <v>1</v>
      </c>
      <c r="C972" s="8">
        <f>COUNTIFS('All Papers'!$D:$D,"*"&amp;$A972&amp;"*",'All Papers'!$G:$G,"*"&amp;Table1[[#Headers],[Composition]]&amp;"*")</f>
        <v>0</v>
      </c>
      <c r="D972" s="8">
        <f>COUNTIFS('All Papers'!$D:$D,"*"&amp;$A972&amp;"*",'All Papers'!$G:$G,"*"&amp;Table1[[#Headers],[Discovery]]&amp;"*")</f>
        <v>0</v>
      </c>
      <c r="E972" s="8">
        <f>COUNTIFS('All Papers'!$D:$D,"*"&amp;$A972&amp;"*",'All Papers'!$G:$G,"*"&amp;Table1[[#Headers],[Selection]]&amp;"*")</f>
        <v>1</v>
      </c>
      <c r="F972" s="8">
        <f>COUNTIFS('All Papers'!$D:$D,"*"&amp;$A972&amp;"*",'All Papers'!$G:$G,"*"&amp;Table1[[#Headers],[Recommendation]]&amp;"*")</f>
        <v>0</v>
      </c>
      <c r="G972" s="8">
        <f>COUNTIFS('All Papers'!$D:$D,"*"&amp;$A972&amp;"*",'All Papers'!$G:$G,"*"&amp;Table1[[#Headers],[Resource Management-CS]]&amp;"*")</f>
        <v>0</v>
      </c>
      <c r="H972" s="8">
        <f>COUNTIFS('All Papers'!$D:$D,"*"&amp;$A972&amp;"*",'All Papers'!$G:$G,"*"&amp;Table1[[#Headers],[Resource Management-PS]]&amp;"*")</f>
        <v>0</v>
      </c>
      <c r="I972" s="8">
        <f>COUNTIFS('All Papers'!$D:$D,"*"&amp;$A972&amp;"*",'All Papers'!$G:$G,"*"&amp;Table1[[#Headers],[SLA Management]]&amp;"*")</f>
        <v>0</v>
      </c>
      <c r="J972" s="8">
        <f>COUNTIFS('All Papers'!$D:$D,"*"&amp;$A972&amp;"*",'All Papers'!$G:$G,"*"&amp;Table1[[#Headers],[Big Data]]&amp;"*")</f>
        <v>0</v>
      </c>
      <c r="K972" s="8">
        <f>COUNTIFS('All Papers'!$D:$D,"*"&amp;$A972&amp;"*",'All Papers'!$G:$G,"*"&amp;Table1[[#Headers],[Energy Management]]&amp;"*")</f>
        <v>0</v>
      </c>
      <c r="L972" s="8">
        <f>COUNTIFS('All Papers'!$D:$D,"*"&amp;$A972&amp;"*",'All Papers'!$G:$G,"*"&amp;Table1[[#Headers],[Monitoring]]&amp;"*")</f>
        <v>0</v>
      </c>
      <c r="M972" s="8">
        <f>COUNTIFS('All Papers'!$D:$D,"*"&amp;$A972&amp;"*",'All Papers'!$G:$G,"*"&amp;Table1[[#Headers],[Pricing]]&amp;"*")</f>
        <v>0</v>
      </c>
    </row>
    <row r="973" spans="1:13" x14ac:dyDescent="0.25">
      <c r="A973" s="8" t="s">
        <v>3406</v>
      </c>
      <c r="B973" s="8">
        <f>COUNTIF('All Papers'!D:D,"*"&amp;Table1[[#This Row],[Name]]&amp;"*")</f>
        <v>1</v>
      </c>
      <c r="C973" s="8">
        <f>COUNTIFS('All Papers'!$D:$D,"*"&amp;$A973&amp;"*",'All Papers'!$G:$G,"*"&amp;Table1[[#Headers],[Composition]]&amp;"*")</f>
        <v>0</v>
      </c>
      <c r="D973" s="8">
        <f>COUNTIFS('All Papers'!$D:$D,"*"&amp;$A973&amp;"*",'All Papers'!$G:$G,"*"&amp;Table1[[#Headers],[Discovery]]&amp;"*")</f>
        <v>0</v>
      </c>
      <c r="E973" s="8">
        <f>COUNTIFS('All Papers'!$D:$D,"*"&amp;$A973&amp;"*",'All Papers'!$G:$G,"*"&amp;Table1[[#Headers],[Selection]]&amp;"*")</f>
        <v>1</v>
      </c>
      <c r="F973" s="8">
        <f>COUNTIFS('All Papers'!$D:$D,"*"&amp;$A973&amp;"*",'All Papers'!$G:$G,"*"&amp;Table1[[#Headers],[Recommendation]]&amp;"*")</f>
        <v>0</v>
      </c>
      <c r="G973" s="8">
        <f>COUNTIFS('All Papers'!$D:$D,"*"&amp;$A973&amp;"*",'All Papers'!$G:$G,"*"&amp;Table1[[#Headers],[Resource Management-CS]]&amp;"*")</f>
        <v>0</v>
      </c>
      <c r="H973" s="8">
        <f>COUNTIFS('All Papers'!$D:$D,"*"&amp;$A973&amp;"*",'All Papers'!$G:$G,"*"&amp;Table1[[#Headers],[Resource Management-PS]]&amp;"*")</f>
        <v>0</v>
      </c>
      <c r="I973" s="8">
        <f>COUNTIFS('All Papers'!$D:$D,"*"&amp;$A973&amp;"*",'All Papers'!$G:$G,"*"&amp;Table1[[#Headers],[SLA Management]]&amp;"*")</f>
        <v>0</v>
      </c>
      <c r="J973" s="8">
        <f>COUNTIFS('All Papers'!$D:$D,"*"&amp;$A973&amp;"*",'All Papers'!$G:$G,"*"&amp;Table1[[#Headers],[Big Data]]&amp;"*")</f>
        <v>0</v>
      </c>
      <c r="K973" s="8">
        <f>COUNTIFS('All Papers'!$D:$D,"*"&amp;$A973&amp;"*",'All Papers'!$G:$G,"*"&amp;Table1[[#Headers],[Energy Management]]&amp;"*")</f>
        <v>0</v>
      </c>
      <c r="L973" s="8">
        <f>COUNTIFS('All Papers'!$D:$D,"*"&amp;$A973&amp;"*",'All Papers'!$G:$G,"*"&amp;Table1[[#Headers],[Monitoring]]&amp;"*")</f>
        <v>0</v>
      </c>
      <c r="M973" s="8">
        <f>COUNTIFS('All Papers'!$D:$D,"*"&amp;$A973&amp;"*",'All Papers'!$G:$G,"*"&amp;Table1[[#Headers],[Pricing]]&amp;"*")</f>
        <v>0</v>
      </c>
    </row>
    <row r="974" spans="1:13" x14ac:dyDescent="0.25">
      <c r="A974" s="8" t="s">
        <v>3407</v>
      </c>
      <c r="B974" s="8">
        <f>COUNTIF('All Papers'!D:D,"*"&amp;Table1[[#This Row],[Name]]&amp;"*")</f>
        <v>1</v>
      </c>
      <c r="C974" s="8">
        <f>COUNTIFS('All Papers'!$D:$D,"*"&amp;$A974&amp;"*",'All Papers'!$G:$G,"*"&amp;Table1[[#Headers],[Composition]]&amp;"*")</f>
        <v>0</v>
      </c>
      <c r="D974" s="8">
        <f>COUNTIFS('All Papers'!$D:$D,"*"&amp;$A974&amp;"*",'All Papers'!$G:$G,"*"&amp;Table1[[#Headers],[Discovery]]&amp;"*")</f>
        <v>0</v>
      </c>
      <c r="E974" s="8">
        <f>COUNTIFS('All Papers'!$D:$D,"*"&amp;$A974&amp;"*",'All Papers'!$G:$G,"*"&amp;Table1[[#Headers],[Selection]]&amp;"*")</f>
        <v>1</v>
      </c>
      <c r="F974" s="8">
        <f>COUNTIFS('All Papers'!$D:$D,"*"&amp;$A974&amp;"*",'All Papers'!$G:$G,"*"&amp;Table1[[#Headers],[Recommendation]]&amp;"*")</f>
        <v>0</v>
      </c>
      <c r="G974" s="8">
        <f>COUNTIFS('All Papers'!$D:$D,"*"&amp;$A974&amp;"*",'All Papers'!$G:$G,"*"&amp;Table1[[#Headers],[Resource Management-CS]]&amp;"*")</f>
        <v>0</v>
      </c>
      <c r="H974" s="8">
        <f>COUNTIFS('All Papers'!$D:$D,"*"&amp;$A974&amp;"*",'All Papers'!$G:$G,"*"&amp;Table1[[#Headers],[Resource Management-PS]]&amp;"*")</f>
        <v>0</v>
      </c>
      <c r="I974" s="8">
        <f>COUNTIFS('All Papers'!$D:$D,"*"&amp;$A974&amp;"*",'All Papers'!$G:$G,"*"&amp;Table1[[#Headers],[SLA Management]]&amp;"*")</f>
        <v>0</v>
      </c>
      <c r="J974" s="8">
        <f>COUNTIFS('All Papers'!$D:$D,"*"&amp;$A974&amp;"*",'All Papers'!$G:$G,"*"&amp;Table1[[#Headers],[Big Data]]&amp;"*")</f>
        <v>0</v>
      </c>
      <c r="K974" s="8">
        <f>COUNTIFS('All Papers'!$D:$D,"*"&amp;$A974&amp;"*",'All Papers'!$G:$G,"*"&amp;Table1[[#Headers],[Energy Management]]&amp;"*")</f>
        <v>0</v>
      </c>
      <c r="L974" s="8">
        <f>COUNTIFS('All Papers'!$D:$D,"*"&amp;$A974&amp;"*",'All Papers'!$G:$G,"*"&amp;Table1[[#Headers],[Monitoring]]&amp;"*")</f>
        <v>0</v>
      </c>
      <c r="M974" s="8">
        <f>COUNTIFS('All Papers'!$D:$D,"*"&amp;$A974&amp;"*",'All Papers'!$G:$G,"*"&amp;Table1[[#Headers],[Pricing]]&amp;"*")</f>
        <v>0</v>
      </c>
    </row>
    <row r="975" spans="1:13" x14ac:dyDescent="0.25">
      <c r="A975" s="8" t="s">
        <v>3408</v>
      </c>
      <c r="B975" s="8">
        <f>COUNTIF('All Papers'!D:D,"*"&amp;Table1[[#This Row],[Name]]&amp;"*")</f>
        <v>1</v>
      </c>
      <c r="C975" s="8">
        <f>COUNTIFS('All Papers'!$D:$D,"*"&amp;$A975&amp;"*",'All Papers'!$G:$G,"*"&amp;Table1[[#Headers],[Composition]]&amp;"*")</f>
        <v>0</v>
      </c>
      <c r="D975" s="8">
        <f>COUNTIFS('All Papers'!$D:$D,"*"&amp;$A975&amp;"*",'All Papers'!$G:$G,"*"&amp;Table1[[#Headers],[Discovery]]&amp;"*")</f>
        <v>0</v>
      </c>
      <c r="E975" s="8">
        <f>COUNTIFS('All Papers'!$D:$D,"*"&amp;$A975&amp;"*",'All Papers'!$G:$G,"*"&amp;Table1[[#Headers],[Selection]]&amp;"*")</f>
        <v>0</v>
      </c>
      <c r="F975" s="8">
        <f>COUNTIFS('All Papers'!$D:$D,"*"&amp;$A975&amp;"*",'All Papers'!$G:$G,"*"&amp;Table1[[#Headers],[Recommendation]]&amp;"*")</f>
        <v>0</v>
      </c>
      <c r="G975" s="8">
        <f>COUNTIFS('All Papers'!$D:$D,"*"&amp;$A975&amp;"*",'All Papers'!$G:$G,"*"&amp;Table1[[#Headers],[Resource Management-CS]]&amp;"*")</f>
        <v>1</v>
      </c>
      <c r="H975" s="8">
        <f>COUNTIFS('All Papers'!$D:$D,"*"&amp;$A975&amp;"*",'All Papers'!$G:$G,"*"&amp;Table1[[#Headers],[Resource Management-PS]]&amp;"*")</f>
        <v>0</v>
      </c>
      <c r="I975" s="8">
        <f>COUNTIFS('All Papers'!$D:$D,"*"&amp;$A975&amp;"*",'All Papers'!$G:$G,"*"&amp;Table1[[#Headers],[SLA Management]]&amp;"*")</f>
        <v>0</v>
      </c>
      <c r="J975" s="8">
        <f>COUNTIFS('All Papers'!$D:$D,"*"&amp;$A975&amp;"*",'All Papers'!$G:$G,"*"&amp;Table1[[#Headers],[Big Data]]&amp;"*")</f>
        <v>0</v>
      </c>
      <c r="K975" s="8">
        <f>COUNTIFS('All Papers'!$D:$D,"*"&amp;$A975&amp;"*",'All Papers'!$G:$G,"*"&amp;Table1[[#Headers],[Energy Management]]&amp;"*")</f>
        <v>0</v>
      </c>
      <c r="L975" s="8">
        <f>COUNTIFS('All Papers'!$D:$D,"*"&amp;$A975&amp;"*",'All Papers'!$G:$G,"*"&amp;Table1[[#Headers],[Monitoring]]&amp;"*")</f>
        <v>0</v>
      </c>
      <c r="M975" s="8">
        <f>COUNTIFS('All Papers'!$D:$D,"*"&amp;$A975&amp;"*",'All Papers'!$G:$G,"*"&amp;Table1[[#Headers],[Pricing]]&amp;"*")</f>
        <v>0</v>
      </c>
    </row>
    <row r="976" spans="1:13" x14ac:dyDescent="0.25">
      <c r="A976" s="8" t="s">
        <v>3409</v>
      </c>
      <c r="B976" s="8">
        <f>COUNTIF('All Papers'!D:D,"*"&amp;Table1[[#This Row],[Name]]&amp;"*")</f>
        <v>1</v>
      </c>
      <c r="C976" s="8">
        <f>COUNTIFS('All Papers'!$D:$D,"*"&amp;$A976&amp;"*",'All Papers'!$G:$G,"*"&amp;Table1[[#Headers],[Composition]]&amp;"*")</f>
        <v>0</v>
      </c>
      <c r="D976" s="8">
        <f>COUNTIFS('All Papers'!$D:$D,"*"&amp;$A976&amp;"*",'All Papers'!$G:$G,"*"&amp;Table1[[#Headers],[Discovery]]&amp;"*")</f>
        <v>0</v>
      </c>
      <c r="E976" s="8">
        <f>COUNTIFS('All Papers'!$D:$D,"*"&amp;$A976&amp;"*",'All Papers'!$G:$G,"*"&amp;Table1[[#Headers],[Selection]]&amp;"*")</f>
        <v>0</v>
      </c>
      <c r="F976" s="8">
        <f>COUNTIFS('All Papers'!$D:$D,"*"&amp;$A976&amp;"*",'All Papers'!$G:$G,"*"&amp;Table1[[#Headers],[Recommendation]]&amp;"*")</f>
        <v>0</v>
      </c>
      <c r="G976" s="8">
        <f>COUNTIFS('All Papers'!$D:$D,"*"&amp;$A976&amp;"*",'All Papers'!$G:$G,"*"&amp;Table1[[#Headers],[Resource Management-CS]]&amp;"*")</f>
        <v>1</v>
      </c>
      <c r="H976" s="8">
        <f>COUNTIFS('All Papers'!$D:$D,"*"&amp;$A976&amp;"*",'All Papers'!$G:$G,"*"&amp;Table1[[#Headers],[Resource Management-PS]]&amp;"*")</f>
        <v>0</v>
      </c>
      <c r="I976" s="8">
        <f>COUNTIFS('All Papers'!$D:$D,"*"&amp;$A976&amp;"*",'All Papers'!$G:$G,"*"&amp;Table1[[#Headers],[SLA Management]]&amp;"*")</f>
        <v>0</v>
      </c>
      <c r="J976" s="8">
        <f>COUNTIFS('All Papers'!$D:$D,"*"&amp;$A976&amp;"*",'All Papers'!$G:$G,"*"&amp;Table1[[#Headers],[Big Data]]&amp;"*")</f>
        <v>0</v>
      </c>
      <c r="K976" s="8">
        <f>COUNTIFS('All Papers'!$D:$D,"*"&amp;$A976&amp;"*",'All Papers'!$G:$G,"*"&amp;Table1[[#Headers],[Energy Management]]&amp;"*")</f>
        <v>0</v>
      </c>
      <c r="L976" s="8">
        <f>COUNTIFS('All Papers'!$D:$D,"*"&amp;$A976&amp;"*",'All Papers'!$G:$G,"*"&amp;Table1[[#Headers],[Monitoring]]&amp;"*")</f>
        <v>0</v>
      </c>
      <c r="M976" s="8">
        <f>COUNTIFS('All Papers'!$D:$D,"*"&amp;$A976&amp;"*",'All Papers'!$G:$G,"*"&amp;Table1[[#Headers],[Pricing]]&amp;"*")</f>
        <v>0</v>
      </c>
    </row>
    <row r="977" spans="1:13" x14ac:dyDescent="0.25">
      <c r="A977" s="8" t="s">
        <v>3410</v>
      </c>
      <c r="B977" s="8">
        <f>COUNTIF('All Papers'!D:D,"*"&amp;Table1[[#This Row],[Name]]&amp;"*")</f>
        <v>1</v>
      </c>
      <c r="C977" s="8">
        <f>COUNTIFS('All Papers'!$D:$D,"*"&amp;$A977&amp;"*",'All Papers'!$G:$G,"*"&amp;Table1[[#Headers],[Composition]]&amp;"*")</f>
        <v>0</v>
      </c>
      <c r="D977" s="8">
        <f>COUNTIFS('All Papers'!$D:$D,"*"&amp;$A977&amp;"*",'All Papers'!$G:$G,"*"&amp;Table1[[#Headers],[Discovery]]&amp;"*")</f>
        <v>0</v>
      </c>
      <c r="E977" s="8">
        <f>COUNTIFS('All Papers'!$D:$D,"*"&amp;$A977&amp;"*",'All Papers'!$G:$G,"*"&amp;Table1[[#Headers],[Selection]]&amp;"*")</f>
        <v>0</v>
      </c>
      <c r="F977" s="8">
        <f>COUNTIFS('All Papers'!$D:$D,"*"&amp;$A977&amp;"*",'All Papers'!$G:$G,"*"&amp;Table1[[#Headers],[Recommendation]]&amp;"*")</f>
        <v>0</v>
      </c>
      <c r="G977" s="8">
        <f>COUNTIFS('All Papers'!$D:$D,"*"&amp;$A977&amp;"*",'All Papers'!$G:$G,"*"&amp;Table1[[#Headers],[Resource Management-CS]]&amp;"*")</f>
        <v>1</v>
      </c>
      <c r="H977" s="8">
        <f>COUNTIFS('All Papers'!$D:$D,"*"&amp;$A977&amp;"*",'All Papers'!$G:$G,"*"&amp;Table1[[#Headers],[Resource Management-PS]]&amp;"*")</f>
        <v>0</v>
      </c>
      <c r="I977" s="8">
        <f>COUNTIFS('All Papers'!$D:$D,"*"&amp;$A977&amp;"*",'All Papers'!$G:$G,"*"&amp;Table1[[#Headers],[SLA Management]]&amp;"*")</f>
        <v>0</v>
      </c>
      <c r="J977" s="8">
        <f>COUNTIFS('All Papers'!$D:$D,"*"&amp;$A977&amp;"*",'All Papers'!$G:$G,"*"&amp;Table1[[#Headers],[Big Data]]&amp;"*")</f>
        <v>0</v>
      </c>
      <c r="K977" s="8">
        <f>COUNTIFS('All Papers'!$D:$D,"*"&amp;$A977&amp;"*",'All Papers'!$G:$G,"*"&amp;Table1[[#Headers],[Energy Management]]&amp;"*")</f>
        <v>0</v>
      </c>
      <c r="L977" s="8">
        <f>COUNTIFS('All Papers'!$D:$D,"*"&amp;$A977&amp;"*",'All Papers'!$G:$G,"*"&amp;Table1[[#Headers],[Monitoring]]&amp;"*")</f>
        <v>0</v>
      </c>
      <c r="M977" s="8">
        <f>COUNTIFS('All Papers'!$D:$D,"*"&amp;$A977&amp;"*",'All Papers'!$G:$G,"*"&amp;Table1[[#Headers],[Pricing]]&amp;"*")</f>
        <v>0</v>
      </c>
    </row>
    <row r="978" spans="1:13" x14ac:dyDescent="0.25">
      <c r="A978" s="8" t="s">
        <v>3411</v>
      </c>
      <c r="B978" s="8">
        <f>COUNTIF('All Papers'!D:D,"*"&amp;Table1[[#This Row],[Name]]&amp;"*")</f>
        <v>1</v>
      </c>
      <c r="C978" s="8">
        <f>COUNTIFS('All Papers'!$D:$D,"*"&amp;$A978&amp;"*",'All Papers'!$G:$G,"*"&amp;Table1[[#Headers],[Composition]]&amp;"*")</f>
        <v>1</v>
      </c>
      <c r="D978" s="8">
        <f>COUNTIFS('All Papers'!$D:$D,"*"&amp;$A978&amp;"*",'All Papers'!$G:$G,"*"&amp;Table1[[#Headers],[Discovery]]&amp;"*")</f>
        <v>0</v>
      </c>
      <c r="E978" s="8">
        <f>COUNTIFS('All Papers'!$D:$D,"*"&amp;$A978&amp;"*",'All Papers'!$G:$G,"*"&amp;Table1[[#Headers],[Selection]]&amp;"*")</f>
        <v>0</v>
      </c>
      <c r="F978" s="8">
        <f>COUNTIFS('All Papers'!$D:$D,"*"&amp;$A978&amp;"*",'All Papers'!$G:$G,"*"&amp;Table1[[#Headers],[Recommendation]]&amp;"*")</f>
        <v>0</v>
      </c>
      <c r="G978" s="8">
        <f>COUNTIFS('All Papers'!$D:$D,"*"&amp;$A978&amp;"*",'All Papers'!$G:$G,"*"&amp;Table1[[#Headers],[Resource Management-CS]]&amp;"*")</f>
        <v>0</v>
      </c>
      <c r="H978" s="8">
        <f>COUNTIFS('All Papers'!$D:$D,"*"&amp;$A978&amp;"*",'All Papers'!$G:$G,"*"&amp;Table1[[#Headers],[Resource Management-PS]]&amp;"*")</f>
        <v>0</v>
      </c>
      <c r="I978" s="8">
        <f>COUNTIFS('All Papers'!$D:$D,"*"&amp;$A978&amp;"*",'All Papers'!$G:$G,"*"&amp;Table1[[#Headers],[SLA Management]]&amp;"*")</f>
        <v>0</v>
      </c>
      <c r="J978" s="8">
        <f>COUNTIFS('All Papers'!$D:$D,"*"&amp;$A978&amp;"*",'All Papers'!$G:$G,"*"&amp;Table1[[#Headers],[Big Data]]&amp;"*")</f>
        <v>0</v>
      </c>
      <c r="K978" s="8">
        <f>COUNTIFS('All Papers'!$D:$D,"*"&amp;$A978&amp;"*",'All Papers'!$G:$G,"*"&amp;Table1[[#Headers],[Energy Management]]&amp;"*")</f>
        <v>0</v>
      </c>
      <c r="L978" s="8">
        <f>COUNTIFS('All Papers'!$D:$D,"*"&amp;$A978&amp;"*",'All Papers'!$G:$G,"*"&amp;Table1[[#Headers],[Monitoring]]&amp;"*")</f>
        <v>0</v>
      </c>
      <c r="M978" s="8">
        <f>COUNTIFS('All Papers'!$D:$D,"*"&amp;$A978&amp;"*",'All Papers'!$G:$G,"*"&amp;Table1[[#Headers],[Pricing]]&amp;"*")</f>
        <v>0</v>
      </c>
    </row>
    <row r="979" spans="1:13" x14ac:dyDescent="0.25">
      <c r="A979" s="8" t="s">
        <v>3412</v>
      </c>
      <c r="B979" s="8">
        <f>COUNTIF('All Papers'!D:D,"*"&amp;Table1[[#This Row],[Name]]&amp;"*")</f>
        <v>1</v>
      </c>
      <c r="C979" s="8">
        <f>COUNTIFS('All Papers'!$D:$D,"*"&amp;$A979&amp;"*",'All Papers'!$G:$G,"*"&amp;Table1[[#Headers],[Composition]]&amp;"*")</f>
        <v>0</v>
      </c>
      <c r="D979" s="8">
        <f>COUNTIFS('All Papers'!$D:$D,"*"&amp;$A979&amp;"*",'All Papers'!$G:$G,"*"&amp;Table1[[#Headers],[Discovery]]&amp;"*")</f>
        <v>0</v>
      </c>
      <c r="E979" s="8">
        <f>COUNTIFS('All Papers'!$D:$D,"*"&amp;$A979&amp;"*",'All Papers'!$G:$G,"*"&amp;Table1[[#Headers],[Selection]]&amp;"*")</f>
        <v>1</v>
      </c>
      <c r="F979" s="8">
        <f>COUNTIFS('All Papers'!$D:$D,"*"&amp;$A979&amp;"*",'All Papers'!$G:$G,"*"&amp;Table1[[#Headers],[Recommendation]]&amp;"*")</f>
        <v>0</v>
      </c>
      <c r="G979" s="8">
        <f>COUNTIFS('All Papers'!$D:$D,"*"&amp;$A979&amp;"*",'All Papers'!$G:$G,"*"&amp;Table1[[#Headers],[Resource Management-CS]]&amp;"*")</f>
        <v>0</v>
      </c>
      <c r="H979" s="8">
        <f>COUNTIFS('All Papers'!$D:$D,"*"&amp;$A979&amp;"*",'All Papers'!$G:$G,"*"&amp;Table1[[#Headers],[Resource Management-PS]]&amp;"*")</f>
        <v>0</v>
      </c>
      <c r="I979" s="8">
        <f>COUNTIFS('All Papers'!$D:$D,"*"&amp;$A979&amp;"*",'All Papers'!$G:$G,"*"&amp;Table1[[#Headers],[SLA Management]]&amp;"*")</f>
        <v>0</v>
      </c>
      <c r="J979" s="8">
        <f>COUNTIFS('All Papers'!$D:$D,"*"&amp;$A979&amp;"*",'All Papers'!$G:$G,"*"&amp;Table1[[#Headers],[Big Data]]&amp;"*")</f>
        <v>0</v>
      </c>
      <c r="K979" s="8">
        <f>COUNTIFS('All Papers'!$D:$D,"*"&amp;$A979&amp;"*",'All Papers'!$G:$G,"*"&amp;Table1[[#Headers],[Energy Management]]&amp;"*")</f>
        <v>0</v>
      </c>
      <c r="L979" s="8">
        <f>COUNTIFS('All Papers'!$D:$D,"*"&amp;$A979&amp;"*",'All Papers'!$G:$G,"*"&amp;Table1[[#Headers],[Monitoring]]&amp;"*")</f>
        <v>0</v>
      </c>
      <c r="M979" s="8">
        <f>COUNTIFS('All Papers'!$D:$D,"*"&amp;$A979&amp;"*",'All Papers'!$G:$G,"*"&amp;Table1[[#Headers],[Pricing]]&amp;"*")</f>
        <v>0</v>
      </c>
    </row>
    <row r="980" spans="1:13" x14ac:dyDescent="0.25">
      <c r="A980" s="8" t="s">
        <v>3413</v>
      </c>
      <c r="B980" s="8">
        <f>COUNTIF('All Papers'!D:D,"*"&amp;Table1[[#This Row],[Name]]&amp;"*")</f>
        <v>1</v>
      </c>
      <c r="C980" s="8">
        <f>COUNTIFS('All Papers'!$D:$D,"*"&amp;$A980&amp;"*",'All Papers'!$G:$G,"*"&amp;Table1[[#Headers],[Composition]]&amp;"*")</f>
        <v>0</v>
      </c>
      <c r="D980" s="8">
        <f>COUNTIFS('All Papers'!$D:$D,"*"&amp;$A980&amp;"*",'All Papers'!$G:$G,"*"&amp;Table1[[#Headers],[Discovery]]&amp;"*")</f>
        <v>0</v>
      </c>
      <c r="E980" s="8">
        <f>COUNTIFS('All Papers'!$D:$D,"*"&amp;$A980&amp;"*",'All Papers'!$G:$G,"*"&amp;Table1[[#Headers],[Selection]]&amp;"*")</f>
        <v>1</v>
      </c>
      <c r="F980" s="8">
        <f>COUNTIFS('All Papers'!$D:$D,"*"&amp;$A980&amp;"*",'All Papers'!$G:$G,"*"&amp;Table1[[#Headers],[Recommendation]]&amp;"*")</f>
        <v>0</v>
      </c>
      <c r="G980" s="8">
        <f>COUNTIFS('All Papers'!$D:$D,"*"&amp;$A980&amp;"*",'All Papers'!$G:$G,"*"&amp;Table1[[#Headers],[Resource Management-CS]]&amp;"*")</f>
        <v>0</v>
      </c>
      <c r="H980" s="8">
        <f>COUNTIFS('All Papers'!$D:$D,"*"&amp;$A980&amp;"*",'All Papers'!$G:$G,"*"&amp;Table1[[#Headers],[Resource Management-PS]]&amp;"*")</f>
        <v>0</v>
      </c>
      <c r="I980" s="8">
        <f>COUNTIFS('All Papers'!$D:$D,"*"&amp;$A980&amp;"*",'All Papers'!$G:$G,"*"&amp;Table1[[#Headers],[SLA Management]]&amp;"*")</f>
        <v>0</v>
      </c>
      <c r="J980" s="8">
        <f>COUNTIFS('All Papers'!$D:$D,"*"&amp;$A980&amp;"*",'All Papers'!$G:$G,"*"&amp;Table1[[#Headers],[Big Data]]&amp;"*")</f>
        <v>0</v>
      </c>
      <c r="K980" s="8">
        <f>COUNTIFS('All Papers'!$D:$D,"*"&amp;$A980&amp;"*",'All Papers'!$G:$G,"*"&amp;Table1[[#Headers],[Energy Management]]&amp;"*")</f>
        <v>0</v>
      </c>
      <c r="L980" s="8">
        <f>COUNTIFS('All Papers'!$D:$D,"*"&amp;$A980&amp;"*",'All Papers'!$G:$G,"*"&amp;Table1[[#Headers],[Monitoring]]&amp;"*")</f>
        <v>0</v>
      </c>
      <c r="M980" s="8">
        <f>COUNTIFS('All Papers'!$D:$D,"*"&amp;$A980&amp;"*",'All Papers'!$G:$G,"*"&amp;Table1[[#Headers],[Pricing]]&amp;"*")</f>
        <v>0</v>
      </c>
    </row>
    <row r="981" spans="1:13" x14ac:dyDescent="0.25">
      <c r="A981" s="8" t="s">
        <v>3414</v>
      </c>
      <c r="B981" s="8">
        <f>COUNTIF('All Papers'!D:D,"*"&amp;Table1[[#This Row],[Name]]&amp;"*")</f>
        <v>1</v>
      </c>
      <c r="C981" s="8">
        <f>COUNTIFS('All Papers'!$D:$D,"*"&amp;$A981&amp;"*",'All Papers'!$G:$G,"*"&amp;Table1[[#Headers],[Composition]]&amp;"*")</f>
        <v>1</v>
      </c>
      <c r="D981" s="8">
        <f>COUNTIFS('All Papers'!$D:$D,"*"&amp;$A981&amp;"*",'All Papers'!$G:$G,"*"&amp;Table1[[#Headers],[Discovery]]&amp;"*")</f>
        <v>0</v>
      </c>
      <c r="E981" s="8">
        <f>COUNTIFS('All Papers'!$D:$D,"*"&amp;$A981&amp;"*",'All Papers'!$G:$G,"*"&amp;Table1[[#Headers],[Selection]]&amp;"*")</f>
        <v>0</v>
      </c>
      <c r="F981" s="8">
        <f>COUNTIFS('All Papers'!$D:$D,"*"&amp;$A981&amp;"*",'All Papers'!$G:$G,"*"&amp;Table1[[#Headers],[Recommendation]]&amp;"*")</f>
        <v>0</v>
      </c>
      <c r="G981" s="8">
        <f>COUNTIFS('All Papers'!$D:$D,"*"&amp;$A981&amp;"*",'All Papers'!$G:$G,"*"&amp;Table1[[#Headers],[Resource Management-CS]]&amp;"*")</f>
        <v>0</v>
      </c>
      <c r="H981" s="8">
        <f>COUNTIFS('All Papers'!$D:$D,"*"&amp;$A981&amp;"*",'All Papers'!$G:$G,"*"&amp;Table1[[#Headers],[Resource Management-PS]]&amp;"*")</f>
        <v>0</v>
      </c>
      <c r="I981" s="8">
        <f>COUNTIFS('All Papers'!$D:$D,"*"&amp;$A981&amp;"*",'All Papers'!$G:$G,"*"&amp;Table1[[#Headers],[SLA Management]]&amp;"*")</f>
        <v>0</v>
      </c>
      <c r="J981" s="8">
        <f>COUNTIFS('All Papers'!$D:$D,"*"&amp;$A981&amp;"*",'All Papers'!$G:$G,"*"&amp;Table1[[#Headers],[Big Data]]&amp;"*")</f>
        <v>0</v>
      </c>
      <c r="K981" s="8">
        <f>COUNTIFS('All Papers'!$D:$D,"*"&amp;$A981&amp;"*",'All Papers'!$G:$G,"*"&amp;Table1[[#Headers],[Energy Management]]&amp;"*")</f>
        <v>0</v>
      </c>
      <c r="L981" s="8">
        <f>COUNTIFS('All Papers'!$D:$D,"*"&amp;$A981&amp;"*",'All Papers'!$G:$G,"*"&amp;Table1[[#Headers],[Monitoring]]&amp;"*")</f>
        <v>0</v>
      </c>
      <c r="M981" s="8">
        <f>COUNTIFS('All Papers'!$D:$D,"*"&amp;$A981&amp;"*",'All Papers'!$G:$G,"*"&amp;Table1[[#Headers],[Pricing]]&amp;"*")</f>
        <v>0</v>
      </c>
    </row>
    <row r="982" spans="1:13" x14ac:dyDescent="0.25">
      <c r="A982" s="8" t="s">
        <v>3415</v>
      </c>
      <c r="B982" s="8">
        <f>COUNTIF('All Papers'!D:D,"*"&amp;Table1[[#This Row],[Name]]&amp;"*")</f>
        <v>1</v>
      </c>
      <c r="C982" s="8">
        <f>COUNTIFS('All Papers'!$D:$D,"*"&amp;$A982&amp;"*",'All Papers'!$G:$G,"*"&amp;Table1[[#Headers],[Composition]]&amp;"*")</f>
        <v>1</v>
      </c>
      <c r="D982" s="8">
        <f>COUNTIFS('All Papers'!$D:$D,"*"&amp;$A982&amp;"*",'All Papers'!$G:$G,"*"&amp;Table1[[#Headers],[Discovery]]&amp;"*")</f>
        <v>0</v>
      </c>
      <c r="E982" s="8">
        <f>COUNTIFS('All Papers'!$D:$D,"*"&amp;$A982&amp;"*",'All Papers'!$G:$G,"*"&amp;Table1[[#Headers],[Selection]]&amp;"*")</f>
        <v>0</v>
      </c>
      <c r="F982" s="8">
        <f>COUNTIFS('All Papers'!$D:$D,"*"&amp;$A982&amp;"*",'All Papers'!$G:$G,"*"&amp;Table1[[#Headers],[Recommendation]]&amp;"*")</f>
        <v>0</v>
      </c>
      <c r="G982" s="8">
        <f>COUNTIFS('All Papers'!$D:$D,"*"&amp;$A982&amp;"*",'All Papers'!$G:$G,"*"&amp;Table1[[#Headers],[Resource Management-CS]]&amp;"*")</f>
        <v>0</v>
      </c>
      <c r="H982" s="8">
        <f>COUNTIFS('All Papers'!$D:$D,"*"&amp;$A982&amp;"*",'All Papers'!$G:$G,"*"&amp;Table1[[#Headers],[Resource Management-PS]]&amp;"*")</f>
        <v>0</v>
      </c>
      <c r="I982" s="8">
        <f>COUNTIFS('All Papers'!$D:$D,"*"&amp;$A982&amp;"*",'All Papers'!$G:$G,"*"&amp;Table1[[#Headers],[SLA Management]]&amp;"*")</f>
        <v>0</v>
      </c>
      <c r="J982" s="8">
        <f>COUNTIFS('All Papers'!$D:$D,"*"&amp;$A982&amp;"*",'All Papers'!$G:$G,"*"&amp;Table1[[#Headers],[Big Data]]&amp;"*")</f>
        <v>0</v>
      </c>
      <c r="K982" s="8">
        <f>COUNTIFS('All Papers'!$D:$D,"*"&amp;$A982&amp;"*",'All Papers'!$G:$G,"*"&amp;Table1[[#Headers],[Energy Management]]&amp;"*")</f>
        <v>0</v>
      </c>
      <c r="L982" s="8">
        <f>COUNTIFS('All Papers'!$D:$D,"*"&amp;$A982&amp;"*",'All Papers'!$G:$G,"*"&amp;Table1[[#Headers],[Monitoring]]&amp;"*")</f>
        <v>0</v>
      </c>
      <c r="M982" s="8">
        <f>COUNTIFS('All Papers'!$D:$D,"*"&amp;$A982&amp;"*",'All Papers'!$G:$G,"*"&amp;Table1[[#Headers],[Pricing]]&amp;"*")</f>
        <v>0</v>
      </c>
    </row>
    <row r="983" spans="1:13" x14ac:dyDescent="0.25">
      <c r="A983" s="8" t="s">
        <v>3416</v>
      </c>
      <c r="B983" s="8">
        <f>COUNTIF('All Papers'!D:D,"*"&amp;Table1[[#This Row],[Name]]&amp;"*")</f>
        <v>1</v>
      </c>
      <c r="C983" s="8">
        <f>COUNTIFS('All Papers'!$D:$D,"*"&amp;$A983&amp;"*",'All Papers'!$G:$G,"*"&amp;Table1[[#Headers],[Composition]]&amp;"*")</f>
        <v>1</v>
      </c>
      <c r="D983" s="8">
        <f>COUNTIFS('All Papers'!$D:$D,"*"&amp;$A983&amp;"*",'All Papers'!$G:$G,"*"&amp;Table1[[#Headers],[Discovery]]&amp;"*")</f>
        <v>0</v>
      </c>
      <c r="E983" s="8">
        <f>COUNTIFS('All Papers'!$D:$D,"*"&amp;$A983&amp;"*",'All Papers'!$G:$G,"*"&amp;Table1[[#Headers],[Selection]]&amp;"*")</f>
        <v>0</v>
      </c>
      <c r="F983" s="8">
        <f>COUNTIFS('All Papers'!$D:$D,"*"&amp;$A983&amp;"*",'All Papers'!$G:$G,"*"&amp;Table1[[#Headers],[Recommendation]]&amp;"*")</f>
        <v>0</v>
      </c>
      <c r="G983" s="8">
        <f>COUNTIFS('All Papers'!$D:$D,"*"&amp;$A983&amp;"*",'All Papers'!$G:$G,"*"&amp;Table1[[#Headers],[Resource Management-CS]]&amp;"*")</f>
        <v>0</v>
      </c>
      <c r="H983" s="8">
        <f>COUNTIFS('All Papers'!$D:$D,"*"&amp;$A983&amp;"*",'All Papers'!$G:$G,"*"&amp;Table1[[#Headers],[Resource Management-PS]]&amp;"*")</f>
        <v>0</v>
      </c>
      <c r="I983" s="8">
        <f>COUNTIFS('All Papers'!$D:$D,"*"&amp;$A983&amp;"*",'All Papers'!$G:$G,"*"&amp;Table1[[#Headers],[SLA Management]]&amp;"*")</f>
        <v>0</v>
      </c>
      <c r="J983" s="8">
        <f>COUNTIFS('All Papers'!$D:$D,"*"&amp;$A983&amp;"*",'All Papers'!$G:$G,"*"&amp;Table1[[#Headers],[Big Data]]&amp;"*")</f>
        <v>0</v>
      </c>
      <c r="K983" s="8">
        <f>COUNTIFS('All Papers'!$D:$D,"*"&amp;$A983&amp;"*",'All Papers'!$G:$G,"*"&amp;Table1[[#Headers],[Energy Management]]&amp;"*")</f>
        <v>0</v>
      </c>
      <c r="L983" s="8">
        <f>COUNTIFS('All Papers'!$D:$D,"*"&amp;$A983&amp;"*",'All Papers'!$G:$G,"*"&amp;Table1[[#Headers],[Monitoring]]&amp;"*")</f>
        <v>0</v>
      </c>
      <c r="M983" s="8">
        <f>COUNTIFS('All Papers'!$D:$D,"*"&amp;$A983&amp;"*",'All Papers'!$G:$G,"*"&amp;Table1[[#Headers],[Pricing]]&amp;"*")</f>
        <v>0</v>
      </c>
    </row>
    <row r="984" spans="1:13" x14ac:dyDescent="0.25">
      <c r="A984" s="8" t="s">
        <v>3417</v>
      </c>
      <c r="B984" s="8">
        <f>COUNTIF('All Papers'!D:D,"*"&amp;Table1[[#This Row],[Name]]&amp;"*")</f>
        <v>1</v>
      </c>
      <c r="C984" s="8">
        <f>COUNTIFS('All Papers'!$D:$D,"*"&amp;$A984&amp;"*",'All Papers'!$G:$G,"*"&amp;Table1[[#Headers],[Composition]]&amp;"*")</f>
        <v>1</v>
      </c>
      <c r="D984" s="8">
        <f>COUNTIFS('All Papers'!$D:$D,"*"&amp;$A984&amp;"*",'All Papers'!$G:$G,"*"&amp;Table1[[#Headers],[Discovery]]&amp;"*")</f>
        <v>0</v>
      </c>
      <c r="E984" s="8">
        <f>COUNTIFS('All Papers'!$D:$D,"*"&amp;$A984&amp;"*",'All Papers'!$G:$G,"*"&amp;Table1[[#Headers],[Selection]]&amp;"*")</f>
        <v>0</v>
      </c>
      <c r="F984" s="8">
        <f>COUNTIFS('All Papers'!$D:$D,"*"&amp;$A984&amp;"*",'All Papers'!$G:$G,"*"&amp;Table1[[#Headers],[Recommendation]]&amp;"*")</f>
        <v>0</v>
      </c>
      <c r="G984" s="8">
        <f>COUNTIFS('All Papers'!$D:$D,"*"&amp;$A984&amp;"*",'All Papers'!$G:$G,"*"&amp;Table1[[#Headers],[Resource Management-CS]]&amp;"*")</f>
        <v>0</v>
      </c>
      <c r="H984" s="8">
        <f>COUNTIFS('All Papers'!$D:$D,"*"&amp;$A984&amp;"*",'All Papers'!$G:$G,"*"&amp;Table1[[#Headers],[Resource Management-PS]]&amp;"*")</f>
        <v>0</v>
      </c>
      <c r="I984" s="8">
        <f>COUNTIFS('All Papers'!$D:$D,"*"&amp;$A984&amp;"*",'All Papers'!$G:$G,"*"&amp;Table1[[#Headers],[SLA Management]]&amp;"*")</f>
        <v>0</v>
      </c>
      <c r="J984" s="8">
        <f>COUNTIFS('All Papers'!$D:$D,"*"&amp;$A984&amp;"*",'All Papers'!$G:$G,"*"&amp;Table1[[#Headers],[Big Data]]&amp;"*")</f>
        <v>0</v>
      </c>
      <c r="K984" s="8">
        <f>COUNTIFS('All Papers'!$D:$D,"*"&amp;$A984&amp;"*",'All Papers'!$G:$G,"*"&amp;Table1[[#Headers],[Energy Management]]&amp;"*")</f>
        <v>0</v>
      </c>
      <c r="L984" s="8">
        <f>COUNTIFS('All Papers'!$D:$D,"*"&amp;$A984&amp;"*",'All Papers'!$G:$G,"*"&amp;Table1[[#Headers],[Monitoring]]&amp;"*")</f>
        <v>0</v>
      </c>
      <c r="M984" s="8">
        <f>COUNTIFS('All Papers'!$D:$D,"*"&amp;$A984&amp;"*",'All Papers'!$G:$G,"*"&amp;Table1[[#Headers],[Pricing]]&amp;"*")</f>
        <v>0</v>
      </c>
    </row>
    <row r="985" spans="1:13" x14ac:dyDescent="0.25">
      <c r="A985" s="8" t="s">
        <v>3418</v>
      </c>
      <c r="B985" s="8">
        <f>COUNTIF('All Papers'!D:D,"*"&amp;Table1[[#This Row],[Name]]&amp;"*")</f>
        <v>1</v>
      </c>
      <c r="C985" s="8">
        <f>COUNTIFS('All Papers'!$D:$D,"*"&amp;$A985&amp;"*",'All Papers'!$G:$G,"*"&amp;Table1[[#Headers],[Composition]]&amp;"*")</f>
        <v>0</v>
      </c>
      <c r="D985" s="8">
        <f>COUNTIFS('All Papers'!$D:$D,"*"&amp;$A985&amp;"*",'All Papers'!$G:$G,"*"&amp;Table1[[#Headers],[Discovery]]&amp;"*")</f>
        <v>0</v>
      </c>
      <c r="E985" s="8">
        <f>COUNTIFS('All Papers'!$D:$D,"*"&amp;$A985&amp;"*",'All Papers'!$G:$G,"*"&amp;Table1[[#Headers],[Selection]]&amp;"*")</f>
        <v>0</v>
      </c>
      <c r="F985" s="8">
        <f>COUNTIFS('All Papers'!$D:$D,"*"&amp;$A985&amp;"*",'All Papers'!$G:$G,"*"&amp;Table1[[#Headers],[Recommendation]]&amp;"*")</f>
        <v>0</v>
      </c>
      <c r="G985" s="8">
        <f>COUNTIFS('All Papers'!$D:$D,"*"&amp;$A985&amp;"*",'All Papers'!$G:$G,"*"&amp;Table1[[#Headers],[Resource Management-CS]]&amp;"*")</f>
        <v>0</v>
      </c>
      <c r="H985" s="8">
        <f>COUNTIFS('All Papers'!$D:$D,"*"&amp;$A985&amp;"*",'All Papers'!$G:$G,"*"&amp;Table1[[#Headers],[Resource Management-PS]]&amp;"*")</f>
        <v>1</v>
      </c>
      <c r="I985" s="8">
        <f>COUNTIFS('All Papers'!$D:$D,"*"&amp;$A985&amp;"*",'All Papers'!$G:$G,"*"&amp;Table1[[#Headers],[SLA Management]]&amp;"*")</f>
        <v>0</v>
      </c>
      <c r="J985" s="8">
        <f>COUNTIFS('All Papers'!$D:$D,"*"&amp;$A985&amp;"*",'All Papers'!$G:$G,"*"&amp;Table1[[#Headers],[Big Data]]&amp;"*")</f>
        <v>0</v>
      </c>
      <c r="K985" s="8">
        <f>COUNTIFS('All Papers'!$D:$D,"*"&amp;$A985&amp;"*",'All Papers'!$G:$G,"*"&amp;Table1[[#Headers],[Energy Management]]&amp;"*")</f>
        <v>0</v>
      </c>
      <c r="L985" s="8">
        <f>COUNTIFS('All Papers'!$D:$D,"*"&amp;$A985&amp;"*",'All Papers'!$G:$G,"*"&amp;Table1[[#Headers],[Monitoring]]&amp;"*")</f>
        <v>0</v>
      </c>
      <c r="M985" s="8">
        <f>COUNTIFS('All Papers'!$D:$D,"*"&amp;$A985&amp;"*",'All Papers'!$G:$G,"*"&amp;Table1[[#Headers],[Pricing]]&amp;"*")</f>
        <v>0</v>
      </c>
    </row>
    <row r="986" spans="1:13" x14ac:dyDescent="0.25">
      <c r="A986" s="8" t="s">
        <v>3419</v>
      </c>
      <c r="B986" s="8">
        <f>COUNTIF('All Papers'!D:D,"*"&amp;Table1[[#This Row],[Name]]&amp;"*")</f>
        <v>1</v>
      </c>
      <c r="C986" s="8">
        <f>COUNTIFS('All Papers'!$D:$D,"*"&amp;$A986&amp;"*",'All Papers'!$G:$G,"*"&amp;Table1[[#Headers],[Composition]]&amp;"*")</f>
        <v>0</v>
      </c>
      <c r="D986" s="8">
        <f>COUNTIFS('All Papers'!$D:$D,"*"&amp;$A986&amp;"*",'All Papers'!$G:$G,"*"&amp;Table1[[#Headers],[Discovery]]&amp;"*")</f>
        <v>0</v>
      </c>
      <c r="E986" s="8">
        <f>COUNTIFS('All Papers'!$D:$D,"*"&amp;$A986&amp;"*",'All Papers'!$G:$G,"*"&amp;Table1[[#Headers],[Selection]]&amp;"*")</f>
        <v>0</v>
      </c>
      <c r="F986" s="8">
        <f>COUNTIFS('All Papers'!$D:$D,"*"&amp;$A986&amp;"*",'All Papers'!$G:$G,"*"&amp;Table1[[#Headers],[Recommendation]]&amp;"*")</f>
        <v>0</v>
      </c>
      <c r="G986" s="8">
        <f>COUNTIFS('All Papers'!$D:$D,"*"&amp;$A986&amp;"*",'All Papers'!$G:$G,"*"&amp;Table1[[#Headers],[Resource Management-CS]]&amp;"*")</f>
        <v>0</v>
      </c>
      <c r="H986" s="8">
        <f>COUNTIFS('All Papers'!$D:$D,"*"&amp;$A986&amp;"*",'All Papers'!$G:$G,"*"&amp;Table1[[#Headers],[Resource Management-PS]]&amp;"*")</f>
        <v>1</v>
      </c>
      <c r="I986" s="8">
        <f>COUNTIFS('All Papers'!$D:$D,"*"&amp;$A986&amp;"*",'All Papers'!$G:$G,"*"&amp;Table1[[#Headers],[SLA Management]]&amp;"*")</f>
        <v>0</v>
      </c>
      <c r="J986" s="8">
        <f>COUNTIFS('All Papers'!$D:$D,"*"&amp;$A986&amp;"*",'All Papers'!$G:$G,"*"&amp;Table1[[#Headers],[Big Data]]&amp;"*")</f>
        <v>0</v>
      </c>
      <c r="K986" s="8">
        <f>COUNTIFS('All Papers'!$D:$D,"*"&amp;$A986&amp;"*",'All Papers'!$G:$G,"*"&amp;Table1[[#Headers],[Energy Management]]&amp;"*")</f>
        <v>0</v>
      </c>
      <c r="L986" s="8">
        <f>COUNTIFS('All Papers'!$D:$D,"*"&amp;$A986&amp;"*",'All Papers'!$G:$G,"*"&amp;Table1[[#Headers],[Monitoring]]&amp;"*")</f>
        <v>0</v>
      </c>
      <c r="M986" s="8">
        <f>COUNTIFS('All Papers'!$D:$D,"*"&amp;$A986&amp;"*",'All Papers'!$G:$G,"*"&amp;Table1[[#Headers],[Pricing]]&amp;"*")</f>
        <v>0</v>
      </c>
    </row>
    <row r="987" spans="1:13" x14ac:dyDescent="0.25">
      <c r="A987" s="8" t="s">
        <v>3420</v>
      </c>
      <c r="B987" s="8">
        <f>COUNTIF('All Papers'!D:D,"*"&amp;Table1[[#This Row],[Name]]&amp;"*")</f>
        <v>1</v>
      </c>
      <c r="C987" s="8">
        <f>COUNTIFS('All Papers'!$D:$D,"*"&amp;$A987&amp;"*",'All Papers'!$G:$G,"*"&amp;Table1[[#Headers],[Composition]]&amp;"*")</f>
        <v>0</v>
      </c>
      <c r="D987" s="8">
        <f>COUNTIFS('All Papers'!$D:$D,"*"&amp;$A987&amp;"*",'All Papers'!$G:$G,"*"&amp;Table1[[#Headers],[Discovery]]&amp;"*")</f>
        <v>0</v>
      </c>
      <c r="E987" s="8">
        <f>COUNTIFS('All Papers'!$D:$D,"*"&amp;$A987&amp;"*",'All Papers'!$G:$G,"*"&amp;Table1[[#Headers],[Selection]]&amp;"*")</f>
        <v>0</v>
      </c>
      <c r="F987" s="8">
        <f>COUNTIFS('All Papers'!$D:$D,"*"&amp;$A987&amp;"*",'All Papers'!$G:$G,"*"&amp;Table1[[#Headers],[Recommendation]]&amp;"*")</f>
        <v>0</v>
      </c>
      <c r="G987" s="8">
        <f>COUNTIFS('All Papers'!$D:$D,"*"&amp;$A987&amp;"*",'All Papers'!$G:$G,"*"&amp;Table1[[#Headers],[Resource Management-CS]]&amp;"*")</f>
        <v>0</v>
      </c>
      <c r="H987" s="8">
        <f>COUNTIFS('All Papers'!$D:$D,"*"&amp;$A987&amp;"*",'All Papers'!$G:$G,"*"&amp;Table1[[#Headers],[Resource Management-PS]]&amp;"*")</f>
        <v>1</v>
      </c>
      <c r="I987" s="8">
        <f>COUNTIFS('All Papers'!$D:$D,"*"&amp;$A987&amp;"*",'All Papers'!$G:$G,"*"&amp;Table1[[#Headers],[SLA Management]]&amp;"*")</f>
        <v>0</v>
      </c>
      <c r="J987" s="8">
        <f>COUNTIFS('All Papers'!$D:$D,"*"&amp;$A987&amp;"*",'All Papers'!$G:$G,"*"&amp;Table1[[#Headers],[Big Data]]&amp;"*")</f>
        <v>0</v>
      </c>
      <c r="K987" s="8">
        <f>COUNTIFS('All Papers'!$D:$D,"*"&amp;$A987&amp;"*",'All Papers'!$G:$G,"*"&amp;Table1[[#Headers],[Energy Management]]&amp;"*")</f>
        <v>0</v>
      </c>
      <c r="L987" s="8">
        <f>COUNTIFS('All Papers'!$D:$D,"*"&amp;$A987&amp;"*",'All Papers'!$G:$G,"*"&amp;Table1[[#Headers],[Monitoring]]&amp;"*")</f>
        <v>0</v>
      </c>
      <c r="M987" s="8">
        <f>COUNTIFS('All Papers'!$D:$D,"*"&amp;$A987&amp;"*",'All Papers'!$G:$G,"*"&amp;Table1[[#Headers],[Pricing]]&amp;"*")</f>
        <v>0</v>
      </c>
    </row>
    <row r="988" spans="1:13" x14ac:dyDescent="0.25">
      <c r="A988" s="8" t="s">
        <v>3421</v>
      </c>
      <c r="B988" s="8">
        <f>COUNTIF('All Papers'!D:D,"*"&amp;Table1[[#This Row],[Name]]&amp;"*")</f>
        <v>1</v>
      </c>
      <c r="C988" s="8">
        <f>COUNTIFS('All Papers'!$D:$D,"*"&amp;$A988&amp;"*",'All Papers'!$G:$G,"*"&amp;Table1[[#Headers],[Composition]]&amp;"*")</f>
        <v>0</v>
      </c>
      <c r="D988" s="8">
        <f>COUNTIFS('All Papers'!$D:$D,"*"&amp;$A988&amp;"*",'All Papers'!$G:$G,"*"&amp;Table1[[#Headers],[Discovery]]&amp;"*")</f>
        <v>0</v>
      </c>
      <c r="E988" s="8">
        <f>COUNTIFS('All Papers'!$D:$D,"*"&amp;$A988&amp;"*",'All Papers'!$G:$G,"*"&amp;Table1[[#Headers],[Selection]]&amp;"*")</f>
        <v>0</v>
      </c>
      <c r="F988" s="8">
        <f>COUNTIFS('All Papers'!$D:$D,"*"&amp;$A988&amp;"*",'All Papers'!$G:$G,"*"&amp;Table1[[#Headers],[Recommendation]]&amp;"*")</f>
        <v>0</v>
      </c>
      <c r="G988" s="8">
        <f>COUNTIFS('All Papers'!$D:$D,"*"&amp;$A988&amp;"*",'All Papers'!$G:$G,"*"&amp;Table1[[#Headers],[Resource Management-CS]]&amp;"*")</f>
        <v>0</v>
      </c>
      <c r="H988" s="8">
        <f>COUNTIFS('All Papers'!$D:$D,"*"&amp;$A988&amp;"*",'All Papers'!$G:$G,"*"&amp;Table1[[#Headers],[Resource Management-PS]]&amp;"*")</f>
        <v>1</v>
      </c>
      <c r="I988" s="8">
        <f>COUNTIFS('All Papers'!$D:$D,"*"&amp;$A988&amp;"*",'All Papers'!$G:$G,"*"&amp;Table1[[#Headers],[SLA Management]]&amp;"*")</f>
        <v>0</v>
      </c>
      <c r="J988" s="8">
        <f>COUNTIFS('All Papers'!$D:$D,"*"&amp;$A988&amp;"*",'All Papers'!$G:$G,"*"&amp;Table1[[#Headers],[Big Data]]&amp;"*")</f>
        <v>0</v>
      </c>
      <c r="K988" s="8">
        <f>COUNTIFS('All Papers'!$D:$D,"*"&amp;$A988&amp;"*",'All Papers'!$G:$G,"*"&amp;Table1[[#Headers],[Energy Management]]&amp;"*")</f>
        <v>0</v>
      </c>
      <c r="L988" s="8">
        <f>COUNTIFS('All Papers'!$D:$D,"*"&amp;$A988&amp;"*",'All Papers'!$G:$G,"*"&amp;Table1[[#Headers],[Monitoring]]&amp;"*")</f>
        <v>0</v>
      </c>
      <c r="M988" s="8">
        <f>COUNTIFS('All Papers'!$D:$D,"*"&amp;$A988&amp;"*",'All Papers'!$G:$G,"*"&amp;Table1[[#Headers],[Pricing]]&amp;"*")</f>
        <v>0</v>
      </c>
    </row>
    <row r="989" spans="1:13" x14ac:dyDescent="0.25">
      <c r="A989" s="8" t="s">
        <v>3422</v>
      </c>
      <c r="B989" s="8">
        <f>COUNTIF('All Papers'!D:D,"*"&amp;Table1[[#This Row],[Name]]&amp;"*")</f>
        <v>1</v>
      </c>
      <c r="C989" s="8">
        <f>COUNTIFS('All Papers'!$D:$D,"*"&amp;$A989&amp;"*",'All Papers'!$G:$G,"*"&amp;Table1[[#Headers],[Composition]]&amp;"*")</f>
        <v>1</v>
      </c>
      <c r="D989" s="8">
        <f>COUNTIFS('All Papers'!$D:$D,"*"&amp;$A989&amp;"*",'All Papers'!$G:$G,"*"&amp;Table1[[#Headers],[Discovery]]&amp;"*")</f>
        <v>0</v>
      </c>
      <c r="E989" s="8">
        <f>COUNTIFS('All Papers'!$D:$D,"*"&amp;$A989&amp;"*",'All Papers'!$G:$G,"*"&amp;Table1[[#Headers],[Selection]]&amp;"*")</f>
        <v>0</v>
      </c>
      <c r="F989" s="8">
        <f>COUNTIFS('All Papers'!$D:$D,"*"&amp;$A989&amp;"*",'All Papers'!$G:$G,"*"&amp;Table1[[#Headers],[Recommendation]]&amp;"*")</f>
        <v>0</v>
      </c>
      <c r="G989" s="8">
        <f>COUNTIFS('All Papers'!$D:$D,"*"&amp;$A989&amp;"*",'All Papers'!$G:$G,"*"&amp;Table1[[#Headers],[Resource Management-CS]]&amp;"*")</f>
        <v>0</v>
      </c>
      <c r="H989" s="8">
        <f>COUNTIFS('All Papers'!$D:$D,"*"&amp;$A989&amp;"*",'All Papers'!$G:$G,"*"&amp;Table1[[#Headers],[Resource Management-PS]]&amp;"*")</f>
        <v>0</v>
      </c>
      <c r="I989" s="8">
        <f>COUNTIFS('All Papers'!$D:$D,"*"&amp;$A989&amp;"*",'All Papers'!$G:$G,"*"&amp;Table1[[#Headers],[SLA Management]]&amp;"*")</f>
        <v>0</v>
      </c>
      <c r="J989" s="8">
        <f>COUNTIFS('All Papers'!$D:$D,"*"&amp;$A989&amp;"*",'All Papers'!$G:$G,"*"&amp;Table1[[#Headers],[Big Data]]&amp;"*")</f>
        <v>0</v>
      </c>
      <c r="K989" s="8">
        <f>COUNTIFS('All Papers'!$D:$D,"*"&amp;$A989&amp;"*",'All Papers'!$G:$G,"*"&amp;Table1[[#Headers],[Energy Management]]&amp;"*")</f>
        <v>0</v>
      </c>
      <c r="L989" s="8">
        <f>COUNTIFS('All Papers'!$D:$D,"*"&amp;$A989&amp;"*",'All Papers'!$G:$G,"*"&amp;Table1[[#Headers],[Monitoring]]&amp;"*")</f>
        <v>0</v>
      </c>
      <c r="M989" s="8">
        <f>COUNTIFS('All Papers'!$D:$D,"*"&amp;$A989&amp;"*",'All Papers'!$G:$G,"*"&amp;Table1[[#Headers],[Pricing]]&amp;"*")</f>
        <v>0</v>
      </c>
    </row>
    <row r="990" spans="1:13" x14ac:dyDescent="0.25">
      <c r="A990" s="8" t="s">
        <v>3423</v>
      </c>
      <c r="B990" s="8">
        <f>COUNTIF('All Papers'!D:D,"*"&amp;Table1[[#This Row],[Name]]&amp;"*")</f>
        <v>1</v>
      </c>
      <c r="C990" s="8">
        <f>COUNTIFS('All Papers'!$D:$D,"*"&amp;$A990&amp;"*",'All Papers'!$G:$G,"*"&amp;Table1[[#Headers],[Composition]]&amp;"*")</f>
        <v>1</v>
      </c>
      <c r="D990" s="8">
        <f>COUNTIFS('All Papers'!$D:$D,"*"&amp;$A990&amp;"*",'All Papers'!$G:$G,"*"&amp;Table1[[#Headers],[Discovery]]&amp;"*")</f>
        <v>0</v>
      </c>
      <c r="E990" s="8">
        <f>COUNTIFS('All Papers'!$D:$D,"*"&amp;$A990&amp;"*",'All Papers'!$G:$G,"*"&amp;Table1[[#Headers],[Selection]]&amp;"*")</f>
        <v>0</v>
      </c>
      <c r="F990" s="8">
        <f>COUNTIFS('All Papers'!$D:$D,"*"&amp;$A990&amp;"*",'All Papers'!$G:$G,"*"&amp;Table1[[#Headers],[Recommendation]]&amp;"*")</f>
        <v>0</v>
      </c>
      <c r="G990" s="8">
        <f>COUNTIFS('All Papers'!$D:$D,"*"&amp;$A990&amp;"*",'All Papers'!$G:$G,"*"&amp;Table1[[#Headers],[Resource Management-CS]]&amp;"*")</f>
        <v>0</v>
      </c>
      <c r="H990" s="8">
        <f>COUNTIFS('All Papers'!$D:$D,"*"&amp;$A990&amp;"*",'All Papers'!$G:$G,"*"&amp;Table1[[#Headers],[Resource Management-PS]]&amp;"*")</f>
        <v>0</v>
      </c>
      <c r="I990" s="8">
        <f>COUNTIFS('All Papers'!$D:$D,"*"&amp;$A990&amp;"*",'All Papers'!$G:$G,"*"&amp;Table1[[#Headers],[SLA Management]]&amp;"*")</f>
        <v>0</v>
      </c>
      <c r="J990" s="8">
        <f>COUNTIFS('All Papers'!$D:$D,"*"&amp;$A990&amp;"*",'All Papers'!$G:$G,"*"&amp;Table1[[#Headers],[Big Data]]&amp;"*")</f>
        <v>0</v>
      </c>
      <c r="K990" s="8">
        <f>COUNTIFS('All Papers'!$D:$D,"*"&amp;$A990&amp;"*",'All Papers'!$G:$G,"*"&amp;Table1[[#Headers],[Energy Management]]&amp;"*")</f>
        <v>0</v>
      </c>
      <c r="L990" s="8">
        <f>COUNTIFS('All Papers'!$D:$D,"*"&amp;$A990&amp;"*",'All Papers'!$G:$G,"*"&amp;Table1[[#Headers],[Monitoring]]&amp;"*")</f>
        <v>0</v>
      </c>
      <c r="M990" s="8">
        <f>COUNTIFS('All Papers'!$D:$D,"*"&amp;$A990&amp;"*",'All Papers'!$G:$G,"*"&amp;Table1[[#Headers],[Pricing]]&amp;"*")</f>
        <v>0</v>
      </c>
    </row>
    <row r="991" spans="1:13" x14ac:dyDescent="0.25">
      <c r="A991" s="8" t="s">
        <v>3424</v>
      </c>
      <c r="B991" s="8">
        <f>COUNTIF('All Papers'!D:D,"*"&amp;Table1[[#This Row],[Name]]&amp;"*")</f>
        <v>1</v>
      </c>
      <c r="C991" s="8">
        <f>COUNTIFS('All Papers'!$D:$D,"*"&amp;$A991&amp;"*",'All Papers'!$G:$G,"*"&amp;Table1[[#Headers],[Composition]]&amp;"*")</f>
        <v>1</v>
      </c>
      <c r="D991" s="8">
        <f>COUNTIFS('All Papers'!$D:$D,"*"&amp;$A991&amp;"*",'All Papers'!$G:$G,"*"&amp;Table1[[#Headers],[Discovery]]&amp;"*")</f>
        <v>0</v>
      </c>
      <c r="E991" s="8">
        <f>COUNTIFS('All Papers'!$D:$D,"*"&amp;$A991&amp;"*",'All Papers'!$G:$G,"*"&amp;Table1[[#Headers],[Selection]]&amp;"*")</f>
        <v>0</v>
      </c>
      <c r="F991" s="8">
        <f>COUNTIFS('All Papers'!$D:$D,"*"&amp;$A991&amp;"*",'All Papers'!$G:$G,"*"&amp;Table1[[#Headers],[Recommendation]]&amp;"*")</f>
        <v>0</v>
      </c>
      <c r="G991" s="8">
        <f>COUNTIFS('All Papers'!$D:$D,"*"&amp;$A991&amp;"*",'All Papers'!$G:$G,"*"&amp;Table1[[#Headers],[Resource Management-CS]]&amp;"*")</f>
        <v>0</v>
      </c>
      <c r="H991" s="8">
        <f>COUNTIFS('All Papers'!$D:$D,"*"&amp;$A991&amp;"*",'All Papers'!$G:$G,"*"&amp;Table1[[#Headers],[Resource Management-PS]]&amp;"*")</f>
        <v>0</v>
      </c>
      <c r="I991" s="8">
        <f>COUNTIFS('All Papers'!$D:$D,"*"&amp;$A991&amp;"*",'All Papers'!$G:$G,"*"&amp;Table1[[#Headers],[SLA Management]]&amp;"*")</f>
        <v>0</v>
      </c>
      <c r="J991" s="8">
        <f>COUNTIFS('All Papers'!$D:$D,"*"&amp;$A991&amp;"*",'All Papers'!$G:$G,"*"&amp;Table1[[#Headers],[Big Data]]&amp;"*")</f>
        <v>0</v>
      </c>
      <c r="K991" s="8">
        <f>COUNTIFS('All Papers'!$D:$D,"*"&amp;$A991&amp;"*",'All Papers'!$G:$G,"*"&amp;Table1[[#Headers],[Energy Management]]&amp;"*")</f>
        <v>0</v>
      </c>
      <c r="L991" s="8">
        <f>COUNTIFS('All Papers'!$D:$D,"*"&amp;$A991&amp;"*",'All Papers'!$G:$G,"*"&amp;Table1[[#Headers],[Monitoring]]&amp;"*")</f>
        <v>0</v>
      </c>
      <c r="M991" s="8">
        <f>COUNTIFS('All Papers'!$D:$D,"*"&amp;$A991&amp;"*",'All Papers'!$G:$G,"*"&amp;Table1[[#Headers],[Pricing]]&amp;"*")</f>
        <v>0</v>
      </c>
    </row>
    <row r="992" spans="1:13" x14ac:dyDescent="0.25">
      <c r="A992" s="8" t="s">
        <v>3425</v>
      </c>
      <c r="B992" s="8">
        <f>COUNTIF('All Papers'!D:D,"*"&amp;Table1[[#This Row],[Name]]&amp;"*")</f>
        <v>1</v>
      </c>
      <c r="C992" s="8">
        <f>COUNTIFS('All Papers'!$D:$D,"*"&amp;$A992&amp;"*",'All Papers'!$G:$G,"*"&amp;Table1[[#Headers],[Composition]]&amp;"*")</f>
        <v>1</v>
      </c>
      <c r="D992" s="8">
        <f>COUNTIFS('All Papers'!$D:$D,"*"&amp;$A992&amp;"*",'All Papers'!$G:$G,"*"&amp;Table1[[#Headers],[Discovery]]&amp;"*")</f>
        <v>0</v>
      </c>
      <c r="E992" s="8">
        <f>COUNTIFS('All Papers'!$D:$D,"*"&amp;$A992&amp;"*",'All Papers'!$G:$G,"*"&amp;Table1[[#Headers],[Selection]]&amp;"*")</f>
        <v>0</v>
      </c>
      <c r="F992" s="8">
        <f>COUNTIFS('All Papers'!$D:$D,"*"&amp;$A992&amp;"*",'All Papers'!$G:$G,"*"&amp;Table1[[#Headers],[Recommendation]]&amp;"*")</f>
        <v>0</v>
      </c>
      <c r="G992" s="8">
        <f>COUNTIFS('All Papers'!$D:$D,"*"&amp;$A992&amp;"*",'All Papers'!$G:$G,"*"&amp;Table1[[#Headers],[Resource Management-CS]]&amp;"*")</f>
        <v>0</v>
      </c>
      <c r="H992" s="8">
        <f>COUNTIFS('All Papers'!$D:$D,"*"&amp;$A992&amp;"*",'All Papers'!$G:$G,"*"&amp;Table1[[#Headers],[Resource Management-PS]]&amp;"*")</f>
        <v>0</v>
      </c>
      <c r="I992" s="8">
        <f>COUNTIFS('All Papers'!$D:$D,"*"&amp;$A992&amp;"*",'All Papers'!$G:$G,"*"&amp;Table1[[#Headers],[SLA Management]]&amp;"*")</f>
        <v>0</v>
      </c>
      <c r="J992" s="8">
        <f>COUNTIFS('All Papers'!$D:$D,"*"&amp;$A992&amp;"*",'All Papers'!$G:$G,"*"&amp;Table1[[#Headers],[Big Data]]&amp;"*")</f>
        <v>0</v>
      </c>
      <c r="K992" s="8">
        <f>COUNTIFS('All Papers'!$D:$D,"*"&amp;$A992&amp;"*",'All Papers'!$G:$G,"*"&amp;Table1[[#Headers],[Energy Management]]&amp;"*")</f>
        <v>0</v>
      </c>
      <c r="L992" s="8">
        <f>COUNTIFS('All Papers'!$D:$D,"*"&amp;$A992&amp;"*",'All Papers'!$G:$G,"*"&amp;Table1[[#Headers],[Monitoring]]&amp;"*")</f>
        <v>0</v>
      </c>
      <c r="M992" s="8">
        <f>COUNTIFS('All Papers'!$D:$D,"*"&amp;$A992&amp;"*",'All Papers'!$G:$G,"*"&amp;Table1[[#Headers],[Pricing]]&amp;"*")</f>
        <v>0</v>
      </c>
    </row>
    <row r="993" spans="1:13" x14ac:dyDescent="0.25">
      <c r="A993" s="8" t="s">
        <v>3426</v>
      </c>
      <c r="B993" s="8">
        <f>COUNTIF('All Papers'!D:D,"*"&amp;Table1[[#This Row],[Name]]&amp;"*")</f>
        <v>1</v>
      </c>
      <c r="C993" s="8">
        <f>COUNTIFS('All Papers'!$D:$D,"*"&amp;$A993&amp;"*",'All Papers'!$G:$G,"*"&amp;Table1[[#Headers],[Composition]]&amp;"*")</f>
        <v>1</v>
      </c>
      <c r="D993" s="8">
        <f>COUNTIFS('All Papers'!$D:$D,"*"&amp;$A993&amp;"*",'All Papers'!$G:$G,"*"&amp;Table1[[#Headers],[Discovery]]&amp;"*")</f>
        <v>0</v>
      </c>
      <c r="E993" s="8">
        <f>COUNTIFS('All Papers'!$D:$D,"*"&amp;$A993&amp;"*",'All Papers'!$G:$G,"*"&amp;Table1[[#Headers],[Selection]]&amp;"*")</f>
        <v>0</v>
      </c>
      <c r="F993" s="8">
        <f>COUNTIFS('All Papers'!$D:$D,"*"&amp;$A993&amp;"*",'All Papers'!$G:$G,"*"&amp;Table1[[#Headers],[Recommendation]]&amp;"*")</f>
        <v>0</v>
      </c>
      <c r="G993" s="8">
        <f>COUNTIFS('All Papers'!$D:$D,"*"&amp;$A993&amp;"*",'All Papers'!$G:$G,"*"&amp;Table1[[#Headers],[Resource Management-CS]]&amp;"*")</f>
        <v>0</v>
      </c>
      <c r="H993" s="8">
        <f>COUNTIFS('All Papers'!$D:$D,"*"&amp;$A993&amp;"*",'All Papers'!$G:$G,"*"&amp;Table1[[#Headers],[Resource Management-PS]]&amp;"*")</f>
        <v>0</v>
      </c>
      <c r="I993" s="8">
        <f>COUNTIFS('All Papers'!$D:$D,"*"&amp;$A993&amp;"*",'All Papers'!$G:$G,"*"&amp;Table1[[#Headers],[SLA Management]]&amp;"*")</f>
        <v>0</v>
      </c>
      <c r="J993" s="8">
        <f>COUNTIFS('All Papers'!$D:$D,"*"&amp;$A993&amp;"*",'All Papers'!$G:$G,"*"&amp;Table1[[#Headers],[Big Data]]&amp;"*")</f>
        <v>0</v>
      </c>
      <c r="K993" s="8">
        <f>COUNTIFS('All Papers'!$D:$D,"*"&amp;$A993&amp;"*",'All Papers'!$G:$G,"*"&amp;Table1[[#Headers],[Energy Management]]&amp;"*")</f>
        <v>0</v>
      </c>
      <c r="L993" s="8">
        <f>COUNTIFS('All Papers'!$D:$D,"*"&amp;$A993&amp;"*",'All Papers'!$G:$G,"*"&amp;Table1[[#Headers],[Monitoring]]&amp;"*")</f>
        <v>0</v>
      </c>
      <c r="M993" s="8">
        <f>COUNTIFS('All Papers'!$D:$D,"*"&amp;$A993&amp;"*",'All Papers'!$G:$G,"*"&amp;Table1[[#Headers],[Pricing]]&amp;"*")</f>
        <v>0</v>
      </c>
    </row>
    <row r="994" spans="1:13" x14ac:dyDescent="0.25">
      <c r="A994" s="8" t="s">
        <v>3427</v>
      </c>
      <c r="B994" s="8">
        <f>COUNTIF('All Papers'!D:D,"*"&amp;Table1[[#This Row],[Name]]&amp;"*")</f>
        <v>1</v>
      </c>
      <c r="C994" s="8">
        <f>COUNTIFS('All Papers'!$D:$D,"*"&amp;$A994&amp;"*",'All Papers'!$G:$G,"*"&amp;Table1[[#Headers],[Composition]]&amp;"*")</f>
        <v>1</v>
      </c>
      <c r="D994" s="8">
        <f>COUNTIFS('All Papers'!$D:$D,"*"&amp;$A994&amp;"*",'All Papers'!$G:$G,"*"&amp;Table1[[#Headers],[Discovery]]&amp;"*")</f>
        <v>0</v>
      </c>
      <c r="E994" s="8">
        <f>COUNTIFS('All Papers'!$D:$D,"*"&amp;$A994&amp;"*",'All Papers'!$G:$G,"*"&amp;Table1[[#Headers],[Selection]]&amp;"*")</f>
        <v>0</v>
      </c>
      <c r="F994" s="8">
        <f>COUNTIFS('All Papers'!$D:$D,"*"&amp;$A994&amp;"*",'All Papers'!$G:$G,"*"&amp;Table1[[#Headers],[Recommendation]]&amp;"*")</f>
        <v>0</v>
      </c>
      <c r="G994" s="8">
        <f>COUNTIFS('All Papers'!$D:$D,"*"&amp;$A994&amp;"*",'All Papers'!$G:$G,"*"&amp;Table1[[#Headers],[Resource Management-CS]]&amp;"*")</f>
        <v>0</v>
      </c>
      <c r="H994" s="8">
        <f>COUNTIFS('All Papers'!$D:$D,"*"&amp;$A994&amp;"*",'All Papers'!$G:$G,"*"&amp;Table1[[#Headers],[Resource Management-PS]]&amp;"*")</f>
        <v>0</v>
      </c>
      <c r="I994" s="8">
        <f>COUNTIFS('All Papers'!$D:$D,"*"&amp;$A994&amp;"*",'All Papers'!$G:$G,"*"&amp;Table1[[#Headers],[SLA Management]]&amp;"*")</f>
        <v>0</v>
      </c>
      <c r="J994" s="8">
        <f>COUNTIFS('All Papers'!$D:$D,"*"&amp;$A994&amp;"*",'All Papers'!$G:$G,"*"&amp;Table1[[#Headers],[Big Data]]&amp;"*")</f>
        <v>0</v>
      </c>
      <c r="K994" s="8">
        <f>COUNTIFS('All Papers'!$D:$D,"*"&amp;$A994&amp;"*",'All Papers'!$G:$G,"*"&amp;Table1[[#Headers],[Energy Management]]&amp;"*")</f>
        <v>0</v>
      </c>
      <c r="L994" s="8">
        <f>COUNTIFS('All Papers'!$D:$D,"*"&amp;$A994&amp;"*",'All Papers'!$G:$G,"*"&amp;Table1[[#Headers],[Monitoring]]&amp;"*")</f>
        <v>0</v>
      </c>
      <c r="M994" s="8">
        <f>COUNTIFS('All Papers'!$D:$D,"*"&amp;$A994&amp;"*",'All Papers'!$G:$G,"*"&amp;Table1[[#Headers],[Pricing]]&amp;"*")</f>
        <v>0</v>
      </c>
    </row>
    <row r="995" spans="1:13" x14ac:dyDescent="0.25">
      <c r="A995" s="8" t="s">
        <v>3428</v>
      </c>
      <c r="B995" s="8">
        <f>COUNTIF('All Papers'!D:D,"*"&amp;Table1[[#This Row],[Name]]&amp;"*")</f>
        <v>1</v>
      </c>
      <c r="C995" s="8">
        <f>COUNTIFS('All Papers'!$D:$D,"*"&amp;$A995&amp;"*",'All Papers'!$G:$G,"*"&amp;Table1[[#Headers],[Composition]]&amp;"*")</f>
        <v>1</v>
      </c>
      <c r="D995" s="8">
        <f>COUNTIFS('All Papers'!$D:$D,"*"&amp;$A995&amp;"*",'All Papers'!$G:$G,"*"&amp;Table1[[#Headers],[Discovery]]&amp;"*")</f>
        <v>0</v>
      </c>
      <c r="E995" s="8">
        <f>COUNTIFS('All Papers'!$D:$D,"*"&amp;$A995&amp;"*",'All Papers'!$G:$G,"*"&amp;Table1[[#Headers],[Selection]]&amp;"*")</f>
        <v>0</v>
      </c>
      <c r="F995" s="8">
        <f>COUNTIFS('All Papers'!$D:$D,"*"&amp;$A995&amp;"*",'All Papers'!$G:$G,"*"&amp;Table1[[#Headers],[Recommendation]]&amp;"*")</f>
        <v>0</v>
      </c>
      <c r="G995" s="8">
        <f>COUNTIFS('All Papers'!$D:$D,"*"&amp;$A995&amp;"*",'All Papers'!$G:$G,"*"&amp;Table1[[#Headers],[Resource Management-CS]]&amp;"*")</f>
        <v>0</v>
      </c>
      <c r="H995" s="8">
        <f>COUNTIFS('All Papers'!$D:$D,"*"&amp;$A995&amp;"*",'All Papers'!$G:$G,"*"&amp;Table1[[#Headers],[Resource Management-PS]]&amp;"*")</f>
        <v>0</v>
      </c>
      <c r="I995" s="8">
        <f>COUNTIFS('All Papers'!$D:$D,"*"&amp;$A995&amp;"*",'All Papers'!$G:$G,"*"&amp;Table1[[#Headers],[SLA Management]]&amp;"*")</f>
        <v>0</v>
      </c>
      <c r="J995" s="8">
        <f>COUNTIFS('All Papers'!$D:$D,"*"&amp;$A995&amp;"*",'All Papers'!$G:$G,"*"&amp;Table1[[#Headers],[Big Data]]&amp;"*")</f>
        <v>0</v>
      </c>
      <c r="K995" s="8">
        <f>COUNTIFS('All Papers'!$D:$D,"*"&amp;$A995&amp;"*",'All Papers'!$G:$G,"*"&amp;Table1[[#Headers],[Energy Management]]&amp;"*")</f>
        <v>0</v>
      </c>
      <c r="L995" s="8">
        <f>COUNTIFS('All Papers'!$D:$D,"*"&amp;$A995&amp;"*",'All Papers'!$G:$G,"*"&amp;Table1[[#Headers],[Monitoring]]&amp;"*")</f>
        <v>0</v>
      </c>
      <c r="M995" s="8">
        <f>COUNTIFS('All Papers'!$D:$D,"*"&amp;$A995&amp;"*",'All Papers'!$G:$G,"*"&amp;Table1[[#Headers],[Pricing]]&amp;"*")</f>
        <v>0</v>
      </c>
    </row>
    <row r="996" spans="1:13" x14ac:dyDescent="0.25">
      <c r="A996" s="8" t="s">
        <v>3429</v>
      </c>
      <c r="B996" s="8">
        <f>COUNTIF('All Papers'!D:D,"*"&amp;Table1[[#This Row],[Name]]&amp;"*")</f>
        <v>1</v>
      </c>
      <c r="C996" s="8">
        <f>COUNTIFS('All Papers'!$D:$D,"*"&amp;$A996&amp;"*",'All Papers'!$G:$G,"*"&amp;Table1[[#Headers],[Composition]]&amp;"*")</f>
        <v>1</v>
      </c>
      <c r="D996" s="8">
        <f>COUNTIFS('All Papers'!$D:$D,"*"&amp;$A996&amp;"*",'All Papers'!$G:$G,"*"&amp;Table1[[#Headers],[Discovery]]&amp;"*")</f>
        <v>0</v>
      </c>
      <c r="E996" s="8">
        <f>COUNTIFS('All Papers'!$D:$D,"*"&amp;$A996&amp;"*",'All Papers'!$G:$G,"*"&amp;Table1[[#Headers],[Selection]]&amp;"*")</f>
        <v>0</v>
      </c>
      <c r="F996" s="8">
        <f>COUNTIFS('All Papers'!$D:$D,"*"&amp;$A996&amp;"*",'All Papers'!$G:$G,"*"&amp;Table1[[#Headers],[Recommendation]]&amp;"*")</f>
        <v>0</v>
      </c>
      <c r="G996" s="8">
        <f>COUNTIFS('All Papers'!$D:$D,"*"&amp;$A996&amp;"*",'All Papers'!$G:$G,"*"&amp;Table1[[#Headers],[Resource Management-CS]]&amp;"*")</f>
        <v>0</v>
      </c>
      <c r="H996" s="8">
        <f>COUNTIFS('All Papers'!$D:$D,"*"&amp;$A996&amp;"*",'All Papers'!$G:$G,"*"&amp;Table1[[#Headers],[Resource Management-PS]]&amp;"*")</f>
        <v>0</v>
      </c>
      <c r="I996" s="8">
        <f>COUNTIFS('All Papers'!$D:$D,"*"&amp;$A996&amp;"*",'All Papers'!$G:$G,"*"&amp;Table1[[#Headers],[SLA Management]]&amp;"*")</f>
        <v>0</v>
      </c>
      <c r="J996" s="8">
        <f>COUNTIFS('All Papers'!$D:$D,"*"&amp;$A996&amp;"*",'All Papers'!$G:$G,"*"&amp;Table1[[#Headers],[Big Data]]&amp;"*")</f>
        <v>0</v>
      </c>
      <c r="K996" s="8">
        <f>COUNTIFS('All Papers'!$D:$D,"*"&amp;$A996&amp;"*",'All Papers'!$G:$G,"*"&amp;Table1[[#Headers],[Energy Management]]&amp;"*")</f>
        <v>0</v>
      </c>
      <c r="L996" s="8">
        <f>COUNTIFS('All Papers'!$D:$D,"*"&amp;$A996&amp;"*",'All Papers'!$G:$G,"*"&amp;Table1[[#Headers],[Monitoring]]&amp;"*")</f>
        <v>0</v>
      </c>
      <c r="M996" s="8">
        <f>COUNTIFS('All Papers'!$D:$D,"*"&amp;$A996&amp;"*",'All Papers'!$G:$G,"*"&amp;Table1[[#Headers],[Pricing]]&amp;"*")</f>
        <v>0</v>
      </c>
    </row>
    <row r="997" spans="1:13" x14ac:dyDescent="0.25">
      <c r="A997" s="8" t="s">
        <v>3430</v>
      </c>
      <c r="B997" s="8">
        <f>COUNTIF('All Papers'!D:D,"*"&amp;Table1[[#This Row],[Name]]&amp;"*")</f>
        <v>1</v>
      </c>
      <c r="C997" s="8">
        <f>COUNTIFS('All Papers'!$D:$D,"*"&amp;$A997&amp;"*",'All Papers'!$G:$G,"*"&amp;Table1[[#Headers],[Composition]]&amp;"*")</f>
        <v>1</v>
      </c>
      <c r="D997" s="8">
        <f>COUNTIFS('All Papers'!$D:$D,"*"&amp;$A997&amp;"*",'All Papers'!$G:$G,"*"&amp;Table1[[#Headers],[Discovery]]&amp;"*")</f>
        <v>0</v>
      </c>
      <c r="E997" s="8">
        <f>COUNTIFS('All Papers'!$D:$D,"*"&amp;$A997&amp;"*",'All Papers'!$G:$G,"*"&amp;Table1[[#Headers],[Selection]]&amp;"*")</f>
        <v>0</v>
      </c>
      <c r="F997" s="8">
        <f>COUNTIFS('All Papers'!$D:$D,"*"&amp;$A997&amp;"*",'All Papers'!$G:$G,"*"&amp;Table1[[#Headers],[Recommendation]]&amp;"*")</f>
        <v>0</v>
      </c>
      <c r="G997" s="8">
        <f>COUNTIFS('All Papers'!$D:$D,"*"&amp;$A997&amp;"*",'All Papers'!$G:$G,"*"&amp;Table1[[#Headers],[Resource Management-CS]]&amp;"*")</f>
        <v>0</v>
      </c>
      <c r="H997" s="8">
        <f>COUNTIFS('All Papers'!$D:$D,"*"&amp;$A997&amp;"*",'All Papers'!$G:$G,"*"&amp;Table1[[#Headers],[Resource Management-PS]]&amp;"*")</f>
        <v>0</v>
      </c>
      <c r="I997" s="8">
        <f>COUNTIFS('All Papers'!$D:$D,"*"&amp;$A997&amp;"*",'All Papers'!$G:$G,"*"&amp;Table1[[#Headers],[SLA Management]]&amp;"*")</f>
        <v>0</v>
      </c>
      <c r="J997" s="8">
        <f>COUNTIFS('All Papers'!$D:$D,"*"&amp;$A997&amp;"*",'All Papers'!$G:$G,"*"&amp;Table1[[#Headers],[Big Data]]&amp;"*")</f>
        <v>0</v>
      </c>
      <c r="K997" s="8">
        <f>COUNTIFS('All Papers'!$D:$D,"*"&amp;$A997&amp;"*",'All Papers'!$G:$G,"*"&amp;Table1[[#Headers],[Energy Management]]&amp;"*")</f>
        <v>0</v>
      </c>
      <c r="L997" s="8">
        <f>COUNTIFS('All Papers'!$D:$D,"*"&amp;$A997&amp;"*",'All Papers'!$G:$G,"*"&amp;Table1[[#Headers],[Monitoring]]&amp;"*")</f>
        <v>0</v>
      </c>
      <c r="M997" s="8">
        <f>COUNTIFS('All Papers'!$D:$D,"*"&amp;$A997&amp;"*",'All Papers'!$G:$G,"*"&amp;Table1[[#Headers],[Pricing]]&amp;"*")</f>
        <v>0</v>
      </c>
    </row>
    <row r="998" spans="1:13" x14ac:dyDescent="0.25">
      <c r="A998" s="8" t="s">
        <v>3431</v>
      </c>
      <c r="B998" s="8">
        <f>COUNTIF('All Papers'!D:D,"*"&amp;Table1[[#This Row],[Name]]&amp;"*")</f>
        <v>1</v>
      </c>
      <c r="C998" s="8">
        <f>COUNTIFS('All Papers'!$D:$D,"*"&amp;$A998&amp;"*",'All Papers'!$G:$G,"*"&amp;Table1[[#Headers],[Composition]]&amp;"*")</f>
        <v>1</v>
      </c>
      <c r="D998" s="8">
        <f>COUNTIFS('All Papers'!$D:$D,"*"&amp;$A998&amp;"*",'All Papers'!$G:$G,"*"&amp;Table1[[#Headers],[Discovery]]&amp;"*")</f>
        <v>0</v>
      </c>
      <c r="E998" s="8">
        <f>COUNTIFS('All Papers'!$D:$D,"*"&amp;$A998&amp;"*",'All Papers'!$G:$G,"*"&amp;Table1[[#Headers],[Selection]]&amp;"*")</f>
        <v>0</v>
      </c>
      <c r="F998" s="8">
        <f>COUNTIFS('All Papers'!$D:$D,"*"&amp;$A998&amp;"*",'All Papers'!$G:$G,"*"&amp;Table1[[#Headers],[Recommendation]]&amp;"*")</f>
        <v>0</v>
      </c>
      <c r="G998" s="8">
        <f>COUNTIFS('All Papers'!$D:$D,"*"&amp;$A998&amp;"*",'All Papers'!$G:$G,"*"&amp;Table1[[#Headers],[Resource Management-CS]]&amp;"*")</f>
        <v>0</v>
      </c>
      <c r="H998" s="8">
        <f>COUNTIFS('All Papers'!$D:$D,"*"&amp;$A998&amp;"*",'All Papers'!$G:$G,"*"&amp;Table1[[#Headers],[Resource Management-PS]]&amp;"*")</f>
        <v>0</v>
      </c>
      <c r="I998" s="8">
        <f>COUNTIFS('All Papers'!$D:$D,"*"&amp;$A998&amp;"*",'All Papers'!$G:$G,"*"&amp;Table1[[#Headers],[SLA Management]]&amp;"*")</f>
        <v>0</v>
      </c>
      <c r="J998" s="8">
        <f>COUNTIFS('All Papers'!$D:$D,"*"&amp;$A998&amp;"*",'All Papers'!$G:$G,"*"&amp;Table1[[#Headers],[Big Data]]&amp;"*")</f>
        <v>0</v>
      </c>
      <c r="K998" s="8">
        <f>COUNTIFS('All Papers'!$D:$D,"*"&amp;$A998&amp;"*",'All Papers'!$G:$G,"*"&amp;Table1[[#Headers],[Energy Management]]&amp;"*")</f>
        <v>0</v>
      </c>
      <c r="L998" s="8">
        <f>COUNTIFS('All Papers'!$D:$D,"*"&amp;$A998&amp;"*",'All Papers'!$G:$G,"*"&amp;Table1[[#Headers],[Monitoring]]&amp;"*")</f>
        <v>0</v>
      </c>
      <c r="M998" s="8">
        <f>COUNTIFS('All Papers'!$D:$D,"*"&amp;$A998&amp;"*",'All Papers'!$G:$G,"*"&amp;Table1[[#Headers],[Pricing]]&amp;"*")</f>
        <v>0</v>
      </c>
    </row>
    <row r="999" spans="1:13" x14ac:dyDescent="0.25">
      <c r="A999" s="8" t="s">
        <v>3432</v>
      </c>
      <c r="B999" s="8">
        <f>COUNTIF('All Papers'!D:D,"*"&amp;Table1[[#This Row],[Name]]&amp;"*")</f>
        <v>1</v>
      </c>
      <c r="C999" s="8">
        <f>COUNTIFS('All Papers'!$D:$D,"*"&amp;$A999&amp;"*",'All Papers'!$G:$G,"*"&amp;Table1[[#Headers],[Composition]]&amp;"*")</f>
        <v>1</v>
      </c>
      <c r="D999" s="8">
        <f>COUNTIFS('All Papers'!$D:$D,"*"&amp;$A999&amp;"*",'All Papers'!$G:$G,"*"&amp;Table1[[#Headers],[Discovery]]&amp;"*")</f>
        <v>0</v>
      </c>
      <c r="E999" s="8">
        <f>COUNTIFS('All Papers'!$D:$D,"*"&amp;$A999&amp;"*",'All Papers'!$G:$G,"*"&amp;Table1[[#Headers],[Selection]]&amp;"*")</f>
        <v>0</v>
      </c>
      <c r="F999" s="8">
        <f>COUNTIFS('All Papers'!$D:$D,"*"&amp;$A999&amp;"*",'All Papers'!$G:$G,"*"&amp;Table1[[#Headers],[Recommendation]]&amp;"*")</f>
        <v>0</v>
      </c>
      <c r="G999" s="8">
        <f>COUNTIFS('All Papers'!$D:$D,"*"&amp;$A999&amp;"*",'All Papers'!$G:$G,"*"&amp;Table1[[#Headers],[Resource Management-CS]]&amp;"*")</f>
        <v>0</v>
      </c>
      <c r="H999" s="8">
        <f>COUNTIFS('All Papers'!$D:$D,"*"&amp;$A999&amp;"*",'All Papers'!$G:$G,"*"&amp;Table1[[#Headers],[Resource Management-PS]]&amp;"*")</f>
        <v>0</v>
      </c>
      <c r="I999" s="8">
        <f>COUNTIFS('All Papers'!$D:$D,"*"&amp;$A999&amp;"*",'All Papers'!$G:$G,"*"&amp;Table1[[#Headers],[SLA Management]]&amp;"*")</f>
        <v>0</v>
      </c>
      <c r="J999" s="8">
        <f>COUNTIFS('All Papers'!$D:$D,"*"&amp;$A999&amp;"*",'All Papers'!$G:$G,"*"&amp;Table1[[#Headers],[Big Data]]&amp;"*")</f>
        <v>0</v>
      </c>
      <c r="K999" s="8">
        <f>COUNTIFS('All Papers'!$D:$D,"*"&amp;$A999&amp;"*",'All Papers'!$G:$G,"*"&amp;Table1[[#Headers],[Energy Management]]&amp;"*")</f>
        <v>0</v>
      </c>
      <c r="L999" s="8">
        <f>COUNTIFS('All Papers'!$D:$D,"*"&amp;$A999&amp;"*",'All Papers'!$G:$G,"*"&amp;Table1[[#Headers],[Monitoring]]&amp;"*")</f>
        <v>0</v>
      </c>
      <c r="M999" s="8">
        <f>COUNTIFS('All Papers'!$D:$D,"*"&amp;$A999&amp;"*",'All Papers'!$G:$G,"*"&amp;Table1[[#Headers],[Pricing]]&amp;"*")</f>
        <v>0</v>
      </c>
    </row>
    <row r="1000" spans="1:13" x14ac:dyDescent="0.25">
      <c r="A1000" s="8" t="s">
        <v>3433</v>
      </c>
      <c r="B1000" s="8">
        <f>COUNTIF('All Papers'!D:D,"*"&amp;Table1[[#This Row],[Name]]&amp;"*")</f>
        <v>1</v>
      </c>
      <c r="C1000" s="8">
        <f>COUNTIFS('All Papers'!$D:$D,"*"&amp;$A1000&amp;"*",'All Papers'!$G:$G,"*"&amp;Table1[[#Headers],[Composition]]&amp;"*")</f>
        <v>1</v>
      </c>
      <c r="D1000" s="8">
        <f>COUNTIFS('All Papers'!$D:$D,"*"&amp;$A1000&amp;"*",'All Papers'!$G:$G,"*"&amp;Table1[[#Headers],[Discovery]]&amp;"*")</f>
        <v>0</v>
      </c>
      <c r="E1000" s="8">
        <f>COUNTIFS('All Papers'!$D:$D,"*"&amp;$A1000&amp;"*",'All Papers'!$G:$G,"*"&amp;Table1[[#Headers],[Selection]]&amp;"*")</f>
        <v>0</v>
      </c>
      <c r="F1000" s="8">
        <f>COUNTIFS('All Papers'!$D:$D,"*"&amp;$A1000&amp;"*",'All Papers'!$G:$G,"*"&amp;Table1[[#Headers],[Recommendation]]&amp;"*")</f>
        <v>0</v>
      </c>
      <c r="G1000" s="8">
        <f>COUNTIFS('All Papers'!$D:$D,"*"&amp;$A1000&amp;"*",'All Papers'!$G:$G,"*"&amp;Table1[[#Headers],[Resource Management-CS]]&amp;"*")</f>
        <v>0</v>
      </c>
      <c r="H1000" s="8">
        <f>COUNTIFS('All Papers'!$D:$D,"*"&amp;$A1000&amp;"*",'All Papers'!$G:$G,"*"&amp;Table1[[#Headers],[Resource Management-PS]]&amp;"*")</f>
        <v>0</v>
      </c>
      <c r="I1000" s="8">
        <f>COUNTIFS('All Papers'!$D:$D,"*"&amp;$A1000&amp;"*",'All Papers'!$G:$G,"*"&amp;Table1[[#Headers],[SLA Management]]&amp;"*")</f>
        <v>0</v>
      </c>
      <c r="J1000" s="8">
        <f>COUNTIFS('All Papers'!$D:$D,"*"&amp;$A1000&amp;"*",'All Papers'!$G:$G,"*"&amp;Table1[[#Headers],[Big Data]]&amp;"*")</f>
        <v>0</v>
      </c>
      <c r="K1000" s="8">
        <f>COUNTIFS('All Papers'!$D:$D,"*"&amp;$A1000&amp;"*",'All Papers'!$G:$G,"*"&amp;Table1[[#Headers],[Energy Management]]&amp;"*")</f>
        <v>0</v>
      </c>
      <c r="L1000" s="8">
        <f>COUNTIFS('All Papers'!$D:$D,"*"&amp;$A1000&amp;"*",'All Papers'!$G:$G,"*"&amp;Table1[[#Headers],[Monitoring]]&amp;"*")</f>
        <v>0</v>
      </c>
      <c r="M1000" s="8">
        <f>COUNTIFS('All Papers'!$D:$D,"*"&amp;$A1000&amp;"*",'All Papers'!$G:$G,"*"&amp;Table1[[#Headers],[Pricing]]&amp;"*")</f>
        <v>0</v>
      </c>
    </row>
    <row r="1001" spans="1:13" x14ac:dyDescent="0.25">
      <c r="A1001" s="8" t="s">
        <v>3434</v>
      </c>
      <c r="B1001" s="8">
        <f>COUNTIF('All Papers'!D:D,"*"&amp;Table1[[#This Row],[Name]]&amp;"*")</f>
        <v>1</v>
      </c>
      <c r="C1001" s="8">
        <f>COUNTIFS('All Papers'!$D:$D,"*"&amp;$A1001&amp;"*",'All Papers'!$G:$G,"*"&amp;Table1[[#Headers],[Composition]]&amp;"*")</f>
        <v>1</v>
      </c>
      <c r="D1001" s="8">
        <f>COUNTIFS('All Papers'!$D:$D,"*"&amp;$A1001&amp;"*",'All Papers'!$G:$G,"*"&amp;Table1[[#Headers],[Discovery]]&amp;"*")</f>
        <v>0</v>
      </c>
      <c r="E1001" s="8">
        <f>COUNTIFS('All Papers'!$D:$D,"*"&amp;$A1001&amp;"*",'All Papers'!$G:$G,"*"&amp;Table1[[#Headers],[Selection]]&amp;"*")</f>
        <v>0</v>
      </c>
      <c r="F1001" s="8">
        <f>COUNTIFS('All Papers'!$D:$D,"*"&amp;$A1001&amp;"*",'All Papers'!$G:$G,"*"&amp;Table1[[#Headers],[Recommendation]]&amp;"*")</f>
        <v>0</v>
      </c>
      <c r="G1001" s="8">
        <f>COUNTIFS('All Papers'!$D:$D,"*"&amp;$A1001&amp;"*",'All Papers'!$G:$G,"*"&amp;Table1[[#Headers],[Resource Management-CS]]&amp;"*")</f>
        <v>0</v>
      </c>
      <c r="H1001" s="8">
        <f>COUNTIFS('All Papers'!$D:$D,"*"&amp;$A1001&amp;"*",'All Papers'!$G:$G,"*"&amp;Table1[[#Headers],[Resource Management-PS]]&amp;"*")</f>
        <v>0</v>
      </c>
      <c r="I1001" s="8">
        <f>COUNTIFS('All Papers'!$D:$D,"*"&amp;$A1001&amp;"*",'All Papers'!$G:$G,"*"&amp;Table1[[#Headers],[SLA Management]]&amp;"*")</f>
        <v>0</v>
      </c>
      <c r="J1001" s="8">
        <f>COUNTIFS('All Papers'!$D:$D,"*"&amp;$A1001&amp;"*",'All Papers'!$G:$G,"*"&amp;Table1[[#Headers],[Big Data]]&amp;"*")</f>
        <v>0</v>
      </c>
      <c r="K1001" s="8">
        <f>COUNTIFS('All Papers'!$D:$D,"*"&amp;$A1001&amp;"*",'All Papers'!$G:$G,"*"&amp;Table1[[#Headers],[Energy Management]]&amp;"*")</f>
        <v>0</v>
      </c>
      <c r="L1001" s="8">
        <f>COUNTIFS('All Papers'!$D:$D,"*"&amp;$A1001&amp;"*",'All Papers'!$G:$G,"*"&amp;Table1[[#Headers],[Monitoring]]&amp;"*")</f>
        <v>0</v>
      </c>
      <c r="M1001" s="8">
        <f>COUNTIFS('All Papers'!$D:$D,"*"&amp;$A1001&amp;"*",'All Papers'!$G:$G,"*"&amp;Table1[[#Headers],[Pricing]]&amp;"*")</f>
        <v>0</v>
      </c>
    </row>
    <row r="1002" spans="1:13" x14ac:dyDescent="0.25">
      <c r="A1002" s="8" t="s">
        <v>3435</v>
      </c>
      <c r="B1002" s="8">
        <f>COUNTIF('All Papers'!D:D,"*"&amp;Table1[[#This Row],[Name]]&amp;"*")</f>
        <v>1</v>
      </c>
      <c r="C1002" s="8">
        <f>COUNTIFS('All Papers'!$D:$D,"*"&amp;$A1002&amp;"*",'All Papers'!$G:$G,"*"&amp;Table1[[#Headers],[Composition]]&amp;"*")</f>
        <v>1</v>
      </c>
      <c r="D1002" s="8">
        <f>COUNTIFS('All Papers'!$D:$D,"*"&amp;$A1002&amp;"*",'All Papers'!$G:$G,"*"&amp;Table1[[#Headers],[Discovery]]&amp;"*")</f>
        <v>0</v>
      </c>
      <c r="E1002" s="8">
        <f>COUNTIFS('All Papers'!$D:$D,"*"&amp;$A1002&amp;"*",'All Papers'!$G:$G,"*"&amp;Table1[[#Headers],[Selection]]&amp;"*")</f>
        <v>0</v>
      </c>
      <c r="F1002" s="8">
        <f>COUNTIFS('All Papers'!$D:$D,"*"&amp;$A1002&amp;"*",'All Papers'!$G:$G,"*"&amp;Table1[[#Headers],[Recommendation]]&amp;"*")</f>
        <v>0</v>
      </c>
      <c r="G1002" s="8">
        <f>COUNTIFS('All Papers'!$D:$D,"*"&amp;$A1002&amp;"*",'All Papers'!$G:$G,"*"&amp;Table1[[#Headers],[Resource Management-CS]]&amp;"*")</f>
        <v>0</v>
      </c>
      <c r="H1002" s="8">
        <f>COUNTIFS('All Papers'!$D:$D,"*"&amp;$A1002&amp;"*",'All Papers'!$G:$G,"*"&amp;Table1[[#Headers],[Resource Management-PS]]&amp;"*")</f>
        <v>0</v>
      </c>
      <c r="I1002" s="8">
        <f>COUNTIFS('All Papers'!$D:$D,"*"&amp;$A1002&amp;"*",'All Papers'!$G:$G,"*"&amp;Table1[[#Headers],[SLA Management]]&amp;"*")</f>
        <v>0</v>
      </c>
      <c r="J1002" s="8">
        <f>COUNTIFS('All Papers'!$D:$D,"*"&amp;$A1002&amp;"*",'All Papers'!$G:$G,"*"&amp;Table1[[#Headers],[Big Data]]&amp;"*")</f>
        <v>0</v>
      </c>
      <c r="K1002" s="8">
        <f>COUNTIFS('All Papers'!$D:$D,"*"&amp;$A1002&amp;"*",'All Papers'!$G:$G,"*"&amp;Table1[[#Headers],[Energy Management]]&amp;"*")</f>
        <v>0</v>
      </c>
      <c r="L1002" s="8">
        <f>COUNTIFS('All Papers'!$D:$D,"*"&amp;$A1002&amp;"*",'All Papers'!$G:$G,"*"&amp;Table1[[#Headers],[Monitoring]]&amp;"*")</f>
        <v>0</v>
      </c>
      <c r="M1002" s="8">
        <f>COUNTIFS('All Papers'!$D:$D,"*"&amp;$A1002&amp;"*",'All Papers'!$G:$G,"*"&amp;Table1[[#Headers],[Pricing]]&amp;"*")</f>
        <v>0</v>
      </c>
    </row>
    <row r="1003" spans="1:13" x14ac:dyDescent="0.25">
      <c r="A1003" s="8" t="s">
        <v>3436</v>
      </c>
      <c r="B1003" s="8">
        <f>COUNTIF('All Papers'!D:D,"*"&amp;Table1[[#This Row],[Name]]&amp;"*")</f>
        <v>1</v>
      </c>
      <c r="C1003" s="8">
        <f>COUNTIFS('All Papers'!$D:$D,"*"&amp;$A1003&amp;"*",'All Papers'!$G:$G,"*"&amp;Table1[[#Headers],[Composition]]&amp;"*")</f>
        <v>0</v>
      </c>
      <c r="D1003" s="8">
        <f>COUNTIFS('All Papers'!$D:$D,"*"&amp;$A1003&amp;"*",'All Papers'!$G:$G,"*"&amp;Table1[[#Headers],[Discovery]]&amp;"*")</f>
        <v>0</v>
      </c>
      <c r="E1003" s="8">
        <f>COUNTIFS('All Papers'!$D:$D,"*"&amp;$A1003&amp;"*",'All Papers'!$G:$G,"*"&amp;Table1[[#Headers],[Selection]]&amp;"*")</f>
        <v>0</v>
      </c>
      <c r="F1003" s="8">
        <f>COUNTIFS('All Papers'!$D:$D,"*"&amp;$A1003&amp;"*",'All Papers'!$G:$G,"*"&amp;Table1[[#Headers],[Recommendation]]&amp;"*")</f>
        <v>0</v>
      </c>
      <c r="G1003" s="8">
        <f>COUNTIFS('All Papers'!$D:$D,"*"&amp;$A1003&amp;"*",'All Papers'!$G:$G,"*"&amp;Table1[[#Headers],[Resource Management-CS]]&amp;"*")</f>
        <v>0</v>
      </c>
      <c r="H1003" s="8">
        <f>COUNTIFS('All Papers'!$D:$D,"*"&amp;$A1003&amp;"*",'All Papers'!$G:$G,"*"&amp;Table1[[#Headers],[Resource Management-PS]]&amp;"*")</f>
        <v>1</v>
      </c>
      <c r="I1003" s="8">
        <f>COUNTIFS('All Papers'!$D:$D,"*"&amp;$A1003&amp;"*",'All Papers'!$G:$G,"*"&amp;Table1[[#Headers],[SLA Management]]&amp;"*")</f>
        <v>0</v>
      </c>
      <c r="J1003" s="8">
        <f>COUNTIFS('All Papers'!$D:$D,"*"&amp;$A1003&amp;"*",'All Papers'!$G:$G,"*"&amp;Table1[[#Headers],[Big Data]]&amp;"*")</f>
        <v>0</v>
      </c>
      <c r="K1003" s="8">
        <f>COUNTIFS('All Papers'!$D:$D,"*"&amp;$A1003&amp;"*",'All Papers'!$G:$G,"*"&amp;Table1[[#Headers],[Energy Management]]&amp;"*")</f>
        <v>0</v>
      </c>
      <c r="L1003" s="8">
        <f>COUNTIFS('All Papers'!$D:$D,"*"&amp;$A1003&amp;"*",'All Papers'!$G:$G,"*"&amp;Table1[[#Headers],[Monitoring]]&amp;"*")</f>
        <v>0</v>
      </c>
      <c r="M1003" s="8">
        <f>COUNTIFS('All Papers'!$D:$D,"*"&amp;$A1003&amp;"*",'All Papers'!$G:$G,"*"&amp;Table1[[#Headers],[Pricing]]&amp;"*")</f>
        <v>0</v>
      </c>
    </row>
    <row r="1004" spans="1:13" x14ac:dyDescent="0.25">
      <c r="A1004" s="8" t="s">
        <v>3437</v>
      </c>
      <c r="B1004" s="8">
        <f>COUNTIF('All Papers'!D:D,"*"&amp;Table1[[#This Row],[Name]]&amp;"*")</f>
        <v>1</v>
      </c>
      <c r="C1004" s="8">
        <f>COUNTIFS('All Papers'!$D:$D,"*"&amp;$A1004&amp;"*",'All Papers'!$G:$G,"*"&amp;Table1[[#Headers],[Composition]]&amp;"*")</f>
        <v>0</v>
      </c>
      <c r="D1004" s="8">
        <f>COUNTIFS('All Papers'!$D:$D,"*"&amp;$A1004&amp;"*",'All Papers'!$G:$G,"*"&amp;Table1[[#Headers],[Discovery]]&amp;"*")</f>
        <v>0</v>
      </c>
      <c r="E1004" s="8">
        <f>COUNTIFS('All Papers'!$D:$D,"*"&amp;$A1004&amp;"*",'All Papers'!$G:$G,"*"&amp;Table1[[#Headers],[Selection]]&amp;"*")</f>
        <v>0</v>
      </c>
      <c r="F1004" s="8">
        <f>COUNTIFS('All Papers'!$D:$D,"*"&amp;$A1004&amp;"*",'All Papers'!$G:$G,"*"&amp;Table1[[#Headers],[Recommendation]]&amp;"*")</f>
        <v>0</v>
      </c>
      <c r="G1004" s="8">
        <f>COUNTIFS('All Papers'!$D:$D,"*"&amp;$A1004&amp;"*",'All Papers'!$G:$G,"*"&amp;Table1[[#Headers],[Resource Management-CS]]&amp;"*")</f>
        <v>0</v>
      </c>
      <c r="H1004" s="8">
        <f>COUNTIFS('All Papers'!$D:$D,"*"&amp;$A1004&amp;"*",'All Papers'!$G:$G,"*"&amp;Table1[[#Headers],[Resource Management-PS]]&amp;"*")</f>
        <v>1</v>
      </c>
      <c r="I1004" s="8">
        <f>COUNTIFS('All Papers'!$D:$D,"*"&amp;$A1004&amp;"*",'All Papers'!$G:$G,"*"&amp;Table1[[#Headers],[SLA Management]]&amp;"*")</f>
        <v>0</v>
      </c>
      <c r="J1004" s="8">
        <f>COUNTIFS('All Papers'!$D:$D,"*"&amp;$A1004&amp;"*",'All Papers'!$G:$G,"*"&amp;Table1[[#Headers],[Big Data]]&amp;"*")</f>
        <v>0</v>
      </c>
      <c r="K1004" s="8">
        <f>COUNTIFS('All Papers'!$D:$D,"*"&amp;$A1004&amp;"*",'All Papers'!$G:$G,"*"&amp;Table1[[#Headers],[Energy Management]]&amp;"*")</f>
        <v>0</v>
      </c>
      <c r="L1004" s="8">
        <f>COUNTIFS('All Papers'!$D:$D,"*"&amp;$A1004&amp;"*",'All Papers'!$G:$G,"*"&amp;Table1[[#Headers],[Monitoring]]&amp;"*")</f>
        <v>0</v>
      </c>
      <c r="M1004" s="8">
        <f>COUNTIFS('All Papers'!$D:$D,"*"&amp;$A1004&amp;"*",'All Papers'!$G:$G,"*"&amp;Table1[[#Headers],[Pricing]]&amp;"*")</f>
        <v>0</v>
      </c>
    </row>
    <row r="1005" spans="1:13" x14ac:dyDescent="0.25">
      <c r="A1005" s="8" t="s">
        <v>3438</v>
      </c>
      <c r="B1005" s="8">
        <f>COUNTIF('All Papers'!D:D,"*"&amp;Table1[[#This Row],[Name]]&amp;"*")</f>
        <v>1</v>
      </c>
      <c r="C1005" s="8">
        <f>COUNTIFS('All Papers'!$D:$D,"*"&amp;$A1005&amp;"*",'All Papers'!$G:$G,"*"&amp;Table1[[#Headers],[Composition]]&amp;"*")</f>
        <v>1</v>
      </c>
      <c r="D1005" s="8">
        <f>COUNTIFS('All Papers'!$D:$D,"*"&amp;$A1005&amp;"*",'All Papers'!$G:$G,"*"&amp;Table1[[#Headers],[Discovery]]&amp;"*")</f>
        <v>0</v>
      </c>
      <c r="E1005" s="8">
        <f>COUNTIFS('All Papers'!$D:$D,"*"&amp;$A1005&amp;"*",'All Papers'!$G:$G,"*"&amp;Table1[[#Headers],[Selection]]&amp;"*")</f>
        <v>0</v>
      </c>
      <c r="F1005" s="8">
        <f>COUNTIFS('All Papers'!$D:$D,"*"&amp;$A1005&amp;"*",'All Papers'!$G:$G,"*"&amp;Table1[[#Headers],[Recommendation]]&amp;"*")</f>
        <v>0</v>
      </c>
      <c r="G1005" s="8">
        <f>COUNTIFS('All Papers'!$D:$D,"*"&amp;$A1005&amp;"*",'All Papers'!$G:$G,"*"&amp;Table1[[#Headers],[Resource Management-CS]]&amp;"*")</f>
        <v>0</v>
      </c>
      <c r="H1005" s="8">
        <f>COUNTIFS('All Papers'!$D:$D,"*"&amp;$A1005&amp;"*",'All Papers'!$G:$G,"*"&amp;Table1[[#Headers],[Resource Management-PS]]&amp;"*")</f>
        <v>0</v>
      </c>
      <c r="I1005" s="8">
        <f>COUNTIFS('All Papers'!$D:$D,"*"&amp;$A1005&amp;"*",'All Papers'!$G:$G,"*"&amp;Table1[[#Headers],[SLA Management]]&amp;"*")</f>
        <v>0</v>
      </c>
      <c r="J1005" s="8">
        <f>COUNTIFS('All Papers'!$D:$D,"*"&amp;$A1005&amp;"*",'All Papers'!$G:$G,"*"&amp;Table1[[#Headers],[Big Data]]&amp;"*")</f>
        <v>0</v>
      </c>
      <c r="K1005" s="8">
        <f>COUNTIFS('All Papers'!$D:$D,"*"&amp;$A1005&amp;"*",'All Papers'!$G:$G,"*"&amp;Table1[[#Headers],[Energy Management]]&amp;"*")</f>
        <v>0</v>
      </c>
      <c r="L1005" s="8">
        <f>COUNTIFS('All Papers'!$D:$D,"*"&amp;$A1005&amp;"*",'All Papers'!$G:$G,"*"&amp;Table1[[#Headers],[Monitoring]]&amp;"*")</f>
        <v>0</v>
      </c>
      <c r="M1005" s="8">
        <f>COUNTIFS('All Papers'!$D:$D,"*"&amp;$A1005&amp;"*",'All Papers'!$G:$G,"*"&amp;Table1[[#Headers],[Pricing]]&amp;"*")</f>
        <v>0</v>
      </c>
    </row>
    <row r="1006" spans="1:13" x14ac:dyDescent="0.25">
      <c r="A1006" s="8" t="s">
        <v>3439</v>
      </c>
      <c r="B1006" s="8">
        <f>COUNTIF('All Papers'!D:D,"*"&amp;Table1[[#This Row],[Name]]&amp;"*")</f>
        <v>1</v>
      </c>
      <c r="C1006" s="8">
        <f>COUNTIFS('All Papers'!$D:$D,"*"&amp;$A1006&amp;"*",'All Papers'!$G:$G,"*"&amp;Table1[[#Headers],[Composition]]&amp;"*")</f>
        <v>1</v>
      </c>
      <c r="D1006" s="8">
        <f>COUNTIFS('All Papers'!$D:$D,"*"&amp;$A1006&amp;"*",'All Papers'!$G:$G,"*"&amp;Table1[[#Headers],[Discovery]]&amp;"*")</f>
        <v>0</v>
      </c>
      <c r="E1006" s="8">
        <f>COUNTIFS('All Papers'!$D:$D,"*"&amp;$A1006&amp;"*",'All Papers'!$G:$G,"*"&amp;Table1[[#Headers],[Selection]]&amp;"*")</f>
        <v>0</v>
      </c>
      <c r="F1006" s="8">
        <f>COUNTIFS('All Papers'!$D:$D,"*"&amp;$A1006&amp;"*",'All Papers'!$G:$G,"*"&amp;Table1[[#Headers],[Recommendation]]&amp;"*")</f>
        <v>0</v>
      </c>
      <c r="G1006" s="8">
        <f>COUNTIFS('All Papers'!$D:$D,"*"&amp;$A1006&amp;"*",'All Papers'!$G:$G,"*"&amp;Table1[[#Headers],[Resource Management-CS]]&amp;"*")</f>
        <v>0</v>
      </c>
      <c r="H1006" s="8">
        <f>COUNTIFS('All Papers'!$D:$D,"*"&amp;$A1006&amp;"*",'All Papers'!$G:$G,"*"&amp;Table1[[#Headers],[Resource Management-PS]]&amp;"*")</f>
        <v>0</v>
      </c>
      <c r="I1006" s="8">
        <f>COUNTIFS('All Papers'!$D:$D,"*"&amp;$A1006&amp;"*",'All Papers'!$G:$G,"*"&amp;Table1[[#Headers],[SLA Management]]&amp;"*")</f>
        <v>0</v>
      </c>
      <c r="J1006" s="8">
        <f>COUNTIFS('All Papers'!$D:$D,"*"&amp;$A1006&amp;"*",'All Papers'!$G:$G,"*"&amp;Table1[[#Headers],[Big Data]]&amp;"*")</f>
        <v>0</v>
      </c>
      <c r="K1006" s="8">
        <f>COUNTIFS('All Papers'!$D:$D,"*"&amp;$A1006&amp;"*",'All Papers'!$G:$G,"*"&amp;Table1[[#Headers],[Energy Management]]&amp;"*")</f>
        <v>0</v>
      </c>
      <c r="L1006" s="8">
        <f>COUNTIFS('All Papers'!$D:$D,"*"&amp;$A1006&amp;"*",'All Papers'!$G:$G,"*"&amp;Table1[[#Headers],[Monitoring]]&amp;"*")</f>
        <v>0</v>
      </c>
      <c r="M1006" s="8">
        <f>COUNTIFS('All Papers'!$D:$D,"*"&amp;$A1006&amp;"*",'All Papers'!$G:$G,"*"&amp;Table1[[#Headers],[Pricing]]&amp;"*")</f>
        <v>0</v>
      </c>
    </row>
    <row r="1007" spans="1:13" x14ac:dyDescent="0.25">
      <c r="A1007" s="8" t="s">
        <v>3440</v>
      </c>
      <c r="B1007" s="8">
        <f>COUNTIF('All Papers'!D:D,"*"&amp;Table1[[#This Row],[Name]]&amp;"*")</f>
        <v>1</v>
      </c>
      <c r="C1007" s="8">
        <f>COUNTIFS('All Papers'!$D:$D,"*"&amp;$A1007&amp;"*",'All Papers'!$G:$G,"*"&amp;Table1[[#Headers],[Composition]]&amp;"*")</f>
        <v>1</v>
      </c>
      <c r="D1007" s="8">
        <f>COUNTIFS('All Papers'!$D:$D,"*"&amp;$A1007&amp;"*",'All Papers'!$G:$G,"*"&amp;Table1[[#Headers],[Discovery]]&amp;"*")</f>
        <v>0</v>
      </c>
      <c r="E1007" s="8">
        <f>COUNTIFS('All Papers'!$D:$D,"*"&amp;$A1007&amp;"*",'All Papers'!$G:$G,"*"&amp;Table1[[#Headers],[Selection]]&amp;"*")</f>
        <v>0</v>
      </c>
      <c r="F1007" s="8">
        <f>COUNTIFS('All Papers'!$D:$D,"*"&amp;$A1007&amp;"*",'All Papers'!$G:$G,"*"&amp;Table1[[#Headers],[Recommendation]]&amp;"*")</f>
        <v>0</v>
      </c>
      <c r="G1007" s="8">
        <f>COUNTIFS('All Papers'!$D:$D,"*"&amp;$A1007&amp;"*",'All Papers'!$G:$G,"*"&amp;Table1[[#Headers],[Resource Management-CS]]&amp;"*")</f>
        <v>0</v>
      </c>
      <c r="H1007" s="8">
        <f>COUNTIFS('All Papers'!$D:$D,"*"&amp;$A1007&amp;"*",'All Papers'!$G:$G,"*"&amp;Table1[[#Headers],[Resource Management-PS]]&amp;"*")</f>
        <v>0</v>
      </c>
      <c r="I1007" s="8">
        <f>COUNTIFS('All Papers'!$D:$D,"*"&amp;$A1007&amp;"*",'All Papers'!$G:$G,"*"&amp;Table1[[#Headers],[SLA Management]]&amp;"*")</f>
        <v>0</v>
      </c>
      <c r="J1007" s="8">
        <f>COUNTIFS('All Papers'!$D:$D,"*"&amp;$A1007&amp;"*",'All Papers'!$G:$G,"*"&amp;Table1[[#Headers],[Big Data]]&amp;"*")</f>
        <v>0</v>
      </c>
      <c r="K1007" s="8">
        <f>COUNTIFS('All Papers'!$D:$D,"*"&amp;$A1007&amp;"*",'All Papers'!$G:$G,"*"&amp;Table1[[#Headers],[Energy Management]]&amp;"*")</f>
        <v>0</v>
      </c>
      <c r="L1007" s="8">
        <f>COUNTIFS('All Papers'!$D:$D,"*"&amp;$A1007&amp;"*",'All Papers'!$G:$G,"*"&amp;Table1[[#Headers],[Monitoring]]&amp;"*")</f>
        <v>0</v>
      </c>
      <c r="M1007" s="8">
        <f>COUNTIFS('All Papers'!$D:$D,"*"&amp;$A1007&amp;"*",'All Papers'!$G:$G,"*"&amp;Table1[[#Headers],[Pricing]]&amp;"*")</f>
        <v>0</v>
      </c>
    </row>
    <row r="1008" spans="1:13" x14ac:dyDescent="0.25">
      <c r="A1008" s="8" t="s">
        <v>3441</v>
      </c>
      <c r="B1008" s="8">
        <f>COUNTIF('All Papers'!D:D,"*"&amp;Table1[[#This Row],[Name]]&amp;"*")</f>
        <v>1</v>
      </c>
      <c r="C1008" s="8">
        <f>COUNTIFS('All Papers'!$D:$D,"*"&amp;$A1008&amp;"*",'All Papers'!$G:$G,"*"&amp;Table1[[#Headers],[Composition]]&amp;"*")</f>
        <v>0</v>
      </c>
      <c r="D1008" s="8">
        <f>COUNTIFS('All Papers'!$D:$D,"*"&amp;$A1008&amp;"*",'All Papers'!$G:$G,"*"&amp;Table1[[#Headers],[Discovery]]&amp;"*")</f>
        <v>0</v>
      </c>
      <c r="E1008" s="8">
        <f>COUNTIFS('All Papers'!$D:$D,"*"&amp;$A1008&amp;"*",'All Papers'!$G:$G,"*"&amp;Table1[[#Headers],[Selection]]&amp;"*")</f>
        <v>0</v>
      </c>
      <c r="F1008" s="8">
        <f>COUNTIFS('All Papers'!$D:$D,"*"&amp;$A1008&amp;"*",'All Papers'!$G:$G,"*"&amp;Table1[[#Headers],[Recommendation]]&amp;"*")</f>
        <v>0</v>
      </c>
      <c r="G1008" s="8">
        <f>COUNTIFS('All Papers'!$D:$D,"*"&amp;$A1008&amp;"*",'All Papers'!$G:$G,"*"&amp;Table1[[#Headers],[Resource Management-CS]]&amp;"*")</f>
        <v>0</v>
      </c>
      <c r="H1008" s="8">
        <f>COUNTIFS('All Papers'!$D:$D,"*"&amp;$A1008&amp;"*",'All Papers'!$G:$G,"*"&amp;Table1[[#Headers],[Resource Management-PS]]&amp;"*")</f>
        <v>0</v>
      </c>
      <c r="I1008" s="8">
        <f>COUNTIFS('All Papers'!$D:$D,"*"&amp;$A1008&amp;"*",'All Papers'!$G:$G,"*"&amp;Table1[[#Headers],[SLA Management]]&amp;"*")</f>
        <v>1</v>
      </c>
      <c r="J1008" s="8">
        <f>COUNTIFS('All Papers'!$D:$D,"*"&amp;$A1008&amp;"*",'All Papers'!$G:$G,"*"&amp;Table1[[#Headers],[Big Data]]&amp;"*")</f>
        <v>0</v>
      </c>
      <c r="K1008" s="8">
        <f>COUNTIFS('All Papers'!$D:$D,"*"&amp;$A1008&amp;"*",'All Papers'!$G:$G,"*"&amp;Table1[[#Headers],[Energy Management]]&amp;"*")</f>
        <v>0</v>
      </c>
      <c r="L1008" s="8">
        <f>COUNTIFS('All Papers'!$D:$D,"*"&amp;$A1008&amp;"*",'All Papers'!$G:$G,"*"&amp;Table1[[#Headers],[Monitoring]]&amp;"*")</f>
        <v>0</v>
      </c>
      <c r="M1008" s="8">
        <f>COUNTIFS('All Papers'!$D:$D,"*"&amp;$A1008&amp;"*",'All Papers'!$G:$G,"*"&amp;Table1[[#Headers],[Pricing]]&amp;"*")</f>
        <v>1</v>
      </c>
    </row>
    <row r="1009" spans="1:13" x14ac:dyDescent="0.25">
      <c r="A1009" s="8" t="s">
        <v>3442</v>
      </c>
      <c r="B1009" s="8">
        <f>COUNTIF('All Papers'!D:D,"*"&amp;Table1[[#This Row],[Name]]&amp;"*")</f>
        <v>1</v>
      </c>
      <c r="C1009" s="8">
        <f>COUNTIFS('All Papers'!$D:$D,"*"&amp;$A1009&amp;"*",'All Papers'!$G:$G,"*"&amp;Table1[[#Headers],[Composition]]&amp;"*")</f>
        <v>0</v>
      </c>
      <c r="D1009" s="8">
        <f>COUNTIFS('All Papers'!$D:$D,"*"&amp;$A1009&amp;"*",'All Papers'!$G:$G,"*"&amp;Table1[[#Headers],[Discovery]]&amp;"*")</f>
        <v>0</v>
      </c>
      <c r="E1009" s="8">
        <f>COUNTIFS('All Papers'!$D:$D,"*"&amp;$A1009&amp;"*",'All Papers'!$G:$G,"*"&amp;Table1[[#Headers],[Selection]]&amp;"*")</f>
        <v>1</v>
      </c>
      <c r="F1009" s="8">
        <f>COUNTIFS('All Papers'!$D:$D,"*"&amp;$A1009&amp;"*",'All Papers'!$G:$G,"*"&amp;Table1[[#Headers],[Recommendation]]&amp;"*")</f>
        <v>0</v>
      </c>
      <c r="G1009" s="8">
        <f>COUNTIFS('All Papers'!$D:$D,"*"&amp;$A1009&amp;"*",'All Papers'!$G:$G,"*"&amp;Table1[[#Headers],[Resource Management-CS]]&amp;"*")</f>
        <v>0</v>
      </c>
      <c r="H1009" s="8">
        <f>COUNTIFS('All Papers'!$D:$D,"*"&amp;$A1009&amp;"*",'All Papers'!$G:$G,"*"&amp;Table1[[#Headers],[Resource Management-PS]]&amp;"*")</f>
        <v>0</v>
      </c>
      <c r="I1009" s="8">
        <f>COUNTIFS('All Papers'!$D:$D,"*"&amp;$A1009&amp;"*",'All Papers'!$G:$G,"*"&amp;Table1[[#Headers],[SLA Management]]&amp;"*")</f>
        <v>0</v>
      </c>
      <c r="J1009" s="8">
        <f>COUNTIFS('All Papers'!$D:$D,"*"&amp;$A1009&amp;"*",'All Papers'!$G:$G,"*"&amp;Table1[[#Headers],[Big Data]]&amp;"*")</f>
        <v>0</v>
      </c>
      <c r="K1009" s="8">
        <f>COUNTIFS('All Papers'!$D:$D,"*"&amp;$A1009&amp;"*",'All Papers'!$G:$G,"*"&amp;Table1[[#Headers],[Energy Management]]&amp;"*")</f>
        <v>0</v>
      </c>
      <c r="L1009" s="8">
        <f>COUNTIFS('All Papers'!$D:$D,"*"&amp;$A1009&amp;"*",'All Papers'!$G:$G,"*"&amp;Table1[[#Headers],[Monitoring]]&amp;"*")</f>
        <v>0</v>
      </c>
      <c r="M1009" s="8">
        <f>COUNTIFS('All Papers'!$D:$D,"*"&amp;$A1009&amp;"*",'All Papers'!$G:$G,"*"&amp;Table1[[#Headers],[Pricing]]&amp;"*")</f>
        <v>0</v>
      </c>
    </row>
    <row r="1010" spans="1:13" x14ac:dyDescent="0.25">
      <c r="A1010" s="8" t="s">
        <v>3443</v>
      </c>
      <c r="B1010" s="8">
        <f>COUNTIF('All Papers'!D:D,"*"&amp;Table1[[#This Row],[Name]]&amp;"*")</f>
        <v>1</v>
      </c>
      <c r="C1010" s="8">
        <f>COUNTIFS('All Papers'!$D:$D,"*"&amp;$A1010&amp;"*",'All Papers'!$G:$G,"*"&amp;Table1[[#Headers],[Composition]]&amp;"*")</f>
        <v>1</v>
      </c>
      <c r="D1010" s="8">
        <f>COUNTIFS('All Papers'!$D:$D,"*"&amp;$A1010&amp;"*",'All Papers'!$G:$G,"*"&amp;Table1[[#Headers],[Discovery]]&amp;"*")</f>
        <v>0</v>
      </c>
      <c r="E1010" s="8">
        <f>COUNTIFS('All Papers'!$D:$D,"*"&amp;$A1010&amp;"*",'All Papers'!$G:$G,"*"&amp;Table1[[#Headers],[Selection]]&amp;"*")</f>
        <v>1</v>
      </c>
      <c r="F1010" s="8">
        <f>COUNTIFS('All Papers'!$D:$D,"*"&amp;$A1010&amp;"*",'All Papers'!$G:$G,"*"&amp;Table1[[#Headers],[Recommendation]]&amp;"*")</f>
        <v>0</v>
      </c>
      <c r="G1010" s="8">
        <f>COUNTIFS('All Papers'!$D:$D,"*"&amp;$A1010&amp;"*",'All Papers'!$G:$G,"*"&amp;Table1[[#Headers],[Resource Management-CS]]&amp;"*")</f>
        <v>0</v>
      </c>
      <c r="H1010" s="8">
        <f>COUNTIFS('All Papers'!$D:$D,"*"&amp;$A1010&amp;"*",'All Papers'!$G:$G,"*"&amp;Table1[[#Headers],[Resource Management-PS]]&amp;"*")</f>
        <v>0</v>
      </c>
      <c r="I1010" s="8">
        <f>COUNTIFS('All Papers'!$D:$D,"*"&amp;$A1010&amp;"*",'All Papers'!$G:$G,"*"&amp;Table1[[#Headers],[SLA Management]]&amp;"*")</f>
        <v>0</v>
      </c>
      <c r="J1010" s="8">
        <f>COUNTIFS('All Papers'!$D:$D,"*"&amp;$A1010&amp;"*",'All Papers'!$G:$G,"*"&amp;Table1[[#Headers],[Big Data]]&amp;"*")</f>
        <v>0</v>
      </c>
      <c r="K1010" s="8">
        <f>COUNTIFS('All Papers'!$D:$D,"*"&amp;$A1010&amp;"*",'All Papers'!$G:$G,"*"&amp;Table1[[#Headers],[Energy Management]]&amp;"*")</f>
        <v>0</v>
      </c>
      <c r="L1010" s="8">
        <f>COUNTIFS('All Papers'!$D:$D,"*"&amp;$A1010&amp;"*",'All Papers'!$G:$G,"*"&amp;Table1[[#Headers],[Monitoring]]&amp;"*")</f>
        <v>0</v>
      </c>
      <c r="M1010" s="8">
        <f>COUNTIFS('All Papers'!$D:$D,"*"&amp;$A1010&amp;"*",'All Papers'!$G:$G,"*"&amp;Table1[[#Headers],[Pricing]]&amp;"*")</f>
        <v>0</v>
      </c>
    </row>
    <row r="1011" spans="1:13" x14ac:dyDescent="0.25">
      <c r="A1011" s="8" t="s">
        <v>3444</v>
      </c>
      <c r="B1011" s="8">
        <f>COUNTIF('All Papers'!D:D,"*"&amp;Table1[[#This Row],[Name]]&amp;"*")</f>
        <v>1</v>
      </c>
      <c r="C1011" s="8">
        <f>COUNTIFS('All Papers'!$D:$D,"*"&amp;$A1011&amp;"*",'All Papers'!$G:$G,"*"&amp;Table1[[#Headers],[Composition]]&amp;"*")</f>
        <v>1</v>
      </c>
      <c r="D1011" s="8">
        <f>COUNTIFS('All Papers'!$D:$D,"*"&amp;$A1011&amp;"*",'All Papers'!$G:$G,"*"&amp;Table1[[#Headers],[Discovery]]&amp;"*")</f>
        <v>0</v>
      </c>
      <c r="E1011" s="8">
        <f>COUNTIFS('All Papers'!$D:$D,"*"&amp;$A1011&amp;"*",'All Papers'!$G:$G,"*"&amp;Table1[[#Headers],[Selection]]&amp;"*")</f>
        <v>1</v>
      </c>
      <c r="F1011" s="8">
        <f>COUNTIFS('All Papers'!$D:$D,"*"&amp;$A1011&amp;"*",'All Papers'!$G:$G,"*"&amp;Table1[[#Headers],[Recommendation]]&amp;"*")</f>
        <v>0</v>
      </c>
      <c r="G1011" s="8">
        <f>COUNTIFS('All Papers'!$D:$D,"*"&amp;$A1011&amp;"*",'All Papers'!$G:$G,"*"&amp;Table1[[#Headers],[Resource Management-CS]]&amp;"*")</f>
        <v>0</v>
      </c>
      <c r="H1011" s="8">
        <f>COUNTIFS('All Papers'!$D:$D,"*"&amp;$A1011&amp;"*",'All Papers'!$G:$G,"*"&amp;Table1[[#Headers],[Resource Management-PS]]&amp;"*")</f>
        <v>0</v>
      </c>
      <c r="I1011" s="8">
        <f>COUNTIFS('All Papers'!$D:$D,"*"&amp;$A1011&amp;"*",'All Papers'!$G:$G,"*"&amp;Table1[[#Headers],[SLA Management]]&amp;"*")</f>
        <v>0</v>
      </c>
      <c r="J1011" s="8">
        <f>COUNTIFS('All Papers'!$D:$D,"*"&amp;$A1011&amp;"*",'All Papers'!$G:$G,"*"&amp;Table1[[#Headers],[Big Data]]&amp;"*")</f>
        <v>0</v>
      </c>
      <c r="K1011" s="8">
        <f>COUNTIFS('All Papers'!$D:$D,"*"&amp;$A1011&amp;"*",'All Papers'!$G:$G,"*"&amp;Table1[[#Headers],[Energy Management]]&amp;"*")</f>
        <v>0</v>
      </c>
      <c r="L1011" s="8">
        <f>COUNTIFS('All Papers'!$D:$D,"*"&amp;$A1011&amp;"*",'All Papers'!$G:$G,"*"&amp;Table1[[#Headers],[Monitoring]]&amp;"*")</f>
        <v>0</v>
      </c>
      <c r="M1011" s="8">
        <f>COUNTIFS('All Papers'!$D:$D,"*"&amp;$A1011&amp;"*",'All Papers'!$G:$G,"*"&amp;Table1[[#Headers],[Pricing]]&amp;"*")</f>
        <v>0</v>
      </c>
    </row>
    <row r="1012" spans="1:13" x14ac:dyDescent="0.25">
      <c r="A1012" s="8" t="s">
        <v>3445</v>
      </c>
      <c r="B1012" s="8">
        <f>COUNTIF('All Papers'!D:D,"*"&amp;Table1[[#This Row],[Name]]&amp;"*")</f>
        <v>1</v>
      </c>
      <c r="C1012" s="8">
        <f>COUNTIFS('All Papers'!$D:$D,"*"&amp;$A1012&amp;"*",'All Papers'!$G:$G,"*"&amp;Table1[[#Headers],[Composition]]&amp;"*")</f>
        <v>1</v>
      </c>
      <c r="D1012" s="8">
        <f>COUNTIFS('All Papers'!$D:$D,"*"&amp;$A1012&amp;"*",'All Papers'!$G:$G,"*"&amp;Table1[[#Headers],[Discovery]]&amp;"*")</f>
        <v>0</v>
      </c>
      <c r="E1012" s="8">
        <f>COUNTIFS('All Papers'!$D:$D,"*"&amp;$A1012&amp;"*",'All Papers'!$G:$G,"*"&amp;Table1[[#Headers],[Selection]]&amp;"*")</f>
        <v>0</v>
      </c>
      <c r="F1012" s="8">
        <f>COUNTIFS('All Papers'!$D:$D,"*"&amp;$A1012&amp;"*",'All Papers'!$G:$G,"*"&amp;Table1[[#Headers],[Recommendation]]&amp;"*")</f>
        <v>0</v>
      </c>
      <c r="G1012" s="8">
        <f>COUNTIFS('All Papers'!$D:$D,"*"&amp;$A1012&amp;"*",'All Papers'!$G:$G,"*"&amp;Table1[[#Headers],[Resource Management-CS]]&amp;"*")</f>
        <v>0</v>
      </c>
      <c r="H1012" s="8">
        <f>COUNTIFS('All Papers'!$D:$D,"*"&amp;$A1012&amp;"*",'All Papers'!$G:$G,"*"&amp;Table1[[#Headers],[Resource Management-PS]]&amp;"*")</f>
        <v>0</v>
      </c>
      <c r="I1012" s="8">
        <f>COUNTIFS('All Papers'!$D:$D,"*"&amp;$A1012&amp;"*",'All Papers'!$G:$G,"*"&amp;Table1[[#Headers],[SLA Management]]&amp;"*")</f>
        <v>0</v>
      </c>
      <c r="J1012" s="8">
        <f>COUNTIFS('All Papers'!$D:$D,"*"&amp;$A1012&amp;"*",'All Papers'!$G:$G,"*"&amp;Table1[[#Headers],[Big Data]]&amp;"*")</f>
        <v>0</v>
      </c>
      <c r="K1012" s="8">
        <f>COUNTIFS('All Papers'!$D:$D,"*"&amp;$A1012&amp;"*",'All Papers'!$G:$G,"*"&amp;Table1[[#Headers],[Energy Management]]&amp;"*")</f>
        <v>0</v>
      </c>
      <c r="L1012" s="8">
        <f>COUNTIFS('All Papers'!$D:$D,"*"&amp;$A1012&amp;"*",'All Papers'!$G:$G,"*"&amp;Table1[[#Headers],[Monitoring]]&amp;"*")</f>
        <v>0</v>
      </c>
      <c r="M1012" s="8">
        <f>COUNTIFS('All Papers'!$D:$D,"*"&amp;$A1012&amp;"*",'All Papers'!$G:$G,"*"&amp;Table1[[#Headers],[Pricing]]&amp;"*")</f>
        <v>0</v>
      </c>
    </row>
    <row r="1013" spans="1:13" x14ac:dyDescent="0.25">
      <c r="A1013" s="8" t="s">
        <v>3446</v>
      </c>
      <c r="B1013" s="8">
        <f>COUNTIF('All Papers'!D:D,"*"&amp;Table1[[#This Row],[Name]]&amp;"*")</f>
        <v>1</v>
      </c>
      <c r="C1013" s="8">
        <f>COUNTIFS('All Papers'!$D:$D,"*"&amp;$A1013&amp;"*",'All Papers'!$G:$G,"*"&amp;Table1[[#Headers],[Composition]]&amp;"*")</f>
        <v>1</v>
      </c>
      <c r="D1013" s="8">
        <f>COUNTIFS('All Papers'!$D:$D,"*"&amp;$A1013&amp;"*",'All Papers'!$G:$G,"*"&amp;Table1[[#Headers],[Discovery]]&amp;"*")</f>
        <v>0</v>
      </c>
      <c r="E1013" s="8">
        <f>COUNTIFS('All Papers'!$D:$D,"*"&amp;$A1013&amp;"*",'All Papers'!$G:$G,"*"&amp;Table1[[#Headers],[Selection]]&amp;"*")</f>
        <v>0</v>
      </c>
      <c r="F1013" s="8">
        <f>COUNTIFS('All Papers'!$D:$D,"*"&amp;$A1013&amp;"*",'All Papers'!$G:$G,"*"&amp;Table1[[#Headers],[Recommendation]]&amp;"*")</f>
        <v>0</v>
      </c>
      <c r="G1013" s="8">
        <f>COUNTIFS('All Papers'!$D:$D,"*"&amp;$A1013&amp;"*",'All Papers'!$G:$G,"*"&amp;Table1[[#Headers],[Resource Management-CS]]&amp;"*")</f>
        <v>0</v>
      </c>
      <c r="H1013" s="8">
        <f>COUNTIFS('All Papers'!$D:$D,"*"&amp;$A1013&amp;"*",'All Papers'!$G:$G,"*"&amp;Table1[[#Headers],[Resource Management-PS]]&amp;"*")</f>
        <v>0</v>
      </c>
      <c r="I1013" s="8">
        <f>COUNTIFS('All Papers'!$D:$D,"*"&amp;$A1013&amp;"*",'All Papers'!$G:$G,"*"&amp;Table1[[#Headers],[SLA Management]]&amp;"*")</f>
        <v>0</v>
      </c>
      <c r="J1013" s="8">
        <f>COUNTIFS('All Papers'!$D:$D,"*"&amp;$A1013&amp;"*",'All Papers'!$G:$G,"*"&amp;Table1[[#Headers],[Big Data]]&amp;"*")</f>
        <v>0</v>
      </c>
      <c r="K1013" s="8">
        <f>COUNTIFS('All Papers'!$D:$D,"*"&amp;$A1013&amp;"*",'All Papers'!$G:$G,"*"&amp;Table1[[#Headers],[Energy Management]]&amp;"*")</f>
        <v>0</v>
      </c>
      <c r="L1013" s="8">
        <f>COUNTIFS('All Papers'!$D:$D,"*"&amp;$A1013&amp;"*",'All Papers'!$G:$G,"*"&amp;Table1[[#Headers],[Monitoring]]&amp;"*")</f>
        <v>0</v>
      </c>
      <c r="M1013" s="8">
        <f>COUNTIFS('All Papers'!$D:$D,"*"&amp;$A1013&amp;"*",'All Papers'!$G:$G,"*"&amp;Table1[[#Headers],[Pricing]]&amp;"*")</f>
        <v>0</v>
      </c>
    </row>
    <row r="1014" spans="1:13" x14ac:dyDescent="0.25">
      <c r="A1014" s="8" t="s">
        <v>3447</v>
      </c>
      <c r="B1014" s="8">
        <f>COUNTIF('All Papers'!D:D,"*"&amp;Table1[[#This Row],[Name]]&amp;"*")</f>
        <v>1</v>
      </c>
      <c r="C1014" s="8">
        <f>COUNTIFS('All Papers'!$D:$D,"*"&amp;$A1014&amp;"*",'All Papers'!$G:$G,"*"&amp;Table1[[#Headers],[Composition]]&amp;"*")</f>
        <v>1</v>
      </c>
      <c r="D1014" s="8">
        <f>COUNTIFS('All Papers'!$D:$D,"*"&amp;$A1014&amp;"*",'All Papers'!$G:$G,"*"&amp;Table1[[#Headers],[Discovery]]&amp;"*")</f>
        <v>0</v>
      </c>
      <c r="E1014" s="8">
        <f>COUNTIFS('All Papers'!$D:$D,"*"&amp;$A1014&amp;"*",'All Papers'!$G:$G,"*"&amp;Table1[[#Headers],[Selection]]&amp;"*")</f>
        <v>0</v>
      </c>
      <c r="F1014" s="8">
        <f>COUNTIFS('All Papers'!$D:$D,"*"&amp;$A1014&amp;"*",'All Papers'!$G:$G,"*"&amp;Table1[[#Headers],[Recommendation]]&amp;"*")</f>
        <v>0</v>
      </c>
      <c r="G1014" s="8">
        <f>COUNTIFS('All Papers'!$D:$D,"*"&amp;$A1014&amp;"*",'All Papers'!$G:$G,"*"&amp;Table1[[#Headers],[Resource Management-CS]]&amp;"*")</f>
        <v>0</v>
      </c>
      <c r="H1014" s="8">
        <f>COUNTIFS('All Papers'!$D:$D,"*"&amp;$A1014&amp;"*",'All Papers'!$G:$G,"*"&amp;Table1[[#Headers],[Resource Management-PS]]&amp;"*")</f>
        <v>0</v>
      </c>
      <c r="I1014" s="8">
        <f>COUNTIFS('All Papers'!$D:$D,"*"&amp;$A1014&amp;"*",'All Papers'!$G:$G,"*"&amp;Table1[[#Headers],[SLA Management]]&amp;"*")</f>
        <v>0</v>
      </c>
      <c r="J1014" s="8">
        <f>COUNTIFS('All Papers'!$D:$D,"*"&amp;$A1014&amp;"*",'All Papers'!$G:$G,"*"&amp;Table1[[#Headers],[Big Data]]&amp;"*")</f>
        <v>0</v>
      </c>
      <c r="K1014" s="8">
        <f>COUNTIFS('All Papers'!$D:$D,"*"&amp;$A1014&amp;"*",'All Papers'!$G:$G,"*"&amp;Table1[[#Headers],[Energy Management]]&amp;"*")</f>
        <v>0</v>
      </c>
      <c r="L1014" s="8">
        <f>COUNTIFS('All Papers'!$D:$D,"*"&amp;$A1014&amp;"*",'All Papers'!$G:$G,"*"&amp;Table1[[#Headers],[Monitoring]]&amp;"*")</f>
        <v>0</v>
      </c>
      <c r="M1014" s="8">
        <f>COUNTIFS('All Papers'!$D:$D,"*"&amp;$A1014&amp;"*",'All Papers'!$G:$G,"*"&amp;Table1[[#Headers],[Pricing]]&amp;"*")</f>
        <v>0</v>
      </c>
    </row>
    <row r="1015" spans="1:13" x14ac:dyDescent="0.25">
      <c r="A1015" s="8" t="s">
        <v>3448</v>
      </c>
      <c r="B1015" s="8">
        <f>COUNTIF('All Papers'!D:D,"*"&amp;Table1[[#This Row],[Name]]&amp;"*")</f>
        <v>1</v>
      </c>
      <c r="C1015" s="8">
        <f>COUNTIFS('All Papers'!$D:$D,"*"&amp;$A1015&amp;"*",'All Papers'!$G:$G,"*"&amp;Table1[[#Headers],[Composition]]&amp;"*")</f>
        <v>0</v>
      </c>
      <c r="D1015" s="8">
        <f>COUNTIFS('All Papers'!$D:$D,"*"&amp;$A1015&amp;"*",'All Papers'!$G:$G,"*"&amp;Table1[[#Headers],[Discovery]]&amp;"*")</f>
        <v>1</v>
      </c>
      <c r="E1015" s="8">
        <f>COUNTIFS('All Papers'!$D:$D,"*"&amp;$A1015&amp;"*",'All Papers'!$G:$G,"*"&amp;Table1[[#Headers],[Selection]]&amp;"*")</f>
        <v>0</v>
      </c>
      <c r="F1015" s="8">
        <f>COUNTIFS('All Papers'!$D:$D,"*"&amp;$A1015&amp;"*",'All Papers'!$G:$G,"*"&amp;Table1[[#Headers],[Recommendation]]&amp;"*")</f>
        <v>0</v>
      </c>
      <c r="G1015" s="8">
        <f>COUNTIFS('All Papers'!$D:$D,"*"&amp;$A1015&amp;"*",'All Papers'!$G:$G,"*"&amp;Table1[[#Headers],[Resource Management-CS]]&amp;"*")</f>
        <v>0</v>
      </c>
      <c r="H1015" s="8">
        <f>COUNTIFS('All Papers'!$D:$D,"*"&amp;$A1015&amp;"*",'All Papers'!$G:$G,"*"&amp;Table1[[#Headers],[Resource Management-PS]]&amp;"*")</f>
        <v>0</v>
      </c>
      <c r="I1015" s="8">
        <f>COUNTIFS('All Papers'!$D:$D,"*"&amp;$A1015&amp;"*",'All Papers'!$G:$G,"*"&amp;Table1[[#Headers],[SLA Management]]&amp;"*")</f>
        <v>0</v>
      </c>
      <c r="J1015" s="8">
        <f>COUNTIFS('All Papers'!$D:$D,"*"&amp;$A1015&amp;"*",'All Papers'!$G:$G,"*"&amp;Table1[[#Headers],[Big Data]]&amp;"*")</f>
        <v>0</v>
      </c>
      <c r="K1015" s="8">
        <f>COUNTIFS('All Papers'!$D:$D,"*"&amp;$A1015&amp;"*",'All Papers'!$G:$G,"*"&amp;Table1[[#Headers],[Energy Management]]&amp;"*")</f>
        <v>0</v>
      </c>
      <c r="L1015" s="8">
        <f>COUNTIFS('All Papers'!$D:$D,"*"&amp;$A1015&amp;"*",'All Papers'!$G:$G,"*"&amp;Table1[[#Headers],[Monitoring]]&amp;"*")</f>
        <v>0</v>
      </c>
      <c r="M1015" s="8">
        <f>COUNTIFS('All Papers'!$D:$D,"*"&amp;$A1015&amp;"*",'All Papers'!$G:$G,"*"&amp;Table1[[#Headers],[Pricing]]&amp;"*")</f>
        <v>1</v>
      </c>
    </row>
    <row r="1016" spans="1:13" x14ac:dyDescent="0.25">
      <c r="A1016" s="8" t="s">
        <v>3449</v>
      </c>
      <c r="B1016" s="8">
        <f>COUNTIF('All Papers'!D:D,"*"&amp;Table1[[#This Row],[Name]]&amp;"*")</f>
        <v>1</v>
      </c>
      <c r="C1016" s="8">
        <f>COUNTIFS('All Papers'!$D:$D,"*"&amp;$A1016&amp;"*",'All Papers'!$G:$G,"*"&amp;Table1[[#Headers],[Composition]]&amp;"*")</f>
        <v>0</v>
      </c>
      <c r="D1016" s="8">
        <f>COUNTIFS('All Papers'!$D:$D,"*"&amp;$A1016&amp;"*",'All Papers'!$G:$G,"*"&amp;Table1[[#Headers],[Discovery]]&amp;"*")</f>
        <v>1</v>
      </c>
      <c r="E1016" s="8">
        <f>COUNTIFS('All Papers'!$D:$D,"*"&amp;$A1016&amp;"*",'All Papers'!$G:$G,"*"&amp;Table1[[#Headers],[Selection]]&amp;"*")</f>
        <v>0</v>
      </c>
      <c r="F1016" s="8">
        <f>COUNTIFS('All Papers'!$D:$D,"*"&amp;$A1016&amp;"*",'All Papers'!$G:$G,"*"&amp;Table1[[#Headers],[Recommendation]]&amp;"*")</f>
        <v>0</v>
      </c>
      <c r="G1016" s="8">
        <f>COUNTIFS('All Papers'!$D:$D,"*"&amp;$A1016&amp;"*",'All Papers'!$G:$G,"*"&amp;Table1[[#Headers],[Resource Management-CS]]&amp;"*")</f>
        <v>0</v>
      </c>
      <c r="H1016" s="8">
        <f>COUNTIFS('All Papers'!$D:$D,"*"&amp;$A1016&amp;"*",'All Papers'!$G:$G,"*"&amp;Table1[[#Headers],[Resource Management-PS]]&amp;"*")</f>
        <v>0</v>
      </c>
      <c r="I1016" s="8">
        <f>COUNTIFS('All Papers'!$D:$D,"*"&amp;$A1016&amp;"*",'All Papers'!$G:$G,"*"&amp;Table1[[#Headers],[SLA Management]]&amp;"*")</f>
        <v>0</v>
      </c>
      <c r="J1016" s="8">
        <f>COUNTIFS('All Papers'!$D:$D,"*"&amp;$A1016&amp;"*",'All Papers'!$G:$G,"*"&amp;Table1[[#Headers],[Big Data]]&amp;"*")</f>
        <v>0</v>
      </c>
      <c r="K1016" s="8">
        <f>COUNTIFS('All Papers'!$D:$D,"*"&amp;$A1016&amp;"*",'All Papers'!$G:$G,"*"&amp;Table1[[#Headers],[Energy Management]]&amp;"*")</f>
        <v>0</v>
      </c>
      <c r="L1016" s="8">
        <f>COUNTIFS('All Papers'!$D:$D,"*"&amp;$A1016&amp;"*",'All Papers'!$G:$G,"*"&amp;Table1[[#Headers],[Monitoring]]&amp;"*")</f>
        <v>0</v>
      </c>
      <c r="M1016" s="8">
        <f>COUNTIFS('All Papers'!$D:$D,"*"&amp;$A1016&amp;"*",'All Papers'!$G:$G,"*"&amp;Table1[[#Headers],[Pricing]]&amp;"*")</f>
        <v>1</v>
      </c>
    </row>
    <row r="1017" spans="1:13" x14ac:dyDescent="0.25">
      <c r="A1017" s="8" t="s">
        <v>3450</v>
      </c>
      <c r="B1017" s="8">
        <f>COUNTIF('All Papers'!D:D,"*"&amp;Table1[[#This Row],[Name]]&amp;"*")</f>
        <v>1</v>
      </c>
      <c r="C1017" s="8">
        <f>COUNTIFS('All Papers'!$D:$D,"*"&amp;$A1017&amp;"*",'All Papers'!$G:$G,"*"&amp;Table1[[#Headers],[Composition]]&amp;"*")</f>
        <v>0</v>
      </c>
      <c r="D1017" s="8">
        <f>COUNTIFS('All Papers'!$D:$D,"*"&amp;$A1017&amp;"*",'All Papers'!$G:$G,"*"&amp;Table1[[#Headers],[Discovery]]&amp;"*")</f>
        <v>1</v>
      </c>
      <c r="E1017" s="8">
        <f>COUNTIFS('All Papers'!$D:$D,"*"&amp;$A1017&amp;"*",'All Papers'!$G:$G,"*"&amp;Table1[[#Headers],[Selection]]&amp;"*")</f>
        <v>0</v>
      </c>
      <c r="F1017" s="8">
        <f>COUNTIFS('All Papers'!$D:$D,"*"&amp;$A1017&amp;"*",'All Papers'!$G:$G,"*"&amp;Table1[[#Headers],[Recommendation]]&amp;"*")</f>
        <v>0</v>
      </c>
      <c r="G1017" s="8">
        <f>COUNTIFS('All Papers'!$D:$D,"*"&amp;$A1017&amp;"*",'All Papers'!$G:$G,"*"&amp;Table1[[#Headers],[Resource Management-CS]]&amp;"*")</f>
        <v>0</v>
      </c>
      <c r="H1017" s="8">
        <f>COUNTIFS('All Papers'!$D:$D,"*"&amp;$A1017&amp;"*",'All Papers'!$G:$G,"*"&amp;Table1[[#Headers],[Resource Management-PS]]&amp;"*")</f>
        <v>0</v>
      </c>
      <c r="I1017" s="8">
        <f>COUNTIFS('All Papers'!$D:$D,"*"&amp;$A1017&amp;"*",'All Papers'!$G:$G,"*"&amp;Table1[[#Headers],[SLA Management]]&amp;"*")</f>
        <v>0</v>
      </c>
      <c r="J1017" s="8">
        <f>COUNTIFS('All Papers'!$D:$D,"*"&amp;$A1017&amp;"*",'All Papers'!$G:$G,"*"&amp;Table1[[#Headers],[Big Data]]&amp;"*")</f>
        <v>0</v>
      </c>
      <c r="K1017" s="8">
        <f>COUNTIFS('All Papers'!$D:$D,"*"&amp;$A1017&amp;"*",'All Papers'!$G:$G,"*"&amp;Table1[[#Headers],[Energy Management]]&amp;"*")</f>
        <v>0</v>
      </c>
      <c r="L1017" s="8">
        <f>COUNTIFS('All Papers'!$D:$D,"*"&amp;$A1017&amp;"*",'All Papers'!$G:$G,"*"&amp;Table1[[#Headers],[Monitoring]]&amp;"*")</f>
        <v>0</v>
      </c>
      <c r="M1017" s="8">
        <f>COUNTIFS('All Papers'!$D:$D,"*"&amp;$A1017&amp;"*",'All Papers'!$G:$G,"*"&amp;Table1[[#Headers],[Pricing]]&amp;"*")</f>
        <v>1</v>
      </c>
    </row>
    <row r="1018" spans="1:13" x14ac:dyDescent="0.25">
      <c r="A1018" s="8" t="s">
        <v>3451</v>
      </c>
      <c r="B1018" s="8">
        <f>COUNTIF('All Papers'!D:D,"*"&amp;Table1[[#This Row],[Name]]&amp;"*")</f>
        <v>1</v>
      </c>
      <c r="C1018" s="8">
        <f>COUNTIFS('All Papers'!$D:$D,"*"&amp;$A1018&amp;"*",'All Papers'!$G:$G,"*"&amp;Table1[[#Headers],[Composition]]&amp;"*")</f>
        <v>0</v>
      </c>
      <c r="D1018" s="8">
        <f>COUNTIFS('All Papers'!$D:$D,"*"&amp;$A1018&amp;"*",'All Papers'!$G:$G,"*"&amp;Table1[[#Headers],[Discovery]]&amp;"*")</f>
        <v>1</v>
      </c>
      <c r="E1018" s="8">
        <f>COUNTIFS('All Papers'!$D:$D,"*"&amp;$A1018&amp;"*",'All Papers'!$G:$G,"*"&amp;Table1[[#Headers],[Selection]]&amp;"*")</f>
        <v>0</v>
      </c>
      <c r="F1018" s="8">
        <f>COUNTIFS('All Papers'!$D:$D,"*"&amp;$A1018&amp;"*",'All Papers'!$G:$G,"*"&amp;Table1[[#Headers],[Recommendation]]&amp;"*")</f>
        <v>0</v>
      </c>
      <c r="G1018" s="8">
        <f>COUNTIFS('All Papers'!$D:$D,"*"&amp;$A1018&amp;"*",'All Papers'!$G:$G,"*"&amp;Table1[[#Headers],[Resource Management-CS]]&amp;"*")</f>
        <v>0</v>
      </c>
      <c r="H1018" s="8">
        <f>COUNTIFS('All Papers'!$D:$D,"*"&amp;$A1018&amp;"*",'All Papers'!$G:$G,"*"&amp;Table1[[#Headers],[Resource Management-PS]]&amp;"*")</f>
        <v>0</v>
      </c>
      <c r="I1018" s="8">
        <f>COUNTIFS('All Papers'!$D:$D,"*"&amp;$A1018&amp;"*",'All Papers'!$G:$G,"*"&amp;Table1[[#Headers],[SLA Management]]&amp;"*")</f>
        <v>0</v>
      </c>
      <c r="J1018" s="8">
        <f>COUNTIFS('All Papers'!$D:$D,"*"&amp;$A1018&amp;"*",'All Papers'!$G:$G,"*"&amp;Table1[[#Headers],[Big Data]]&amp;"*")</f>
        <v>0</v>
      </c>
      <c r="K1018" s="8">
        <f>COUNTIFS('All Papers'!$D:$D,"*"&amp;$A1018&amp;"*",'All Papers'!$G:$G,"*"&amp;Table1[[#Headers],[Energy Management]]&amp;"*")</f>
        <v>0</v>
      </c>
      <c r="L1018" s="8">
        <f>COUNTIFS('All Papers'!$D:$D,"*"&amp;$A1018&amp;"*",'All Papers'!$G:$G,"*"&amp;Table1[[#Headers],[Monitoring]]&amp;"*")</f>
        <v>0</v>
      </c>
      <c r="M1018" s="8">
        <f>COUNTIFS('All Papers'!$D:$D,"*"&amp;$A1018&amp;"*",'All Papers'!$G:$G,"*"&amp;Table1[[#Headers],[Pricing]]&amp;"*")</f>
        <v>1</v>
      </c>
    </row>
    <row r="1019" spans="1:13" x14ac:dyDescent="0.25">
      <c r="A1019" s="8" t="s">
        <v>3452</v>
      </c>
      <c r="B1019" s="8">
        <f>COUNTIF('All Papers'!D:D,"*"&amp;Table1[[#This Row],[Name]]&amp;"*")</f>
        <v>1</v>
      </c>
      <c r="C1019" s="8">
        <f>COUNTIFS('All Papers'!$D:$D,"*"&amp;$A1019&amp;"*",'All Papers'!$G:$G,"*"&amp;Table1[[#Headers],[Composition]]&amp;"*")</f>
        <v>0</v>
      </c>
      <c r="D1019" s="8">
        <f>COUNTIFS('All Papers'!$D:$D,"*"&amp;$A1019&amp;"*",'All Papers'!$G:$G,"*"&amp;Table1[[#Headers],[Discovery]]&amp;"*")</f>
        <v>1</v>
      </c>
      <c r="E1019" s="8">
        <f>COUNTIFS('All Papers'!$D:$D,"*"&amp;$A1019&amp;"*",'All Papers'!$G:$G,"*"&amp;Table1[[#Headers],[Selection]]&amp;"*")</f>
        <v>0</v>
      </c>
      <c r="F1019" s="8">
        <f>COUNTIFS('All Papers'!$D:$D,"*"&amp;$A1019&amp;"*",'All Papers'!$G:$G,"*"&amp;Table1[[#Headers],[Recommendation]]&amp;"*")</f>
        <v>0</v>
      </c>
      <c r="G1019" s="8">
        <f>COUNTIFS('All Papers'!$D:$D,"*"&amp;$A1019&amp;"*",'All Papers'!$G:$G,"*"&amp;Table1[[#Headers],[Resource Management-CS]]&amp;"*")</f>
        <v>0</v>
      </c>
      <c r="H1019" s="8">
        <f>COUNTIFS('All Papers'!$D:$D,"*"&amp;$A1019&amp;"*",'All Papers'!$G:$G,"*"&amp;Table1[[#Headers],[Resource Management-PS]]&amp;"*")</f>
        <v>0</v>
      </c>
      <c r="I1019" s="8">
        <f>COUNTIFS('All Papers'!$D:$D,"*"&amp;$A1019&amp;"*",'All Papers'!$G:$G,"*"&amp;Table1[[#Headers],[SLA Management]]&amp;"*")</f>
        <v>0</v>
      </c>
      <c r="J1019" s="8">
        <f>COUNTIFS('All Papers'!$D:$D,"*"&amp;$A1019&amp;"*",'All Papers'!$G:$G,"*"&amp;Table1[[#Headers],[Big Data]]&amp;"*")</f>
        <v>0</v>
      </c>
      <c r="K1019" s="8">
        <f>COUNTIFS('All Papers'!$D:$D,"*"&amp;$A1019&amp;"*",'All Papers'!$G:$G,"*"&amp;Table1[[#Headers],[Energy Management]]&amp;"*")</f>
        <v>0</v>
      </c>
      <c r="L1019" s="8">
        <f>COUNTIFS('All Papers'!$D:$D,"*"&amp;$A1019&amp;"*",'All Papers'!$G:$G,"*"&amp;Table1[[#Headers],[Monitoring]]&amp;"*")</f>
        <v>0</v>
      </c>
      <c r="M1019" s="8">
        <f>COUNTIFS('All Papers'!$D:$D,"*"&amp;$A1019&amp;"*",'All Papers'!$G:$G,"*"&amp;Table1[[#Headers],[Pricing]]&amp;"*")</f>
        <v>1</v>
      </c>
    </row>
    <row r="1020" spans="1:13" x14ac:dyDescent="0.25">
      <c r="A1020" s="8" t="s">
        <v>3453</v>
      </c>
      <c r="B1020" s="8">
        <f>COUNTIF('All Papers'!D:D,"*"&amp;Table1[[#This Row],[Name]]&amp;"*")</f>
        <v>1</v>
      </c>
      <c r="C1020" s="8">
        <f>COUNTIFS('All Papers'!$D:$D,"*"&amp;$A1020&amp;"*",'All Papers'!$G:$G,"*"&amp;Table1[[#Headers],[Composition]]&amp;"*")</f>
        <v>0</v>
      </c>
      <c r="D1020" s="8">
        <f>COUNTIFS('All Papers'!$D:$D,"*"&amp;$A1020&amp;"*",'All Papers'!$G:$G,"*"&amp;Table1[[#Headers],[Discovery]]&amp;"*")</f>
        <v>1</v>
      </c>
      <c r="E1020" s="8">
        <f>COUNTIFS('All Papers'!$D:$D,"*"&amp;$A1020&amp;"*",'All Papers'!$G:$G,"*"&amp;Table1[[#Headers],[Selection]]&amp;"*")</f>
        <v>0</v>
      </c>
      <c r="F1020" s="8">
        <f>COUNTIFS('All Papers'!$D:$D,"*"&amp;$A1020&amp;"*",'All Papers'!$G:$G,"*"&amp;Table1[[#Headers],[Recommendation]]&amp;"*")</f>
        <v>0</v>
      </c>
      <c r="G1020" s="8">
        <f>COUNTIFS('All Papers'!$D:$D,"*"&amp;$A1020&amp;"*",'All Papers'!$G:$G,"*"&amp;Table1[[#Headers],[Resource Management-CS]]&amp;"*")</f>
        <v>0</v>
      </c>
      <c r="H1020" s="8">
        <f>COUNTIFS('All Papers'!$D:$D,"*"&amp;$A1020&amp;"*",'All Papers'!$G:$G,"*"&amp;Table1[[#Headers],[Resource Management-PS]]&amp;"*")</f>
        <v>0</v>
      </c>
      <c r="I1020" s="8">
        <f>COUNTIFS('All Papers'!$D:$D,"*"&amp;$A1020&amp;"*",'All Papers'!$G:$G,"*"&amp;Table1[[#Headers],[SLA Management]]&amp;"*")</f>
        <v>0</v>
      </c>
      <c r="J1020" s="8">
        <f>COUNTIFS('All Papers'!$D:$D,"*"&amp;$A1020&amp;"*",'All Papers'!$G:$G,"*"&amp;Table1[[#Headers],[Big Data]]&amp;"*")</f>
        <v>0</v>
      </c>
      <c r="K1020" s="8">
        <f>COUNTIFS('All Papers'!$D:$D,"*"&amp;$A1020&amp;"*",'All Papers'!$G:$G,"*"&amp;Table1[[#Headers],[Energy Management]]&amp;"*")</f>
        <v>0</v>
      </c>
      <c r="L1020" s="8">
        <f>COUNTIFS('All Papers'!$D:$D,"*"&amp;$A1020&amp;"*",'All Papers'!$G:$G,"*"&amp;Table1[[#Headers],[Monitoring]]&amp;"*")</f>
        <v>0</v>
      </c>
      <c r="M1020" s="8">
        <f>COUNTIFS('All Papers'!$D:$D,"*"&amp;$A1020&amp;"*",'All Papers'!$G:$G,"*"&amp;Table1[[#Headers],[Pricing]]&amp;"*")</f>
        <v>1</v>
      </c>
    </row>
    <row r="1021" spans="1:13" x14ac:dyDescent="0.25">
      <c r="A1021" s="8" t="s">
        <v>3454</v>
      </c>
      <c r="B1021" s="8">
        <f>COUNTIF('All Papers'!D:D,"*"&amp;Table1[[#This Row],[Name]]&amp;"*")</f>
        <v>1</v>
      </c>
      <c r="C1021" s="8">
        <f>COUNTIFS('All Papers'!$D:$D,"*"&amp;$A1021&amp;"*",'All Papers'!$G:$G,"*"&amp;Table1[[#Headers],[Composition]]&amp;"*")</f>
        <v>0</v>
      </c>
      <c r="D1021" s="8">
        <f>COUNTIFS('All Papers'!$D:$D,"*"&amp;$A1021&amp;"*",'All Papers'!$G:$G,"*"&amp;Table1[[#Headers],[Discovery]]&amp;"*")</f>
        <v>1</v>
      </c>
      <c r="E1021" s="8">
        <f>COUNTIFS('All Papers'!$D:$D,"*"&amp;$A1021&amp;"*",'All Papers'!$G:$G,"*"&amp;Table1[[#Headers],[Selection]]&amp;"*")</f>
        <v>0</v>
      </c>
      <c r="F1021" s="8">
        <f>COUNTIFS('All Papers'!$D:$D,"*"&amp;$A1021&amp;"*",'All Papers'!$G:$G,"*"&amp;Table1[[#Headers],[Recommendation]]&amp;"*")</f>
        <v>0</v>
      </c>
      <c r="G1021" s="8">
        <f>COUNTIFS('All Papers'!$D:$D,"*"&amp;$A1021&amp;"*",'All Papers'!$G:$G,"*"&amp;Table1[[#Headers],[Resource Management-CS]]&amp;"*")</f>
        <v>0</v>
      </c>
      <c r="H1021" s="8">
        <f>COUNTIFS('All Papers'!$D:$D,"*"&amp;$A1021&amp;"*",'All Papers'!$G:$G,"*"&amp;Table1[[#Headers],[Resource Management-PS]]&amp;"*")</f>
        <v>0</v>
      </c>
      <c r="I1021" s="8">
        <f>COUNTIFS('All Papers'!$D:$D,"*"&amp;$A1021&amp;"*",'All Papers'!$G:$G,"*"&amp;Table1[[#Headers],[SLA Management]]&amp;"*")</f>
        <v>0</v>
      </c>
      <c r="J1021" s="8">
        <f>COUNTIFS('All Papers'!$D:$D,"*"&amp;$A1021&amp;"*",'All Papers'!$G:$G,"*"&amp;Table1[[#Headers],[Big Data]]&amp;"*")</f>
        <v>0</v>
      </c>
      <c r="K1021" s="8">
        <f>COUNTIFS('All Papers'!$D:$D,"*"&amp;$A1021&amp;"*",'All Papers'!$G:$G,"*"&amp;Table1[[#Headers],[Energy Management]]&amp;"*")</f>
        <v>0</v>
      </c>
      <c r="L1021" s="8">
        <f>COUNTIFS('All Papers'!$D:$D,"*"&amp;$A1021&amp;"*",'All Papers'!$G:$G,"*"&amp;Table1[[#Headers],[Monitoring]]&amp;"*")</f>
        <v>0</v>
      </c>
      <c r="M1021" s="8">
        <f>COUNTIFS('All Papers'!$D:$D,"*"&amp;$A1021&amp;"*",'All Papers'!$G:$G,"*"&amp;Table1[[#Headers],[Pricing]]&amp;"*")</f>
        <v>1</v>
      </c>
    </row>
    <row r="1022" spans="1:13" x14ac:dyDescent="0.25">
      <c r="A1022" s="8" t="s">
        <v>3455</v>
      </c>
      <c r="B1022" s="8">
        <f>COUNTIF('All Papers'!D:D,"*"&amp;Table1[[#This Row],[Name]]&amp;"*")</f>
        <v>1</v>
      </c>
      <c r="C1022" s="8">
        <f>COUNTIFS('All Papers'!$D:$D,"*"&amp;$A1022&amp;"*",'All Papers'!$G:$G,"*"&amp;Table1[[#Headers],[Composition]]&amp;"*")</f>
        <v>0</v>
      </c>
      <c r="D1022" s="8">
        <f>COUNTIFS('All Papers'!$D:$D,"*"&amp;$A1022&amp;"*",'All Papers'!$G:$G,"*"&amp;Table1[[#Headers],[Discovery]]&amp;"*")</f>
        <v>1</v>
      </c>
      <c r="E1022" s="8">
        <f>COUNTIFS('All Papers'!$D:$D,"*"&amp;$A1022&amp;"*",'All Papers'!$G:$G,"*"&amp;Table1[[#Headers],[Selection]]&amp;"*")</f>
        <v>0</v>
      </c>
      <c r="F1022" s="8">
        <f>COUNTIFS('All Papers'!$D:$D,"*"&amp;$A1022&amp;"*",'All Papers'!$G:$G,"*"&amp;Table1[[#Headers],[Recommendation]]&amp;"*")</f>
        <v>0</v>
      </c>
      <c r="G1022" s="8">
        <f>COUNTIFS('All Papers'!$D:$D,"*"&amp;$A1022&amp;"*",'All Papers'!$G:$G,"*"&amp;Table1[[#Headers],[Resource Management-CS]]&amp;"*")</f>
        <v>0</v>
      </c>
      <c r="H1022" s="8">
        <f>COUNTIFS('All Papers'!$D:$D,"*"&amp;$A1022&amp;"*",'All Papers'!$G:$G,"*"&amp;Table1[[#Headers],[Resource Management-PS]]&amp;"*")</f>
        <v>0</v>
      </c>
      <c r="I1022" s="8">
        <f>COUNTIFS('All Papers'!$D:$D,"*"&amp;$A1022&amp;"*",'All Papers'!$G:$G,"*"&amp;Table1[[#Headers],[SLA Management]]&amp;"*")</f>
        <v>0</v>
      </c>
      <c r="J1022" s="8">
        <f>COUNTIFS('All Papers'!$D:$D,"*"&amp;$A1022&amp;"*",'All Papers'!$G:$G,"*"&amp;Table1[[#Headers],[Big Data]]&amp;"*")</f>
        <v>0</v>
      </c>
      <c r="K1022" s="8">
        <f>COUNTIFS('All Papers'!$D:$D,"*"&amp;$A1022&amp;"*",'All Papers'!$G:$G,"*"&amp;Table1[[#Headers],[Energy Management]]&amp;"*")</f>
        <v>0</v>
      </c>
      <c r="L1022" s="8">
        <f>COUNTIFS('All Papers'!$D:$D,"*"&amp;$A1022&amp;"*",'All Papers'!$G:$G,"*"&amp;Table1[[#Headers],[Monitoring]]&amp;"*")</f>
        <v>0</v>
      </c>
      <c r="M1022" s="8">
        <f>COUNTIFS('All Papers'!$D:$D,"*"&amp;$A1022&amp;"*",'All Papers'!$G:$G,"*"&amp;Table1[[#Headers],[Pricing]]&amp;"*")</f>
        <v>1</v>
      </c>
    </row>
    <row r="1023" spans="1:13" x14ac:dyDescent="0.25">
      <c r="A1023" s="8" t="s">
        <v>3456</v>
      </c>
      <c r="B1023" s="8">
        <f>COUNTIF('All Papers'!D:D,"*"&amp;Table1[[#This Row],[Name]]&amp;"*")</f>
        <v>1</v>
      </c>
      <c r="C1023" s="8">
        <f>COUNTIFS('All Papers'!$D:$D,"*"&amp;$A1023&amp;"*",'All Papers'!$G:$G,"*"&amp;Table1[[#Headers],[Composition]]&amp;"*")</f>
        <v>0</v>
      </c>
      <c r="D1023" s="8">
        <f>COUNTIFS('All Papers'!$D:$D,"*"&amp;$A1023&amp;"*",'All Papers'!$G:$G,"*"&amp;Table1[[#Headers],[Discovery]]&amp;"*")</f>
        <v>1</v>
      </c>
      <c r="E1023" s="8">
        <f>COUNTIFS('All Papers'!$D:$D,"*"&amp;$A1023&amp;"*",'All Papers'!$G:$G,"*"&amp;Table1[[#Headers],[Selection]]&amp;"*")</f>
        <v>0</v>
      </c>
      <c r="F1023" s="8">
        <f>COUNTIFS('All Papers'!$D:$D,"*"&amp;$A1023&amp;"*",'All Papers'!$G:$G,"*"&amp;Table1[[#Headers],[Recommendation]]&amp;"*")</f>
        <v>0</v>
      </c>
      <c r="G1023" s="8">
        <f>COUNTIFS('All Papers'!$D:$D,"*"&amp;$A1023&amp;"*",'All Papers'!$G:$G,"*"&amp;Table1[[#Headers],[Resource Management-CS]]&amp;"*")</f>
        <v>0</v>
      </c>
      <c r="H1023" s="8">
        <f>COUNTIFS('All Papers'!$D:$D,"*"&amp;$A1023&amp;"*",'All Papers'!$G:$G,"*"&amp;Table1[[#Headers],[Resource Management-PS]]&amp;"*")</f>
        <v>0</v>
      </c>
      <c r="I1023" s="8">
        <f>COUNTIFS('All Papers'!$D:$D,"*"&amp;$A1023&amp;"*",'All Papers'!$G:$G,"*"&amp;Table1[[#Headers],[SLA Management]]&amp;"*")</f>
        <v>0</v>
      </c>
      <c r="J1023" s="8">
        <f>COUNTIFS('All Papers'!$D:$D,"*"&amp;$A1023&amp;"*",'All Papers'!$G:$G,"*"&amp;Table1[[#Headers],[Big Data]]&amp;"*")</f>
        <v>0</v>
      </c>
      <c r="K1023" s="8">
        <f>COUNTIFS('All Papers'!$D:$D,"*"&amp;$A1023&amp;"*",'All Papers'!$G:$G,"*"&amp;Table1[[#Headers],[Energy Management]]&amp;"*")</f>
        <v>0</v>
      </c>
      <c r="L1023" s="8">
        <f>COUNTIFS('All Papers'!$D:$D,"*"&amp;$A1023&amp;"*",'All Papers'!$G:$G,"*"&amp;Table1[[#Headers],[Monitoring]]&amp;"*")</f>
        <v>0</v>
      </c>
      <c r="M1023" s="8">
        <f>COUNTIFS('All Papers'!$D:$D,"*"&amp;$A1023&amp;"*",'All Papers'!$G:$G,"*"&amp;Table1[[#Headers],[Pricing]]&amp;"*")</f>
        <v>1</v>
      </c>
    </row>
    <row r="1024" spans="1:13" x14ac:dyDescent="0.25">
      <c r="A1024" s="8" t="s">
        <v>3457</v>
      </c>
      <c r="B1024" s="8">
        <f>COUNTIF('All Papers'!D:D,"*"&amp;Table1[[#This Row],[Name]]&amp;"*")</f>
        <v>1</v>
      </c>
      <c r="C1024" s="8">
        <f>COUNTIFS('All Papers'!$D:$D,"*"&amp;$A1024&amp;"*",'All Papers'!$G:$G,"*"&amp;Table1[[#Headers],[Composition]]&amp;"*")</f>
        <v>0</v>
      </c>
      <c r="D1024" s="8">
        <f>COUNTIFS('All Papers'!$D:$D,"*"&amp;$A1024&amp;"*",'All Papers'!$G:$G,"*"&amp;Table1[[#Headers],[Discovery]]&amp;"*")</f>
        <v>1</v>
      </c>
      <c r="E1024" s="8">
        <f>COUNTIFS('All Papers'!$D:$D,"*"&amp;$A1024&amp;"*",'All Papers'!$G:$G,"*"&amp;Table1[[#Headers],[Selection]]&amp;"*")</f>
        <v>0</v>
      </c>
      <c r="F1024" s="8">
        <f>COUNTIFS('All Papers'!$D:$D,"*"&amp;$A1024&amp;"*",'All Papers'!$G:$G,"*"&amp;Table1[[#Headers],[Recommendation]]&amp;"*")</f>
        <v>0</v>
      </c>
      <c r="G1024" s="8">
        <f>COUNTIFS('All Papers'!$D:$D,"*"&amp;$A1024&amp;"*",'All Papers'!$G:$G,"*"&amp;Table1[[#Headers],[Resource Management-CS]]&amp;"*")</f>
        <v>0</v>
      </c>
      <c r="H1024" s="8">
        <f>COUNTIFS('All Papers'!$D:$D,"*"&amp;$A1024&amp;"*",'All Papers'!$G:$G,"*"&amp;Table1[[#Headers],[Resource Management-PS]]&amp;"*")</f>
        <v>0</v>
      </c>
      <c r="I1024" s="8">
        <f>COUNTIFS('All Papers'!$D:$D,"*"&amp;$A1024&amp;"*",'All Papers'!$G:$G,"*"&amp;Table1[[#Headers],[SLA Management]]&amp;"*")</f>
        <v>0</v>
      </c>
      <c r="J1024" s="8">
        <f>COUNTIFS('All Papers'!$D:$D,"*"&amp;$A1024&amp;"*",'All Papers'!$G:$G,"*"&amp;Table1[[#Headers],[Big Data]]&amp;"*")</f>
        <v>0</v>
      </c>
      <c r="K1024" s="8">
        <f>COUNTIFS('All Papers'!$D:$D,"*"&amp;$A1024&amp;"*",'All Papers'!$G:$G,"*"&amp;Table1[[#Headers],[Energy Management]]&amp;"*")</f>
        <v>0</v>
      </c>
      <c r="L1024" s="8">
        <f>COUNTIFS('All Papers'!$D:$D,"*"&amp;$A1024&amp;"*",'All Papers'!$G:$G,"*"&amp;Table1[[#Headers],[Monitoring]]&amp;"*")</f>
        <v>0</v>
      </c>
      <c r="M1024" s="8">
        <f>COUNTIFS('All Papers'!$D:$D,"*"&amp;$A1024&amp;"*",'All Papers'!$G:$G,"*"&amp;Table1[[#Headers],[Pricing]]&amp;"*")</f>
        <v>1</v>
      </c>
    </row>
    <row r="1025" spans="1:13" x14ac:dyDescent="0.25">
      <c r="A1025" s="8" t="s">
        <v>3458</v>
      </c>
      <c r="B1025" s="8">
        <f>COUNTIF('All Papers'!D:D,"*"&amp;Table1[[#This Row],[Name]]&amp;"*")</f>
        <v>1</v>
      </c>
      <c r="C1025" s="8">
        <f>COUNTIFS('All Papers'!$D:$D,"*"&amp;$A1025&amp;"*",'All Papers'!$G:$G,"*"&amp;Table1[[#Headers],[Composition]]&amp;"*")</f>
        <v>0</v>
      </c>
      <c r="D1025" s="8">
        <f>COUNTIFS('All Papers'!$D:$D,"*"&amp;$A1025&amp;"*",'All Papers'!$G:$G,"*"&amp;Table1[[#Headers],[Discovery]]&amp;"*")</f>
        <v>0</v>
      </c>
      <c r="E1025" s="8">
        <f>COUNTIFS('All Papers'!$D:$D,"*"&amp;$A1025&amp;"*",'All Papers'!$G:$G,"*"&amp;Table1[[#Headers],[Selection]]&amp;"*")</f>
        <v>0</v>
      </c>
      <c r="F1025" s="8">
        <f>COUNTIFS('All Papers'!$D:$D,"*"&amp;$A1025&amp;"*",'All Papers'!$G:$G,"*"&amp;Table1[[#Headers],[Recommendation]]&amp;"*")</f>
        <v>0</v>
      </c>
      <c r="G1025" s="8">
        <f>COUNTIFS('All Papers'!$D:$D,"*"&amp;$A1025&amp;"*",'All Papers'!$G:$G,"*"&amp;Table1[[#Headers],[Resource Management-CS]]&amp;"*")</f>
        <v>0</v>
      </c>
      <c r="H1025" s="8">
        <f>COUNTIFS('All Papers'!$D:$D,"*"&amp;$A1025&amp;"*",'All Papers'!$G:$G,"*"&amp;Table1[[#Headers],[Resource Management-PS]]&amp;"*")</f>
        <v>0</v>
      </c>
      <c r="I1025" s="8">
        <f>COUNTIFS('All Papers'!$D:$D,"*"&amp;$A1025&amp;"*",'All Papers'!$G:$G,"*"&amp;Table1[[#Headers],[SLA Management]]&amp;"*")</f>
        <v>0</v>
      </c>
      <c r="J1025" s="8">
        <f>COUNTIFS('All Papers'!$D:$D,"*"&amp;$A1025&amp;"*",'All Papers'!$G:$G,"*"&amp;Table1[[#Headers],[Big Data]]&amp;"*")</f>
        <v>0</v>
      </c>
      <c r="K1025" s="8">
        <f>COUNTIFS('All Papers'!$D:$D,"*"&amp;$A1025&amp;"*",'All Papers'!$G:$G,"*"&amp;Table1[[#Headers],[Energy Management]]&amp;"*")</f>
        <v>0</v>
      </c>
      <c r="L1025" s="8">
        <f>COUNTIFS('All Papers'!$D:$D,"*"&amp;$A1025&amp;"*",'All Papers'!$G:$G,"*"&amp;Table1[[#Headers],[Monitoring]]&amp;"*")</f>
        <v>0</v>
      </c>
      <c r="M1025" s="8">
        <f>COUNTIFS('All Papers'!$D:$D,"*"&amp;$A1025&amp;"*",'All Papers'!$G:$G,"*"&amp;Table1[[#Headers],[Pricing]]&amp;"*")</f>
        <v>0</v>
      </c>
    </row>
    <row r="1026" spans="1:13" x14ac:dyDescent="0.25">
      <c r="A1026" s="8" t="s">
        <v>3459</v>
      </c>
      <c r="B1026" s="8">
        <f>COUNTIF('All Papers'!D:D,"*"&amp;Table1[[#This Row],[Name]]&amp;"*")</f>
        <v>1</v>
      </c>
      <c r="C1026" s="8">
        <f>COUNTIFS('All Papers'!$D:$D,"*"&amp;$A1026&amp;"*",'All Papers'!$G:$G,"*"&amp;Table1[[#Headers],[Composition]]&amp;"*")</f>
        <v>0</v>
      </c>
      <c r="D1026" s="8">
        <f>COUNTIFS('All Papers'!$D:$D,"*"&amp;$A1026&amp;"*",'All Papers'!$G:$G,"*"&amp;Table1[[#Headers],[Discovery]]&amp;"*")</f>
        <v>0</v>
      </c>
      <c r="E1026" s="8">
        <f>COUNTIFS('All Papers'!$D:$D,"*"&amp;$A1026&amp;"*",'All Papers'!$G:$G,"*"&amp;Table1[[#Headers],[Selection]]&amp;"*")</f>
        <v>0</v>
      </c>
      <c r="F1026" s="8">
        <f>COUNTIFS('All Papers'!$D:$D,"*"&amp;$A1026&amp;"*",'All Papers'!$G:$G,"*"&amp;Table1[[#Headers],[Recommendation]]&amp;"*")</f>
        <v>0</v>
      </c>
      <c r="G1026" s="8">
        <f>COUNTIFS('All Papers'!$D:$D,"*"&amp;$A1026&amp;"*",'All Papers'!$G:$G,"*"&amp;Table1[[#Headers],[Resource Management-CS]]&amp;"*")</f>
        <v>0</v>
      </c>
      <c r="H1026" s="8">
        <f>COUNTIFS('All Papers'!$D:$D,"*"&amp;$A1026&amp;"*",'All Papers'!$G:$G,"*"&amp;Table1[[#Headers],[Resource Management-PS]]&amp;"*")</f>
        <v>0</v>
      </c>
      <c r="I1026" s="8">
        <f>COUNTIFS('All Papers'!$D:$D,"*"&amp;$A1026&amp;"*",'All Papers'!$G:$G,"*"&amp;Table1[[#Headers],[SLA Management]]&amp;"*")</f>
        <v>0</v>
      </c>
      <c r="J1026" s="8">
        <f>COUNTIFS('All Papers'!$D:$D,"*"&amp;$A1026&amp;"*",'All Papers'!$G:$G,"*"&amp;Table1[[#Headers],[Big Data]]&amp;"*")</f>
        <v>0</v>
      </c>
      <c r="K1026" s="8">
        <f>COUNTIFS('All Papers'!$D:$D,"*"&amp;$A1026&amp;"*",'All Papers'!$G:$G,"*"&amp;Table1[[#Headers],[Energy Management]]&amp;"*")</f>
        <v>0</v>
      </c>
      <c r="L1026" s="8">
        <f>COUNTIFS('All Papers'!$D:$D,"*"&amp;$A1026&amp;"*",'All Papers'!$G:$G,"*"&amp;Table1[[#Headers],[Monitoring]]&amp;"*")</f>
        <v>0</v>
      </c>
      <c r="M1026" s="8">
        <f>COUNTIFS('All Papers'!$D:$D,"*"&amp;$A1026&amp;"*",'All Papers'!$G:$G,"*"&amp;Table1[[#Headers],[Pricing]]&amp;"*")</f>
        <v>0</v>
      </c>
    </row>
    <row r="1027" spans="1:13" x14ac:dyDescent="0.25">
      <c r="A1027" s="8" t="s">
        <v>3460</v>
      </c>
      <c r="B1027" s="8">
        <f>COUNTIF('All Papers'!D:D,"*"&amp;Table1[[#This Row],[Name]]&amp;"*")</f>
        <v>1</v>
      </c>
      <c r="C1027" s="8">
        <f>COUNTIFS('All Papers'!$D:$D,"*"&amp;$A1027&amp;"*",'All Papers'!$G:$G,"*"&amp;Table1[[#Headers],[Composition]]&amp;"*")</f>
        <v>0</v>
      </c>
      <c r="D1027" s="8">
        <f>COUNTIFS('All Papers'!$D:$D,"*"&amp;$A1027&amp;"*",'All Papers'!$G:$G,"*"&amp;Table1[[#Headers],[Discovery]]&amp;"*")</f>
        <v>0</v>
      </c>
      <c r="E1027" s="8">
        <f>COUNTIFS('All Papers'!$D:$D,"*"&amp;$A1027&amp;"*",'All Papers'!$G:$G,"*"&amp;Table1[[#Headers],[Selection]]&amp;"*")</f>
        <v>0</v>
      </c>
      <c r="F1027" s="8">
        <f>COUNTIFS('All Papers'!$D:$D,"*"&amp;$A1027&amp;"*",'All Papers'!$G:$G,"*"&amp;Table1[[#Headers],[Recommendation]]&amp;"*")</f>
        <v>0</v>
      </c>
      <c r="G1027" s="8">
        <f>COUNTIFS('All Papers'!$D:$D,"*"&amp;$A1027&amp;"*",'All Papers'!$G:$G,"*"&amp;Table1[[#Headers],[Resource Management-CS]]&amp;"*")</f>
        <v>0</v>
      </c>
      <c r="H1027" s="8">
        <f>COUNTIFS('All Papers'!$D:$D,"*"&amp;$A1027&amp;"*",'All Papers'!$G:$G,"*"&amp;Table1[[#Headers],[Resource Management-PS]]&amp;"*")</f>
        <v>0</v>
      </c>
      <c r="I1027" s="8">
        <f>COUNTIFS('All Papers'!$D:$D,"*"&amp;$A1027&amp;"*",'All Papers'!$G:$G,"*"&amp;Table1[[#Headers],[SLA Management]]&amp;"*")</f>
        <v>0</v>
      </c>
      <c r="J1027" s="8">
        <f>COUNTIFS('All Papers'!$D:$D,"*"&amp;$A1027&amp;"*",'All Papers'!$G:$G,"*"&amp;Table1[[#Headers],[Big Data]]&amp;"*")</f>
        <v>0</v>
      </c>
      <c r="K1027" s="8">
        <f>COUNTIFS('All Papers'!$D:$D,"*"&amp;$A1027&amp;"*",'All Papers'!$G:$G,"*"&amp;Table1[[#Headers],[Energy Management]]&amp;"*")</f>
        <v>0</v>
      </c>
      <c r="L1027" s="8">
        <f>COUNTIFS('All Papers'!$D:$D,"*"&amp;$A1027&amp;"*",'All Papers'!$G:$G,"*"&amp;Table1[[#Headers],[Monitoring]]&amp;"*")</f>
        <v>0</v>
      </c>
      <c r="M1027" s="8">
        <f>COUNTIFS('All Papers'!$D:$D,"*"&amp;$A1027&amp;"*",'All Papers'!$G:$G,"*"&amp;Table1[[#Headers],[Pricing]]&amp;"*")</f>
        <v>0</v>
      </c>
    </row>
    <row r="1028" spans="1:13" x14ac:dyDescent="0.25">
      <c r="A1028" s="8" t="s">
        <v>3461</v>
      </c>
      <c r="B1028" s="8">
        <f>COUNTIF('All Papers'!D:D,"*"&amp;Table1[[#This Row],[Name]]&amp;"*")</f>
        <v>1</v>
      </c>
      <c r="C1028" s="8">
        <f>COUNTIFS('All Papers'!$D:$D,"*"&amp;$A1028&amp;"*",'All Papers'!$G:$G,"*"&amp;Table1[[#Headers],[Composition]]&amp;"*")</f>
        <v>1</v>
      </c>
      <c r="D1028" s="8">
        <f>COUNTIFS('All Papers'!$D:$D,"*"&amp;$A1028&amp;"*",'All Papers'!$G:$G,"*"&amp;Table1[[#Headers],[Discovery]]&amp;"*")</f>
        <v>0</v>
      </c>
      <c r="E1028" s="8">
        <f>COUNTIFS('All Papers'!$D:$D,"*"&amp;$A1028&amp;"*",'All Papers'!$G:$G,"*"&amp;Table1[[#Headers],[Selection]]&amp;"*")</f>
        <v>0</v>
      </c>
      <c r="F1028" s="8">
        <f>COUNTIFS('All Papers'!$D:$D,"*"&amp;$A1028&amp;"*",'All Papers'!$G:$G,"*"&amp;Table1[[#Headers],[Recommendation]]&amp;"*")</f>
        <v>0</v>
      </c>
      <c r="G1028" s="8">
        <f>COUNTIFS('All Papers'!$D:$D,"*"&amp;$A1028&amp;"*",'All Papers'!$G:$G,"*"&amp;Table1[[#Headers],[Resource Management-CS]]&amp;"*")</f>
        <v>0</v>
      </c>
      <c r="H1028" s="8">
        <f>COUNTIFS('All Papers'!$D:$D,"*"&amp;$A1028&amp;"*",'All Papers'!$G:$G,"*"&amp;Table1[[#Headers],[Resource Management-PS]]&amp;"*")</f>
        <v>0</v>
      </c>
      <c r="I1028" s="8">
        <f>COUNTIFS('All Papers'!$D:$D,"*"&amp;$A1028&amp;"*",'All Papers'!$G:$G,"*"&amp;Table1[[#Headers],[SLA Management]]&amp;"*")</f>
        <v>0</v>
      </c>
      <c r="J1028" s="8">
        <f>COUNTIFS('All Papers'!$D:$D,"*"&amp;$A1028&amp;"*",'All Papers'!$G:$G,"*"&amp;Table1[[#Headers],[Big Data]]&amp;"*")</f>
        <v>0</v>
      </c>
      <c r="K1028" s="8">
        <f>COUNTIFS('All Papers'!$D:$D,"*"&amp;$A1028&amp;"*",'All Papers'!$G:$G,"*"&amp;Table1[[#Headers],[Energy Management]]&amp;"*")</f>
        <v>0</v>
      </c>
      <c r="L1028" s="8">
        <f>COUNTIFS('All Papers'!$D:$D,"*"&amp;$A1028&amp;"*",'All Papers'!$G:$G,"*"&amp;Table1[[#Headers],[Monitoring]]&amp;"*")</f>
        <v>0</v>
      </c>
      <c r="M1028" s="8">
        <f>COUNTIFS('All Papers'!$D:$D,"*"&amp;$A1028&amp;"*",'All Papers'!$G:$G,"*"&amp;Table1[[#Headers],[Pricing]]&amp;"*")</f>
        <v>0</v>
      </c>
    </row>
    <row r="1029" spans="1:13" x14ac:dyDescent="0.25">
      <c r="A1029" s="8" t="s">
        <v>3462</v>
      </c>
      <c r="B1029" s="8">
        <f>COUNTIF('All Papers'!D:D,"*"&amp;Table1[[#This Row],[Name]]&amp;"*")</f>
        <v>1</v>
      </c>
      <c r="C1029" s="8">
        <f>COUNTIFS('All Papers'!$D:$D,"*"&amp;$A1029&amp;"*",'All Papers'!$G:$G,"*"&amp;Table1[[#Headers],[Composition]]&amp;"*")</f>
        <v>1</v>
      </c>
      <c r="D1029" s="8">
        <f>COUNTIFS('All Papers'!$D:$D,"*"&amp;$A1029&amp;"*",'All Papers'!$G:$G,"*"&amp;Table1[[#Headers],[Discovery]]&amp;"*")</f>
        <v>0</v>
      </c>
      <c r="E1029" s="8">
        <f>COUNTIFS('All Papers'!$D:$D,"*"&amp;$A1029&amp;"*",'All Papers'!$G:$G,"*"&amp;Table1[[#Headers],[Selection]]&amp;"*")</f>
        <v>0</v>
      </c>
      <c r="F1029" s="8">
        <f>COUNTIFS('All Papers'!$D:$D,"*"&amp;$A1029&amp;"*",'All Papers'!$G:$G,"*"&amp;Table1[[#Headers],[Recommendation]]&amp;"*")</f>
        <v>0</v>
      </c>
      <c r="G1029" s="8">
        <f>COUNTIFS('All Papers'!$D:$D,"*"&amp;$A1029&amp;"*",'All Papers'!$G:$G,"*"&amp;Table1[[#Headers],[Resource Management-CS]]&amp;"*")</f>
        <v>0</v>
      </c>
      <c r="H1029" s="8">
        <f>COUNTIFS('All Papers'!$D:$D,"*"&amp;$A1029&amp;"*",'All Papers'!$G:$G,"*"&amp;Table1[[#Headers],[Resource Management-PS]]&amp;"*")</f>
        <v>0</v>
      </c>
      <c r="I1029" s="8">
        <f>COUNTIFS('All Papers'!$D:$D,"*"&amp;$A1029&amp;"*",'All Papers'!$G:$G,"*"&amp;Table1[[#Headers],[SLA Management]]&amp;"*")</f>
        <v>0</v>
      </c>
      <c r="J1029" s="8">
        <f>COUNTIFS('All Papers'!$D:$D,"*"&amp;$A1029&amp;"*",'All Papers'!$G:$G,"*"&amp;Table1[[#Headers],[Big Data]]&amp;"*")</f>
        <v>0</v>
      </c>
      <c r="K1029" s="8">
        <f>COUNTIFS('All Papers'!$D:$D,"*"&amp;$A1029&amp;"*",'All Papers'!$G:$G,"*"&amp;Table1[[#Headers],[Energy Management]]&amp;"*")</f>
        <v>0</v>
      </c>
      <c r="L1029" s="8">
        <f>COUNTIFS('All Papers'!$D:$D,"*"&amp;$A1029&amp;"*",'All Papers'!$G:$G,"*"&amp;Table1[[#Headers],[Monitoring]]&amp;"*")</f>
        <v>0</v>
      </c>
      <c r="M1029" s="8">
        <f>COUNTIFS('All Papers'!$D:$D,"*"&amp;$A1029&amp;"*",'All Papers'!$G:$G,"*"&amp;Table1[[#Headers],[Pricing]]&amp;"*")</f>
        <v>0</v>
      </c>
    </row>
    <row r="1030" spans="1:13" x14ac:dyDescent="0.25">
      <c r="A1030" s="8" t="s">
        <v>3463</v>
      </c>
      <c r="B1030" s="8">
        <f>COUNTIF('All Papers'!D:D,"*"&amp;Table1[[#This Row],[Name]]&amp;"*")</f>
        <v>1</v>
      </c>
      <c r="C1030" s="8">
        <f>COUNTIFS('All Papers'!$D:$D,"*"&amp;$A1030&amp;"*",'All Papers'!$G:$G,"*"&amp;Table1[[#Headers],[Composition]]&amp;"*")</f>
        <v>1</v>
      </c>
      <c r="D1030" s="8">
        <f>COUNTIFS('All Papers'!$D:$D,"*"&amp;$A1030&amp;"*",'All Papers'!$G:$G,"*"&amp;Table1[[#Headers],[Discovery]]&amp;"*")</f>
        <v>0</v>
      </c>
      <c r="E1030" s="8">
        <f>COUNTIFS('All Papers'!$D:$D,"*"&amp;$A1030&amp;"*",'All Papers'!$G:$G,"*"&amp;Table1[[#Headers],[Selection]]&amp;"*")</f>
        <v>0</v>
      </c>
      <c r="F1030" s="8">
        <f>COUNTIFS('All Papers'!$D:$D,"*"&amp;$A1030&amp;"*",'All Papers'!$G:$G,"*"&amp;Table1[[#Headers],[Recommendation]]&amp;"*")</f>
        <v>0</v>
      </c>
      <c r="G1030" s="8">
        <f>COUNTIFS('All Papers'!$D:$D,"*"&amp;$A1030&amp;"*",'All Papers'!$G:$G,"*"&amp;Table1[[#Headers],[Resource Management-CS]]&amp;"*")</f>
        <v>0</v>
      </c>
      <c r="H1030" s="8">
        <f>COUNTIFS('All Papers'!$D:$D,"*"&amp;$A1030&amp;"*",'All Papers'!$G:$G,"*"&amp;Table1[[#Headers],[Resource Management-PS]]&amp;"*")</f>
        <v>0</v>
      </c>
      <c r="I1030" s="8">
        <f>COUNTIFS('All Papers'!$D:$D,"*"&amp;$A1030&amp;"*",'All Papers'!$G:$G,"*"&amp;Table1[[#Headers],[SLA Management]]&amp;"*")</f>
        <v>0</v>
      </c>
      <c r="J1030" s="8">
        <f>COUNTIFS('All Papers'!$D:$D,"*"&amp;$A1030&amp;"*",'All Papers'!$G:$G,"*"&amp;Table1[[#Headers],[Big Data]]&amp;"*")</f>
        <v>0</v>
      </c>
      <c r="K1030" s="8">
        <f>COUNTIFS('All Papers'!$D:$D,"*"&amp;$A1030&amp;"*",'All Papers'!$G:$G,"*"&amp;Table1[[#Headers],[Energy Management]]&amp;"*")</f>
        <v>0</v>
      </c>
      <c r="L1030" s="8">
        <f>COUNTIFS('All Papers'!$D:$D,"*"&amp;$A1030&amp;"*",'All Papers'!$G:$G,"*"&amp;Table1[[#Headers],[Monitoring]]&amp;"*")</f>
        <v>0</v>
      </c>
      <c r="M1030" s="8">
        <f>COUNTIFS('All Papers'!$D:$D,"*"&amp;$A1030&amp;"*",'All Papers'!$G:$G,"*"&amp;Table1[[#Headers],[Pricing]]&amp;"*")</f>
        <v>0</v>
      </c>
    </row>
    <row r="1031" spans="1:13" x14ac:dyDescent="0.25">
      <c r="A1031" s="8" t="s">
        <v>3464</v>
      </c>
      <c r="B1031" s="8">
        <f>COUNTIF('All Papers'!D:D,"*"&amp;Table1[[#This Row],[Name]]&amp;"*")</f>
        <v>1</v>
      </c>
      <c r="C1031" s="8">
        <f>COUNTIFS('All Papers'!$D:$D,"*"&amp;$A1031&amp;"*",'All Papers'!$G:$G,"*"&amp;Table1[[#Headers],[Composition]]&amp;"*")</f>
        <v>1</v>
      </c>
      <c r="D1031" s="8">
        <f>COUNTIFS('All Papers'!$D:$D,"*"&amp;$A1031&amp;"*",'All Papers'!$G:$G,"*"&amp;Table1[[#Headers],[Discovery]]&amp;"*")</f>
        <v>0</v>
      </c>
      <c r="E1031" s="8">
        <f>COUNTIFS('All Papers'!$D:$D,"*"&amp;$A1031&amp;"*",'All Papers'!$G:$G,"*"&amp;Table1[[#Headers],[Selection]]&amp;"*")</f>
        <v>0</v>
      </c>
      <c r="F1031" s="8">
        <f>COUNTIFS('All Papers'!$D:$D,"*"&amp;$A1031&amp;"*",'All Papers'!$G:$G,"*"&amp;Table1[[#Headers],[Recommendation]]&amp;"*")</f>
        <v>0</v>
      </c>
      <c r="G1031" s="8">
        <f>COUNTIFS('All Papers'!$D:$D,"*"&amp;$A1031&amp;"*",'All Papers'!$G:$G,"*"&amp;Table1[[#Headers],[Resource Management-CS]]&amp;"*")</f>
        <v>0</v>
      </c>
      <c r="H1031" s="8">
        <f>COUNTIFS('All Papers'!$D:$D,"*"&amp;$A1031&amp;"*",'All Papers'!$G:$G,"*"&amp;Table1[[#Headers],[Resource Management-PS]]&amp;"*")</f>
        <v>0</v>
      </c>
      <c r="I1031" s="8">
        <f>COUNTIFS('All Papers'!$D:$D,"*"&amp;$A1031&amp;"*",'All Papers'!$G:$G,"*"&amp;Table1[[#Headers],[SLA Management]]&amp;"*")</f>
        <v>0</v>
      </c>
      <c r="J1031" s="8">
        <f>COUNTIFS('All Papers'!$D:$D,"*"&amp;$A1031&amp;"*",'All Papers'!$G:$G,"*"&amp;Table1[[#Headers],[Big Data]]&amp;"*")</f>
        <v>0</v>
      </c>
      <c r="K1031" s="8">
        <f>COUNTIFS('All Papers'!$D:$D,"*"&amp;$A1031&amp;"*",'All Papers'!$G:$G,"*"&amp;Table1[[#Headers],[Energy Management]]&amp;"*")</f>
        <v>0</v>
      </c>
      <c r="L1031" s="8">
        <f>COUNTIFS('All Papers'!$D:$D,"*"&amp;$A1031&amp;"*",'All Papers'!$G:$G,"*"&amp;Table1[[#Headers],[Monitoring]]&amp;"*")</f>
        <v>0</v>
      </c>
      <c r="M1031" s="8">
        <f>COUNTIFS('All Papers'!$D:$D,"*"&amp;$A1031&amp;"*",'All Papers'!$G:$G,"*"&amp;Table1[[#Headers],[Pricing]]&amp;"*")</f>
        <v>0</v>
      </c>
    </row>
    <row r="1032" spans="1:13" x14ac:dyDescent="0.25">
      <c r="A1032" s="8" t="s">
        <v>3465</v>
      </c>
      <c r="B1032" s="8">
        <f>COUNTIF('All Papers'!D:D,"*"&amp;Table1[[#This Row],[Name]]&amp;"*")</f>
        <v>1</v>
      </c>
      <c r="C1032" s="8">
        <f>COUNTIFS('All Papers'!$D:$D,"*"&amp;$A1032&amp;"*",'All Papers'!$G:$G,"*"&amp;Table1[[#Headers],[Composition]]&amp;"*")</f>
        <v>0</v>
      </c>
      <c r="D1032" s="8">
        <f>COUNTIFS('All Papers'!$D:$D,"*"&amp;$A1032&amp;"*",'All Papers'!$G:$G,"*"&amp;Table1[[#Headers],[Discovery]]&amp;"*")</f>
        <v>0</v>
      </c>
      <c r="E1032" s="8">
        <f>COUNTIFS('All Papers'!$D:$D,"*"&amp;$A1032&amp;"*",'All Papers'!$G:$G,"*"&amp;Table1[[#Headers],[Selection]]&amp;"*")</f>
        <v>0</v>
      </c>
      <c r="F1032" s="8">
        <f>COUNTIFS('All Papers'!$D:$D,"*"&amp;$A1032&amp;"*",'All Papers'!$G:$G,"*"&amp;Table1[[#Headers],[Recommendation]]&amp;"*")</f>
        <v>0</v>
      </c>
      <c r="G1032" s="8">
        <f>COUNTIFS('All Papers'!$D:$D,"*"&amp;$A1032&amp;"*",'All Papers'!$G:$G,"*"&amp;Table1[[#Headers],[Resource Management-CS]]&amp;"*")</f>
        <v>1</v>
      </c>
      <c r="H1032" s="8">
        <f>COUNTIFS('All Papers'!$D:$D,"*"&amp;$A1032&amp;"*",'All Papers'!$G:$G,"*"&amp;Table1[[#Headers],[Resource Management-PS]]&amp;"*")</f>
        <v>0</v>
      </c>
      <c r="I1032" s="8">
        <f>COUNTIFS('All Papers'!$D:$D,"*"&amp;$A1032&amp;"*",'All Papers'!$G:$G,"*"&amp;Table1[[#Headers],[SLA Management]]&amp;"*")</f>
        <v>0</v>
      </c>
      <c r="J1032" s="8">
        <f>COUNTIFS('All Papers'!$D:$D,"*"&amp;$A1032&amp;"*",'All Papers'!$G:$G,"*"&amp;Table1[[#Headers],[Big Data]]&amp;"*")</f>
        <v>0</v>
      </c>
      <c r="K1032" s="8">
        <f>COUNTIFS('All Papers'!$D:$D,"*"&amp;$A1032&amp;"*",'All Papers'!$G:$G,"*"&amp;Table1[[#Headers],[Energy Management]]&amp;"*")</f>
        <v>0</v>
      </c>
      <c r="L1032" s="8">
        <f>COUNTIFS('All Papers'!$D:$D,"*"&amp;$A1032&amp;"*",'All Papers'!$G:$G,"*"&amp;Table1[[#Headers],[Monitoring]]&amp;"*")</f>
        <v>0</v>
      </c>
      <c r="M1032" s="8">
        <f>COUNTIFS('All Papers'!$D:$D,"*"&amp;$A1032&amp;"*",'All Papers'!$G:$G,"*"&amp;Table1[[#Headers],[Pricing]]&amp;"*")</f>
        <v>0</v>
      </c>
    </row>
    <row r="1033" spans="1:13" x14ac:dyDescent="0.25">
      <c r="A1033" s="8" t="s">
        <v>3466</v>
      </c>
      <c r="B1033" s="8">
        <f>COUNTIF('All Papers'!D:D,"*"&amp;Table1[[#This Row],[Name]]&amp;"*")</f>
        <v>1</v>
      </c>
      <c r="C1033" s="8">
        <f>COUNTIFS('All Papers'!$D:$D,"*"&amp;$A1033&amp;"*",'All Papers'!$G:$G,"*"&amp;Table1[[#Headers],[Composition]]&amp;"*")</f>
        <v>0</v>
      </c>
      <c r="D1033" s="8">
        <f>COUNTIFS('All Papers'!$D:$D,"*"&amp;$A1033&amp;"*",'All Papers'!$G:$G,"*"&amp;Table1[[#Headers],[Discovery]]&amp;"*")</f>
        <v>0</v>
      </c>
      <c r="E1033" s="8">
        <f>COUNTIFS('All Papers'!$D:$D,"*"&amp;$A1033&amp;"*",'All Papers'!$G:$G,"*"&amp;Table1[[#Headers],[Selection]]&amp;"*")</f>
        <v>0</v>
      </c>
      <c r="F1033" s="8">
        <f>COUNTIFS('All Papers'!$D:$D,"*"&amp;$A1033&amp;"*",'All Papers'!$G:$G,"*"&amp;Table1[[#Headers],[Recommendation]]&amp;"*")</f>
        <v>0</v>
      </c>
      <c r="G1033" s="8">
        <f>COUNTIFS('All Papers'!$D:$D,"*"&amp;$A1033&amp;"*",'All Papers'!$G:$G,"*"&amp;Table1[[#Headers],[Resource Management-CS]]&amp;"*")</f>
        <v>1</v>
      </c>
      <c r="H1033" s="8">
        <f>COUNTIFS('All Papers'!$D:$D,"*"&amp;$A1033&amp;"*",'All Papers'!$G:$G,"*"&amp;Table1[[#Headers],[Resource Management-PS]]&amp;"*")</f>
        <v>0</v>
      </c>
      <c r="I1033" s="8">
        <f>COUNTIFS('All Papers'!$D:$D,"*"&amp;$A1033&amp;"*",'All Papers'!$G:$G,"*"&amp;Table1[[#Headers],[SLA Management]]&amp;"*")</f>
        <v>0</v>
      </c>
      <c r="J1033" s="8">
        <f>COUNTIFS('All Papers'!$D:$D,"*"&amp;$A1033&amp;"*",'All Papers'!$G:$G,"*"&amp;Table1[[#Headers],[Big Data]]&amp;"*")</f>
        <v>0</v>
      </c>
      <c r="K1033" s="8">
        <f>COUNTIFS('All Papers'!$D:$D,"*"&amp;$A1033&amp;"*",'All Papers'!$G:$G,"*"&amp;Table1[[#Headers],[Energy Management]]&amp;"*")</f>
        <v>0</v>
      </c>
      <c r="L1033" s="8">
        <f>COUNTIFS('All Papers'!$D:$D,"*"&amp;$A1033&amp;"*",'All Papers'!$G:$G,"*"&amp;Table1[[#Headers],[Monitoring]]&amp;"*")</f>
        <v>0</v>
      </c>
      <c r="M1033" s="8">
        <f>COUNTIFS('All Papers'!$D:$D,"*"&amp;$A1033&amp;"*",'All Papers'!$G:$G,"*"&amp;Table1[[#Headers],[Pricing]]&amp;"*")</f>
        <v>0</v>
      </c>
    </row>
    <row r="1034" spans="1:13" x14ac:dyDescent="0.25">
      <c r="A1034" s="8" t="s">
        <v>3467</v>
      </c>
      <c r="B1034" s="8">
        <f>COUNTIF('All Papers'!D:D,"*"&amp;Table1[[#This Row],[Name]]&amp;"*")</f>
        <v>1</v>
      </c>
      <c r="C1034" s="8">
        <f>COUNTIFS('All Papers'!$D:$D,"*"&amp;$A1034&amp;"*",'All Papers'!$G:$G,"*"&amp;Table1[[#Headers],[Composition]]&amp;"*")</f>
        <v>0</v>
      </c>
      <c r="D1034" s="8">
        <f>COUNTIFS('All Papers'!$D:$D,"*"&amp;$A1034&amp;"*",'All Papers'!$G:$G,"*"&amp;Table1[[#Headers],[Discovery]]&amp;"*")</f>
        <v>0</v>
      </c>
      <c r="E1034" s="8">
        <f>COUNTIFS('All Papers'!$D:$D,"*"&amp;$A1034&amp;"*",'All Papers'!$G:$G,"*"&amp;Table1[[#Headers],[Selection]]&amp;"*")</f>
        <v>0</v>
      </c>
      <c r="F1034" s="8">
        <f>COUNTIFS('All Papers'!$D:$D,"*"&amp;$A1034&amp;"*",'All Papers'!$G:$G,"*"&amp;Table1[[#Headers],[Recommendation]]&amp;"*")</f>
        <v>0</v>
      </c>
      <c r="G1034" s="8">
        <f>COUNTIFS('All Papers'!$D:$D,"*"&amp;$A1034&amp;"*",'All Papers'!$G:$G,"*"&amp;Table1[[#Headers],[Resource Management-CS]]&amp;"*")</f>
        <v>1</v>
      </c>
      <c r="H1034" s="8">
        <f>COUNTIFS('All Papers'!$D:$D,"*"&amp;$A1034&amp;"*",'All Papers'!$G:$G,"*"&amp;Table1[[#Headers],[Resource Management-PS]]&amp;"*")</f>
        <v>0</v>
      </c>
      <c r="I1034" s="8">
        <f>COUNTIFS('All Papers'!$D:$D,"*"&amp;$A1034&amp;"*",'All Papers'!$G:$G,"*"&amp;Table1[[#Headers],[SLA Management]]&amp;"*")</f>
        <v>0</v>
      </c>
      <c r="J1034" s="8">
        <f>COUNTIFS('All Papers'!$D:$D,"*"&amp;$A1034&amp;"*",'All Papers'!$G:$G,"*"&amp;Table1[[#Headers],[Big Data]]&amp;"*")</f>
        <v>0</v>
      </c>
      <c r="K1034" s="8">
        <f>COUNTIFS('All Papers'!$D:$D,"*"&amp;$A1034&amp;"*",'All Papers'!$G:$G,"*"&amp;Table1[[#Headers],[Energy Management]]&amp;"*")</f>
        <v>0</v>
      </c>
      <c r="L1034" s="8">
        <f>COUNTIFS('All Papers'!$D:$D,"*"&amp;$A1034&amp;"*",'All Papers'!$G:$G,"*"&amp;Table1[[#Headers],[Monitoring]]&amp;"*")</f>
        <v>0</v>
      </c>
      <c r="M1034" s="8">
        <f>COUNTIFS('All Papers'!$D:$D,"*"&amp;$A1034&amp;"*",'All Papers'!$G:$G,"*"&amp;Table1[[#Headers],[Pricing]]&amp;"*")</f>
        <v>0</v>
      </c>
    </row>
    <row r="1035" spans="1:13" x14ac:dyDescent="0.25">
      <c r="A1035" s="8" t="s">
        <v>3468</v>
      </c>
      <c r="B1035" s="8">
        <f>COUNTIF('All Papers'!D:D,"*"&amp;Table1[[#This Row],[Name]]&amp;"*")</f>
        <v>1</v>
      </c>
      <c r="C1035" s="8">
        <f>COUNTIFS('All Papers'!$D:$D,"*"&amp;$A1035&amp;"*",'All Papers'!$G:$G,"*"&amp;Table1[[#Headers],[Composition]]&amp;"*")</f>
        <v>1</v>
      </c>
      <c r="D1035" s="8">
        <f>COUNTIFS('All Papers'!$D:$D,"*"&amp;$A1035&amp;"*",'All Papers'!$G:$G,"*"&amp;Table1[[#Headers],[Discovery]]&amp;"*")</f>
        <v>0</v>
      </c>
      <c r="E1035" s="8">
        <f>COUNTIFS('All Papers'!$D:$D,"*"&amp;$A1035&amp;"*",'All Papers'!$G:$G,"*"&amp;Table1[[#Headers],[Selection]]&amp;"*")</f>
        <v>0</v>
      </c>
      <c r="F1035" s="8">
        <f>COUNTIFS('All Papers'!$D:$D,"*"&amp;$A1035&amp;"*",'All Papers'!$G:$G,"*"&amp;Table1[[#Headers],[Recommendation]]&amp;"*")</f>
        <v>0</v>
      </c>
      <c r="G1035" s="8">
        <f>COUNTIFS('All Papers'!$D:$D,"*"&amp;$A1035&amp;"*",'All Papers'!$G:$G,"*"&amp;Table1[[#Headers],[Resource Management-CS]]&amp;"*")</f>
        <v>0</v>
      </c>
      <c r="H1035" s="8">
        <f>COUNTIFS('All Papers'!$D:$D,"*"&amp;$A1035&amp;"*",'All Papers'!$G:$G,"*"&amp;Table1[[#Headers],[Resource Management-PS]]&amp;"*")</f>
        <v>0</v>
      </c>
      <c r="I1035" s="8">
        <f>COUNTIFS('All Papers'!$D:$D,"*"&amp;$A1035&amp;"*",'All Papers'!$G:$G,"*"&amp;Table1[[#Headers],[SLA Management]]&amp;"*")</f>
        <v>0</v>
      </c>
      <c r="J1035" s="8">
        <f>COUNTIFS('All Papers'!$D:$D,"*"&amp;$A1035&amp;"*",'All Papers'!$G:$G,"*"&amp;Table1[[#Headers],[Big Data]]&amp;"*")</f>
        <v>0</v>
      </c>
      <c r="K1035" s="8">
        <f>COUNTIFS('All Papers'!$D:$D,"*"&amp;$A1035&amp;"*",'All Papers'!$G:$G,"*"&amp;Table1[[#Headers],[Energy Management]]&amp;"*")</f>
        <v>0</v>
      </c>
      <c r="L1035" s="8">
        <f>COUNTIFS('All Papers'!$D:$D,"*"&amp;$A1035&amp;"*",'All Papers'!$G:$G,"*"&amp;Table1[[#Headers],[Monitoring]]&amp;"*")</f>
        <v>0</v>
      </c>
      <c r="M1035" s="8">
        <f>COUNTIFS('All Papers'!$D:$D,"*"&amp;$A1035&amp;"*",'All Papers'!$G:$G,"*"&amp;Table1[[#Headers],[Pricing]]&amp;"*")</f>
        <v>0</v>
      </c>
    </row>
    <row r="1036" spans="1:13" x14ac:dyDescent="0.25">
      <c r="A1036" s="8" t="s">
        <v>3469</v>
      </c>
      <c r="B1036" s="8">
        <f>COUNTIF('All Papers'!D:D,"*"&amp;Table1[[#This Row],[Name]]&amp;"*")</f>
        <v>1</v>
      </c>
      <c r="C1036" s="8">
        <f>COUNTIFS('All Papers'!$D:$D,"*"&amp;$A1036&amp;"*",'All Papers'!$G:$G,"*"&amp;Table1[[#Headers],[Composition]]&amp;"*")</f>
        <v>1</v>
      </c>
      <c r="D1036" s="8">
        <f>COUNTIFS('All Papers'!$D:$D,"*"&amp;$A1036&amp;"*",'All Papers'!$G:$G,"*"&amp;Table1[[#Headers],[Discovery]]&amp;"*")</f>
        <v>0</v>
      </c>
      <c r="E1036" s="8">
        <f>COUNTIFS('All Papers'!$D:$D,"*"&amp;$A1036&amp;"*",'All Papers'!$G:$G,"*"&amp;Table1[[#Headers],[Selection]]&amp;"*")</f>
        <v>0</v>
      </c>
      <c r="F1036" s="8">
        <f>COUNTIFS('All Papers'!$D:$D,"*"&amp;$A1036&amp;"*",'All Papers'!$G:$G,"*"&amp;Table1[[#Headers],[Recommendation]]&amp;"*")</f>
        <v>0</v>
      </c>
      <c r="G1036" s="8">
        <f>COUNTIFS('All Papers'!$D:$D,"*"&amp;$A1036&amp;"*",'All Papers'!$G:$G,"*"&amp;Table1[[#Headers],[Resource Management-CS]]&amp;"*")</f>
        <v>0</v>
      </c>
      <c r="H1036" s="8">
        <f>COUNTIFS('All Papers'!$D:$D,"*"&amp;$A1036&amp;"*",'All Papers'!$G:$G,"*"&amp;Table1[[#Headers],[Resource Management-PS]]&amp;"*")</f>
        <v>0</v>
      </c>
      <c r="I1036" s="8">
        <f>COUNTIFS('All Papers'!$D:$D,"*"&amp;$A1036&amp;"*",'All Papers'!$G:$G,"*"&amp;Table1[[#Headers],[SLA Management]]&amp;"*")</f>
        <v>0</v>
      </c>
      <c r="J1036" s="8">
        <f>COUNTIFS('All Papers'!$D:$D,"*"&amp;$A1036&amp;"*",'All Papers'!$G:$G,"*"&amp;Table1[[#Headers],[Big Data]]&amp;"*")</f>
        <v>0</v>
      </c>
      <c r="K1036" s="8">
        <f>COUNTIFS('All Papers'!$D:$D,"*"&amp;$A1036&amp;"*",'All Papers'!$G:$G,"*"&amp;Table1[[#Headers],[Energy Management]]&amp;"*")</f>
        <v>0</v>
      </c>
      <c r="L1036" s="8">
        <f>COUNTIFS('All Papers'!$D:$D,"*"&amp;$A1036&amp;"*",'All Papers'!$G:$G,"*"&amp;Table1[[#Headers],[Monitoring]]&amp;"*")</f>
        <v>0</v>
      </c>
      <c r="M1036" s="8">
        <f>COUNTIFS('All Papers'!$D:$D,"*"&amp;$A1036&amp;"*",'All Papers'!$G:$G,"*"&amp;Table1[[#Headers],[Pricing]]&amp;"*")</f>
        <v>0</v>
      </c>
    </row>
    <row r="1037" spans="1:13" x14ac:dyDescent="0.25">
      <c r="A1037" s="8" t="s">
        <v>3470</v>
      </c>
      <c r="B1037" s="8">
        <f>COUNTIF('All Papers'!D:D,"*"&amp;Table1[[#This Row],[Name]]&amp;"*")</f>
        <v>1</v>
      </c>
      <c r="C1037" s="8">
        <f>COUNTIFS('All Papers'!$D:$D,"*"&amp;$A1037&amp;"*",'All Papers'!$G:$G,"*"&amp;Table1[[#Headers],[Composition]]&amp;"*")</f>
        <v>1</v>
      </c>
      <c r="D1037" s="8">
        <f>COUNTIFS('All Papers'!$D:$D,"*"&amp;$A1037&amp;"*",'All Papers'!$G:$G,"*"&amp;Table1[[#Headers],[Discovery]]&amp;"*")</f>
        <v>0</v>
      </c>
      <c r="E1037" s="8">
        <f>COUNTIFS('All Papers'!$D:$D,"*"&amp;$A1037&amp;"*",'All Papers'!$G:$G,"*"&amp;Table1[[#Headers],[Selection]]&amp;"*")</f>
        <v>0</v>
      </c>
      <c r="F1037" s="8">
        <f>COUNTIFS('All Papers'!$D:$D,"*"&amp;$A1037&amp;"*",'All Papers'!$G:$G,"*"&amp;Table1[[#Headers],[Recommendation]]&amp;"*")</f>
        <v>0</v>
      </c>
      <c r="G1037" s="8">
        <f>COUNTIFS('All Papers'!$D:$D,"*"&amp;$A1037&amp;"*",'All Papers'!$G:$G,"*"&amp;Table1[[#Headers],[Resource Management-CS]]&amp;"*")</f>
        <v>0</v>
      </c>
      <c r="H1037" s="8">
        <f>COUNTIFS('All Papers'!$D:$D,"*"&amp;$A1037&amp;"*",'All Papers'!$G:$G,"*"&amp;Table1[[#Headers],[Resource Management-PS]]&amp;"*")</f>
        <v>0</v>
      </c>
      <c r="I1037" s="8">
        <f>COUNTIFS('All Papers'!$D:$D,"*"&amp;$A1037&amp;"*",'All Papers'!$G:$G,"*"&amp;Table1[[#Headers],[SLA Management]]&amp;"*")</f>
        <v>0</v>
      </c>
      <c r="J1037" s="8">
        <f>COUNTIFS('All Papers'!$D:$D,"*"&amp;$A1037&amp;"*",'All Papers'!$G:$G,"*"&amp;Table1[[#Headers],[Big Data]]&amp;"*")</f>
        <v>0</v>
      </c>
      <c r="K1037" s="8">
        <f>COUNTIFS('All Papers'!$D:$D,"*"&amp;$A1037&amp;"*",'All Papers'!$G:$G,"*"&amp;Table1[[#Headers],[Energy Management]]&amp;"*")</f>
        <v>0</v>
      </c>
      <c r="L1037" s="8">
        <f>COUNTIFS('All Papers'!$D:$D,"*"&amp;$A1037&amp;"*",'All Papers'!$G:$G,"*"&amp;Table1[[#Headers],[Monitoring]]&amp;"*")</f>
        <v>0</v>
      </c>
      <c r="M1037" s="8">
        <f>COUNTIFS('All Papers'!$D:$D,"*"&amp;$A1037&amp;"*",'All Papers'!$G:$G,"*"&amp;Table1[[#Headers],[Pricing]]&amp;"*")</f>
        <v>0</v>
      </c>
    </row>
    <row r="1038" spans="1:13" x14ac:dyDescent="0.25">
      <c r="A1038" s="8" t="s">
        <v>3471</v>
      </c>
      <c r="B1038" s="8">
        <f>COUNTIF('All Papers'!D:D,"*"&amp;Table1[[#This Row],[Name]]&amp;"*")</f>
        <v>1</v>
      </c>
      <c r="C1038" s="8">
        <f>COUNTIFS('All Papers'!$D:$D,"*"&amp;$A1038&amp;"*",'All Papers'!$G:$G,"*"&amp;Table1[[#Headers],[Composition]]&amp;"*")</f>
        <v>1</v>
      </c>
      <c r="D1038" s="8">
        <f>COUNTIFS('All Papers'!$D:$D,"*"&amp;$A1038&amp;"*",'All Papers'!$G:$G,"*"&amp;Table1[[#Headers],[Discovery]]&amp;"*")</f>
        <v>0</v>
      </c>
      <c r="E1038" s="8">
        <f>COUNTIFS('All Papers'!$D:$D,"*"&amp;$A1038&amp;"*",'All Papers'!$G:$G,"*"&amp;Table1[[#Headers],[Selection]]&amp;"*")</f>
        <v>0</v>
      </c>
      <c r="F1038" s="8">
        <f>COUNTIFS('All Papers'!$D:$D,"*"&amp;$A1038&amp;"*",'All Papers'!$G:$G,"*"&amp;Table1[[#Headers],[Recommendation]]&amp;"*")</f>
        <v>0</v>
      </c>
      <c r="G1038" s="8">
        <f>COUNTIFS('All Papers'!$D:$D,"*"&amp;$A1038&amp;"*",'All Papers'!$G:$G,"*"&amp;Table1[[#Headers],[Resource Management-CS]]&amp;"*")</f>
        <v>0</v>
      </c>
      <c r="H1038" s="8">
        <f>COUNTIFS('All Papers'!$D:$D,"*"&amp;$A1038&amp;"*",'All Papers'!$G:$G,"*"&amp;Table1[[#Headers],[Resource Management-PS]]&amp;"*")</f>
        <v>0</v>
      </c>
      <c r="I1038" s="8">
        <f>COUNTIFS('All Papers'!$D:$D,"*"&amp;$A1038&amp;"*",'All Papers'!$G:$G,"*"&amp;Table1[[#Headers],[SLA Management]]&amp;"*")</f>
        <v>0</v>
      </c>
      <c r="J1038" s="8">
        <f>COUNTIFS('All Papers'!$D:$D,"*"&amp;$A1038&amp;"*",'All Papers'!$G:$G,"*"&amp;Table1[[#Headers],[Big Data]]&amp;"*")</f>
        <v>0</v>
      </c>
      <c r="K1038" s="8">
        <f>COUNTIFS('All Papers'!$D:$D,"*"&amp;$A1038&amp;"*",'All Papers'!$G:$G,"*"&amp;Table1[[#Headers],[Energy Management]]&amp;"*")</f>
        <v>0</v>
      </c>
      <c r="L1038" s="8">
        <f>COUNTIFS('All Papers'!$D:$D,"*"&amp;$A1038&amp;"*",'All Papers'!$G:$G,"*"&amp;Table1[[#Headers],[Monitoring]]&amp;"*")</f>
        <v>0</v>
      </c>
      <c r="M1038" s="8">
        <f>COUNTIFS('All Papers'!$D:$D,"*"&amp;$A1038&amp;"*",'All Papers'!$G:$G,"*"&amp;Table1[[#Headers],[Pricing]]&amp;"*")</f>
        <v>0</v>
      </c>
    </row>
    <row r="1039" spans="1:13" x14ac:dyDescent="0.25">
      <c r="A1039" s="8" t="s">
        <v>3472</v>
      </c>
      <c r="B1039" s="8">
        <f>COUNTIF('All Papers'!D:D,"*"&amp;Table1[[#This Row],[Name]]&amp;"*")</f>
        <v>1</v>
      </c>
      <c r="C1039" s="8">
        <f>COUNTIFS('All Papers'!$D:$D,"*"&amp;$A1039&amp;"*",'All Papers'!$G:$G,"*"&amp;Table1[[#Headers],[Composition]]&amp;"*")</f>
        <v>1</v>
      </c>
      <c r="D1039" s="8">
        <f>COUNTIFS('All Papers'!$D:$D,"*"&amp;$A1039&amp;"*",'All Papers'!$G:$G,"*"&amp;Table1[[#Headers],[Discovery]]&amp;"*")</f>
        <v>0</v>
      </c>
      <c r="E1039" s="8">
        <f>COUNTIFS('All Papers'!$D:$D,"*"&amp;$A1039&amp;"*",'All Papers'!$G:$G,"*"&amp;Table1[[#Headers],[Selection]]&amp;"*")</f>
        <v>0</v>
      </c>
      <c r="F1039" s="8">
        <f>COUNTIFS('All Papers'!$D:$D,"*"&amp;$A1039&amp;"*",'All Papers'!$G:$G,"*"&amp;Table1[[#Headers],[Recommendation]]&amp;"*")</f>
        <v>0</v>
      </c>
      <c r="G1039" s="8">
        <f>COUNTIFS('All Papers'!$D:$D,"*"&amp;$A1039&amp;"*",'All Papers'!$G:$G,"*"&amp;Table1[[#Headers],[Resource Management-CS]]&amp;"*")</f>
        <v>0</v>
      </c>
      <c r="H1039" s="8">
        <f>COUNTIFS('All Papers'!$D:$D,"*"&amp;$A1039&amp;"*",'All Papers'!$G:$G,"*"&amp;Table1[[#Headers],[Resource Management-PS]]&amp;"*")</f>
        <v>0</v>
      </c>
      <c r="I1039" s="8">
        <f>COUNTIFS('All Papers'!$D:$D,"*"&amp;$A1039&amp;"*",'All Papers'!$G:$G,"*"&amp;Table1[[#Headers],[SLA Management]]&amp;"*")</f>
        <v>0</v>
      </c>
      <c r="J1039" s="8">
        <f>COUNTIFS('All Papers'!$D:$D,"*"&amp;$A1039&amp;"*",'All Papers'!$G:$G,"*"&amp;Table1[[#Headers],[Big Data]]&amp;"*")</f>
        <v>0</v>
      </c>
      <c r="K1039" s="8">
        <f>COUNTIFS('All Papers'!$D:$D,"*"&amp;$A1039&amp;"*",'All Papers'!$G:$G,"*"&amp;Table1[[#Headers],[Energy Management]]&amp;"*")</f>
        <v>0</v>
      </c>
      <c r="L1039" s="8">
        <f>COUNTIFS('All Papers'!$D:$D,"*"&amp;$A1039&amp;"*",'All Papers'!$G:$G,"*"&amp;Table1[[#Headers],[Monitoring]]&amp;"*")</f>
        <v>0</v>
      </c>
      <c r="M1039" s="8">
        <f>COUNTIFS('All Papers'!$D:$D,"*"&amp;$A1039&amp;"*",'All Papers'!$G:$G,"*"&amp;Table1[[#Headers],[Pricing]]&amp;"*")</f>
        <v>0</v>
      </c>
    </row>
    <row r="1040" spans="1:13" x14ac:dyDescent="0.25">
      <c r="A1040" s="8" t="s">
        <v>3473</v>
      </c>
      <c r="B1040" s="8">
        <f>COUNTIF('All Papers'!D:D,"*"&amp;Table1[[#This Row],[Name]]&amp;"*")</f>
        <v>1</v>
      </c>
      <c r="C1040" s="8">
        <f>COUNTIFS('All Papers'!$D:$D,"*"&amp;$A1040&amp;"*",'All Papers'!$G:$G,"*"&amp;Table1[[#Headers],[Composition]]&amp;"*")</f>
        <v>1</v>
      </c>
      <c r="D1040" s="8">
        <f>COUNTIFS('All Papers'!$D:$D,"*"&amp;$A1040&amp;"*",'All Papers'!$G:$G,"*"&amp;Table1[[#Headers],[Discovery]]&amp;"*")</f>
        <v>0</v>
      </c>
      <c r="E1040" s="8">
        <f>COUNTIFS('All Papers'!$D:$D,"*"&amp;$A1040&amp;"*",'All Papers'!$G:$G,"*"&amp;Table1[[#Headers],[Selection]]&amp;"*")</f>
        <v>0</v>
      </c>
      <c r="F1040" s="8">
        <f>COUNTIFS('All Papers'!$D:$D,"*"&amp;$A1040&amp;"*",'All Papers'!$G:$G,"*"&amp;Table1[[#Headers],[Recommendation]]&amp;"*")</f>
        <v>0</v>
      </c>
      <c r="G1040" s="8">
        <f>COUNTIFS('All Papers'!$D:$D,"*"&amp;$A1040&amp;"*",'All Papers'!$G:$G,"*"&amp;Table1[[#Headers],[Resource Management-CS]]&amp;"*")</f>
        <v>0</v>
      </c>
      <c r="H1040" s="8">
        <f>COUNTIFS('All Papers'!$D:$D,"*"&amp;$A1040&amp;"*",'All Papers'!$G:$G,"*"&amp;Table1[[#Headers],[Resource Management-PS]]&amp;"*")</f>
        <v>0</v>
      </c>
      <c r="I1040" s="8">
        <f>COUNTIFS('All Papers'!$D:$D,"*"&amp;$A1040&amp;"*",'All Papers'!$G:$G,"*"&amp;Table1[[#Headers],[SLA Management]]&amp;"*")</f>
        <v>0</v>
      </c>
      <c r="J1040" s="8">
        <f>COUNTIFS('All Papers'!$D:$D,"*"&amp;$A1040&amp;"*",'All Papers'!$G:$G,"*"&amp;Table1[[#Headers],[Big Data]]&amp;"*")</f>
        <v>0</v>
      </c>
      <c r="K1040" s="8">
        <f>COUNTIFS('All Papers'!$D:$D,"*"&amp;$A1040&amp;"*",'All Papers'!$G:$G,"*"&amp;Table1[[#Headers],[Energy Management]]&amp;"*")</f>
        <v>0</v>
      </c>
      <c r="L1040" s="8">
        <f>COUNTIFS('All Papers'!$D:$D,"*"&amp;$A1040&amp;"*",'All Papers'!$G:$G,"*"&amp;Table1[[#Headers],[Monitoring]]&amp;"*")</f>
        <v>0</v>
      </c>
      <c r="M1040" s="8">
        <f>COUNTIFS('All Papers'!$D:$D,"*"&amp;$A1040&amp;"*",'All Papers'!$G:$G,"*"&amp;Table1[[#Headers],[Pricing]]&amp;"*")</f>
        <v>0</v>
      </c>
    </row>
    <row r="1041" spans="1:13" x14ac:dyDescent="0.25">
      <c r="A1041" s="8" t="s">
        <v>3474</v>
      </c>
      <c r="B1041" s="8">
        <f>COUNTIF('All Papers'!D:D,"*"&amp;Table1[[#This Row],[Name]]&amp;"*")</f>
        <v>1</v>
      </c>
      <c r="C1041" s="8">
        <f>COUNTIFS('All Papers'!$D:$D,"*"&amp;$A1041&amp;"*",'All Papers'!$G:$G,"*"&amp;Table1[[#Headers],[Composition]]&amp;"*")</f>
        <v>1</v>
      </c>
      <c r="D1041" s="8">
        <f>COUNTIFS('All Papers'!$D:$D,"*"&amp;$A1041&amp;"*",'All Papers'!$G:$G,"*"&amp;Table1[[#Headers],[Discovery]]&amp;"*")</f>
        <v>0</v>
      </c>
      <c r="E1041" s="8">
        <f>COUNTIFS('All Papers'!$D:$D,"*"&amp;$A1041&amp;"*",'All Papers'!$G:$G,"*"&amp;Table1[[#Headers],[Selection]]&amp;"*")</f>
        <v>0</v>
      </c>
      <c r="F1041" s="8">
        <f>COUNTIFS('All Papers'!$D:$D,"*"&amp;$A1041&amp;"*",'All Papers'!$G:$G,"*"&amp;Table1[[#Headers],[Recommendation]]&amp;"*")</f>
        <v>0</v>
      </c>
      <c r="G1041" s="8">
        <f>COUNTIFS('All Papers'!$D:$D,"*"&amp;$A1041&amp;"*",'All Papers'!$G:$G,"*"&amp;Table1[[#Headers],[Resource Management-CS]]&amp;"*")</f>
        <v>0</v>
      </c>
      <c r="H1041" s="8">
        <f>COUNTIFS('All Papers'!$D:$D,"*"&amp;$A1041&amp;"*",'All Papers'!$G:$G,"*"&amp;Table1[[#Headers],[Resource Management-PS]]&amp;"*")</f>
        <v>0</v>
      </c>
      <c r="I1041" s="8">
        <f>COUNTIFS('All Papers'!$D:$D,"*"&amp;$A1041&amp;"*",'All Papers'!$G:$G,"*"&amp;Table1[[#Headers],[SLA Management]]&amp;"*")</f>
        <v>0</v>
      </c>
      <c r="J1041" s="8">
        <f>COUNTIFS('All Papers'!$D:$D,"*"&amp;$A1041&amp;"*",'All Papers'!$G:$G,"*"&amp;Table1[[#Headers],[Big Data]]&amp;"*")</f>
        <v>0</v>
      </c>
      <c r="K1041" s="8">
        <f>COUNTIFS('All Papers'!$D:$D,"*"&amp;$A1041&amp;"*",'All Papers'!$G:$G,"*"&amp;Table1[[#Headers],[Energy Management]]&amp;"*")</f>
        <v>0</v>
      </c>
      <c r="L1041" s="8">
        <f>COUNTIFS('All Papers'!$D:$D,"*"&amp;$A1041&amp;"*",'All Papers'!$G:$G,"*"&amp;Table1[[#Headers],[Monitoring]]&amp;"*")</f>
        <v>0</v>
      </c>
      <c r="M1041" s="8">
        <f>COUNTIFS('All Papers'!$D:$D,"*"&amp;$A1041&amp;"*",'All Papers'!$G:$G,"*"&amp;Table1[[#Headers],[Pricing]]&amp;"*")</f>
        <v>0</v>
      </c>
    </row>
    <row r="1042" spans="1:13" x14ac:dyDescent="0.25">
      <c r="A1042" s="8" t="s">
        <v>3475</v>
      </c>
      <c r="B1042" s="8">
        <f>COUNTIF('All Papers'!D:D,"*"&amp;Table1[[#This Row],[Name]]&amp;"*")</f>
        <v>1</v>
      </c>
      <c r="C1042" s="8">
        <f>COUNTIFS('All Papers'!$D:$D,"*"&amp;$A1042&amp;"*",'All Papers'!$G:$G,"*"&amp;Table1[[#Headers],[Composition]]&amp;"*")</f>
        <v>1</v>
      </c>
      <c r="D1042" s="8">
        <f>COUNTIFS('All Papers'!$D:$D,"*"&amp;$A1042&amp;"*",'All Papers'!$G:$G,"*"&amp;Table1[[#Headers],[Discovery]]&amp;"*")</f>
        <v>1</v>
      </c>
      <c r="E1042" s="8">
        <f>COUNTIFS('All Papers'!$D:$D,"*"&amp;$A1042&amp;"*",'All Papers'!$G:$G,"*"&amp;Table1[[#Headers],[Selection]]&amp;"*")</f>
        <v>0</v>
      </c>
      <c r="F1042" s="8">
        <f>COUNTIFS('All Papers'!$D:$D,"*"&amp;$A1042&amp;"*",'All Papers'!$G:$G,"*"&amp;Table1[[#Headers],[Recommendation]]&amp;"*")</f>
        <v>0</v>
      </c>
      <c r="G1042" s="8">
        <f>COUNTIFS('All Papers'!$D:$D,"*"&amp;$A1042&amp;"*",'All Papers'!$G:$G,"*"&amp;Table1[[#Headers],[Resource Management-CS]]&amp;"*")</f>
        <v>0</v>
      </c>
      <c r="H1042" s="8">
        <f>COUNTIFS('All Papers'!$D:$D,"*"&amp;$A1042&amp;"*",'All Papers'!$G:$G,"*"&amp;Table1[[#Headers],[Resource Management-PS]]&amp;"*")</f>
        <v>0</v>
      </c>
      <c r="I1042" s="8">
        <f>COUNTIFS('All Papers'!$D:$D,"*"&amp;$A1042&amp;"*",'All Papers'!$G:$G,"*"&amp;Table1[[#Headers],[SLA Management]]&amp;"*")</f>
        <v>0</v>
      </c>
      <c r="J1042" s="8">
        <f>COUNTIFS('All Papers'!$D:$D,"*"&amp;$A1042&amp;"*",'All Papers'!$G:$G,"*"&amp;Table1[[#Headers],[Big Data]]&amp;"*")</f>
        <v>0</v>
      </c>
      <c r="K1042" s="8">
        <f>COUNTIFS('All Papers'!$D:$D,"*"&amp;$A1042&amp;"*",'All Papers'!$G:$G,"*"&amp;Table1[[#Headers],[Energy Management]]&amp;"*")</f>
        <v>0</v>
      </c>
      <c r="L1042" s="8">
        <f>COUNTIFS('All Papers'!$D:$D,"*"&amp;$A1042&amp;"*",'All Papers'!$G:$G,"*"&amp;Table1[[#Headers],[Monitoring]]&amp;"*")</f>
        <v>0</v>
      </c>
      <c r="M1042" s="8">
        <f>COUNTIFS('All Papers'!$D:$D,"*"&amp;$A1042&amp;"*",'All Papers'!$G:$G,"*"&amp;Table1[[#Headers],[Pricing]]&amp;"*")</f>
        <v>0</v>
      </c>
    </row>
    <row r="1043" spans="1:13" x14ac:dyDescent="0.25">
      <c r="A1043" s="8" t="s">
        <v>3476</v>
      </c>
      <c r="B1043" s="8">
        <f>COUNTIF('All Papers'!D:D,"*"&amp;Table1[[#This Row],[Name]]&amp;"*")</f>
        <v>1</v>
      </c>
      <c r="C1043" s="8">
        <f>COUNTIFS('All Papers'!$D:$D,"*"&amp;$A1043&amp;"*",'All Papers'!$G:$G,"*"&amp;Table1[[#Headers],[Composition]]&amp;"*")</f>
        <v>1</v>
      </c>
      <c r="D1043" s="8">
        <f>COUNTIFS('All Papers'!$D:$D,"*"&amp;$A1043&amp;"*",'All Papers'!$G:$G,"*"&amp;Table1[[#Headers],[Discovery]]&amp;"*")</f>
        <v>1</v>
      </c>
      <c r="E1043" s="8">
        <f>COUNTIFS('All Papers'!$D:$D,"*"&amp;$A1043&amp;"*",'All Papers'!$G:$G,"*"&amp;Table1[[#Headers],[Selection]]&amp;"*")</f>
        <v>0</v>
      </c>
      <c r="F1043" s="8">
        <f>COUNTIFS('All Papers'!$D:$D,"*"&amp;$A1043&amp;"*",'All Papers'!$G:$G,"*"&amp;Table1[[#Headers],[Recommendation]]&amp;"*")</f>
        <v>0</v>
      </c>
      <c r="G1043" s="8">
        <f>COUNTIFS('All Papers'!$D:$D,"*"&amp;$A1043&amp;"*",'All Papers'!$G:$G,"*"&amp;Table1[[#Headers],[Resource Management-CS]]&amp;"*")</f>
        <v>0</v>
      </c>
      <c r="H1043" s="8">
        <f>COUNTIFS('All Papers'!$D:$D,"*"&amp;$A1043&amp;"*",'All Papers'!$G:$G,"*"&amp;Table1[[#Headers],[Resource Management-PS]]&amp;"*")</f>
        <v>0</v>
      </c>
      <c r="I1043" s="8">
        <f>COUNTIFS('All Papers'!$D:$D,"*"&amp;$A1043&amp;"*",'All Papers'!$G:$G,"*"&amp;Table1[[#Headers],[SLA Management]]&amp;"*")</f>
        <v>0</v>
      </c>
      <c r="J1043" s="8">
        <f>COUNTIFS('All Papers'!$D:$D,"*"&amp;$A1043&amp;"*",'All Papers'!$G:$G,"*"&amp;Table1[[#Headers],[Big Data]]&amp;"*")</f>
        <v>0</v>
      </c>
      <c r="K1043" s="8">
        <f>COUNTIFS('All Papers'!$D:$D,"*"&amp;$A1043&amp;"*",'All Papers'!$G:$G,"*"&amp;Table1[[#Headers],[Energy Management]]&amp;"*")</f>
        <v>0</v>
      </c>
      <c r="L1043" s="8">
        <f>COUNTIFS('All Papers'!$D:$D,"*"&amp;$A1043&amp;"*",'All Papers'!$G:$G,"*"&amp;Table1[[#Headers],[Monitoring]]&amp;"*")</f>
        <v>0</v>
      </c>
      <c r="M1043" s="8">
        <f>COUNTIFS('All Papers'!$D:$D,"*"&amp;$A1043&amp;"*",'All Papers'!$G:$G,"*"&amp;Table1[[#Headers],[Pricing]]&amp;"*")</f>
        <v>0</v>
      </c>
    </row>
    <row r="1044" spans="1:13" x14ac:dyDescent="0.25">
      <c r="A1044" s="8" t="s">
        <v>3477</v>
      </c>
      <c r="B1044" s="8">
        <f>COUNTIF('All Papers'!D:D,"*"&amp;Table1[[#This Row],[Name]]&amp;"*")</f>
        <v>1</v>
      </c>
      <c r="C1044" s="8">
        <f>COUNTIFS('All Papers'!$D:$D,"*"&amp;$A1044&amp;"*",'All Papers'!$G:$G,"*"&amp;Table1[[#Headers],[Composition]]&amp;"*")</f>
        <v>1</v>
      </c>
      <c r="D1044" s="8">
        <f>COUNTIFS('All Papers'!$D:$D,"*"&amp;$A1044&amp;"*",'All Papers'!$G:$G,"*"&amp;Table1[[#Headers],[Discovery]]&amp;"*")</f>
        <v>0</v>
      </c>
      <c r="E1044" s="8">
        <f>COUNTIFS('All Papers'!$D:$D,"*"&amp;$A1044&amp;"*",'All Papers'!$G:$G,"*"&amp;Table1[[#Headers],[Selection]]&amp;"*")</f>
        <v>1</v>
      </c>
      <c r="F1044" s="8">
        <f>COUNTIFS('All Papers'!$D:$D,"*"&amp;$A1044&amp;"*",'All Papers'!$G:$G,"*"&amp;Table1[[#Headers],[Recommendation]]&amp;"*")</f>
        <v>0</v>
      </c>
      <c r="G1044" s="8">
        <f>COUNTIFS('All Papers'!$D:$D,"*"&amp;$A1044&amp;"*",'All Papers'!$G:$G,"*"&amp;Table1[[#Headers],[Resource Management-CS]]&amp;"*")</f>
        <v>0</v>
      </c>
      <c r="H1044" s="8">
        <f>COUNTIFS('All Papers'!$D:$D,"*"&amp;$A1044&amp;"*",'All Papers'!$G:$G,"*"&amp;Table1[[#Headers],[Resource Management-PS]]&amp;"*")</f>
        <v>0</v>
      </c>
      <c r="I1044" s="8">
        <f>COUNTIFS('All Papers'!$D:$D,"*"&amp;$A1044&amp;"*",'All Papers'!$G:$G,"*"&amp;Table1[[#Headers],[SLA Management]]&amp;"*")</f>
        <v>0</v>
      </c>
      <c r="J1044" s="8">
        <f>COUNTIFS('All Papers'!$D:$D,"*"&amp;$A1044&amp;"*",'All Papers'!$G:$G,"*"&amp;Table1[[#Headers],[Big Data]]&amp;"*")</f>
        <v>0</v>
      </c>
      <c r="K1044" s="8">
        <f>COUNTIFS('All Papers'!$D:$D,"*"&amp;$A1044&amp;"*",'All Papers'!$G:$G,"*"&amp;Table1[[#Headers],[Energy Management]]&amp;"*")</f>
        <v>0</v>
      </c>
      <c r="L1044" s="8">
        <f>COUNTIFS('All Papers'!$D:$D,"*"&amp;$A1044&amp;"*",'All Papers'!$G:$G,"*"&amp;Table1[[#Headers],[Monitoring]]&amp;"*")</f>
        <v>0</v>
      </c>
      <c r="M1044" s="8">
        <f>COUNTIFS('All Papers'!$D:$D,"*"&amp;$A1044&amp;"*",'All Papers'!$G:$G,"*"&amp;Table1[[#Headers],[Pricing]]&amp;"*")</f>
        <v>0</v>
      </c>
    </row>
    <row r="1045" spans="1:13" x14ac:dyDescent="0.25">
      <c r="A1045" s="8" t="s">
        <v>3478</v>
      </c>
      <c r="B1045" s="8">
        <f>COUNTIF('All Papers'!D:D,"*"&amp;Table1[[#This Row],[Name]]&amp;"*")</f>
        <v>1</v>
      </c>
      <c r="C1045" s="8">
        <f>COUNTIFS('All Papers'!$D:$D,"*"&amp;$A1045&amp;"*",'All Papers'!$G:$G,"*"&amp;Table1[[#Headers],[Composition]]&amp;"*")</f>
        <v>1</v>
      </c>
      <c r="D1045" s="8">
        <f>COUNTIFS('All Papers'!$D:$D,"*"&amp;$A1045&amp;"*",'All Papers'!$G:$G,"*"&amp;Table1[[#Headers],[Discovery]]&amp;"*")</f>
        <v>0</v>
      </c>
      <c r="E1045" s="8">
        <f>COUNTIFS('All Papers'!$D:$D,"*"&amp;$A1045&amp;"*",'All Papers'!$G:$G,"*"&amp;Table1[[#Headers],[Selection]]&amp;"*")</f>
        <v>1</v>
      </c>
      <c r="F1045" s="8">
        <f>COUNTIFS('All Papers'!$D:$D,"*"&amp;$A1045&amp;"*",'All Papers'!$G:$G,"*"&amp;Table1[[#Headers],[Recommendation]]&amp;"*")</f>
        <v>0</v>
      </c>
      <c r="G1045" s="8">
        <f>COUNTIFS('All Papers'!$D:$D,"*"&amp;$A1045&amp;"*",'All Papers'!$G:$G,"*"&amp;Table1[[#Headers],[Resource Management-CS]]&amp;"*")</f>
        <v>0</v>
      </c>
      <c r="H1045" s="8">
        <f>COUNTIFS('All Papers'!$D:$D,"*"&amp;$A1045&amp;"*",'All Papers'!$G:$G,"*"&amp;Table1[[#Headers],[Resource Management-PS]]&amp;"*")</f>
        <v>0</v>
      </c>
      <c r="I1045" s="8">
        <f>COUNTIFS('All Papers'!$D:$D,"*"&amp;$A1045&amp;"*",'All Papers'!$G:$G,"*"&amp;Table1[[#Headers],[SLA Management]]&amp;"*")</f>
        <v>0</v>
      </c>
      <c r="J1045" s="8">
        <f>COUNTIFS('All Papers'!$D:$D,"*"&amp;$A1045&amp;"*",'All Papers'!$G:$G,"*"&amp;Table1[[#Headers],[Big Data]]&amp;"*")</f>
        <v>0</v>
      </c>
      <c r="K1045" s="8">
        <f>COUNTIFS('All Papers'!$D:$D,"*"&amp;$A1045&amp;"*",'All Papers'!$G:$G,"*"&amp;Table1[[#Headers],[Energy Management]]&amp;"*")</f>
        <v>0</v>
      </c>
      <c r="L1045" s="8">
        <f>COUNTIFS('All Papers'!$D:$D,"*"&amp;$A1045&amp;"*",'All Papers'!$G:$G,"*"&amp;Table1[[#Headers],[Monitoring]]&amp;"*")</f>
        <v>0</v>
      </c>
      <c r="M1045" s="8">
        <f>COUNTIFS('All Papers'!$D:$D,"*"&amp;$A1045&amp;"*",'All Papers'!$G:$G,"*"&amp;Table1[[#Headers],[Pricing]]&amp;"*")</f>
        <v>0</v>
      </c>
    </row>
    <row r="1046" spans="1:13" x14ac:dyDescent="0.25">
      <c r="A1046" s="8" t="s">
        <v>3479</v>
      </c>
      <c r="B1046" s="8">
        <f>COUNTIF('All Papers'!D:D,"*"&amp;Table1[[#This Row],[Name]]&amp;"*")</f>
        <v>1</v>
      </c>
      <c r="C1046" s="8">
        <f>COUNTIFS('All Papers'!$D:$D,"*"&amp;$A1046&amp;"*",'All Papers'!$G:$G,"*"&amp;Table1[[#Headers],[Composition]]&amp;"*")</f>
        <v>1</v>
      </c>
      <c r="D1046" s="8">
        <f>COUNTIFS('All Papers'!$D:$D,"*"&amp;$A1046&amp;"*",'All Papers'!$G:$G,"*"&amp;Table1[[#Headers],[Discovery]]&amp;"*")</f>
        <v>0</v>
      </c>
      <c r="E1046" s="8">
        <f>COUNTIFS('All Papers'!$D:$D,"*"&amp;$A1046&amp;"*",'All Papers'!$G:$G,"*"&amp;Table1[[#Headers],[Selection]]&amp;"*")</f>
        <v>1</v>
      </c>
      <c r="F1046" s="8">
        <f>COUNTIFS('All Papers'!$D:$D,"*"&amp;$A1046&amp;"*",'All Papers'!$G:$G,"*"&amp;Table1[[#Headers],[Recommendation]]&amp;"*")</f>
        <v>0</v>
      </c>
      <c r="G1046" s="8">
        <f>COUNTIFS('All Papers'!$D:$D,"*"&amp;$A1046&amp;"*",'All Papers'!$G:$G,"*"&amp;Table1[[#Headers],[Resource Management-CS]]&amp;"*")</f>
        <v>0</v>
      </c>
      <c r="H1046" s="8">
        <f>COUNTIFS('All Papers'!$D:$D,"*"&amp;$A1046&amp;"*",'All Papers'!$G:$G,"*"&amp;Table1[[#Headers],[Resource Management-PS]]&amp;"*")</f>
        <v>0</v>
      </c>
      <c r="I1046" s="8">
        <f>COUNTIFS('All Papers'!$D:$D,"*"&amp;$A1046&amp;"*",'All Papers'!$G:$G,"*"&amp;Table1[[#Headers],[SLA Management]]&amp;"*")</f>
        <v>0</v>
      </c>
      <c r="J1046" s="8">
        <f>COUNTIFS('All Papers'!$D:$D,"*"&amp;$A1046&amp;"*",'All Papers'!$G:$G,"*"&amp;Table1[[#Headers],[Big Data]]&amp;"*")</f>
        <v>0</v>
      </c>
      <c r="K1046" s="8">
        <f>COUNTIFS('All Papers'!$D:$D,"*"&amp;$A1046&amp;"*",'All Papers'!$G:$G,"*"&amp;Table1[[#Headers],[Energy Management]]&amp;"*")</f>
        <v>0</v>
      </c>
      <c r="L1046" s="8">
        <f>COUNTIFS('All Papers'!$D:$D,"*"&amp;$A1046&amp;"*",'All Papers'!$G:$G,"*"&amp;Table1[[#Headers],[Monitoring]]&amp;"*")</f>
        <v>0</v>
      </c>
      <c r="M1046" s="8">
        <f>COUNTIFS('All Papers'!$D:$D,"*"&amp;$A1046&amp;"*",'All Papers'!$G:$G,"*"&amp;Table1[[#Headers],[Pricing]]&amp;"*")</f>
        <v>0</v>
      </c>
    </row>
    <row r="1047" spans="1:13" x14ac:dyDescent="0.25">
      <c r="A1047" s="8" t="s">
        <v>3480</v>
      </c>
      <c r="B1047" s="8">
        <f>COUNTIF('All Papers'!D:D,"*"&amp;Table1[[#This Row],[Name]]&amp;"*")</f>
        <v>1</v>
      </c>
      <c r="C1047" s="8">
        <f>COUNTIFS('All Papers'!$D:$D,"*"&amp;$A1047&amp;"*",'All Papers'!$G:$G,"*"&amp;Table1[[#Headers],[Composition]]&amp;"*")</f>
        <v>1</v>
      </c>
      <c r="D1047" s="8">
        <f>COUNTIFS('All Papers'!$D:$D,"*"&amp;$A1047&amp;"*",'All Papers'!$G:$G,"*"&amp;Table1[[#Headers],[Discovery]]&amp;"*")</f>
        <v>0</v>
      </c>
      <c r="E1047" s="8">
        <f>COUNTIFS('All Papers'!$D:$D,"*"&amp;$A1047&amp;"*",'All Papers'!$G:$G,"*"&amp;Table1[[#Headers],[Selection]]&amp;"*")</f>
        <v>1</v>
      </c>
      <c r="F1047" s="8">
        <f>COUNTIFS('All Papers'!$D:$D,"*"&amp;$A1047&amp;"*",'All Papers'!$G:$G,"*"&amp;Table1[[#Headers],[Recommendation]]&amp;"*")</f>
        <v>0</v>
      </c>
      <c r="G1047" s="8">
        <f>COUNTIFS('All Papers'!$D:$D,"*"&amp;$A1047&amp;"*",'All Papers'!$G:$G,"*"&amp;Table1[[#Headers],[Resource Management-CS]]&amp;"*")</f>
        <v>0</v>
      </c>
      <c r="H1047" s="8">
        <f>COUNTIFS('All Papers'!$D:$D,"*"&amp;$A1047&amp;"*",'All Papers'!$G:$G,"*"&amp;Table1[[#Headers],[Resource Management-PS]]&amp;"*")</f>
        <v>0</v>
      </c>
      <c r="I1047" s="8">
        <f>COUNTIFS('All Papers'!$D:$D,"*"&amp;$A1047&amp;"*",'All Papers'!$G:$G,"*"&amp;Table1[[#Headers],[SLA Management]]&amp;"*")</f>
        <v>0</v>
      </c>
      <c r="J1047" s="8">
        <f>COUNTIFS('All Papers'!$D:$D,"*"&amp;$A1047&amp;"*",'All Papers'!$G:$G,"*"&amp;Table1[[#Headers],[Big Data]]&amp;"*")</f>
        <v>0</v>
      </c>
      <c r="K1047" s="8">
        <f>COUNTIFS('All Papers'!$D:$D,"*"&amp;$A1047&amp;"*",'All Papers'!$G:$G,"*"&amp;Table1[[#Headers],[Energy Management]]&amp;"*")</f>
        <v>0</v>
      </c>
      <c r="L1047" s="8">
        <f>COUNTIFS('All Papers'!$D:$D,"*"&amp;$A1047&amp;"*",'All Papers'!$G:$G,"*"&amp;Table1[[#Headers],[Monitoring]]&amp;"*")</f>
        <v>0</v>
      </c>
      <c r="M1047" s="8">
        <f>COUNTIFS('All Papers'!$D:$D,"*"&amp;$A1047&amp;"*",'All Papers'!$G:$G,"*"&amp;Table1[[#Headers],[Pricing]]&amp;"*")</f>
        <v>0</v>
      </c>
    </row>
    <row r="1048" spans="1:13" x14ac:dyDescent="0.25">
      <c r="A1048" s="8" t="s">
        <v>3481</v>
      </c>
      <c r="B1048" s="8">
        <f>COUNTIF('All Papers'!D:D,"*"&amp;Table1[[#This Row],[Name]]&amp;"*")</f>
        <v>1</v>
      </c>
      <c r="C1048" s="8">
        <f>COUNTIFS('All Papers'!$D:$D,"*"&amp;$A1048&amp;"*",'All Papers'!$G:$G,"*"&amp;Table1[[#Headers],[Composition]]&amp;"*")</f>
        <v>1</v>
      </c>
      <c r="D1048" s="8">
        <f>COUNTIFS('All Papers'!$D:$D,"*"&amp;$A1048&amp;"*",'All Papers'!$G:$G,"*"&amp;Table1[[#Headers],[Discovery]]&amp;"*")</f>
        <v>0</v>
      </c>
      <c r="E1048" s="8">
        <f>COUNTIFS('All Papers'!$D:$D,"*"&amp;$A1048&amp;"*",'All Papers'!$G:$G,"*"&amp;Table1[[#Headers],[Selection]]&amp;"*")</f>
        <v>1</v>
      </c>
      <c r="F1048" s="8">
        <f>COUNTIFS('All Papers'!$D:$D,"*"&amp;$A1048&amp;"*",'All Papers'!$G:$G,"*"&amp;Table1[[#Headers],[Recommendation]]&amp;"*")</f>
        <v>0</v>
      </c>
      <c r="G1048" s="8">
        <f>COUNTIFS('All Papers'!$D:$D,"*"&amp;$A1048&amp;"*",'All Papers'!$G:$G,"*"&amp;Table1[[#Headers],[Resource Management-CS]]&amp;"*")</f>
        <v>0</v>
      </c>
      <c r="H1048" s="8">
        <f>COUNTIFS('All Papers'!$D:$D,"*"&amp;$A1048&amp;"*",'All Papers'!$G:$G,"*"&amp;Table1[[#Headers],[Resource Management-PS]]&amp;"*")</f>
        <v>0</v>
      </c>
      <c r="I1048" s="8">
        <f>COUNTIFS('All Papers'!$D:$D,"*"&amp;$A1048&amp;"*",'All Papers'!$G:$G,"*"&amp;Table1[[#Headers],[SLA Management]]&amp;"*")</f>
        <v>0</v>
      </c>
      <c r="J1048" s="8">
        <f>COUNTIFS('All Papers'!$D:$D,"*"&amp;$A1048&amp;"*",'All Papers'!$G:$G,"*"&amp;Table1[[#Headers],[Big Data]]&amp;"*")</f>
        <v>0</v>
      </c>
      <c r="K1048" s="8">
        <f>COUNTIFS('All Papers'!$D:$D,"*"&amp;$A1048&amp;"*",'All Papers'!$G:$G,"*"&amp;Table1[[#Headers],[Energy Management]]&amp;"*")</f>
        <v>0</v>
      </c>
      <c r="L1048" s="8">
        <f>COUNTIFS('All Papers'!$D:$D,"*"&amp;$A1048&amp;"*",'All Papers'!$G:$G,"*"&amp;Table1[[#Headers],[Monitoring]]&amp;"*")</f>
        <v>0</v>
      </c>
      <c r="M1048" s="8">
        <f>COUNTIFS('All Papers'!$D:$D,"*"&amp;$A1048&amp;"*",'All Papers'!$G:$G,"*"&amp;Table1[[#Headers],[Pricing]]&amp;"*")</f>
        <v>0</v>
      </c>
    </row>
    <row r="1049" spans="1:13" x14ac:dyDescent="0.25">
      <c r="A1049" s="8" t="s">
        <v>3482</v>
      </c>
      <c r="B1049" s="8">
        <f>COUNTIF('All Papers'!D:D,"*"&amp;Table1[[#This Row],[Name]]&amp;"*")</f>
        <v>1</v>
      </c>
      <c r="C1049" s="8">
        <f>COUNTIFS('All Papers'!$D:$D,"*"&amp;$A1049&amp;"*",'All Papers'!$G:$G,"*"&amp;Table1[[#Headers],[Composition]]&amp;"*")</f>
        <v>1</v>
      </c>
      <c r="D1049" s="8">
        <f>COUNTIFS('All Papers'!$D:$D,"*"&amp;$A1049&amp;"*",'All Papers'!$G:$G,"*"&amp;Table1[[#Headers],[Discovery]]&amp;"*")</f>
        <v>0</v>
      </c>
      <c r="E1049" s="8">
        <f>COUNTIFS('All Papers'!$D:$D,"*"&amp;$A1049&amp;"*",'All Papers'!$G:$G,"*"&amp;Table1[[#Headers],[Selection]]&amp;"*")</f>
        <v>0</v>
      </c>
      <c r="F1049" s="8">
        <f>COUNTIFS('All Papers'!$D:$D,"*"&amp;$A1049&amp;"*",'All Papers'!$G:$G,"*"&amp;Table1[[#Headers],[Recommendation]]&amp;"*")</f>
        <v>0</v>
      </c>
      <c r="G1049" s="8">
        <f>COUNTIFS('All Papers'!$D:$D,"*"&amp;$A1049&amp;"*",'All Papers'!$G:$G,"*"&amp;Table1[[#Headers],[Resource Management-CS]]&amp;"*")</f>
        <v>0</v>
      </c>
      <c r="H1049" s="8">
        <f>COUNTIFS('All Papers'!$D:$D,"*"&amp;$A1049&amp;"*",'All Papers'!$G:$G,"*"&amp;Table1[[#Headers],[Resource Management-PS]]&amp;"*")</f>
        <v>0</v>
      </c>
      <c r="I1049" s="8">
        <f>COUNTIFS('All Papers'!$D:$D,"*"&amp;$A1049&amp;"*",'All Papers'!$G:$G,"*"&amp;Table1[[#Headers],[SLA Management]]&amp;"*")</f>
        <v>0</v>
      </c>
      <c r="J1049" s="8">
        <f>COUNTIFS('All Papers'!$D:$D,"*"&amp;$A1049&amp;"*",'All Papers'!$G:$G,"*"&amp;Table1[[#Headers],[Big Data]]&amp;"*")</f>
        <v>0</v>
      </c>
      <c r="K1049" s="8">
        <f>COUNTIFS('All Papers'!$D:$D,"*"&amp;$A1049&amp;"*",'All Papers'!$G:$G,"*"&amp;Table1[[#Headers],[Energy Management]]&amp;"*")</f>
        <v>0</v>
      </c>
      <c r="L1049" s="8">
        <f>COUNTIFS('All Papers'!$D:$D,"*"&amp;$A1049&amp;"*",'All Papers'!$G:$G,"*"&amp;Table1[[#Headers],[Monitoring]]&amp;"*")</f>
        <v>0</v>
      </c>
      <c r="M1049" s="8">
        <f>COUNTIFS('All Papers'!$D:$D,"*"&amp;$A1049&amp;"*",'All Papers'!$G:$G,"*"&amp;Table1[[#Headers],[Pricing]]&amp;"*")</f>
        <v>0</v>
      </c>
    </row>
    <row r="1050" spans="1:13" x14ac:dyDescent="0.25">
      <c r="A1050" s="8" t="s">
        <v>3483</v>
      </c>
      <c r="B1050" s="8">
        <f>COUNTIF('All Papers'!D:D,"*"&amp;Table1[[#This Row],[Name]]&amp;"*")</f>
        <v>1</v>
      </c>
      <c r="C1050" s="8">
        <f>COUNTIFS('All Papers'!$D:$D,"*"&amp;$A1050&amp;"*",'All Papers'!$G:$G,"*"&amp;Table1[[#Headers],[Composition]]&amp;"*")</f>
        <v>1</v>
      </c>
      <c r="D1050" s="8">
        <f>COUNTIFS('All Papers'!$D:$D,"*"&amp;$A1050&amp;"*",'All Papers'!$G:$G,"*"&amp;Table1[[#Headers],[Discovery]]&amp;"*")</f>
        <v>0</v>
      </c>
      <c r="E1050" s="8">
        <f>COUNTIFS('All Papers'!$D:$D,"*"&amp;$A1050&amp;"*",'All Papers'!$G:$G,"*"&amp;Table1[[#Headers],[Selection]]&amp;"*")</f>
        <v>0</v>
      </c>
      <c r="F1050" s="8">
        <f>COUNTIFS('All Papers'!$D:$D,"*"&amp;$A1050&amp;"*",'All Papers'!$G:$G,"*"&amp;Table1[[#Headers],[Recommendation]]&amp;"*")</f>
        <v>0</v>
      </c>
      <c r="G1050" s="8">
        <f>COUNTIFS('All Papers'!$D:$D,"*"&amp;$A1050&amp;"*",'All Papers'!$G:$G,"*"&amp;Table1[[#Headers],[Resource Management-CS]]&amp;"*")</f>
        <v>0</v>
      </c>
      <c r="H1050" s="8">
        <f>COUNTIFS('All Papers'!$D:$D,"*"&amp;$A1050&amp;"*",'All Papers'!$G:$G,"*"&amp;Table1[[#Headers],[Resource Management-PS]]&amp;"*")</f>
        <v>0</v>
      </c>
      <c r="I1050" s="8">
        <f>COUNTIFS('All Papers'!$D:$D,"*"&amp;$A1050&amp;"*",'All Papers'!$G:$G,"*"&amp;Table1[[#Headers],[SLA Management]]&amp;"*")</f>
        <v>0</v>
      </c>
      <c r="J1050" s="8">
        <f>COUNTIFS('All Papers'!$D:$D,"*"&amp;$A1050&amp;"*",'All Papers'!$G:$G,"*"&amp;Table1[[#Headers],[Big Data]]&amp;"*")</f>
        <v>0</v>
      </c>
      <c r="K1050" s="8">
        <f>COUNTIFS('All Papers'!$D:$D,"*"&amp;$A1050&amp;"*",'All Papers'!$G:$G,"*"&amp;Table1[[#Headers],[Energy Management]]&amp;"*")</f>
        <v>0</v>
      </c>
      <c r="L1050" s="8">
        <f>COUNTIFS('All Papers'!$D:$D,"*"&amp;$A1050&amp;"*",'All Papers'!$G:$G,"*"&amp;Table1[[#Headers],[Monitoring]]&amp;"*")</f>
        <v>0</v>
      </c>
      <c r="M1050" s="8">
        <f>COUNTIFS('All Papers'!$D:$D,"*"&amp;$A1050&amp;"*",'All Papers'!$G:$G,"*"&amp;Table1[[#Headers],[Pricing]]&amp;"*")</f>
        <v>0</v>
      </c>
    </row>
    <row r="1051" spans="1:13" x14ac:dyDescent="0.25">
      <c r="A1051" s="8" t="s">
        <v>3484</v>
      </c>
      <c r="B1051" s="8">
        <f>COUNTIF('All Papers'!D:D,"*"&amp;Table1[[#This Row],[Name]]&amp;"*")</f>
        <v>1</v>
      </c>
      <c r="C1051" s="8">
        <f>COUNTIFS('All Papers'!$D:$D,"*"&amp;$A1051&amp;"*",'All Papers'!$G:$G,"*"&amp;Table1[[#Headers],[Composition]]&amp;"*")</f>
        <v>1</v>
      </c>
      <c r="D1051" s="8">
        <f>COUNTIFS('All Papers'!$D:$D,"*"&amp;$A1051&amp;"*",'All Papers'!$G:$G,"*"&amp;Table1[[#Headers],[Discovery]]&amp;"*")</f>
        <v>0</v>
      </c>
      <c r="E1051" s="8">
        <f>COUNTIFS('All Papers'!$D:$D,"*"&amp;$A1051&amp;"*",'All Papers'!$G:$G,"*"&amp;Table1[[#Headers],[Selection]]&amp;"*")</f>
        <v>0</v>
      </c>
      <c r="F1051" s="8">
        <f>COUNTIFS('All Papers'!$D:$D,"*"&amp;$A1051&amp;"*",'All Papers'!$G:$G,"*"&amp;Table1[[#Headers],[Recommendation]]&amp;"*")</f>
        <v>0</v>
      </c>
      <c r="G1051" s="8">
        <f>COUNTIFS('All Papers'!$D:$D,"*"&amp;$A1051&amp;"*",'All Papers'!$G:$G,"*"&amp;Table1[[#Headers],[Resource Management-CS]]&amp;"*")</f>
        <v>0</v>
      </c>
      <c r="H1051" s="8">
        <f>COUNTIFS('All Papers'!$D:$D,"*"&amp;$A1051&amp;"*",'All Papers'!$G:$G,"*"&amp;Table1[[#Headers],[Resource Management-PS]]&amp;"*")</f>
        <v>0</v>
      </c>
      <c r="I1051" s="8">
        <f>COUNTIFS('All Papers'!$D:$D,"*"&amp;$A1051&amp;"*",'All Papers'!$G:$G,"*"&amp;Table1[[#Headers],[SLA Management]]&amp;"*")</f>
        <v>0</v>
      </c>
      <c r="J1051" s="8">
        <f>COUNTIFS('All Papers'!$D:$D,"*"&amp;$A1051&amp;"*",'All Papers'!$G:$G,"*"&amp;Table1[[#Headers],[Big Data]]&amp;"*")</f>
        <v>0</v>
      </c>
      <c r="K1051" s="8">
        <f>COUNTIFS('All Papers'!$D:$D,"*"&amp;$A1051&amp;"*",'All Papers'!$G:$G,"*"&amp;Table1[[#Headers],[Energy Management]]&amp;"*")</f>
        <v>0</v>
      </c>
      <c r="L1051" s="8">
        <f>COUNTIFS('All Papers'!$D:$D,"*"&amp;$A1051&amp;"*",'All Papers'!$G:$G,"*"&amp;Table1[[#Headers],[Monitoring]]&amp;"*")</f>
        <v>0</v>
      </c>
      <c r="M1051" s="8">
        <f>COUNTIFS('All Papers'!$D:$D,"*"&amp;$A1051&amp;"*",'All Papers'!$G:$G,"*"&amp;Table1[[#Headers],[Pricing]]&amp;"*")</f>
        <v>0</v>
      </c>
    </row>
    <row r="1052" spans="1:13" x14ac:dyDescent="0.25">
      <c r="A1052" s="8" t="s">
        <v>3485</v>
      </c>
      <c r="B1052" s="8">
        <f>COUNTIF('All Papers'!D:D,"*"&amp;Table1[[#This Row],[Name]]&amp;"*")</f>
        <v>1</v>
      </c>
      <c r="C1052" s="8">
        <f>COUNTIFS('All Papers'!$D:$D,"*"&amp;$A1052&amp;"*",'All Papers'!$G:$G,"*"&amp;Table1[[#Headers],[Composition]]&amp;"*")</f>
        <v>1</v>
      </c>
      <c r="D1052" s="8">
        <f>COUNTIFS('All Papers'!$D:$D,"*"&amp;$A1052&amp;"*",'All Papers'!$G:$G,"*"&amp;Table1[[#Headers],[Discovery]]&amp;"*")</f>
        <v>0</v>
      </c>
      <c r="E1052" s="8">
        <f>COUNTIFS('All Papers'!$D:$D,"*"&amp;$A1052&amp;"*",'All Papers'!$G:$G,"*"&amp;Table1[[#Headers],[Selection]]&amp;"*")</f>
        <v>0</v>
      </c>
      <c r="F1052" s="8">
        <f>COUNTIFS('All Papers'!$D:$D,"*"&amp;$A1052&amp;"*",'All Papers'!$G:$G,"*"&amp;Table1[[#Headers],[Recommendation]]&amp;"*")</f>
        <v>0</v>
      </c>
      <c r="G1052" s="8">
        <f>COUNTIFS('All Papers'!$D:$D,"*"&amp;$A1052&amp;"*",'All Papers'!$G:$G,"*"&amp;Table1[[#Headers],[Resource Management-CS]]&amp;"*")</f>
        <v>0</v>
      </c>
      <c r="H1052" s="8">
        <f>COUNTIFS('All Papers'!$D:$D,"*"&amp;$A1052&amp;"*",'All Papers'!$G:$G,"*"&amp;Table1[[#Headers],[Resource Management-PS]]&amp;"*")</f>
        <v>0</v>
      </c>
      <c r="I1052" s="8">
        <f>COUNTIFS('All Papers'!$D:$D,"*"&amp;$A1052&amp;"*",'All Papers'!$G:$G,"*"&amp;Table1[[#Headers],[SLA Management]]&amp;"*")</f>
        <v>0</v>
      </c>
      <c r="J1052" s="8">
        <f>COUNTIFS('All Papers'!$D:$D,"*"&amp;$A1052&amp;"*",'All Papers'!$G:$G,"*"&amp;Table1[[#Headers],[Big Data]]&amp;"*")</f>
        <v>0</v>
      </c>
      <c r="K1052" s="8">
        <f>COUNTIFS('All Papers'!$D:$D,"*"&amp;$A1052&amp;"*",'All Papers'!$G:$G,"*"&amp;Table1[[#Headers],[Energy Management]]&amp;"*")</f>
        <v>0</v>
      </c>
      <c r="L1052" s="8">
        <f>COUNTIFS('All Papers'!$D:$D,"*"&amp;$A1052&amp;"*",'All Papers'!$G:$G,"*"&amp;Table1[[#Headers],[Monitoring]]&amp;"*")</f>
        <v>0</v>
      </c>
      <c r="M1052" s="8">
        <f>COUNTIFS('All Papers'!$D:$D,"*"&amp;$A1052&amp;"*",'All Papers'!$G:$G,"*"&amp;Table1[[#Headers],[Pricing]]&amp;"*")</f>
        <v>0</v>
      </c>
    </row>
    <row r="1053" spans="1:13" x14ac:dyDescent="0.25">
      <c r="A1053" s="8" t="s">
        <v>3486</v>
      </c>
      <c r="B1053" s="8">
        <f>COUNTIF('All Papers'!D:D,"*"&amp;Table1[[#This Row],[Name]]&amp;"*")</f>
        <v>1</v>
      </c>
      <c r="C1053" s="8">
        <f>COUNTIFS('All Papers'!$D:$D,"*"&amp;$A1053&amp;"*",'All Papers'!$G:$G,"*"&amp;Table1[[#Headers],[Composition]]&amp;"*")</f>
        <v>1</v>
      </c>
      <c r="D1053" s="8">
        <f>COUNTIFS('All Papers'!$D:$D,"*"&amp;$A1053&amp;"*",'All Papers'!$G:$G,"*"&amp;Table1[[#Headers],[Discovery]]&amp;"*")</f>
        <v>0</v>
      </c>
      <c r="E1053" s="8">
        <f>COUNTIFS('All Papers'!$D:$D,"*"&amp;$A1053&amp;"*",'All Papers'!$G:$G,"*"&amp;Table1[[#Headers],[Selection]]&amp;"*")</f>
        <v>0</v>
      </c>
      <c r="F1053" s="8">
        <f>COUNTIFS('All Papers'!$D:$D,"*"&amp;$A1053&amp;"*",'All Papers'!$G:$G,"*"&amp;Table1[[#Headers],[Recommendation]]&amp;"*")</f>
        <v>0</v>
      </c>
      <c r="G1053" s="8">
        <f>COUNTIFS('All Papers'!$D:$D,"*"&amp;$A1053&amp;"*",'All Papers'!$G:$G,"*"&amp;Table1[[#Headers],[Resource Management-CS]]&amp;"*")</f>
        <v>0</v>
      </c>
      <c r="H1053" s="8">
        <f>COUNTIFS('All Papers'!$D:$D,"*"&amp;$A1053&amp;"*",'All Papers'!$G:$G,"*"&amp;Table1[[#Headers],[Resource Management-PS]]&amp;"*")</f>
        <v>0</v>
      </c>
      <c r="I1053" s="8">
        <f>COUNTIFS('All Papers'!$D:$D,"*"&amp;$A1053&amp;"*",'All Papers'!$G:$G,"*"&amp;Table1[[#Headers],[SLA Management]]&amp;"*")</f>
        <v>0</v>
      </c>
      <c r="J1053" s="8">
        <f>COUNTIFS('All Papers'!$D:$D,"*"&amp;$A1053&amp;"*",'All Papers'!$G:$G,"*"&amp;Table1[[#Headers],[Big Data]]&amp;"*")</f>
        <v>0</v>
      </c>
      <c r="K1053" s="8">
        <f>COUNTIFS('All Papers'!$D:$D,"*"&amp;$A1053&amp;"*",'All Papers'!$G:$G,"*"&amp;Table1[[#Headers],[Energy Management]]&amp;"*")</f>
        <v>0</v>
      </c>
      <c r="L1053" s="8">
        <f>COUNTIFS('All Papers'!$D:$D,"*"&amp;$A1053&amp;"*",'All Papers'!$G:$G,"*"&amp;Table1[[#Headers],[Monitoring]]&amp;"*")</f>
        <v>0</v>
      </c>
      <c r="M1053" s="8">
        <f>COUNTIFS('All Papers'!$D:$D,"*"&amp;$A1053&amp;"*",'All Papers'!$G:$G,"*"&amp;Table1[[#Headers],[Pricing]]&amp;"*")</f>
        <v>0</v>
      </c>
    </row>
    <row r="1054" spans="1:13" x14ac:dyDescent="0.25">
      <c r="A1054" s="8" t="s">
        <v>3487</v>
      </c>
      <c r="B1054" s="8">
        <f>COUNTIF('All Papers'!D:D,"*"&amp;Table1[[#This Row],[Name]]&amp;"*")</f>
        <v>1</v>
      </c>
      <c r="C1054" s="8">
        <f>COUNTIFS('All Papers'!$D:$D,"*"&amp;$A1054&amp;"*",'All Papers'!$G:$G,"*"&amp;Table1[[#Headers],[Composition]]&amp;"*")</f>
        <v>1</v>
      </c>
      <c r="D1054" s="8">
        <f>COUNTIFS('All Papers'!$D:$D,"*"&amp;$A1054&amp;"*",'All Papers'!$G:$G,"*"&amp;Table1[[#Headers],[Discovery]]&amp;"*")</f>
        <v>0</v>
      </c>
      <c r="E1054" s="8">
        <f>COUNTIFS('All Papers'!$D:$D,"*"&amp;$A1054&amp;"*",'All Papers'!$G:$G,"*"&amp;Table1[[#Headers],[Selection]]&amp;"*")</f>
        <v>0</v>
      </c>
      <c r="F1054" s="8">
        <f>COUNTIFS('All Papers'!$D:$D,"*"&amp;$A1054&amp;"*",'All Papers'!$G:$G,"*"&amp;Table1[[#Headers],[Recommendation]]&amp;"*")</f>
        <v>0</v>
      </c>
      <c r="G1054" s="8">
        <f>COUNTIFS('All Papers'!$D:$D,"*"&amp;$A1054&amp;"*",'All Papers'!$G:$G,"*"&amp;Table1[[#Headers],[Resource Management-CS]]&amp;"*")</f>
        <v>0</v>
      </c>
      <c r="H1054" s="8">
        <f>COUNTIFS('All Papers'!$D:$D,"*"&amp;$A1054&amp;"*",'All Papers'!$G:$G,"*"&amp;Table1[[#Headers],[Resource Management-PS]]&amp;"*")</f>
        <v>0</v>
      </c>
      <c r="I1054" s="8">
        <f>COUNTIFS('All Papers'!$D:$D,"*"&amp;$A1054&amp;"*",'All Papers'!$G:$G,"*"&amp;Table1[[#Headers],[SLA Management]]&amp;"*")</f>
        <v>0</v>
      </c>
      <c r="J1054" s="8">
        <f>COUNTIFS('All Papers'!$D:$D,"*"&amp;$A1054&amp;"*",'All Papers'!$G:$G,"*"&amp;Table1[[#Headers],[Big Data]]&amp;"*")</f>
        <v>0</v>
      </c>
      <c r="K1054" s="8">
        <f>COUNTIFS('All Papers'!$D:$D,"*"&amp;$A1054&amp;"*",'All Papers'!$G:$G,"*"&amp;Table1[[#Headers],[Energy Management]]&amp;"*")</f>
        <v>0</v>
      </c>
      <c r="L1054" s="8">
        <f>COUNTIFS('All Papers'!$D:$D,"*"&amp;$A1054&amp;"*",'All Papers'!$G:$G,"*"&amp;Table1[[#Headers],[Monitoring]]&amp;"*")</f>
        <v>0</v>
      </c>
      <c r="M1054" s="8">
        <f>COUNTIFS('All Papers'!$D:$D,"*"&amp;$A1054&amp;"*",'All Papers'!$G:$G,"*"&amp;Table1[[#Headers],[Pricing]]&amp;"*")</f>
        <v>0</v>
      </c>
    </row>
    <row r="1055" spans="1:13" x14ac:dyDescent="0.25">
      <c r="A1055" s="8" t="s">
        <v>3488</v>
      </c>
      <c r="B1055" s="8">
        <f>COUNTIF('All Papers'!D:D,"*"&amp;Table1[[#This Row],[Name]]&amp;"*")</f>
        <v>1</v>
      </c>
      <c r="C1055" s="8">
        <f>COUNTIFS('All Papers'!$D:$D,"*"&amp;$A1055&amp;"*",'All Papers'!$G:$G,"*"&amp;Table1[[#Headers],[Composition]]&amp;"*")</f>
        <v>1</v>
      </c>
      <c r="D1055" s="8">
        <f>COUNTIFS('All Papers'!$D:$D,"*"&amp;$A1055&amp;"*",'All Papers'!$G:$G,"*"&amp;Table1[[#Headers],[Discovery]]&amp;"*")</f>
        <v>0</v>
      </c>
      <c r="E1055" s="8">
        <f>COUNTIFS('All Papers'!$D:$D,"*"&amp;$A1055&amp;"*",'All Papers'!$G:$G,"*"&amp;Table1[[#Headers],[Selection]]&amp;"*")</f>
        <v>0</v>
      </c>
      <c r="F1055" s="8">
        <f>COUNTIFS('All Papers'!$D:$D,"*"&amp;$A1055&amp;"*",'All Papers'!$G:$G,"*"&amp;Table1[[#Headers],[Recommendation]]&amp;"*")</f>
        <v>0</v>
      </c>
      <c r="G1055" s="8">
        <f>COUNTIFS('All Papers'!$D:$D,"*"&amp;$A1055&amp;"*",'All Papers'!$G:$G,"*"&amp;Table1[[#Headers],[Resource Management-CS]]&amp;"*")</f>
        <v>0</v>
      </c>
      <c r="H1055" s="8">
        <f>COUNTIFS('All Papers'!$D:$D,"*"&amp;$A1055&amp;"*",'All Papers'!$G:$G,"*"&amp;Table1[[#Headers],[Resource Management-PS]]&amp;"*")</f>
        <v>0</v>
      </c>
      <c r="I1055" s="8">
        <f>COUNTIFS('All Papers'!$D:$D,"*"&amp;$A1055&amp;"*",'All Papers'!$G:$G,"*"&amp;Table1[[#Headers],[SLA Management]]&amp;"*")</f>
        <v>0</v>
      </c>
      <c r="J1055" s="8">
        <f>COUNTIFS('All Papers'!$D:$D,"*"&amp;$A1055&amp;"*",'All Papers'!$G:$G,"*"&amp;Table1[[#Headers],[Big Data]]&amp;"*")</f>
        <v>0</v>
      </c>
      <c r="K1055" s="8">
        <f>COUNTIFS('All Papers'!$D:$D,"*"&amp;$A1055&amp;"*",'All Papers'!$G:$G,"*"&amp;Table1[[#Headers],[Energy Management]]&amp;"*")</f>
        <v>0</v>
      </c>
      <c r="L1055" s="8">
        <f>COUNTIFS('All Papers'!$D:$D,"*"&amp;$A1055&amp;"*",'All Papers'!$G:$G,"*"&amp;Table1[[#Headers],[Monitoring]]&amp;"*")</f>
        <v>0</v>
      </c>
      <c r="M1055" s="8">
        <f>COUNTIFS('All Papers'!$D:$D,"*"&amp;$A1055&amp;"*",'All Papers'!$G:$G,"*"&amp;Table1[[#Headers],[Pricing]]&amp;"*")</f>
        <v>0</v>
      </c>
    </row>
    <row r="1056" spans="1:13" x14ac:dyDescent="0.25">
      <c r="A1056" s="8" t="s">
        <v>3489</v>
      </c>
      <c r="B1056" s="8">
        <f>COUNTIF('All Papers'!D:D,"*"&amp;Table1[[#This Row],[Name]]&amp;"*")</f>
        <v>1</v>
      </c>
      <c r="C1056" s="8">
        <f>COUNTIFS('All Papers'!$D:$D,"*"&amp;$A1056&amp;"*",'All Papers'!$G:$G,"*"&amp;Table1[[#Headers],[Composition]]&amp;"*")</f>
        <v>1</v>
      </c>
      <c r="D1056" s="8">
        <f>COUNTIFS('All Papers'!$D:$D,"*"&amp;$A1056&amp;"*",'All Papers'!$G:$G,"*"&amp;Table1[[#Headers],[Discovery]]&amp;"*")</f>
        <v>0</v>
      </c>
      <c r="E1056" s="8">
        <f>COUNTIFS('All Papers'!$D:$D,"*"&amp;$A1056&amp;"*",'All Papers'!$G:$G,"*"&amp;Table1[[#Headers],[Selection]]&amp;"*")</f>
        <v>0</v>
      </c>
      <c r="F1056" s="8">
        <f>COUNTIFS('All Papers'!$D:$D,"*"&amp;$A1056&amp;"*",'All Papers'!$G:$G,"*"&amp;Table1[[#Headers],[Recommendation]]&amp;"*")</f>
        <v>0</v>
      </c>
      <c r="G1056" s="8">
        <f>COUNTIFS('All Papers'!$D:$D,"*"&amp;$A1056&amp;"*",'All Papers'!$G:$G,"*"&amp;Table1[[#Headers],[Resource Management-CS]]&amp;"*")</f>
        <v>0</v>
      </c>
      <c r="H1056" s="8">
        <f>COUNTIFS('All Papers'!$D:$D,"*"&amp;$A1056&amp;"*",'All Papers'!$G:$G,"*"&amp;Table1[[#Headers],[Resource Management-PS]]&amp;"*")</f>
        <v>0</v>
      </c>
      <c r="I1056" s="8">
        <f>COUNTIFS('All Papers'!$D:$D,"*"&amp;$A1056&amp;"*",'All Papers'!$G:$G,"*"&amp;Table1[[#Headers],[SLA Management]]&amp;"*")</f>
        <v>0</v>
      </c>
      <c r="J1056" s="8">
        <f>COUNTIFS('All Papers'!$D:$D,"*"&amp;$A1056&amp;"*",'All Papers'!$G:$G,"*"&amp;Table1[[#Headers],[Big Data]]&amp;"*")</f>
        <v>0</v>
      </c>
      <c r="K1056" s="8">
        <f>COUNTIFS('All Papers'!$D:$D,"*"&amp;$A1056&amp;"*",'All Papers'!$G:$G,"*"&amp;Table1[[#Headers],[Energy Management]]&amp;"*")</f>
        <v>0</v>
      </c>
      <c r="L1056" s="8">
        <f>COUNTIFS('All Papers'!$D:$D,"*"&amp;$A1056&amp;"*",'All Papers'!$G:$G,"*"&amp;Table1[[#Headers],[Monitoring]]&amp;"*")</f>
        <v>0</v>
      </c>
      <c r="M1056" s="8">
        <f>COUNTIFS('All Papers'!$D:$D,"*"&amp;$A1056&amp;"*",'All Papers'!$G:$G,"*"&amp;Table1[[#Headers],[Pricing]]&amp;"*")</f>
        <v>0</v>
      </c>
    </row>
    <row r="1057" spans="1:13" x14ac:dyDescent="0.25">
      <c r="A1057" s="8" t="s">
        <v>3490</v>
      </c>
      <c r="B1057" s="8">
        <f>COUNTIF('All Papers'!D:D,"*"&amp;Table1[[#This Row],[Name]]&amp;"*")</f>
        <v>1</v>
      </c>
      <c r="C1057" s="8">
        <f>COUNTIFS('All Papers'!$D:$D,"*"&amp;$A1057&amp;"*",'All Papers'!$G:$G,"*"&amp;Table1[[#Headers],[Composition]]&amp;"*")</f>
        <v>0</v>
      </c>
      <c r="D1057" s="8">
        <f>COUNTIFS('All Papers'!$D:$D,"*"&amp;$A1057&amp;"*",'All Papers'!$G:$G,"*"&amp;Table1[[#Headers],[Discovery]]&amp;"*")</f>
        <v>0</v>
      </c>
      <c r="E1057" s="8">
        <f>COUNTIFS('All Papers'!$D:$D,"*"&amp;$A1057&amp;"*",'All Papers'!$G:$G,"*"&amp;Table1[[#Headers],[Selection]]&amp;"*")</f>
        <v>0</v>
      </c>
      <c r="F1057" s="8">
        <f>COUNTIFS('All Papers'!$D:$D,"*"&amp;$A1057&amp;"*",'All Papers'!$G:$G,"*"&amp;Table1[[#Headers],[Recommendation]]&amp;"*")</f>
        <v>0</v>
      </c>
      <c r="G1057" s="8">
        <f>COUNTIFS('All Papers'!$D:$D,"*"&amp;$A1057&amp;"*",'All Papers'!$G:$G,"*"&amp;Table1[[#Headers],[Resource Management-CS]]&amp;"*")</f>
        <v>0</v>
      </c>
      <c r="H1057" s="8">
        <f>COUNTIFS('All Papers'!$D:$D,"*"&amp;$A1057&amp;"*",'All Papers'!$G:$G,"*"&amp;Table1[[#Headers],[Resource Management-PS]]&amp;"*")</f>
        <v>0</v>
      </c>
      <c r="I1057" s="8">
        <f>COUNTIFS('All Papers'!$D:$D,"*"&amp;$A1057&amp;"*",'All Papers'!$G:$G,"*"&amp;Table1[[#Headers],[SLA Management]]&amp;"*")</f>
        <v>1</v>
      </c>
      <c r="J1057" s="8">
        <f>COUNTIFS('All Papers'!$D:$D,"*"&amp;$A1057&amp;"*",'All Papers'!$G:$G,"*"&amp;Table1[[#Headers],[Big Data]]&amp;"*")</f>
        <v>0</v>
      </c>
      <c r="K1057" s="8">
        <f>COUNTIFS('All Papers'!$D:$D,"*"&amp;$A1057&amp;"*",'All Papers'!$G:$G,"*"&amp;Table1[[#Headers],[Energy Management]]&amp;"*")</f>
        <v>0</v>
      </c>
      <c r="L1057" s="8">
        <f>COUNTIFS('All Papers'!$D:$D,"*"&amp;$A1057&amp;"*",'All Papers'!$G:$G,"*"&amp;Table1[[#Headers],[Monitoring]]&amp;"*")</f>
        <v>0</v>
      </c>
      <c r="M1057" s="8">
        <f>COUNTIFS('All Papers'!$D:$D,"*"&amp;$A1057&amp;"*",'All Papers'!$G:$G,"*"&amp;Table1[[#Headers],[Pricing]]&amp;"*")</f>
        <v>0</v>
      </c>
    </row>
    <row r="1058" spans="1:13" x14ac:dyDescent="0.25">
      <c r="A1058" s="8" t="s">
        <v>3491</v>
      </c>
      <c r="B1058" s="8">
        <f>COUNTIF('All Papers'!D:D,"*"&amp;Table1[[#This Row],[Name]]&amp;"*")</f>
        <v>1</v>
      </c>
      <c r="C1058" s="8">
        <f>COUNTIFS('All Papers'!$D:$D,"*"&amp;$A1058&amp;"*",'All Papers'!$G:$G,"*"&amp;Table1[[#Headers],[Composition]]&amp;"*")</f>
        <v>0</v>
      </c>
      <c r="D1058" s="8">
        <f>COUNTIFS('All Papers'!$D:$D,"*"&amp;$A1058&amp;"*",'All Papers'!$G:$G,"*"&amp;Table1[[#Headers],[Discovery]]&amp;"*")</f>
        <v>0</v>
      </c>
      <c r="E1058" s="8">
        <f>COUNTIFS('All Papers'!$D:$D,"*"&amp;$A1058&amp;"*",'All Papers'!$G:$G,"*"&amp;Table1[[#Headers],[Selection]]&amp;"*")</f>
        <v>0</v>
      </c>
      <c r="F1058" s="8">
        <f>COUNTIFS('All Papers'!$D:$D,"*"&amp;$A1058&amp;"*",'All Papers'!$G:$G,"*"&amp;Table1[[#Headers],[Recommendation]]&amp;"*")</f>
        <v>0</v>
      </c>
      <c r="G1058" s="8">
        <f>COUNTIFS('All Papers'!$D:$D,"*"&amp;$A1058&amp;"*",'All Papers'!$G:$G,"*"&amp;Table1[[#Headers],[Resource Management-CS]]&amp;"*")</f>
        <v>0</v>
      </c>
      <c r="H1058" s="8">
        <f>COUNTIFS('All Papers'!$D:$D,"*"&amp;$A1058&amp;"*",'All Papers'!$G:$G,"*"&amp;Table1[[#Headers],[Resource Management-PS]]&amp;"*")</f>
        <v>0</v>
      </c>
      <c r="I1058" s="8">
        <f>COUNTIFS('All Papers'!$D:$D,"*"&amp;$A1058&amp;"*",'All Papers'!$G:$G,"*"&amp;Table1[[#Headers],[SLA Management]]&amp;"*")</f>
        <v>1</v>
      </c>
      <c r="J1058" s="8">
        <f>COUNTIFS('All Papers'!$D:$D,"*"&amp;$A1058&amp;"*",'All Papers'!$G:$G,"*"&amp;Table1[[#Headers],[Big Data]]&amp;"*")</f>
        <v>0</v>
      </c>
      <c r="K1058" s="8">
        <f>COUNTIFS('All Papers'!$D:$D,"*"&amp;$A1058&amp;"*",'All Papers'!$G:$G,"*"&amp;Table1[[#Headers],[Energy Management]]&amp;"*")</f>
        <v>0</v>
      </c>
      <c r="L1058" s="8">
        <f>COUNTIFS('All Papers'!$D:$D,"*"&amp;$A1058&amp;"*",'All Papers'!$G:$G,"*"&amp;Table1[[#Headers],[Monitoring]]&amp;"*")</f>
        <v>0</v>
      </c>
      <c r="M1058" s="8">
        <f>COUNTIFS('All Papers'!$D:$D,"*"&amp;$A1058&amp;"*",'All Papers'!$G:$G,"*"&amp;Table1[[#Headers],[Pricing]]&amp;"*")</f>
        <v>0</v>
      </c>
    </row>
    <row r="1059" spans="1:13" x14ac:dyDescent="0.25">
      <c r="A1059" s="8" t="s">
        <v>3492</v>
      </c>
      <c r="B1059" s="8">
        <f>COUNTIF('All Papers'!D:D,"*"&amp;Table1[[#This Row],[Name]]&amp;"*")</f>
        <v>1</v>
      </c>
      <c r="C1059" s="8">
        <f>COUNTIFS('All Papers'!$D:$D,"*"&amp;$A1059&amp;"*",'All Papers'!$G:$G,"*"&amp;Table1[[#Headers],[Composition]]&amp;"*")</f>
        <v>0</v>
      </c>
      <c r="D1059" s="8">
        <f>COUNTIFS('All Papers'!$D:$D,"*"&amp;$A1059&amp;"*",'All Papers'!$G:$G,"*"&amp;Table1[[#Headers],[Discovery]]&amp;"*")</f>
        <v>0</v>
      </c>
      <c r="E1059" s="8">
        <f>COUNTIFS('All Papers'!$D:$D,"*"&amp;$A1059&amp;"*",'All Papers'!$G:$G,"*"&amp;Table1[[#Headers],[Selection]]&amp;"*")</f>
        <v>0</v>
      </c>
      <c r="F1059" s="8">
        <f>COUNTIFS('All Papers'!$D:$D,"*"&amp;$A1059&amp;"*",'All Papers'!$G:$G,"*"&amp;Table1[[#Headers],[Recommendation]]&amp;"*")</f>
        <v>0</v>
      </c>
      <c r="G1059" s="8">
        <f>COUNTIFS('All Papers'!$D:$D,"*"&amp;$A1059&amp;"*",'All Papers'!$G:$G,"*"&amp;Table1[[#Headers],[Resource Management-CS]]&amp;"*")</f>
        <v>0</v>
      </c>
      <c r="H1059" s="8">
        <f>COUNTIFS('All Papers'!$D:$D,"*"&amp;$A1059&amp;"*",'All Papers'!$G:$G,"*"&amp;Table1[[#Headers],[Resource Management-PS]]&amp;"*")</f>
        <v>0</v>
      </c>
      <c r="I1059" s="8">
        <f>COUNTIFS('All Papers'!$D:$D,"*"&amp;$A1059&amp;"*",'All Papers'!$G:$G,"*"&amp;Table1[[#Headers],[SLA Management]]&amp;"*")</f>
        <v>1</v>
      </c>
      <c r="J1059" s="8">
        <f>COUNTIFS('All Papers'!$D:$D,"*"&amp;$A1059&amp;"*",'All Papers'!$G:$G,"*"&amp;Table1[[#Headers],[Big Data]]&amp;"*")</f>
        <v>0</v>
      </c>
      <c r="K1059" s="8">
        <f>COUNTIFS('All Papers'!$D:$D,"*"&amp;$A1059&amp;"*",'All Papers'!$G:$G,"*"&amp;Table1[[#Headers],[Energy Management]]&amp;"*")</f>
        <v>0</v>
      </c>
      <c r="L1059" s="8">
        <f>COUNTIFS('All Papers'!$D:$D,"*"&amp;$A1059&amp;"*",'All Papers'!$G:$G,"*"&amp;Table1[[#Headers],[Monitoring]]&amp;"*")</f>
        <v>0</v>
      </c>
      <c r="M1059" s="8">
        <f>COUNTIFS('All Papers'!$D:$D,"*"&amp;$A1059&amp;"*",'All Papers'!$G:$G,"*"&amp;Table1[[#Headers],[Pricing]]&amp;"*")</f>
        <v>0</v>
      </c>
    </row>
    <row r="1060" spans="1:13" x14ac:dyDescent="0.25">
      <c r="A1060" s="8" t="s">
        <v>3493</v>
      </c>
      <c r="B1060" s="8">
        <f>COUNTIF('All Papers'!D:D,"*"&amp;Table1[[#This Row],[Name]]&amp;"*")</f>
        <v>1</v>
      </c>
      <c r="C1060" s="8">
        <f>COUNTIFS('All Papers'!$D:$D,"*"&amp;$A1060&amp;"*",'All Papers'!$G:$G,"*"&amp;Table1[[#Headers],[Composition]]&amp;"*")</f>
        <v>1</v>
      </c>
      <c r="D1060" s="8">
        <f>COUNTIFS('All Papers'!$D:$D,"*"&amp;$A1060&amp;"*",'All Papers'!$G:$G,"*"&amp;Table1[[#Headers],[Discovery]]&amp;"*")</f>
        <v>0</v>
      </c>
      <c r="E1060" s="8">
        <f>COUNTIFS('All Papers'!$D:$D,"*"&amp;$A1060&amp;"*",'All Papers'!$G:$G,"*"&amp;Table1[[#Headers],[Selection]]&amp;"*")</f>
        <v>1</v>
      </c>
      <c r="F1060" s="8">
        <f>COUNTIFS('All Papers'!$D:$D,"*"&amp;$A1060&amp;"*",'All Papers'!$G:$G,"*"&amp;Table1[[#Headers],[Recommendation]]&amp;"*")</f>
        <v>0</v>
      </c>
      <c r="G1060" s="8">
        <f>COUNTIFS('All Papers'!$D:$D,"*"&amp;$A1060&amp;"*",'All Papers'!$G:$G,"*"&amp;Table1[[#Headers],[Resource Management-CS]]&amp;"*")</f>
        <v>0</v>
      </c>
      <c r="H1060" s="8">
        <f>COUNTIFS('All Papers'!$D:$D,"*"&amp;$A1060&amp;"*",'All Papers'!$G:$G,"*"&amp;Table1[[#Headers],[Resource Management-PS]]&amp;"*")</f>
        <v>0</v>
      </c>
      <c r="I1060" s="8">
        <f>COUNTIFS('All Papers'!$D:$D,"*"&amp;$A1060&amp;"*",'All Papers'!$G:$G,"*"&amp;Table1[[#Headers],[SLA Management]]&amp;"*")</f>
        <v>0</v>
      </c>
      <c r="J1060" s="8">
        <f>COUNTIFS('All Papers'!$D:$D,"*"&amp;$A1060&amp;"*",'All Papers'!$G:$G,"*"&amp;Table1[[#Headers],[Big Data]]&amp;"*")</f>
        <v>0</v>
      </c>
      <c r="K1060" s="8">
        <f>COUNTIFS('All Papers'!$D:$D,"*"&amp;$A1060&amp;"*",'All Papers'!$G:$G,"*"&amp;Table1[[#Headers],[Energy Management]]&amp;"*")</f>
        <v>0</v>
      </c>
      <c r="L1060" s="8">
        <f>COUNTIFS('All Papers'!$D:$D,"*"&amp;$A1060&amp;"*",'All Papers'!$G:$G,"*"&amp;Table1[[#Headers],[Monitoring]]&amp;"*")</f>
        <v>0</v>
      </c>
      <c r="M1060" s="8">
        <f>COUNTIFS('All Papers'!$D:$D,"*"&amp;$A1060&amp;"*",'All Papers'!$G:$G,"*"&amp;Table1[[#Headers],[Pricing]]&amp;"*")</f>
        <v>0</v>
      </c>
    </row>
    <row r="1061" spans="1:13" x14ac:dyDescent="0.25">
      <c r="A1061" s="8" t="s">
        <v>3494</v>
      </c>
      <c r="B1061" s="8">
        <f>COUNTIF('All Papers'!D:D,"*"&amp;Table1[[#This Row],[Name]]&amp;"*")</f>
        <v>1</v>
      </c>
      <c r="C1061" s="8">
        <f>COUNTIFS('All Papers'!$D:$D,"*"&amp;$A1061&amp;"*",'All Papers'!$G:$G,"*"&amp;Table1[[#Headers],[Composition]]&amp;"*")</f>
        <v>1</v>
      </c>
      <c r="D1061" s="8">
        <f>COUNTIFS('All Papers'!$D:$D,"*"&amp;$A1061&amp;"*",'All Papers'!$G:$G,"*"&amp;Table1[[#Headers],[Discovery]]&amp;"*")</f>
        <v>0</v>
      </c>
      <c r="E1061" s="8">
        <f>COUNTIFS('All Papers'!$D:$D,"*"&amp;$A1061&amp;"*",'All Papers'!$G:$G,"*"&amp;Table1[[#Headers],[Selection]]&amp;"*")</f>
        <v>1</v>
      </c>
      <c r="F1061" s="8">
        <f>COUNTIFS('All Papers'!$D:$D,"*"&amp;$A1061&amp;"*",'All Papers'!$G:$G,"*"&amp;Table1[[#Headers],[Recommendation]]&amp;"*")</f>
        <v>0</v>
      </c>
      <c r="G1061" s="8">
        <f>COUNTIFS('All Papers'!$D:$D,"*"&amp;$A1061&amp;"*",'All Papers'!$G:$G,"*"&amp;Table1[[#Headers],[Resource Management-CS]]&amp;"*")</f>
        <v>0</v>
      </c>
      <c r="H1061" s="8">
        <f>COUNTIFS('All Papers'!$D:$D,"*"&amp;$A1061&amp;"*",'All Papers'!$G:$G,"*"&amp;Table1[[#Headers],[Resource Management-PS]]&amp;"*")</f>
        <v>0</v>
      </c>
      <c r="I1061" s="8">
        <f>COUNTIFS('All Papers'!$D:$D,"*"&amp;$A1061&amp;"*",'All Papers'!$G:$G,"*"&amp;Table1[[#Headers],[SLA Management]]&amp;"*")</f>
        <v>0</v>
      </c>
      <c r="J1061" s="8">
        <f>COUNTIFS('All Papers'!$D:$D,"*"&amp;$A1061&amp;"*",'All Papers'!$G:$G,"*"&amp;Table1[[#Headers],[Big Data]]&amp;"*")</f>
        <v>0</v>
      </c>
      <c r="K1061" s="8">
        <f>COUNTIFS('All Papers'!$D:$D,"*"&amp;$A1061&amp;"*",'All Papers'!$G:$G,"*"&amp;Table1[[#Headers],[Energy Management]]&amp;"*")</f>
        <v>0</v>
      </c>
      <c r="L1061" s="8">
        <f>COUNTIFS('All Papers'!$D:$D,"*"&amp;$A1061&amp;"*",'All Papers'!$G:$G,"*"&amp;Table1[[#Headers],[Monitoring]]&amp;"*")</f>
        <v>0</v>
      </c>
      <c r="M1061" s="8">
        <f>COUNTIFS('All Papers'!$D:$D,"*"&amp;$A1061&amp;"*",'All Papers'!$G:$G,"*"&amp;Table1[[#Headers],[Pricing]]&amp;"*")</f>
        <v>0</v>
      </c>
    </row>
    <row r="1062" spans="1:13" x14ac:dyDescent="0.25">
      <c r="A1062" s="8" t="s">
        <v>3495</v>
      </c>
      <c r="B1062" s="8">
        <f>COUNTIF('All Papers'!D:D,"*"&amp;Table1[[#This Row],[Name]]&amp;"*")</f>
        <v>1</v>
      </c>
      <c r="C1062" s="8">
        <f>COUNTIFS('All Papers'!$D:$D,"*"&amp;$A1062&amp;"*",'All Papers'!$G:$G,"*"&amp;Table1[[#Headers],[Composition]]&amp;"*")</f>
        <v>1</v>
      </c>
      <c r="D1062" s="8">
        <f>COUNTIFS('All Papers'!$D:$D,"*"&amp;$A1062&amp;"*",'All Papers'!$G:$G,"*"&amp;Table1[[#Headers],[Discovery]]&amp;"*")</f>
        <v>0</v>
      </c>
      <c r="E1062" s="8">
        <f>COUNTIFS('All Papers'!$D:$D,"*"&amp;$A1062&amp;"*",'All Papers'!$G:$G,"*"&amp;Table1[[#Headers],[Selection]]&amp;"*")</f>
        <v>1</v>
      </c>
      <c r="F1062" s="8">
        <f>COUNTIFS('All Papers'!$D:$D,"*"&amp;$A1062&amp;"*",'All Papers'!$G:$G,"*"&amp;Table1[[#Headers],[Recommendation]]&amp;"*")</f>
        <v>0</v>
      </c>
      <c r="G1062" s="8">
        <f>COUNTIFS('All Papers'!$D:$D,"*"&amp;$A1062&amp;"*",'All Papers'!$G:$G,"*"&amp;Table1[[#Headers],[Resource Management-CS]]&amp;"*")</f>
        <v>0</v>
      </c>
      <c r="H1062" s="8">
        <f>COUNTIFS('All Papers'!$D:$D,"*"&amp;$A1062&amp;"*",'All Papers'!$G:$G,"*"&amp;Table1[[#Headers],[Resource Management-PS]]&amp;"*")</f>
        <v>0</v>
      </c>
      <c r="I1062" s="8">
        <f>COUNTIFS('All Papers'!$D:$D,"*"&amp;$A1062&amp;"*",'All Papers'!$G:$G,"*"&amp;Table1[[#Headers],[SLA Management]]&amp;"*")</f>
        <v>0</v>
      </c>
      <c r="J1062" s="8">
        <f>COUNTIFS('All Papers'!$D:$D,"*"&amp;$A1062&amp;"*",'All Papers'!$G:$G,"*"&amp;Table1[[#Headers],[Big Data]]&amp;"*")</f>
        <v>0</v>
      </c>
      <c r="K1062" s="8">
        <f>COUNTIFS('All Papers'!$D:$D,"*"&amp;$A1062&amp;"*",'All Papers'!$G:$G,"*"&amp;Table1[[#Headers],[Energy Management]]&amp;"*")</f>
        <v>0</v>
      </c>
      <c r="L1062" s="8">
        <f>COUNTIFS('All Papers'!$D:$D,"*"&amp;$A1062&amp;"*",'All Papers'!$G:$G,"*"&amp;Table1[[#Headers],[Monitoring]]&amp;"*")</f>
        <v>0</v>
      </c>
      <c r="M1062" s="8">
        <f>COUNTIFS('All Papers'!$D:$D,"*"&amp;$A1062&amp;"*",'All Papers'!$G:$G,"*"&amp;Table1[[#Headers],[Pricing]]&amp;"*")</f>
        <v>0</v>
      </c>
    </row>
    <row r="1063" spans="1:13" x14ac:dyDescent="0.25">
      <c r="A1063" s="8" t="s">
        <v>3496</v>
      </c>
      <c r="B1063" s="8">
        <f>COUNTIF('All Papers'!D:D,"*"&amp;Table1[[#This Row],[Name]]&amp;"*")</f>
        <v>1</v>
      </c>
      <c r="C1063" s="8">
        <f>COUNTIFS('All Papers'!$D:$D,"*"&amp;$A1063&amp;"*",'All Papers'!$G:$G,"*"&amp;Table1[[#Headers],[Composition]]&amp;"*")</f>
        <v>1</v>
      </c>
      <c r="D1063" s="8">
        <f>COUNTIFS('All Papers'!$D:$D,"*"&amp;$A1063&amp;"*",'All Papers'!$G:$G,"*"&amp;Table1[[#Headers],[Discovery]]&amp;"*")</f>
        <v>0</v>
      </c>
      <c r="E1063" s="8">
        <f>COUNTIFS('All Papers'!$D:$D,"*"&amp;$A1063&amp;"*",'All Papers'!$G:$G,"*"&amp;Table1[[#Headers],[Selection]]&amp;"*")</f>
        <v>1</v>
      </c>
      <c r="F1063" s="8">
        <f>COUNTIFS('All Papers'!$D:$D,"*"&amp;$A1063&amp;"*",'All Papers'!$G:$G,"*"&amp;Table1[[#Headers],[Recommendation]]&amp;"*")</f>
        <v>0</v>
      </c>
      <c r="G1063" s="8">
        <f>COUNTIFS('All Papers'!$D:$D,"*"&amp;$A1063&amp;"*",'All Papers'!$G:$G,"*"&amp;Table1[[#Headers],[Resource Management-CS]]&amp;"*")</f>
        <v>0</v>
      </c>
      <c r="H1063" s="8">
        <f>COUNTIFS('All Papers'!$D:$D,"*"&amp;$A1063&amp;"*",'All Papers'!$G:$G,"*"&amp;Table1[[#Headers],[Resource Management-PS]]&amp;"*")</f>
        <v>0</v>
      </c>
      <c r="I1063" s="8">
        <f>COUNTIFS('All Papers'!$D:$D,"*"&amp;$A1063&amp;"*",'All Papers'!$G:$G,"*"&amp;Table1[[#Headers],[SLA Management]]&amp;"*")</f>
        <v>0</v>
      </c>
      <c r="J1063" s="8">
        <f>COUNTIFS('All Papers'!$D:$D,"*"&amp;$A1063&amp;"*",'All Papers'!$G:$G,"*"&amp;Table1[[#Headers],[Big Data]]&amp;"*")</f>
        <v>0</v>
      </c>
      <c r="K1063" s="8">
        <f>COUNTIFS('All Papers'!$D:$D,"*"&amp;$A1063&amp;"*",'All Papers'!$G:$G,"*"&amp;Table1[[#Headers],[Energy Management]]&amp;"*")</f>
        <v>0</v>
      </c>
      <c r="L1063" s="8">
        <f>COUNTIFS('All Papers'!$D:$D,"*"&amp;$A1063&amp;"*",'All Papers'!$G:$G,"*"&amp;Table1[[#Headers],[Monitoring]]&amp;"*")</f>
        <v>0</v>
      </c>
      <c r="M1063" s="8">
        <f>COUNTIFS('All Papers'!$D:$D,"*"&amp;$A1063&amp;"*",'All Papers'!$G:$G,"*"&amp;Table1[[#Headers],[Pricing]]&amp;"*")</f>
        <v>0</v>
      </c>
    </row>
    <row r="1064" spans="1:13" x14ac:dyDescent="0.25">
      <c r="A1064" s="8" t="s">
        <v>3497</v>
      </c>
      <c r="B1064" s="8">
        <f>COUNTIF('All Papers'!D:D,"*"&amp;Table1[[#This Row],[Name]]&amp;"*")</f>
        <v>1</v>
      </c>
      <c r="C1064" s="8">
        <f>COUNTIFS('All Papers'!$D:$D,"*"&amp;$A1064&amp;"*",'All Papers'!$G:$G,"*"&amp;Table1[[#Headers],[Composition]]&amp;"*")</f>
        <v>1</v>
      </c>
      <c r="D1064" s="8">
        <f>COUNTIFS('All Papers'!$D:$D,"*"&amp;$A1064&amp;"*",'All Papers'!$G:$G,"*"&amp;Table1[[#Headers],[Discovery]]&amp;"*")</f>
        <v>0</v>
      </c>
      <c r="E1064" s="8">
        <f>COUNTIFS('All Papers'!$D:$D,"*"&amp;$A1064&amp;"*",'All Papers'!$G:$G,"*"&amp;Table1[[#Headers],[Selection]]&amp;"*")</f>
        <v>1</v>
      </c>
      <c r="F1064" s="8">
        <f>COUNTIFS('All Papers'!$D:$D,"*"&amp;$A1064&amp;"*",'All Papers'!$G:$G,"*"&amp;Table1[[#Headers],[Recommendation]]&amp;"*")</f>
        <v>0</v>
      </c>
      <c r="G1064" s="8">
        <f>COUNTIFS('All Papers'!$D:$D,"*"&amp;$A1064&amp;"*",'All Papers'!$G:$G,"*"&amp;Table1[[#Headers],[Resource Management-CS]]&amp;"*")</f>
        <v>0</v>
      </c>
      <c r="H1064" s="8">
        <f>COUNTIFS('All Papers'!$D:$D,"*"&amp;$A1064&amp;"*",'All Papers'!$G:$G,"*"&amp;Table1[[#Headers],[Resource Management-PS]]&amp;"*")</f>
        <v>0</v>
      </c>
      <c r="I1064" s="8">
        <f>COUNTIFS('All Papers'!$D:$D,"*"&amp;$A1064&amp;"*",'All Papers'!$G:$G,"*"&amp;Table1[[#Headers],[SLA Management]]&amp;"*")</f>
        <v>0</v>
      </c>
      <c r="J1064" s="8">
        <f>COUNTIFS('All Papers'!$D:$D,"*"&amp;$A1064&amp;"*",'All Papers'!$G:$G,"*"&amp;Table1[[#Headers],[Big Data]]&amp;"*")</f>
        <v>0</v>
      </c>
      <c r="K1064" s="8">
        <f>COUNTIFS('All Papers'!$D:$D,"*"&amp;$A1064&amp;"*",'All Papers'!$G:$G,"*"&amp;Table1[[#Headers],[Energy Management]]&amp;"*")</f>
        <v>0</v>
      </c>
      <c r="L1064" s="8">
        <f>COUNTIFS('All Papers'!$D:$D,"*"&amp;$A1064&amp;"*",'All Papers'!$G:$G,"*"&amp;Table1[[#Headers],[Monitoring]]&amp;"*")</f>
        <v>0</v>
      </c>
      <c r="M1064" s="8">
        <f>COUNTIFS('All Papers'!$D:$D,"*"&amp;$A1064&amp;"*",'All Papers'!$G:$G,"*"&amp;Table1[[#Headers],[Pricing]]&amp;"*")</f>
        <v>0</v>
      </c>
    </row>
    <row r="1065" spans="1:13" x14ac:dyDescent="0.25">
      <c r="A1065" s="8" t="s">
        <v>3498</v>
      </c>
      <c r="B1065" s="8">
        <f>COUNTIF('All Papers'!D:D,"*"&amp;Table1[[#This Row],[Name]]&amp;"*")</f>
        <v>1</v>
      </c>
      <c r="C1065" s="8">
        <f>COUNTIFS('All Papers'!$D:$D,"*"&amp;$A1065&amp;"*",'All Papers'!$G:$G,"*"&amp;Table1[[#Headers],[Composition]]&amp;"*")</f>
        <v>1</v>
      </c>
      <c r="D1065" s="8">
        <f>COUNTIFS('All Papers'!$D:$D,"*"&amp;$A1065&amp;"*",'All Papers'!$G:$G,"*"&amp;Table1[[#Headers],[Discovery]]&amp;"*")</f>
        <v>0</v>
      </c>
      <c r="E1065" s="8">
        <f>COUNTIFS('All Papers'!$D:$D,"*"&amp;$A1065&amp;"*",'All Papers'!$G:$G,"*"&amp;Table1[[#Headers],[Selection]]&amp;"*")</f>
        <v>1</v>
      </c>
      <c r="F1065" s="8">
        <f>COUNTIFS('All Papers'!$D:$D,"*"&amp;$A1065&amp;"*",'All Papers'!$G:$G,"*"&amp;Table1[[#Headers],[Recommendation]]&amp;"*")</f>
        <v>0</v>
      </c>
      <c r="G1065" s="8">
        <f>COUNTIFS('All Papers'!$D:$D,"*"&amp;$A1065&amp;"*",'All Papers'!$G:$G,"*"&amp;Table1[[#Headers],[Resource Management-CS]]&amp;"*")</f>
        <v>0</v>
      </c>
      <c r="H1065" s="8">
        <f>COUNTIFS('All Papers'!$D:$D,"*"&amp;$A1065&amp;"*",'All Papers'!$G:$G,"*"&amp;Table1[[#Headers],[Resource Management-PS]]&amp;"*")</f>
        <v>0</v>
      </c>
      <c r="I1065" s="8">
        <f>COUNTIFS('All Papers'!$D:$D,"*"&amp;$A1065&amp;"*",'All Papers'!$G:$G,"*"&amp;Table1[[#Headers],[SLA Management]]&amp;"*")</f>
        <v>0</v>
      </c>
      <c r="J1065" s="8">
        <f>COUNTIFS('All Papers'!$D:$D,"*"&amp;$A1065&amp;"*",'All Papers'!$G:$G,"*"&amp;Table1[[#Headers],[Big Data]]&amp;"*")</f>
        <v>0</v>
      </c>
      <c r="K1065" s="8">
        <f>COUNTIFS('All Papers'!$D:$D,"*"&amp;$A1065&amp;"*",'All Papers'!$G:$G,"*"&amp;Table1[[#Headers],[Energy Management]]&amp;"*")</f>
        <v>0</v>
      </c>
      <c r="L1065" s="8">
        <f>COUNTIFS('All Papers'!$D:$D,"*"&amp;$A1065&amp;"*",'All Papers'!$G:$G,"*"&amp;Table1[[#Headers],[Monitoring]]&amp;"*")</f>
        <v>0</v>
      </c>
      <c r="M1065" s="8">
        <f>COUNTIFS('All Papers'!$D:$D,"*"&amp;$A1065&amp;"*",'All Papers'!$G:$G,"*"&amp;Table1[[#Headers],[Pricing]]&amp;"*")</f>
        <v>0</v>
      </c>
    </row>
    <row r="1066" spans="1:13" x14ac:dyDescent="0.25">
      <c r="A1066" s="8" t="s">
        <v>3499</v>
      </c>
      <c r="B1066" s="8">
        <f>COUNTIF('All Papers'!D:D,"*"&amp;Table1[[#This Row],[Name]]&amp;"*")</f>
        <v>1</v>
      </c>
      <c r="C1066" s="8">
        <f>COUNTIFS('All Papers'!$D:$D,"*"&amp;$A1066&amp;"*",'All Papers'!$G:$G,"*"&amp;Table1[[#Headers],[Composition]]&amp;"*")</f>
        <v>1</v>
      </c>
      <c r="D1066" s="8">
        <f>COUNTIFS('All Papers'!$D:$D,"*"&amp;$A1066&amp;"*",'All Papers'!$G:$G,"*"&amp;Table1[[#Headers],[Discovery]]&amp;"*")</f>
        <v>0</v>
      </c>
      <c r="E1066" s="8">
        <f>COUNTIFS('All Papers'!$D:$D,"*"&amp;$A1066&amp;"*",'All Papers'!$G:$G,"*"&amp;Table1[[#Headers],[Selection]]&amp;"*")</f>
        <v>1</v>
      </c>
      <c r="F1066" s="8">
        <f>COUNTIFS('All Papers'!$D:$D,"*"&amp;$A1066&amp;"*",'All Papers'!$G:$G,"*"&amp;Table1[[#Headers],[Recommendation]]&amp;"*")</f>
        <v>0</v>
      </c>
      <c r="G1066" s="8">
        <f>COUNTIFS('All Papers'!$D:$D,"*"&amp;$A1066&amp;"*",'All Papers'!$G:$G,"*"&amp;Table1[[#Headers],[Resource Management-CS]]&amp;"*")</f>
        <v>0</v>
      </c>
      <c r="H1066" s="8">
        <f>COUNTIFS('All Papers'!$D:$D,"*"&amp;$A1066&amp;"*",'All Papers'!$G:$G,"*"&amp;Table1[[#Headers],[Resource Management-PS]]&amp;"*")</f>
        <v>0</v>
      </c>
      <c r="I1066" s="8">
        <f>COUNTIFS('All Papers'!$D:$D,"*"&amp;$A1066&amp;"*",'All Papers'!$G:$G,"*"&amp;Table1[[#Headers],[SLA Management]]&amp;"*")</f>
        <v>0</v>
      </c>
      <c r="J1066" s="8">
        <f>COUNTIFS('All Papers'!$D:$D,"*"&amp;$A1066&amp;"*",'All Papers'!$G:$G,"*"&amp;Table1[[#Headers],[Big Data]]&amp;"*")</f>
        <v>0</v>
      </c>
      <c r="K1066" s="8">
        <f>COUNTIFS('All Papers'!$D:$D,"*"&amp;$A1066&amp;"*",'All Papers'!$G:$G,"*"&amp;Table1[[#Headers],[Energy Management]]&amp;"*")</f>
        <v>0</v>
      </c>
      <c r="L1066" s="8">
        <f>COUNTIFS('All Papers'!$D:$D,"*"&amp;$A1066&amp;"*",'All Papers'!$G:$G,"*"&amp;Table1[[#Headers],[Monitoring]]&amp;"*")</f>
        <v>0</v>
      </c>
      <c r="M1066" s="8">
        <f>COUNTIFS('All Papers'!$D:$D,"*"&amp;$A1066&amp;"*",'All Papers'!$G:$G,"*"&amp;Table1[[#Headers],[Pricing]]&amp;"*")</f>
        <v>0</v>
      </c>
    </row>
    <row r="1067" spans="1:13" x14ac:dyDescent="0.25">
      <c r="A1067" s="8" t="s">
        <v>3500</v>
      </c>
      <c r="B1067" s="8">
        <f>COUNTIF('All Papers'!D:D,"*"&amp;Table1[[#This Row],[Name]]&amp;"*")</f>
        <v>1</v>
      </c>
      <c r="C1067" s="8">
        <f>COUNTIFS('All Papers'!$D:$D,"*"&amp;$A1067&amp;"*",'All Papers'!$G:$G,"*"&amp;Table1[[#Headers],[Composition]]&amp;"*")</f>
        <v>0</v>
      </c>
      <c r="D1067" s="8">
        <f>COUNTIFS('All Papers'!$D:$D,"*"&amp;$A1067&amp;"*",'All Papers'!$G:$G,"*"&amp;Table1[[#Headers],[Discovery]]&amp;"*")</f>
        <v>0</v>
      </c>
      <c r="E1067" s="8">
        <f>COUNTIFS('All Papers'!$D:$D,"*"&amp;$A1067&amp;"*",'All Papers'!$G:$G,"*"&amp;Table1[[#Headers],[Selection]]&amp;"*")</f>
        <v>0</v>
      </c>
      <c r="F1067" s="8">
        <f>COUNTIFS('All Papers'!$D:$D,"*"&amp;$A1067&amp;"*",'All Papers'!$G:$G,"*"&amp;Table1[[#Headers],[Recommendation]]&amp;"*")</f>
        <v>0</v>
      </c>
      <c r="G1067" s="8">
        <f>COUNTIFS('All Papers'!$D:$D,"*"&amp;$A1067&amp;"*",'All Papers'!$G:$G,"*"&amp;Table1[[#Headers],[Resource Management-CS]]&amp;"*")</f>
        <v>0</v>
      </c>
      <c r="H1067" s="8">
        <f>COUNTIFS('All Papers'!$D:$D,"*"&amp;$A1067&amp;"*",'All Papers'!$G:$G,"*"&amp;Table1[[#Headers],[Resource Management-PS]]&amp;"*")</f>
        <v>1</v>
      </c>
      <c r="I1067" s="8">
        <f>COUNTIFS('All Papers'!$D:$D,"*"&amp;$A1067&amp;"*",'All Papers'!$G:$G,"*"&amp;Table1[[#Headers],[SLA Management]]&amp;"*")</f>
        <v>0</v>
      </c>
      <c r="J1067" s="8">
        <f>COUNTIFS('All Papers'!$D:$D,"*"&amp;$A1067&amp;"*",'All Papers'!$G:$G,"*"&amp;Table1[[#Headers],[Big Data]]&amp;"*")</f>
        <v>0</v>
      </c>
      <c r="K1067" s="8">
        <f>COUNTIFS('All Papers'!$D:$D,"*"&amp;$A1067&amp;"*",'All Papers'!$G:$G,"*"&amp;Table1[[#Headers],[Energy Management]]&amp;"*")</f>
        <v>0</v>
      </c>
      <c r="L1067" s="8">
        <f>COUNTIFS('All Papers'!$D:$D,"*"&amp;$A1067&amp;"*",'All Papers'!$G:$G,"*"&amp;Table1[[#Headers],[Monitoring]]&amp;"*")</f>
        <v>0</v>
      </c>
      <c r="M1067" s="8">
        <f>COUNTIFS('All Papers'!$D:$D,"*"&amp;$A1067&amp;"*",'All Papers'!$G:$G,"*"&amp;Table1[[#Headers],[Pricing]]&amp;"*")</f>
        <v>0</v>
      </c>
    </row>
    <row r="1068" spans="1:13" x14ac:dyDescent="0.25">
      <c r="A1068" s="8" t="s">
        <v>3501</v>
      </c>
      <c r="B1068" s="8">
        <f>COUNTIF('All Papers'!D:D,"*"&amp;Table1[[#This Row],[Name]]&amp;"*")</f>
        <v>1</v>
      </c>
      <c r="C1068" s="8">
        <f>COUNTIFS('All Papers'!$D:$D,"*"&amp;$A1068&amp;"*",'All Papers'!$G:$G,"*"&amp;Table1[[#Headers],[Composition]]&amp;"*")</f>
        <v>0</v>
      </c>
      <c r="D1068" s="8">
        <f>COUNTIFS('All Papers'!$D:$D,"*"&amp;$A1068&amp;"*",'All Papers'!$G:$G,"*"&amp;Table1[[#Headers],[Discovery]]&amp;"*")</f>
        <v>0</v>
      </c>
      <c r="E1068" s="8">
        <f>COUNTIFS('All Papers'!$D:$D,"*"&amp;$A1068&amp;"*",'All Papers'!$G:$G,"*"&amp;Table1[[#Headers],[Selection]]&amp;"*")</f>
        <v>0</v>
      </c>
      <c r="F1068" s="8">
        <f>COUNTIFS('All Papers'!$D:$D,"*"&amp;$A1068&amp;"*",'All Papers'!$G:$G,"*"&amp;Table1[[#Headers],[Recommendation]]&amp;"*")</f>
        <v>0</v>
      </c>
      <c r="G1068" s="8">
        <f>COUNTIFS('All Papers'!$D:$D,"*"&amp;$A1068&amp;"*",'All Papers'!$G:$G,"*"&amp;Table1[[#Headers],[Resource Management-CS]]&amp;"*")</f>
        <v>0</v>
      </c>
      <c r="H1068" s="8">
        <f>COUNTIFS('All Papers'!$D:$D,"*"&amp;$A1068&amp;"*",'All Papers'!$G:$G,"*"&amp;Table1[[#Headers],[Resource Management-PS]]&amp;"*")</f>
        <v>1</v>
      </c>
      <c r="I1068" s="8">
        <f>COUNTIFS('All Papers'!$D:$D,"*"&amp;$A1068&amp;"*",'All Papers'!$G:$G,"*"&amp;Table1[[#Headers],[SLA Management]]&amp;"*")</f>
        <v>0</v>
      </c>
      <c r="J1068" s="8">
        <f>COUNTIFS('All Papers'!$D:$D,"*"&amp;$A1068&amp;"*",'All Papers'!$G:$G,"*"&amp;Table1[[#Headers],[Big Data]]&amp;"*")</f>
        <v>0</v>
      </c>
      <c r="K1068" s="8">
        <f>COUNTIFS('All Papers'!$D:$D,"*"&amp;$A1068&amp;"*",'All Papers'!$G:$G,"*"&amp;Table1[[#Headers],[Energy Management]]&amp;"*")</f>
        <v>0</v>
      </c>
      <c r="L1068" s="8">
        <f>COUNTIFS('All Papers'!$D:$D,"*"&amp;$A1068&amp;"*",'All Papers'!$G:$G,"*"&amp;Table1[[#Headers],[Monitoring]]&amp;"*")</f>
        <v>0</v>
      </c>
      <c r="M1068" s="8">
        <f>COUNTIFS('All Papers'!$D:$D,"*"&amp;$A1068&amp;"*",'All Papers'!$G:$G,"*"&amp;Table1[[#Headers],[Pricing]]&amp;"*")</f>
        <v>0</v>
      </c>
    </row>
    <row r="1069" spans="1:13" x14ac:dyDescent="0.25">
      <c r="A1069" s="8" t="s">
        <v>3502</v>
      </c>
      <c r="B1069" s="8">
        <f>COUNTIF('All Papers'!D:D,"*"&amp;Table1[[#This Row],[Name]]&amp;"*")</f>
        <v>1</v>
      </c>
      <c r="C1069" s="8">
        <f>COUNTIFS('All Papers'!$D:$D,"*"&amp;$A1069&amp;"*",'All Papers'!$G:$G,"*"&amp;Table1[[#Headers],[Composition]]&amp;"*")</f>
        <v>0</v>
      </c>
      <c r="D1069" s="8">
        <f>COUNTIFS('All Papers'!$D:$D,"*"&amp;$A1069&amp;"*",'All Papers'!$G:$G,"*"&amp;Table1[[#Headers],[Discovery]]&amp;"*")</f>
        <v>0</v>
      </c>
      <c r="E1069" s="8">
        <f>COUNTIFS('All Papers'!$D:$D,"*"&amp;$A1069&amp;"*",'All Papers'!$G:$G,"*"&amp;Table1[[#Headers],[Selection]]&amp;"*")</f>
        <v>0</v>
      </c>
      <c r="F1069" s="8">
        <f>COUNTIFS('All Papers'!$D:$D,"*"&amp;$A1069&amp;"*",'All Papers'!$G:$G,"*"&amp;Table1[[#Headers],[Recommendation]]&amp;"*")</f>
        <v>0</v>
      </c>
      <c r="G1069" s="8">
        <f>COUNTIFS('All Papers'!$D:$D,"*"&amp;$A1069&amp;"*",'All Papers'!$G:$G,"*"&amp;Table1[[#Headers],[Resource Management-CS]]&amp;"*")</f>
        <v>0</v>
      </c>
      <c r="H1069" s="8">
        <f>COUNTIFS('All Papers'!$D:$D,"*"&amp;$A1069&amp;"*",'All Papers'!$G:$G,"*"&amp;Table1[[#Headers],[Resource Management-PS]]&amp;"*")</f>
        <v>0</v>
      </c>
      <c r="I1069" s="8">
        <f>COUNTIFS('All Papers'!$D:$D,"*"&amp;$A1069&amp;"*",'All Papers'!$G:$G,"*"&amp;Table1[[#Headers],[SLA Management]]&amp;"*")</f>
        <v>0</v>
      </c>
      <c r="J1069" s="8">
        <f>COUNTIFS('All Papers'!$D:$D,"*"&amp;$A1069&amp;"*",'All Papers'!$G:$G,"*"&amp;Table1[[#Headers],[Big Data]]&amp;"*")</f>
        <v>0</v>
      </c>
      <c r="K1069" s="8">
        <f>COUNTIFS('All Papers'!$D:$D,"*"&amp;$A1069&amp;"*",'All Papers'!$G:$G,"*"&amp;Table1[[#Headers],[Energy Management]]&amp;"*")</f>
        <v>0</v>
      </c>
      <c r="L1069" s="8">
        <f>COUNTIFS('All Papers'!$D:$D,"*"&amp;$A1069&amp;"*",'All Papers'!$G:$G,"*"&amp;Table1[[#Headers],[Monitoring]]&amp;"*")</f>
        <v>0</v>
      </c>
      <c r="M1069" s="8">
        <f>COUNTIFS('All Papers'!$D:$D,"*"&amp;$A1069&amp;"*",'All Papers'!$G:$G,"*"&amp;Table1[[#Headers],[Pricing]]&amp;"*")</f>
        <v>1</v>
      </c>
    </row>
    <row r="1070" spans="1:13" x14ac:dyDescent="0.25">
      <c r="A1070" s="8" t="s">
        <v>3503</v>
      </c>
      <c r="B1070" s="8">
        <f>COUNTIF('All Papers'!D:D,"*"&amp;Table1[[#This Row],[Name]]&amp;"*")</f>
        <v>1</v>
      </c>
      <c r="C1070" s="8">
        <f>COUNTIFS('All Papers'!$D:$D,"*"&amp;$A1070&amp;"*",'All Papers'!$G:$G,"*"&amp;Table1[[#Headers],[Composition]]&amp;"*")</f>
        <v>0</v>
      </c>
      <c r="D1070" s="8">
        <f>COUNTIFS('All Papers'!$D:$D,"*"&amp;$A1070&amp;"*",'All Papers'!$G:$G,"*"&amp;Table1[[#Headers],[Discovery]]&amp;"*")</f>
        <v>0</v>
      </c>
      <c r="E1070" s="8">
        <f>COUNTIFS('All Papers'!$D:$D,"*"&amp;$A1070&amp;"*",'All Papers'!$G:$G,"*"&amp;Table1[[#Headers],[Selection]]&amp;"*")</f>
        <v>0</v>
      </c>
      <c r="F1070" s="8">
        <f>COUNTIFS('All Papers'!$D:$D,"*"&amp;$A1070&amp;"*",'All Papers'!$G:$G,"*"&amp;Table1[[#Headers],[Recommendation]]&amp;"*")</f>
        <v>0</v>
      </c>
      <c r="G1070" s="8">
        <f>COUNTIFS('All Papers'!$D:$D,"*"&amp;$A1070&amp;"*",'All Papers'!$G:$G,"*"&amp;Table1[[#Headers],[Resource Management-CS]]&amp;"*")</f>
        <v>0</v>
      </c>
      <c r="H1070" s="8">
        <f>COUNTIFS('All Papers'!$D:$D,"*"&amp;$A1070&amp;"*",'All Papers'!$G:$G,"*"&amp;Table1[[#Headers],[Resource Management-PS]]&amp;"*")</f>
        <v>0</v>
      </c>
      <c r="I1070" s="8">
        <f>COUNTIFS('All Papers'!$D:$D,"*"&amp;$A1070&amp;"*",'All Papers'!$G:$G,"*"&amp;Table1[[#Headers],[SLA Management]]&amp;"*")</f>
        <v>0</v>
      </c>
      <c r="J1070" s="8">
        <f>COUNTIFS('All Papers'!$D:$D,"*"&amp;$A1070&amp;"*",'All Papers'!$G:$G,"*"&amp;Table1[[#Headers],[Big Data]]&amp;"*")</f>
        <v>0</v>
      </c>
      <c r="K1070" s="8">
        <f>COUNTIFS('All Papers'!$D:$D,"*"&amp;$A1070&amp;"*",'All Papers'!$G:$G,"*"&amp;Table1[[#Headers],[Energy Management]]&amp;"*")</f>
        <v>0</v>
      </c>
      <c r="L1070" s="8">
        <f>COUNTIFS('All Papers'!$D:$D,"*"&amp;$A1070&amp;"*",'All Papers'!$G:$G,"*"&amp;Table1[[#Headers],[Monitoring]]&amp;"*")</f>
        <v>0</v>
      </c>
      <c r="M1070" s="8">
        <f>COUNTIFS('All Papers'!$D:$D,"*"&amp;$A1070&amp;"*",'All Papers'!$G:$G,"*"&amp;Table1[[#Headers],[Pricing]]&amp;"*")</f>
        <v>1</v>
      </c>
    </row>
    <row r="1071" spans="1:13" x14ac:dyDescent="0.25">
      <c r="A1071" s="8" t="s">
        <v>3504</v>
      </c>
      <c r="B1071" s="8">
        <f>COUNTIF('All Papers'!D:D,"*"&amp;Table1[[#This Row],[Name]]&amp;"*")</f>
        <v>1</v>
      </c>
      <c r="C1071" s="8">
        <f>COUNTIFS('All Papers'!$D:$D,"*"&amp;$A1071&amp;"*",'All Papers'!$G:$G,"*"&amp;Table1[[#Headers],[Composition]]&amp;"*")</f>
        <v>0</v>
      </c>
      <c r="D1071" s="8">
        <f>COUNTIFS('All Papers'!$D:$D,"*"&amp;$A1071&amp;"*",'All Papers'!$G:$G,"*"&amp;Table1[[#Headers],[Discovery]]&amp;"*")</f>
        <v>0</v>
      </c>
      <c r="E1071" s="8">
        <f>COUNTIFS('All Papers'!$D:$D,"*"&amp;$A1071&amp;"*",'All Papers'!$G:$G,"*"&amp;Table1[[#Headers],[Selection]]&amp;"*")</f>
        <v>0</v>
      </c>
      <c r="F1071" s="8">
        <f>COUNTIFS('All Papers'!$D:$D,"*"&amp;$A1071&amp;"*",'All Papers'!$G:$G,"*"&amp;Table1[[#Headers],[Recommendation]]&amp;"*")</f>
        <v>0</v>
      </c>
      <c r="G1071" s="8">
        <f>COUNTIFS('All Papers'!$D:$D,"*"&amp;$A1071&amp;"*",'All Papers'!$G:$G,"*"&amp;Table1[[#Headers],[Resource Management-CS]]&amp;"*")</f>
        <v>0</v>
      </c>
      <c r="H1071" s="8">
        <f>COUNTIFS('All Papers'!$D:$D,"*"&amp;$A1071&amp;"*",'All Papers'!$G:$G,"*"&amp;Table1[[#Headers],[Resource Management-PS]]&amp;"*")</f>
        <v>0</v>
      </c>
      <c r="I1071" s="8">
        <f>COUNTIFS('All Papers'!$D:$D,"*"&amp;$A1071&amp;"*",'All Papers'!$G:$G,"*"&amp;Table1[[#Headers],[SLA Management]]&amp;"*")</f>
        <v>0</v>
      </c>
      <c r="J1071" s="8">
        <f>COUNTIFS('All Papers'!$D:$D,"*"&amp;$A1071&amp;"*",'All Papers'!$G:$G,"*"&amp;Table1[[#Headers],[Big Data]]&amp;"*")</f>
        <v>0</v>
      </c>
      <c r="K1071" s="8">
        <f>COUNTIFS('All Papers'!$D:$D,"*"&amp;$A1071&amp;"*",'All Papers'!$G:$G,"*"&amp;Table1[[#Headers],[Energy Management]]&amp;"*")</f>
        <v>0</v>
      </c>
      <c r="L1071" s="8">
        <f>COUNTIFS('All Papers'!$D:$D,"*"&amp;$A1071&amp;"*",'All Papers'!$G:$G,"*"&amp;Table1[[#Headers],[Monitoring]]&amp;"*")</f>
        <v>0</v>
      </c>
      <c r="M1071" s="8">
        <f>COUNTIFS('All Papers'!$D:$D,"*"&amp;$A1071&amp;"*",'All Papers'!$G:$G,"*"&amp;Table1[[#Headers],[Pricing]]&amp;"*")</f>
        <v>1</v>
      </c>
    </row>
    <row r="1072" spans="1:13" x14ac:dyDescent="0.25">
      <c r="A1072" s="8" t="s">
        <v>3505</v>
      </c>
      <c r="B1072" s="8">
        <f>COUNTIF('All Papers'!D:D,"*"&amp;Table1[[#This Row],[Name]]&amp;"*")</f>
        <v>1</v>
      </c>
      <c r="C1072" s="8">
        <f>COUNTIFS('All Papers'!$D:$D,"*"&amp;$A1072&amp;"*",'All Papers'!$G:$G,"*"&amp;Table1[[#Headers],[Composition]]&amp;"*")</f>
        <v>1</v>
      </c>
      <c r="D1072" s="8">
        <f>COUNTIFS('All Papers'!$D:$D,"*"&amp;$A1072&amp;"*",'All Papers'!$G:$G,"*"&amp;Table1[[#Headers],[Discovery]]&amp;"*")</f>
        <v>0</v>
      </c>
      <c r="E1072" s="8">
        <f>COUNTIFS('All Papers'!$D:$D,"*"&amp;$A1072&amp;"*",'All Papers'!$G:$G,"*"&amp;Table1[[#Headers],[Selection]]&amp;"*")</f>
        <v>0</v>
      </c>
      <c r="F1072" s="8">
        <f>COUNTIFS('All Papers'!$D:$D,"*"&amp;$A1072&amp;"*",'All Papers'!$G:$G,"*"&amp;Table1[[#Headers],[Recommendation]]&amp;"*")</f>
        <v>1</v>
      </c>
      <c r="G1072" s="8">
        <f>COUNTIFS('All Papers'!$D:$D,"*"&amp;$A1072&amp;"*",'All Papers'!$G:$G,"*"&amp;Table1[[#Headers],[Resource Management-CS]]&amp;"*")</f>
        <v>0</v>
      </c>
      <c r="H1072" s="8">
        <f>COUNTIFS('All Papers'!$D:$D,"*"&amp;$A1072&amp;"*",'All Papers'!$G:$G,"*"&amp;Table1[[#Headers],[Resource Management-PS]]&amp;"*")</f>
        <v>0</v>
      </c>
      <c r="I1072" s="8">
        <f>COUNTIFS('All Papers'!$D:$D,"*"&amp;$A1072&amp;"*",'All Papers'!$G:$G,"*"&amp;Table1[[#Headers],[SLA Management]]&amp;"*")</f>
        <v>0</v>
      </c>
      <c r="J1072" s="8">
        <f>COUNTIFS('All Papers'!$D:$D,"*"&amp;$A1072&amp;"*",'All Papers'!$G:$G,"*"&amp;Table1[[#Headers],[Big Data]]&amp;"*")</f>
        <v>0</v>
      </c>
      <c r="K1072" s="8">
        <f>COUNTIFS('All Papers'!$D:$D,"*"&amp;$A1072&amp;"*",'All Papers'!$G:$G,"*"&amp;Table1[[#Headers],[Energy Management]]&amp;"*")</f>
        <v>0</v>
      </c>
      <c r="L1072" s="8">
        <f>COUNTIFS('All Papers'!$D:$D,"*"&amp;$A1072&amp;"*",'All Papers'!$G:$G,"*"&amp;Table1[[#Headers],[Monitoring]]&amp;"*")</f>
        <v>0</v>
      </c>
      <c r="M1072" s="8">
        <f>COUNTIFS('All Papers'!$D:$D,"*"&amp;$A1072&amp;"*",'All Papers'!$G:$G,"*"&amp;Table1[[#Headers],[Pricing]]&amp;"*")</f>
        <v>0</v>
      </c>
    </row>
    <row r="1073" spans="1:13" x14ac:dyDescent="0.25">
      <c r="A1073" s="8" t="s">
        <v>3506</v>
      </c>
      <c r="B1073" s="8">
        <f>COUNTIF('All Papers'!D:D,"*"&amp;Table1[[#This Row],[Name]]&amp;"*")</f>
        <v>1</v>
      </c>
      <c r="C1073" s="8">
        <f>COUNTIFS('All Papers'!$D:$D,"*"&amp;$A1073&amp;"*",'All Papers'!$G:$G,"*"&amp;Table1[[#Headers],[Composition]]&amp;"*")</f>
        <v>1</v>
      </c>
      <c r="D1073" s="8">
        <f>COUNTIFS('All Papers'!$D:$D,"*"&amp;$A1073&amp;"*",'All Papers'!$G:$G,"*"&amp;Table1[[#Headers],[Discovery]]&amp;"*")</f>
        <v>0</v>
      </c>
      <c r="E1073" s="8">
        <f>COUNTIFS('All Papers'!$D:$D,"*"&amp;$A1073&amp;"*",'All Papers'!$G:$G,"*"&amp;Table1[[#Headers],[Selection]]&amp;"*")</f>
        <v>0</v>
      </c>
      <c r="F1073" s="8">
        <f>COUNTIFS('All Papers'!$D:$D,"*"&amp;$A1073&amp;"*",'All Papers'!$G:$G,"*"&amp;Table1[[#Headers],[Recommendation]]&amp;"*")</f>
        <v>1</v>
      </c>
      <c r="G1073" s="8">
        <f>COUNTIFS('All Papers'!$D:$D,"*"&amp;$A1073&amp;"*",'All Papers'!$G:$G,"*"&amp;Table1[[#Headers],[Resource Management-CS]]&amp;"*")</f>
        <v>0</v>
      </c>
      <c r="H1073" s="8">
        <f>COUNTIFS('All Papers'!$D:$D,"*"&amp;$A1073&amp;"*",'All Papers'!$G:$G,"*"&amp;Table1[[#Headers],[Resource Management-PS]]&amp;"*")</f>
        <v>0</v>
      </c>
      <c r="I1073" s="8">
        <f>COUNTIFS('All Papers'!$D:$D,"*"&amp;$A1073&amp;"*",'All Papers'!$G:$G,"*"&amp;Table1[[#Headers],[SLA Management]]&amp;"*")</f>
        <v>0</v>
      </c>
      <c r="J1073" s="8">
        <f>COUNTIFS('All Papers'!$D:$D,"*"&amp;$A1073&amp;"*",'All Papers'!$G:$G,"*"&amp;Table1[[#Headers],[Big Data]]&amp;"*")</f>
        <v>0</v>
      </c>
      <c r="K1073" s="8">
        <f>COUNTIFS('All Papers'!$D:$D,"*"&amp;$A1073&amp;"*",'All Papers'!$G:$G,"*"&amp;Table1[[#Headers],[Energy Management]]&amp;"*")</f>
        <v>0</v>
      </c>
      <c r="L1073" s="8">
        <f>COUNTIFS('All Papers'!$D:$D,"*"&amp;$A1073&amp;"*",'All Papers'!$G:$G,"*"&amp;Table1[[#Headers],[Monitoring]]&amp;"*")</f>
        <v>0</v>
      </c>
      <c r="M1073" s="8">
        <f>COUNTIFS('All Papers'!$D:$D,"*"&amp;$A1073&amp;"*",'All Papers'!$G:$G,"*"&amp;Table1[[#Headers],[Pricing]]&amp;"*")</f>
        <v>0</v>
      </c>
    </row>
    <row r="1074" spans="1:13" x14ac:dyDescent="0.25">
      <c r="A1074" s="8" t="s">
        <v>3507</v>
      </c>
      <c r="B1074" s="8">
        <f>COUNTIF('All Papers'!D:D,"*"&amp;Table1[[#This Row],[Name]]&amp;"*")</f>
        <v>1</v>
      </c>
      <c r="C1074" s="8">
        <f>COUNTIFS('All Papers'!$D:$D,"*"&amp;$A1074&amp;"*",'All Papers'!$G:$G,"*"&amp;Table1[[#Headers],[Composition]]&amp;"*")</f>
        <v>1</v>
      </c>
      <c r="D1074" s="8">
        <f>COUNTIFS('All Papers'!$D:$D,"*"&amp;$A1074&amp;"*",'All Papers'!$G:$G,"*"&amp;Table1[[#Headers],[Discovery]]&amp;"*")</f>
        <v>0</v>
      </c>
      <c r="E1074" s="8">
        <f>COUNTIFS('All Papers'!$D:$D,"*"&amp;$A1074&amp;"*",'All Papers'!$G:$G,"*"&amp;Table1[[#Headers],[Selection]]&amp;"*")</f>
        <v>0</v>
      </c>
      <c r="F1074" s="8">
        <f>COUNTIFS('All Papers'!$D:$D,"*"&amp;$A1074&amp;"*",'All Papers'!$G:$G,"*"&amp;Table1[[#Headers],[Recommendation]]&amp;"*")</f>
        <v>0</v>
      </c>
      <c r="G1074" s="8">
        <f>COUNTIFS('All Papers'!$D:$D,"*"&amp;$A1074&amp;"*",'All Papers'!$G:$G,"*"&amp;Table1[[#Headers],[Resource Management-CS]]&amp;"*")</f>
        <v>1</v>
      </c>
      <c r="H1074" s="8">
        <f>COUNTIFS('All Papers'!$D:$D,"*"&amp;$A1074&amp;"*",'All Papers'!$G:$G,"*"&amp;Table1[[#Headers],[Resource Management-PS]]&amp;"*")</f>
        <v>0</v>
      </c>
      <c r="I1074" s="8">
        <f>COUNTIFS('All Papers'!$D:$D,"*"&amp;$A1074&amp;"*",'All Papers'!$G:$G,"*"&amp;Table1[[#Headers],[SLA Management]]&amp;"*")</f>
        <v>0</v>
      </c>
      <c r="J1074" s="8">
        <f>COUNTIFS('All Papers'!$D:$D,"*"&amp;$A1074&amp;"*",'All Papers'!$G:$G,"*"&amp;Table1[[#Headers],[Big Data]]&amp;"*")</f>
        <v>0</v>
      </c>
      <c r="K1074" s="8">
        <f>COUNTIFS('All Papers'!$D:$D,"*"&amp;$A1074&amp;"*",'All Papers'!$G:$G,"*"&amp;Table1[[#Headers],[Energy Management]]&amp;"*")</f>
        <v>0</v>
      </c>
      <c r="L1074" s="8">
        <f>COUNTIFS('All Papers'!$D:$D,"*"&amp;$A1074&amp;"*",'All Papers'!$G:$G,"*"&amp;Table1[[#Headers],[Monitoring]]&amp;"*")</f>
        <v>0</v>
      </c>
      <c r="M1074" s="8">
        <f>COUNTIFS('All Papers'!$D:$D,"*"&amp;$A1074&amp;"*",'All Papers'!$G:$G,"*"&amp;Table1[[#Headers],[Pricing]]&amp;"*")</f>
        <v>0</v>
      </c>
    </row>
    <row r="1075" spans="1:13" x14ac:dyDescent="0.25">
      <c r="A1075" s="8" t="s">
        <v>3508</v>
      </c>
      <c r="B1075" s="8">
        <f>COUNTIF('All Papers'!D:D,"*"&amp;Table1[[#This Row],[Name]]&amp;"*")</f>
        <v>1</v>
      </c>
      <c r="C1075" s="8">
        <f>COUNTIFS('All Papers'!$D:$D,"*"&amp;$A1075&amp;"*",'All Papers'!$G:$G,"*"&amp;Table1[[#Headers],[Composition]]&amp;"*")</f>
        <v>1</v>
      </c>
      <c r="D1075" s="8">
        <f>COUNTIFS('All Papers'!$D:$D,"*"&amp;$A1075&amp;"*",'All Papers'!$G:$G,"*"&amp;Table1[[#Headers],[Discovery]]&amp;"*")</f>
        <v>0</v>
      </c>
      <c r="E1075" s="8">
        <f>COUNTIFS('All Papers'!$D:$D,"*"&amp;$A1075&amp;"*",'All Papers'!$G:$G,"*"&amp;Table1[[#Headers],[Selection]]&amp;"*")</f>
        <v>0</v>
      </c>
      <c r="F1075" s="8">
        <f>COUNTIFS('All Papers'!$D:$D,"*"&amp;$A1075&amp;"*",'All Papers'!$G:$G,"*"&amp;Table1[[#Headers],[Recommendation]]&amp;"*")</f>
        <v>0</v>
      </c>
      <c r="G1075" s="8">
        <f>COUNTIFS('All Papers'!$D:$D,"*"&amp;$A1075&amp;"*",'All Papers'!$G:$G,"*"&amp;Table1[[#Headers],[Resource Management-CS]]&amp;"*")</f>
        <v>1</v>
      </c>
      <c r="H1075" s="8">
        <f>COUNTIFS('All Papers'!$D:$D,"*"&amp;$A1075&amp;"*",'All Papers'!$G:$G,"*"&amp;Table1[[#Headers],[Resource Management-PS]]&amp;"*")</f>
        <v>0</v>
      </c>
      <c r="I1075" s="8">
        <f>COUNTIFS('All Papers'!$D:$D,"*"&amp;$A1075&amp;"*",'All Papers'!$G:$G,"*"&amp;Table1[[#Headers],[SLA Management]]&amp;"*")</f>
        <v>0</v>
      </c>
      <c r="J1075" s="8">
        <f>COUNTIFS('All Papers'!$D:$D,"*"&amp;$A1075&amp;"*",'All Papers'!$G:$G,"*"&amp;Table1[[#Headers],[Big Data]]&amp;"*")</f>
        <v>0</v>
      </c>
      <c r="K1075" s="8">
        <f>COUNTIFS('All Papers'!$D:$D,"*"&amp;$A1075&amp;"*",'All Papers'!$G:$G,"*"&amp;Table1[[#Headers],[Energy Management]]&amp;"*")</f>
        <v>0</v>
      </c>
      <c r="L1075" s="8">
        <f>COUNTIFS('All Papers'!$D:$D,"*"&amp;$A1075&amp;"*",'All Papers'!$G:$G,"*"&amp;Table1[[#Headers],[Monitoring]]&amp;"*")</f>
        <v>0</v>
      </c>
      <c r="M1075" s="8">
        <f>COUNTIFS('All Papers'!$D:$D,"*"&amp;$A1075&amp;"*",'All Papers'!$G:$G,"*"&amp;Table1[[#Headers],[Pricing]]&amp;"*")</f>
        <v>0</v>
      </c>
    </row>
    <row r="1076" spans="1:13" x14ac:dyDescent="0.25">
      <c r="A1076" s="8" t="s">
        <v>3509</v>
      </c>
      <c r="B1076" s="8">
        <f>COUNTIF('All Papers'!D:D,"*"&amp;Table1[[#This Row],[Name]]&amp;"*")</f>
        <v>1</v>
      </c>
      <c r="C1076" s="8">
        <f>COUNTIFS('All Papers'!$D:$D,"*"&amp;$A1076&amp;"*",'All Papers'!$G:$G,"*"&amp;Table1[[#Headers],[Composition]]&amp;"*")</f>
        <v>0</v>
      </c>
      <c r="D1076" s="8">
        <f>COUNTIFS('All Papers'!$D:$D,"*"&amp;$A1076&amp;"*",'All Papers'!$G:$G,"*"&amp;Table1[[#Headers],[Discovery]]&amp;"*")</f>
        <v>0</v>
      </c>
      <c r="E1076" s="8">
        <f>COUNTIFS('All Papers'!$D:$D,"*"&amp;$A1076&amp;"*",'All Papers'!$G:$G,"*"&amp;Table1[[#Headers],[Selection]]&amp;"*")</f>
        <v>1</v>
      </c>
      <c r="F1076" s="8">
        <f>COUNTIFS('All Papers'!$D:$D,"*"&amp;$A1076&amp;"*",'All Papers'!$G:$G,"*"&amp;Table1[[#Headers],[Recommendation]]&amp;"*")</f>
        <v>0</v>
      </c>
      <c r="G1076" s="8">
        <f>COUNTIFS('All Papers'!$D:$D,"*"&amp;$A1076&amp;"*",'All Papers'!$G:$G,"*"&amp;Table1[[#Headers],[Resource Management-CS]]&amp;"*")</f>
        <v>0</v>
      </c>
      <c r="H1076" s="8">
        <f>COUNTIFS('All Papers'!$D:$D,"*"&amp;$A1076&amp;"*",'All Papers'!$G:$G,"*"&amp;Table1[[#Headers],[Resource Management-PS]]&amp;"*")</f>
        <v>0</v>
      </c>
      <c r="I1076" s="8">
        <f>COUNTIFS('All Papers'!$D:$D,"*"&amp;$A1076&amp;"*",'All Papers'!$G:$G,"*"&amp;Table1[[#Headers],[SLA Management]]&amp;"*")</f>
        <v>0</v>
      </c>
      <c r="J1076" s="8">
        <f>COUNTIFS('All Papers'!$D:$D,"*"&amp;$A1076&amp;"*",'All Papers'!$G:$G,"*"&amp;Table1[[#Headers],[Big Data]]&amp;"*")</f>
        <v>0</v>
      </c>
      <c r="K1076" s="8">
        <f>COUNTIFS('All Papers'!$D:$D,"*"&amp;$A1076&amp;"*",'All Papers'!$G:$G,"*"&amp;Table1[[#Headers],[Energy Management]]&amp;"*")</f>
        <v>0</v>
      </c>
      <c r="L1076" s="8">
        <f>COUNTIFS('All Papers'!$D:$D,"*"&amp;$A1076&amp;"*",'All Papers'!$G:$G,"*"&amp;Table1[[#Headers],[Monitoring]]&amp;"*")</f>
        <v>0</v>
      </c>
      <c r="M1076" s="8">
        <f>COUNTIFS('All Papers'!$D:$D,"*"&amp;$A1076&amp;"*",'All Papers'!$G:$G,"*"&amp;Table1[[#Headers],[Pricing]]&amp;"*")</f>
        <v>0</v>
      </c>
    </row>
    <row r="1077" spans="1:13" x14ac:dyDescent="0.25">
      <c r="A1077" s="8" t="s">
        <v>3510</v>
      </c>
      <c r="B1077" s="8">
        <f>COUNTIF('All Papers'!D:D,"*"&amp;Table1[[#This Row],[Name]]&amp;"*")</f>
        <v>1</v>
      </c>
      <c r="C1077" s="8">
        <f>COUNTIFS('All Papers'!$D:$D,"*"&amp;$A1077&amp;"*",'All Papers'!$G:$G,"*"&amp;Table1[[#Headers],[Composition]]&amp;"*")</f>
        <v>0</v>
      </c>
      <c r="D1077" s="8">
        <f>COUNTIFS('All Papers'!$D:$D,"*"&amp;$A1077&amp;"*",'All Papers'!$G:$G,"*"&amp;Table1[[#Headers],[Discovery]]&amp;"*")</f>
        <v>0</v>
      </c>
      <c r="E1077" s="8">
        <f>COUNTIFS('All Papers'!$D:$D,"*"&amp;$A1077&amp;"*",'All Papers'!$G:$G,"*"&amp;Table1[[#Headers],[Selection]]&amp;"*")</f>
        <v>1</v>
      </c>
      <c r="F1077" s="8">
        <f>COUNTIFS('All Papers'!$D:$D,"*"&amp;$A1077&amp;"*",'All Papers'!$G:$G,"*"&amp;Table1[[#Headers],[Recommendation]]&amp;"*")</f>
        <v>0</v>
      </c>
      <c r="G1077" s="8">
        <f>COUNTIFS('All Papers'!$D:$D,"*"&amp;$A1077&amp;"*",'All Papers'!$G:$G,"*"&amp;Table1[[#Headers],[Resource Management-CS]]&amp;"*")</f>
        <v>0</v>
      </c>
      <c r="H1077" s="8">
        <f>COUNTIFS('All Papers'!$D:$D,"*"&amp;$A1077&amp;"*",'All Papers'!$G:$G,"*"&amp;Table1[[#Headers],[Resource Management-PS]]&amp;"*")</f>
        <v>0</v>
      </c>
      <c r="I1077" s="8">
        <f>COUNTIFS('All Papers'!$D:$D,"*"&amp;$A1077&amp;"*",'All Papers'!$G:$G,"*"&amp;Table1[[#Headers],[SLA Management]]&amp;"*")</f>
        <v>0</v>
      </c>
      <c r="J1077" s="8">
        <f>COUNTIFS('All Papers'!$D:$D,"*"&amp;$A1077&amp;"*",'All Papers'!$G:$G,"*"&amp;Table1[[#Headers],[Big Data]]&amp;"*")</f>
        <v>0</v>
      </c>
      <c r="K1077" s="8">
        <f>COUNTIFS('All Papers'!$D:$D,"*"&amp;$A1077&amp;"*",'All Papers'!$G:$G,"*"&amp;Table1[[#Headers],[Energy Management]]&amp;"*")</f>
        <v>0</v>
      </c>
      <c r="L1077" s="8">
        <f>COUNTIFS('All Papers'!$D:$D,"*"&amp;$A1077&amp;"*",'All Papers'!$G:$G,"*"&amp;Table1[[#Headers],[Monitoring]]&amp;"*")</f>
        <v>0</v>
      </c>
      <c r="M1077" s="8">
        <f>COUNTIFS('All Papers'!$D:$D,"*"&amp;$A1077&amp;"*",'All Papers'!$G:$G,"*"&amp;Table1[[#Headers],[Pricing]]&amp;"*")</f>
        <v>0</v>
      </c>
    </row>
    <row r="1078" spans="1:13" x14ac:dyDescent="0.25">
      <c r="A1078" s="8" t="s">
        <v>3511</v>
      </c>
      <c r="B1078" s="8">
        <f>COUNTIF('All Papers'!D:D,"*"&amp;Table1[[#This Row],[Name]]&amp;"*")</f>
        <v>1</v>
      </c>
      <c r="C1078" s="8">
        <f>COUNTIFS('All Papers'!$D:$D,"*"&amp;$A1078&amp;"*",'All Papers'!$G:$G,"*"&amp;Table1[[#Headers],[Composition]]&amp;"*")</f>
        <v>0</v>
      </c>
      <c r="D1078" s="8">
        <f>COUNTIFS('All Papers'!$D:$D,"*"&amp;$A1078&amp;"*",'All Papers'!$G:$G,"*"&amp;Table1[[#Headers],[Discovery]]&amp;"*")</f>
        <v>0</v>
      </c>
      <c r="E1078" s="8">
        <f>COUNTIFS('All Papers'!$D:$D,"*"&amp;$A1078&amp;"*",'All Papers'!$G:$G,"*"&amp;Table1[[#Headers],[Selection]]&amp;"*")</f>
        <v>1</v>
      </c>
      <c r="F1078" s="8">
        <f>COUNTIFS('All Papers'!$D:$D,"*"&amp;$A1078&amp;"*",'All Papers'!$G:$G,"*"&amp;Table1[[#Headers],[Recommendation]]&amp;"*")</f>
        <v>0</v>
      </c>
      <c r="G1078" s="8">
        <f>COUNTIFS('All Papers'!$D:$D,"*"&amp;$A1078&amp;"*",'All Papers'!$G:$G,"*"&amp;Table1[[#Headers],[Resource Management-CS]]&amp;"*")</f>
        <v>0</v>
      </c>
      <c r="H1078" s="8">
        <f>COUNTIFS('All Papers'!$D:$D,"*"&amp;$A1078&amp;"*",'All Papers'!$G:$G,"*"&amp;Table1[[#Headers],[Resource Management-PS]]&amp;"*")</f>
        <v>0</v>
      </c>
      <c r="I1078" s="8">
        <f>COUNTIFS('All Papers'!$D:$D,"*"&amp;$A1078&amp;"*",'All Papers'!$G:$G,"*"&amp;Table1[[#Headers],[SLA Management]]&amp;"*")</f>
        <v>0</v>
      </c>
      <c r="J1078" s="8">
        <f>COUNTIFS('All Papers'!$D:$D,"*"&amp;$A1078&amp;"*",'All Papers'!$G:$G,"*"&amp;Table1[[#Headers],[Big Data]]&amp;"*")</f>
        <v>0</v>
      </c>
      <c r="K1078" s="8">
        <f>COUNTIFS('All Papers'!$D:$D,"*"&amp;$A1078&amp;"*",'All Papers'!$G:$G,"*"&amp;Table1[[#Headers],[Energy Management]]&amp;"*")</f>
        <v>0</v>
      </c>
      <c r="L1078" s="8">
        <f>COUNTIFS('All Papers'!$D:$D,"*"&amp;$A1078&amp;"*",'All Papers'!$G:$G,"*"&amp;Table1[[#Headers],[Monitoring]]&amp;"*")</f>
        <v>0</v>
      </c>
      <c r="M1078" s="8">
        <f>COUNTIFS('All Papers'!$D:$D,"*"&amp;$A1078&amp;"*",'All Papers'!$G:$G,"*"&amp;Table1[[#Headers],[Pricing]]&amp;"*")</f>
        <v>0</v>
      </c>
    </row>
    <row r="1079" spans="1:13" x14ac:dyDescent="0.25">
      <c r="A1079" s="8" t="s">
        <v>3512</v>
      </c>
      <c r="B1079" s="8">
        <f>COUNTIF('All Papers'!D:D,"*"&amp;Table1[[#This Row],[Name]]&amp;"*")</f>
        <v>1</v>
      </c>
      <c r="C1079" s="8">
        <f>COUNTIFS('All Papers'!$D:$D,"*"&amp;$A1079&amp;"*",'All Papers'!$G:$G,"*"&amp;Table1[[#Headers],[Composition]]&amp;"*")</f>
        <v>0</v>
      </c>
      <c r="D1079" s="8">
        <f>COUNTIFS('All Papers'!$D:$D,"*"&amp;$A1079&amp;"*",'All Papers'!$G:$G,"*"&amp;Table1[[#Headers],[Discovery]]&amp;"*")</f>
        <v>0</v>
      </c>
      <c r="E1079" s="8">
        <f>COUNTIFS('All Papers'!$D:$D,"*"&amp;$A1079&amp;"*",'All Papers'!$G:$G,"*"&amp;Table1[[#Headers],[Selection]]&amp;"*")</f>
        <v>1</v>
      </c>
      <c r="F1079" s="8">
        <f>COUNTIFS('All Papers'!$D:$D,"*"&amp;$A1079&amp;"*",'All Papers'!$G:$G,"*"&amp;Table1[[#Headers],[Recommendation]]&amp;"*")</f>
        <v>0</v>
      </c>
      <c r="G1079" s="8">
        <f>COUNTIFS('All Papers'!$D:$D,"*"&amp;$A1079&amp;"*",'All Papers'!$G:$G,"*"&amp;Table1[[#Headers],[Resource Management-CS]]&amp;"*")</f>
        <v>0</v>
      </c>
      <c r="H1079" s="8">
        <f>COUNTIFS('All Papers'!$D:$D,"*"&amp;$A1079&amp;"*",'All Papers'!$G:$G,"*"&amp;Table1[[#Headers],[Resource Management-PS]]&amp;"*")</f>
        <v>0</v>
      </c>
      <c r="I1079" s="8">
        <f>COUNTIFS('All Papers'!$D:$D,"*"&amp;$A1079&amp;"*",'All Papers'!$G:$G,"*"&amp;Table1[[#Headers],[SLA Management]]&amp;"*")</f>
        <v>0</v>
      </c>
      <c r="J1079" s="8">
        <f>COUNTIFS('All Papers'!$D:$D,"*"&amp;$A1079&amp;"*",'All Papers'!$G:$G,"*"&amp;Table1[[#Headers],[Big Data]]&amp;"*")</f>
        <v>0</v>
      </c>
      <c r="K1079" s="8">
        <f>COUNTIFS('All Papers'!$D:$D,"*"&amp;$A1079&amp;"*",'All Papers'!$G:$G,"*"&amp;Table1[[#Headers],[Energy Management]]&amp;"*")</f>
        <v>0</v>
      </c>
      <c r="L1079" s="8">
        <f>COUNTIFS('All Papers'!$D:$D,"*"&amp;$A1079&amp;"*",'All Papers'!$G:$G,"*"&amp;Table1[[#Headers],[Monitoring]]&amp;"*")</f>
        <v>0</v>
      </c>
      <c r="M1079" s="8">
        <f>COUNTIFS('All Papers'!$D:$D,"*"&amp;$A1079&amp;"*",'All Papers'!$G:$G,"*"&amp;Table1[[#Headers],[Pricing]]&amp;"*")</f>
        <v>0</v>
      </c>
    </row>
    <row r="1080" spans="1:13" x14ac:dyDescent="0.25">
      <c r="A1080" s="8" t="s">
        <v>3513</v>
      </c>
      <c r="B1080" s="8">
        <f>COUNTIF('All Papers'!D:D,"*"&amp;Table1[[#This Row],[Name]]&amp;"*")</f>
        <v>1</v>
      </c>
      <c r="C1080" s="8">
        <f>COUNTIFS('All Papers'!$D:$D,"*"&amp;$A1080&amp;"*",'All Papers'!$G:$G,"*"&amp;Table1[[#Headers],[Composition]]&amp;"*")</f>
        <v>0</v>
      </c>
      <c r="D1080" s="8">
        <f>COUNTIFS('All Papers'!$D:$D,"*"&amp;$A1080&amp;"*",'All Papers'!$G:$G,"*"&amp;Table1[[#Headers],[Discovery]]&amp;"*")</f>
        <v>0</v>
      </c>
      <c r="E1080" s="8">
        <f>COUNTIFS('All Papers'!$D:$D,"*"&amp;$A1080&amp;"*",'All Papers'!$G:$G,"*"&amp;Table1[[#Headers],[Selection]]&amp;"*")</f>
        <v>1</v>
      </c>
      <c r="F1080" s="8">
        <f>COUNTIFS('All Papers'!$D:$D,"*"&amp;$A1080&amp;"*",'All Papers'!$G:$G,"*"&amp;Table1[[#Headers],[Recommendation]]&amp;"*")</f>
        <v>0</v>
      </c>
      <c r="G1080" s="8">
        <f>COUNTIFS('All Papers'!$D:$D,"*"&amp;$A1080&amp;"*",'All Papers'!$G:$G,"*"&amp;Table1[[#Headers],[Resource Management-CS]]&amp;"*")</f>
        <v>0</v>
      </c>
      <c r="H1080" s="8">
        <f>COUNTIFS('All Papers'!$D:$D,"*"&amp;$A1080&amp;"*",'All Papers'!$G:$G,"*"&amp;Table1[[#Headers],[Resource Management-PS]]&amp;"*")</f>
        <v>0</v>
      </c>
      <c r="I1080" s="8">
        <f>COUNTIFS('All Papers'!$D:$D,"*"&amp;$A1080&amp;"*",'All Papers'!$G:$G,"*"&amp;Table1[[#Headers],[SLA Management]]&amp;"*")</f>
        <v>0</v>
      </c>
      <c r="J1080" s="8">
        <f>COUNTIFS('All Papers'!$D:$D,"*"&amp;$A1080&amp;"*",'All Papers'!$G:$G,"*"&amp;Table1[[#Headers],[Big Data]]&amp;"*")</f>
        <v>0</v>
      </c>
      <c r="K1080" s="8">
        <f>COUNTIFS('All Papers'!$D:$D,"*"&amp;$A1080&amp;"*",'All Papers'!$G:$G,"*"&amp;Table1[[#Headers],[Energy Management]]&amp;"*")</f>
        <v>0</v>
      </c>
      <c r="L1080" s="8">
        <f>COUNTIFS('All Papers'!$D:$D,"*"&amp;$A1080&amp;"*",'All Papers'!$G:$G,"*"&amp;Table1[[#Headers],[Monitoring]]&amp;"*")</f>
        <v>0</v>
      </c>
      <c r="M1080" s="8">
        <f>COUNTIFS('All Papers'!$D:$D,"*"&amp;$A1080&amp;"*",'All Papers'!$G:$G,"*"&amp;Table1[[#Headers],[Pricing]]&amp;"*")</f>
        <v>0</v>
      </c>
    </row>
    <row r="1081" spans="1:13" x14ac:dyDescent="0.25">
      <c r="A1081" s="8" t="s">
        <v>3514</v>
      </c>
      <c r="B1081" s="8">
        <f>COUNTIF('All Papers'!D:D,"*"&amp;Table1[[#This Row],[Name]]&amp;"*")</f>
        <v>1</v>
      </c>
      <c r="C1081" s="8">
        <f>COUNTIFS('All Papers'!$D:$D,"*"&amp;$A1081&amp;"*",'All Papers'!$G:$G,"*"&amp;Table1[[#Headers],[Composition]]&amp;"*")</f>
        <v>0</v>
      </c>
      <c r="D1081" s="8">
        <f>COUNTIFS('All Papers'!$D:$D,"*"&amp;$A1081&amp;"*",'All Papers'!$G:$G,"*"&amp;Table1[[#Headers],[Discovery]]&amp;"*")</f>
        <v>0</v>
      </c>
      <c r="E1081" s="8">
        <f>COUNTIFS('All Papers'!$D:$D,"*"&amp;$A1081&amp;"*",'All Papers'!$G:$G,"*"&amp;Table1[[#Headers],[Selection]]&amp;"*")</f>
        <v>0</v>
      </c>
      <c r="F1081" s="8">
        <f>COUNTIFS('All Papers'!$D:$D,"*"&amp;$A1081&amp;"*",'All Papers'!$G:$G,"*"&amp;Table1[[#Headers],[Recommendation]]&amp;"*")</f>
        <v>0</v>
      </c>
      <c r="G1081" s="8">
        <f>COUNTIFS('All Papers'!$D:$D,"*"&amp;$A1081&amp;"*",'All Papers'!$G:$G,"*"&amp;Table1[[#Headers],[Resource Management-CS]]&amp;"*")</f>
        <v>0</v>
      </c>
      <c r="H1081" s="8">
        <f>COUNTIFS('All Papers'!$D:$D,"*"&amp;$A1081&amp;"*",'All Papers'!$G:$G,"*"&amp;Table1[[#Headers],[Resource Management-PS]]&amp;"*")</f>
        <v>1</v>
      </c>
      <c r="I1081" s="8">
        <f>COUNTIFS('All Papers'!$D:$D,"*"&amp;$A1081&amp;"*",'All Papers'!$G:$G,"*"&amp;Table1[[#Headers],[SLA Management]]&amp;"*")</f>
        <v>0</v>
      </c>
      <c r="J1081" s="8">
        <f>COUNTIFS('All Papers'!$D:$D,"*"&amp;$A1081&amp;"*",'All Papers'!$G:$G,"*"&amp;Table1[[#Headers],[Big Data]]&amp;"*")</f>
        <v>0</v>
      </c>
      <c r="K1081" s="8">
        <f>COUNTIFS('All Papers'!$D:$D,"*"&amp;$A1081&amp;"*",'All Papers'!$G:$G,"*"&amp;Table1[[#Headers],[Energy Management]]&amp;"*")</f>
        <v>0</v>
      </c>
      <c r="L1081" s="8">
        <f>COUNTIFS('All Papers'!$D:$D,"*"&amp;$A1081&amp;"*",'All Papers'!$G:$G,"*"&amp;Table1[[#Headers],[Monitoring]]&amp;"*")</f>
        <v>0</v>
      </c>
      <c r="M1081" s="8">
        <f>COUNTIFS('All Papers'!$D:$D,"*"&amp;$A1081&amp;"*",'All Papers'!$G:$G,"*"&amp;Table1[[#Headers],[Pricing]]&amp;"*")</f>
        <v>0</v>
      </c>
    </row>
    <row r="1082" spans="1:13" x14ac:dyDescent="0.25">
      <c r="A1082" s="8" t="s">
        <v>3515</v>
      </c>
      <c r="B1082" s="8">
        <f>COUNTIF('All Papers'!D:D,"*"&amp;Table1[[#This Row],[Name]]&amp;"*")</f>
        <v>1</v>
      </c>
      <c r="C1082" s="8">
        <f>COUNTIFS('All Papers'!$D:$D,"*"&amp;$A1082&amp;"*",'All Papers'!$G:$G,"*"&amp;Table1[[#Headers],[Composition]]&amp;"*")</f>
        <v>0</v>
      </c>
      <c r="D1082" s="8">
        <f>COUNTIFS('All Papers'!$D:$D,"*"&amp;$A1082&amp;"*",'All Papers'!$G:$G,"*"&amp;Table1[[#Headers],[Discovery]]&amp;"*")</f>
        <v>0</v>
      </c>
      <c r="E1082" s="8">
        <f>COUNTIFS('All Papers'!$D:$D,"*"&amp;$A1082&amp;"*",'All Papers'!$G:$G,"*"&amp;Table1[[#Headers],[Selection]]&amp;"*")</f>
        <v>0</v>
      </c>
      <c r="F1082" s="8">
        <f>COUNTIFS('All Papers'!$D:$D,"*"&amp;$A1082&amp;"*",'All Papers'!$G:$G,"*"&amp;Table1[[#Headers],[Recommendation]]&amp;"*")</f>
        <v>0</v>
      </c>
      <c r="G1082" s="8">
        <f>COUNTIFS('All Papers'!$D:$D,"*"&amp;$A1082&amp;"*",'All Papers'!$G:$G,"*"&amp;Table1[[#Headers],[Resource Management-CS]]&amp;"*")</f>
        <v>0</v>
      </c>
      <c r="H1082" s="8">
        <f>COUNTIFS('All Papers'!$D:$D,"*"&amp;$A1082&amp;"*",'All Papers'!$G:$G,"*"&amp;Table1[[#Headers],[Resource Management-PS]]&amp;"*")</f>
        <v>1</v>
      </c>
      <c r="I1082" s="8">
        <f>COUNTIFS('All Papers'!$D:$D,"*"&amp;$A1082&amp;"*",'All Papers'!$G:$G,"*"&amp;Table1[[#Headers],[SLA Management]]&amp;"*")</f>
        <v>0</v>
      </c>
      <c r="J1082" s="8">
        <f>COUNTIFS('All Papers'!$D:$D,"*"&amp;$A1082&amp;"*",'All Papers'!$G:$G,"*"&amp;Table1[[#Headers],[Big Data]]&amp;"*")</f>
        <v>0</v>
      </c>
      <c r="K1082" s="8">
        <f>COUNTIFS('All Papers'!$D:$D,"*"&amp;$A1082&amp;"*",'All Papers'!$G:$G,"*"&amp;Table1[[#Headers],[Energy Management]]&amp;"*")</f>
        <v>0</v>
      </c>
      <c r="L1082" s="8">
        <f>COUNTIFS('All Papers'!$D:$D,"*"&amp;$A1082&amp;"*",'All Papers'!$G:$G,"*"&amp;Table1[[#Headers],[Monitoring]]&amp;"*")</f>
        <v>0</v>
      </c>
      <c r="M1082" s="8">
        <f>COUNTIFS('All Papers'!$D:$D,"*"&amp;$A1082&amp;"*",'All Papers'!$G:$G,"*"&amp;Table1[[#Headers],[Pricing]]&amp;"*")</f>
        <v>0</v>
      </c>
    </row>
    <row r="1083" spans="1:13" x14ac:dyDescent="0.25">
      <c r="A1083" s="8" t="s">
        <v>3516</v>
      </c>
      <c r="B1083" s="8">
        <f>COUNTIF('All Papers'!D:D,"*"&amp;Table1[[#This Row],[Name]]&amp;"*")</f>
        <v>1</v>
      </c>
      <c r="C1083" s="8">
        <f>COUNTIFS('All Papers'!$D:$D,"*"&amp;$A1083&amp;"*",'All Papers'!$G:$G,"*"&amp;Table1[[#Headers],[Composition]]&amp;"*")</f>
        <v>0</v>
      </c>
      <c r="D1083" s="8">
        <f>COUNTIFS('All Papers'!$D:$D,"*"&amp;$A1083&amp;"*",'All Papers'!$G:$G,"*"&amp;Table1[[#Headers],[Discovery]]&amp;"*")</f>
        <v>0</v>
      </c>
      <c r="E1083" s="8">
        <f>COUNTIFS('All Papers'!$D:$D,"*"&amp;$A1083&amp;"*",'All Papers'!$G:$G,"*"&amp;Table1[[#Headers],[Selection]]&amp;"*")</f>
        <v>0</v>
      </c>
      <c r="F1083" s="8">
        <f>COUNTIFS('All Papers'!$D:$D,"*"&amp;$A1083&amp;"*",'All Papers'!$G:$G,"*"&amp;Table1[[#Headers],[Recommendation]]&amp;"*")</f>
        <v>0</v>
      </c>
      <c r="G1083" s="8">
        <f>COUNTIFS('All Papers'!$D:$D,"*"&amp;$A1083&amp;"*",'All Papers'!$G:$G,"*"&amp;Table1[[#Headers],[Resource Management-CS]]&amp;"*")</f>
        <v>0</v>
      </c>
      <c r="H1083" s="8">
        <f>COUNTIFS('All Papers'!$D:$D,"*"&amp;$A1083&amp;"*",'All Papers'!$G:$G,"*"&amp;Table1[[#Headers],[Resource Management-PS]]&amp;"*")</f>
        <v>1</v>
      </c>
      <c r="I1083" s="8">
        <f>COUNTIFS('All Papers'!$D:$D,"*"&amp;$A1083&amp;"*",'All Papers'!$G:$G,"*"&amp;Table1[[#Headers],[SLA Management]]&amp;"*")</f>
        <v>0</v>
      </c>
      <c r="J1083" s="8">
        <f>COUNTIFS('All Papers'!$D:$D,"*"&amp;$A1083&amp;"*",'All Papers'!$G:$G,"*"&amp;Table1[[#Headers],[Big Data]]&amp;"*")</f>
        <v>0</v>
      </c>
      <c r="K1083" s="8">
        <f>COUNTIFS('All Papers'!$D:$D,"*"&amp;$A1083&amp;"*",'All Papers'!$G:$G,"*"&amp;Table1[[#Headers],[Energy Management]]&amp;"*")</f>
        <v>0</v>
      </c>
      <c r="L1083" s="8">
        <f>COUNTIFS('All Papers'!$D:$D,"*"&amp;$A1083&amp;"*",'All Papers'!$G:$G,"*"&amp;Table1[[#Headers],[Monitoring]]&amp;"*")</f>
        <v>0</v>
      </c>
      <c r="M1083" s="8">
        <f>COUNTIFS('All Papers'!$D:$D,"*"&amp;$A1083&amp;"*",'All Papers'!$G:$G,"*"&amp;Table1[[#Headers],[Pricing]]&amp;"*")</f>
        <v>0</v>
      </c>
    </row>
    <row r="1084" spans="1:13" x14ac:dyDescent="0.25">
      <c r="A1084" s="8" t="s">
        <v>3517</v>
      </c>
      <c r="B1084" s="8">
        <f>COUNTIF('All Papers'!D:D,"*"&amp;Table1[[#This Row],[Name]]&amp;"*")</f>
        <v>1</v>
      </c>
      <c r="C1084" s="8">
        <f>COUNTIFS('All Papers'!$D:$D,"*"&amp;$A1084&amp;"*",'All Papers'!$G:$G,"*"&amp;Table1[[#Headers],[Composition]]&amp;"*")</f>
        <v>0</v>
      </c>
      <c r="D1084" s="8">
        <f>COUNTIFS('All Papers'!$D:$D,"*"&amp;$A1084&amp;"*",'All Papers'!$G:$G,"*"&amp;Table1[[#Headers],[Discovery]]&amp;"*")</f>
        <v>1</v>
      </c>
      <c r="E1084" s="8">
        <f>COUNTIFS('All Papers'!$D:$D,"*"&amp;$A1084&amp;"*",'All Papers'!$G:$G,"*"&amp;Table1[[#Headers],[Selection]]&amp;"*")</f>
        <v>0</v>
      </c>
      <c r="F1084" s="8">
        <f>COUNTIFS('All Papers'!$D:$D,"*"&amp;$A1084&amp;"*",'All Papers'!$G:$G,"*"&amp;Table1[[#Headers],[Recommendation]]&amp;"*")</f>
        <v>0</v>
      </c>
      <c r="G1084" s="8">
        <f>COUNTIFS('All Papers'!$D:$D,"*"&amp;$A1084&amp;"*",'All Papers'!$G:$G,"*"&amp;Table1[[#Headers],[Resource Management-CS]]&amp;"*")</f>
        <v>0</v>
      </c>
      <c r="H1084" s="8">
        <f>COUNTIFS('All Papers'!$D:$D,"*"&amp;$A1084&amp;"*",'All Papers'!$G:$G,"*"&amp;Table1[[#Headers],[Resource Management-PS]]&amp;"*")</f>
        <v>0</v>
      </c>
      <c r="I1084" s="8">
        <f>COUNTIFS('All Papers'!$D:$D,"*"&amp;$A1084&amp;"*",'All Papers'!$G:$G,"*"&amp;Table1[[#Headers],[SLA Management]]&amp;"*")</f>
        <v>0</v>
      </c>
      <c r="J1084" s="8">
        <f>COUNTIFS('All Papers'!$D:$D,"*"&amp;$A1084&amp;"*",'All Papers'!$G:$G,"*"&amp;Table1[[#Headers],[Big Data]]&amp;"*")</f>
        <v>0</v>
      </c>
      <c r="K1084" s="8">
        <f>COUNTIFS('All Papers'!$D:$D,"*"&amp;$A1084&amp;"*",'All Papers'!$G:$G,"*"&amp;Table1[[#Headers],[Energy Management]]&amp;"*")</f>
        <v>0</v>
      </c>
      <c r="L1084" s="8">
        <f>COUNTIFS('All Papers'!$D:$D,"*"&amp;$A1084&amp;"*",'All Papers'!$G:$G,"*"&amp;Table1[[#Headers],[Monitoring]]&amp;"*")</f>
        <v>0</v>
      </c>
      <c r="M1084" s="8">
        <f>COUNTIFS('All Papers'!$D:$D,"*"&amp;$A1084&amp;"*",'All Papers'!$G:$G,"*"&amp;Table1[[#Headers],[Pricing]]&amp;"*")</f>
        <v>0</v>
      </c>
    </row>
    <row r="1085" spans="1:13" x14ac:dyDescent="0.25">
      <c r="A1085" s="8" t="s">
        <v>3518</v>
      </c>
      <c r="B1085" s="8">
        <f>COUNTIF('All Papers'!D:D,"*"&amp;Table1[[#This Row],[Name]]&amp;"*")</f>
        <v>1</v>
      </c>
      <c r="C1085" s="8">
        <f>COUNTIFS('All Papers'!$D:$D,"*"&amp;$A1085&amp;"*",'All Papers'!$G:$G,"*"&amp;Table1[[#Headers],[Composition]]&amp;"*")</f>
        <v>0</v>
      </c>
      <c r="D1085" s="8">
        <f>COUNTIFS('All Papers'!$D:$D,"*"&amp;$A1085&amp;"*",'All Papers'!$G:$G,"*"&amp;Table1[[#Headers],[Discovery]]&amp;"*")</f>
        <v>1</v>
      </c>
      <c r="E1085" s="8">
        <f>COUNTIFS('All Papers'!$D:$D,"*"&amp;$A1085&amp;"*",'All Papers'!$G:$G,"*"&amp;Table1[[#Headers],[Selection]]&amp;"*")</f>
        <v>0</v>
      </c>
      <c r="F1085" s="8">
        <f>COUNTIFS('All Papers'!$D:$D,"*"&amp;$A1085&amp;"*",'All Papers'!$G:$G,"*"&amp;Table1[[#Headers],[Recommendation]]&amp;"*")</f>
        <v>0</v>
      </c>
      <c r="G1085" s="8">
        <f>COUNTIFS('All Papers'!$D:$D,"*"&amp;$A1085&amp;"*",'All Papers'!$G:$G,"*"&amp;Table1[[#Headers],[Resource Management-CS]]&amp;"*")</f>
        <v>0</v>
      </c>
      <c r="H1085" s="8">
        <f>COUNTIFS('All Papers'!$D:$D,"*"&amp;$A1085&amp;"*",'All Papers'!$G:$G,"*"&amp;Table1[[#Headers],[Resource Management-PS]]&amp;"*")</f>
        <v>0</v>
      </c>
      <c r="I1085" s="8">
        <f>COUNTIFS('All Papers'!$D:$D,"*"&amp;$A1085&amp;"*",'All Papers'!$G:$G,"*"&amp;Table1[[#Headers],[SLA Management]]&amp;"*")</f>
        <v>0</v>
      </c>
      <c r="J1085" s="8">
        <f>COUNTIFS('All Papers'!$D:$D,"*"&amp;$A1085&amp;"*",'All Papers'!$G:$G,"*"&amp;Table1[[#Headers],[Big Data]]&amp;"*")</f>
        <v>0</v>
      </c>
      <c r="K1085" s="8">
        <f>COUNTIFS('All Papers'!$D:$D,"*"&amp;$A1085&amp;"*",'All Papers'!$G:$G,"*"&amp;Table1[[#Headers],[Energy Management]]&amp;"*")</f>
        <v>0</v>
      </c>
      <c r="L1085" s="8">
        <f>COUNTIFS('All Papers'!$D:$D,"*"&amp;$A1085&amp;"*",'All Papers'!$G:$G,"*"&amp;Table1[[#Headers],[Monitoring]]&amp;"*")</f>
        <v>0</v>
      </c>
      <c r="M1085" s="8">
        <f>COUNTIFS('All Papers'!$D:$D,"*"&amp;$A1085&amp;"*",'All Papers'!$G:$G,"*"&amp;Table1[[#Headers],[Pricing]]&amp;"*")</f>
        <v>0</v>
      </c>
    </row>
    <row r="1086" spans="1:13" x14ac:dyDescent="0.25">
      <c r="A1086" s="8" t="s">
        <v>3519</v>
      </c>
      <c r="B1086" s="8">
        <f>COUNTIF('All Papers'!D:D,"*"&amp;Table1[[#This Row],[Name]]&amp;"*")</f>
        <v>1</v>
      </c>
      <c r="C1086" s="8">
        <f>COUNTIFS('All Papers'!$D:$D,"*"&amp;$A1086&amp;"*",'All Papers'!$G:$G,"*"&amp;Table1[[#Headers],[Composition]]&amp;"*")</f>
        <v>0</v>
      </c>
      <c r="D1086" s="8">
        <f>COUNTIFS('All Papers'!$D:$D,"*"&amp;$A1086&amp;"*",'All Papers'!$G:$G,"*"&amp;Table1[[#Headers],[Discovery]]&amp;"*")</f>
        <v>1</v>
      </c>
      <c r="E1086" s="8">
        <f>COUNTIFS('All Papers'!$D:$D,"*"&amp;$A1086&amp;"*",'All Papers'!$G:$G,"*"&amp;Table1[[#Headers],[Selection]]&amp;"*")</f>
        <v>1</v>
      </c>
      <c r="F1086" s="8">
        <f>COUNTIFS('All Papers'!$D:$D,"*"&amp;$A1086&amp;"*",'All Papers'!$G:$G,"*"&amp;Table1[[#Headers],[Recommendation]]&amp;"*")</f>
        <v>0</v>
      </c>
      <c r="G1086" s="8">
        <f>COUNTIFS('All Papers'!$D:$D,"*"&amp;$A1086&amp;"*",'All Papers'!$G:$G,"*"&amp;Table1[[#Headers],[Resource Management-CS]]&amp;"*")</f>
        <v>0</v>
      </c>
      <c r="H1086" s="8">
        <f>COUNTIFS('All Papers'!$D:$D,"*"&amp;$A1086&amp;"*",'All Papers'!$G:$G,"*"&amp;Table1[[#Headers],[Resource Management-PS]]&amp;"*")</f>
        <v>0</v>
      </c>
      <c r="I1086" s="8">
        <f>COUNTIFS('All Papers'!$D:$D,"*"&amp;$A1086&amp;"*",'All Papers'!$G:$G,"*"&amp;Table1[[#Headers],[SLA Management]]&amp;"*")</f>
        <v>0</v>
      </c>
      <c r="J1086" s="8">
        <f>COUNTIFS('All Papers'!$D:$D,"*"&amp;$A1086&amp;"*",'All Papers'!$G:$G,"*"&amp;Table1[[#Headers],[Big Data]]&amp;"*")</f>
        <v>0</v>
      </c>
      <c r="K1086" s="8">
        <f>COUNTIFS('All Papers'!$D:$D,"*"&amp;$A1086&amp;"*",'All Papers'!$G:$G,"*"&amp;Table1[[#Headers],[Energy Management]]&amp;"*")</f>
        <v>0</v>
      </c>
      <c r="L1086" s="8">
        <f>COUNTIFS('All Papers'!$D:$D,"*"&amp;$A1086&amp;"*",'All Papers'!$G:$G,"*"&amp;Table1[[#Headers],[Monitoring]]&amp;"*")</f>
        <v>0</v>
      </c>
      <c r="M1086" s="8">
        <f>COUNTIFS('All Papers'!$D:$D,"*"&amp;$A1086&amp;"*",'All Papers'!$G:$G,"*"&amp;Table1[[#Headers],[Pricing]]&amp;"*")</f>
        <v>0</v>
      </c>
    </row>
    <row r="1087" spans="1:13" x14ac:dyDescent="0.25">
      <c r="A1087" s="8" t="s">
        <v>3520</v>
      </c>
      <c r="B1087" s="8">
        <f>COUNTIF('All Papers'!D:D,"*"&amp;Table1[[#This Row],[Name]]&amp;"*")</f>
        <v>1</v>
      </c>
      <c r="C1087" s="8">
        <f>COUNTIFS('All Papers'!$D:$D,"*"&amp;$A1087&amp;"*",'All Papers'!$G:$G,"*"&amp;Table1[[#Headers],[Composition]]&amp;"*")</f>
        <v>0</v>
      </c>
      <c r="D1087" s="8">
        <f>COUNTIFS('All Papers'!$D:$D,"*"&amp;$A1087&amp;"*",'All Papers'!$G:$G,"*"&amp;Table1[[#Headers],[Discovery]]&amp;"*")</f>
        <v>0</v>
      </c>
      <c r="E1087" s="8">
        <f>COUNTIFS('All Papers'!$D:$D,"*"&amp;$A1087&amp;"*",'All Papers'!$G:$G,"*"&amp;Table1[[#Headers],[Selection]]&amp;"*")</f>
        <v>0</v>
      </c>
      <c r="F1087" s="8">
        <f>COUNTIFS('All Papers'!$D:$D,"*"&amp;$A1087&amp;"*",'All Papers'!$G:$G,"*"&amp;Table1[[#Headers],[Recommendation]]&amp;"*")</f>
        <v>0</v>
      </c>
      <c r="G1087" s="8">
        <f>COUNTIFS('All Papers'!$D:$D,"*"&amp;$A1087&amp;"*",'All Papers'!$G:$G,"*"&amp;Table1[[#Headers],[Resource Management-CS]]&amp;"*")</f>
        <v>0</v>
      </c>
      <c r="H1087" s="8">
        <f>COUNTIFS('All Papers'!$D:$D,"*"&amp;$A1087&amp;"*",'All Papers'!$G:$G,"*"&amp;Table1[[#Headers],[Resource Management-PS]]&amp;"*")</f>
        <v>0</v>
      </c>
      <c r="I1087" s="8">
        <f>COUNTIFS('All Papers'!$D:$D,"*"&amp;$A1087&amp;"*",'All Papers'!$G:$G,"*"&amp;Table1[[#Headers],[SLA Management]]&amp;"*")</f>
        <v>0</v>
      </c>
      <c r="J1087" s="8">
        <f>COUNTIFS('All Papers'!$D:$D,"*"&amp;$A1087&amp;"*",'All Papers'!$G:$G,"*"&amp;Table1[[#Headers],[Big Data]]&amp;"*")</f>
        <v>0</v>
      </c>
      <c r="K1087" s="8">
        <f>COUNTIFS('All Papers'!$D:$D,"*"&amp;$A1087&amp;"*",'All Papers'!$G:$G,"*"&amp;Table1[[#Headers],[Energy Management]]&amp;"*")</f>
        <v>0</v>
      </c>
      <c r="L1087" s="8">
        <f>COUNTIFS('All Papers'!$D:$D,"*"&amp;$A1087&amp;"*",'All Papers'!$G:$G,"*"&amp;Table1[[#Headers],[Monitoring]]&amp;"*")</f>
        <v>1</v>
      </c>
      <c r="M1087" s="8">
        <f>COUNTIFS('All Papers'!$D:$D,"*"&amp;$A1087&amp;"*",'All Papers'!$G:$G,"*"&amp;Table1[[#Headers],[Pricing]]&amp;"*")</f>
        <v>0</v>
      </c>
    </row>
    <row r="1088" spans="1:13" x14ac:dyDescent="0.25">
      <c r="A1088" s="8" t="s">
        <v>3521</v>
      </c>
      <c r="B1088" s="8">
        <f>COUNTIF('All Papers'!D:D,"*"&amp;Table1[[#This Row],[Name]]&amp;"*")</f>
        <v>1</v>
      </c>
      <c r="C1088" s="8">
        <f>COUNTIFS('All Papers'!$D:$D,"*"&amp;$A1088&amp;"*",'All Papers'!$G:$G,"*"&amp;Table1[[#Headers],[Composition]]&amp;"*")</f>
        <v>0</v>
      </c>
      <c r="D1088" s="8">
        <f>COUNTIFS('All Papers'!$D:$D,"*"&amp;$A1088&amp;"*",'All Papers'!$G:$G,"*"&amp;Table1[[#Headers],[Discovery]]&amp;"*")</f>
        <v>0</v>
      </c>
      <c r="E1088" s="8">
        <f>COUNTIFS('All Papers'!$D:$D,"*"&amp;$A1088&amp;"*",'All Papers'!$G:$G,"*"&amp;Table1[[#Headers],[Selection]]&amp;"*")</f>
        <v>0</v>
      </c>
      <c r="F1088" s="8">
        <f>COUNTIFS('All Papers'!$D:$D,"*"&amp;$A1088&amp;"*",'All Papers'!$G:$G,"*"&amp;Table1[[#Headers],[Recommendation]]&amp;"*")</f>
        <v>0</v>
      </c>
      <c r="G1088" s="8">
        <f>COUNTIFS('All Papers'!$D:$D,"*"&amp;$A1088&amp;"*",'All Papers'!$G:$G,"*"&amp;Table1[[#Headers],[Resource Management-CS]]&amp;"*")</f>
        <v>0</v>
      </c>
      <c r="H1088" s="8">
        <f>COUNTIFS('All Papers'!$D:$D,"*"&amp;$A1088&amp;"*",'All Papers'!$G:$G,"*"&amp;Table1[[#Headers],[Resource Management-PS]]&amp;"*")</f>
        <v>0</v>
      </c>
      <c r="I1088" s="8">
        <f>COUNTIFS('All Papers'!$D:$D,"*"&amp;$A1088&amp;"*",'All Papers'!$G:$G,"*"&amp;Table1[[#Headers],[SLA Management]]&amp;"*")</f>
        <v>0</v>
      </c>
      <c r="J1088" s="8">
        <f>COUNTIFS('All Papers'!$D:$D,"*"&amp;$A1088&amp;"*",'All Papers'!$G:$G,"*"&amp;Table1[[#Headers],[Big Data]]&amp;"*")</f>
        <v>0</v>
      </c>
      <c r="K1088" s="8">
        <f>COUNTIFS('All Papers'!$D:$D,"*"&amp;$A1088&amp;"*",'All Papers'!$G:$G,"*"&amp;Table1[[#Headers],[Energy Management]]&amp;"*")</f>
        <v>0</v>
      </c>
      <c r="L1088" s="8">
        <f>COUNTIFS('All Papers'!$D:$D,"*"&amp;$A1088&amp;"*",'All Papers'!$G:$G,"*"&amp;Table1[[#Headers],[Monitoring]]&amp;"*")</f>
        <v>1</v>
      </c>
      <c r="M1088" s="8">
        <f>COUNTIFS('All Papers'!$D:$D,"*"&amp;$A1088&amp;"*",'All Papers'!$G:$G,"*"&amp;Table1[[#Headers],[Pricing]]&amp;"*")</f>
        <v>0</v>
      </c>
    </row>
    <row r="1089" spans="1:13" x14ac:dyDescent="0.25">
      <c r="A1089" s="8" t="s">
        <v>3522</v>
      </c>
      <c r="B1089" s="8">
        <f>COUNTIF('All Papers'!D:D,"*"&amp;Table1[[#This Row],[Name]]&amp;"*")</f>
        <v>1</v>
      </c>
      <c r="C1089" s="8">
        <f>COUNTIFS('All Papers'!$D:$D,"*"&amp;$A1089&amp;"*",'All Papers'!$G:$G,"*"&amp;Table1[[#Headers],[Composition]]&amp;"*")</f>
        <v>0</v>
      </c>
      <c r="D1089" s="8">
        <f>COUNTIFS('All Papers'!$D:$D,"*"&amp;$A1089&amp;"*",'All Papers'!$G:$G,"*"&amp;Table1[[#Headers],[Discovery]]&amp;"*")</f>
        <v>0</v>
      </c>
      <c r="E1089" s="8">
        <f>COUNTIFS('All Papers'!$D:$D,"*"&amp;$A1089&amp;"*",'All Papers'!$G:$G,"*"&amp;Table1[[#Headers],[Selection]]&amp;"*")</f>
        <v>0</v>
      </c>
      <c r="F1089" s="8">
        <f>COUNTIFS('All Papers'!$D:$D,"*"&amp;$A1089&amp;"*",'All Papers'!$G:$G,"*"&amp;Table1[[#Headers],[Recommendation]]&amp;"*")</f>
        <v>0</v>
      </c>
      <c r="G1089" s="8">
        <f>COUNTIFS('All Papers'!$D:$D,"*"&amp;$A1089&amp;"*",'All Papers'!$G:$G,"*"&amp;Table1[[#Headers],[Resource Management-CS]]&amp;"*")</f>
        <v>0</v>
      </c>
      <c r="H1089" s="8">
        <f>COUNTIFS('All Papers'!$D:$D,"*"&amp;$A1089&amp;"*",'All Papers'!$G:$G,"*"&amp;Table1[[#Headers],[Resource Management-PS]]&amp;"*")</f>
        <v>0</v>
      </c>
      <c r="I1089" s="8">
        <f>COUNTIFS('All Papers'!$D:$D,"*"&amp;$A1089&amp;"*",'All Papers'!$G:$G,"*"&amp;Table1[[#Headers],[SLA Management]]&amp;"*")</f>
        <v>0</v>
      </c>
      <c r="J1089" s="8">
        <f>COUNTIFS('All Papers'!$D:$D,"*"&amp;$A1089&amp;"*",'All Papers'!$G:$G,"*"&amp;Table1[[#Headers],[Big Data]]&amp;"*")</f>
        <v>0</v>
      </c>
      <c r="K1089" s="8">
        <f>COUNTIFS('All Papers'!$D:$D,"*"&amp;$A1089&amp;"*",'All Papers'!$G:$G,"*"&amp;Table1[[#Headers],[Energy Management]]&amp;"*")</f>
        <v>0</v>
      </c>
      <c r="L1089" s="8">
        <f>COUNTIFS('All Papers'!$D:$D,"*"&amp;$A1089&amp;"*",'All Papers'!$G:$G,"*"&amp;Table1[[#Headers],[Monitoring]]&amp;"*")</f>
        <v>1</v>
      </c>
      <c r="M1089" s="8">
        <f>COUNTIFS('All Papers'!$D:$D,"*"&amp;$A1089&amp;"*",'All Papers'!$G:$G,"*"&amp;Table1[[#Headers],[Pricing]]&amp;"*")</f>
        <v>0</v>
      </c>
    </row>
    <row r="1090" spans="1:13" x14ac:dyDescent="0.25">
      <c r="A1090" s="8" t="s">
        <v>3523</v>
      </c>
      <c r="B1090" s="8">
        <f>COUNTIF('All Papers'!D:D,"*"&amp;Table1[[#This Row],[Name]]&amp;"*")</f>
        <v>1</v>
      </c>
      <c r="C1090" s="8">
        <f>COUNTIFS('All Papers'!$D:$D,"*"&amp;$A1090&amp;"*",'All Papers'!$G:$G,"*"&amp;Table1[[#Headers],[Composition]]&amp;"*")</f>
        <v>0</v>
      </c>
      <c r="D1090" s="8">
        <f>COUNTIFS('All Papers'!$D:$D,"*"&amp;$A1090&amp;"*",'All Papers'!$G:$G,"*"&amp;Table1[[#Headers],[Discovery]]&amp;"*")</f>
        <v>0</v>
      </c>
      <c r="E1090" s="8">
        <f>COUNTIFS('All Papers'!$D:$D,"*"&amp;$A1090&amp;"*",'All Papers'!$G:$G,"*"&amp;Table1[[#Headers],[Selection]]&amp;"*")</f>
        <v>0</v>
      </c>
      <c r="F1090" s="8">
        <f>COUNTIFS('All Papers'!$D:$D,"*"&amp;$A1090&amp;"*",'All Papers'!$G:$G,"*"&amp;Table1[[#Headers],[Recommendation]]&amp;"*")</f>
        <v>0</v>
      </c>
      <c r="G1090" s="8">
        <f>COUNTIFS('All Papers'!$D:$D,"*"&amp;$A1090&amp;"*",'All Papers'!$G:$G,"*"&amp;Table1[[#Headers],[Resource Management-CS]]&amp;"*")</f>
        <v>0</v>
      </c>
      <c r="H1090" s="8">
        <f>COUNTIFS('All Papers'!$D:$D,"*"&amp;$A1090&amp;"*",'All Papers'!$G:$G,"*"&amp;Table1[[#Headers],[Resource Management-PS]]&amp;"*")</f>
        <v>0</v>
      </c>
      <c r="I1090" s="8">
        <f>COUNTIFS('All Papers'!$D:$D,"*"&amp;$A1090&amp;"*",'All Papers'!$G:$G,"*"&amp;Table1[[#Headers],[SLA Management]]&amp;"*")</f>
        <v>0</v>
      </c>
      <c r="J1090" s="8">
        <f>COUNTIFS('All Papers'!$D:$D,"*"&amp;$A1090&amp;"*",'All Papers'!$G:$G,"*"&amp;Table1[[#Headers],[Big Data]]&amp;"*")</f>
        <v>0</v>
      </c>
      <c r="K1090" s="8">
        <f>COUNTIFS('All Papers'!$D:$D,"*"&amp;$A1090&amp;"*",'All Papers'!$G:$G,"*"&amp;Table1[[#Headers],[Energy Management]]&amp;"*")</f>
        <v>0</v>
      </c>
      <c r="L1090" s="8">
        <f>COUNTIFS('All Papers'!$D:$D,"*"&amp;$A1090&amp;"*",'All Papers'!$G:$G,"*"&amp;Table1[[#Headers],[Monitoring]]&amp;"*")</f>
        <v>1</v>
      </c>
      <c r="M1090" s="8">
        <f>COUNTIFS('All Papers'!$D:$D,"*"&amp;$A1090&amp;"*",'All Papers'!$G:$G,"*"&amp;Table1[[#Headers],[Pricing]]&amp;"*")</f>
        <v>0</v>
      </c>
    </row>
    <row r="1091" spans="1:13" x14ac:dyDescent="0.25">
      <c r="A1091" s="8" t="s">
        <v>3524</v>
      </c>
      <c r="B1091" s="8">
        <f>COUNTIF('All Papers'!D:D,"*"&amp;Table1[[#This Row],[Name]]&amp;"*")</f>
        <v>1</v>
      </c>
      <c r="C1091" s="8">
        <f>COUNTIFS('All Papers'!$D:$D,"*"&amp;$A1091&amp;"*",'All Papers'!$G:$G,"*"&amp;Table1[[#Headers],[Composition]]&amp;"*")</f>
        <v>0</v>
      </c>
      <c r="D1091" s="8">
        <f>COUNTIFS('All Papers'!$D:$D,"*"&amp;$A1091&amp;"*",'All Papers'!$G:$G,"*"&amp;Table1[[#Headers],[Discovery]]&amp;"*")</f>
        <v>0</v>
      </c>
      <c r="E1091" s="8">
        <f>COUNTIFS('All Papers'!$D:$D,"*"&amp;$A1091&amp;"*",'All Papers'!$G:$G,"*"&amp;Table1[[#Headers],[Selection]]&amp;"*")</f>
        <v>0</v>
      </c>
      <c r="F1091" s="8">
        <f>COUNTIFS('All Papers'!$D:$D,"*"&amp;$A1091&amp;"*",'All Papers'!$G:$G,"*"&amp;Table1[[#Headers],[Recommendation]]&amp;"*")</f>
        <v>0</v>
      </c>
      <c r="G1091" s="8">
        <f>COUNTIFS('All Papers'!$D:$D,"*"&amp;$A1091&amp;"*",'All Papers'!$G:$G,"*"&amp;Table1[[#Headers],[Resource Management-CS]]&amp;"*")</f>
        <v>0</v>
      </c>
      <c r="H1091" s="8">
        <f>COUNTIFS('All Papers'!$D:$D,"*"&amp;$A1091&amp;"*",'All Papers'!$G:$G,"*"&amp;Table1[[#Headers],[Resource Management-PS]]&amp;"*")</f>
        <v>0</v>
      </c>
      <c r="I1091" s="8">
        <f>COUNTIFS('All Papers'!$D:$D,"*"&amp;$A1091&amp;"*",'All Papers'!$G:$G,"*"&amp;Table1[[#Headers],[SLA Management]]&amp;"*")</f>
        <v>0</v>
      </c>
      <c r="J1091" s="8">
        <f>COUNTIFS('All Papers'!$D:$D,"*"&amp;$A1091&amp;"*",'All Papers'!$G:$G,"*"&amp;Table1[[#Headers],[Big Data]]&amp;"*")</f>
        <v>0</v>
      </c>
      <c r="K1091" s="8">
        <f>COUNTIFS('All Papers'!$D:$D,"*"&amp;$A1091&amp;"*",'All Papers'!$G:$G,"*"&amp;Table1[[#Headers],[Energy Management]]&amp;"*")</f>
        <v>0</v>
      </c>
      <c r="L1091" s="8">
        <f>COUNTIFS('All Papers'!$D:$D,"*"&amp;$A1091&amp;"*",'All Papers'!$G:$G,"*"&amp;Table1[[#Headers],[Monitoring]]&amp;"*")</f>
        <v>1</v>
      </c>
      <c r="M1091" s="8">
        <f>COUNTIFS('All Papers'!$D:$D,"*"&amp;$A1091&amp;"*",'All Papers'!$G:$G,"*"&amp;Table1[[#Headers],[Pricing]]&amp;"*")</f>
        <v>0</v>
      </c>
    </row>
    <row r="1092" spans="1:13" x14ac:dyDescent="0.25">
      <c r="A1092" s="8" t="s">
        <v>3525</v>
      </c>
      <c r="B1092" s="8">
        <f>COUNTIF('All Papers'!D:D,"*"&amp;Table1[[#This Row],[Name]]&amp;"*")</f>
        <v>1</v>
      </c>
      <c r="C1092" s="8">
        <f>COUNTIFS('All Papers'!$D:$D,"*"&amp;$A1092&amp;"*",'All Papers'!$G:$G,"*"&amp;Table1[[#Headers],[Composition]]&amp;"*")</f>
        <v>0</v>
      </c>
      <c r="D1092" s="8">
        <f>COUNTIFS('All Papers'!$D:$D,"*"&amp;$A1092&amp;"*",'All Papers'!$G:$G,"*"&amp;Table1[[#Headers],[Discovery]]&amp;"*")</f>
        <v>0</v>
      </c>
      <c r="E1092" s="8">
        <f>COUNTIFS('All Papers'!$D:$D,"*"&amp;$A1092&amp;"*",'All Papers'!$G:$G,"*"&amp;Table1[[#Headers],[Selection]]&amp;"*")</f>
        <v>0</v>
      </c>
      <c r="F1092" s="8">
        <f>COUNTIFS('All Papers'!$D:$D,"*"&amp;$A1092&amp;"*",'All Papers'!$G:$G,"*"&amp;Table1[[#Headers],[Recommendation]]&amp;"*")</f>
        <v>0</v>
      </c>
      <c r="G1092" s="8">
        <f>COUNTIFS('All Papers'!$D:$D,"*"&amp;$A1092&amp;"*",'All Papers'!$G:$G,"*"&amp;Table1[[#Headers],[Resource Management-CS]]&amp;"*")</f>
        <v>0</v>
      </c>
      <c r="H1092" s="8">
        <f>COUNTIFS('All Papers'!$D:$D,"*"&amp;$A1092&amp;"*",'All Papers'!$G:$G,"*"&amp;Table1[[#Headers],[Resource Management-PS]]&amp;"*")</f>
        <v>0</v>
      </c>
      <c r="I1092" s="8">
        <f>COUNTIFS('All Papers'!$D:$D,"*"&amp;$A1092&amp;"*",'All Papers'!$G:$G,"*"&amp;Table1[[#Headers],[SLA Management]]&amp;"*")</f>
        <v>0</v>
      </c>
      <c r="J1092" s="8">
        <f>COUNTIFS('All Papers'!$D:$D,"*"&amp;$A1092&amp;"*",'All Papers'!$G:$G,"*"&amp;Table1[[#Headers],[Big Data]]&amp;"*")</f>
        <v>0</v>
      </c>
      <c r="K1092" s="8">
        <f>COUNTIFS('All Papers'!$D:$D,"*"&amp;$A1092&amp;"*",'All Papers'!$G:$G,"*"&amp;Table1[[#Headers],[Energy Management]]&amp;"*")</f>
        <v>0</v>
      </c>
      <c r="L1092" s="8">
        <f>COUNTIFS('All Papers'!$D:$D,"*"&amp;$A1092&amp;"*",'All Papers'!$G:$G,"*"&amp;Table1[[#Headers],[Monitoring]]&amp;"*")</f>
        <v>1</v>
      </c>
      <c r="M1092" s="8">
        <f>COUNTIFS('All Papers'!$D:$D,"*"&amp;$A1092&amp;"*",'All Papers'!$G:$G,"*"&amp;Table1[[#Headers],[Pricing]]&amp;"*")</f>
        <v>0</v>
      </c>
    </row>
    <row r="1093" spans="1:13" x14ac:dyDescent="0.25">
      <c r="A1093" s="8" t="s">
        <v>3526</v>
      </c>
      <c r="B1093" s="8">
        <f>COUNTIF('All Papers'!D:D,"*"&amp;Table1[[#This Row],[Name]]&amp;"*")</f>
        <v>1</v>
      </c>
      <c r="C1093" s="8">
        <f>COUNTIFS('All Papers'!$D:$D,"*"&amp;$A1093&amp;"*",'All Papers'!$G:$G,"*"&amp;Table1[[#Headers],[Composition]]&amp;"*")</f>
        <v>0</v>
      </c>
      <c r="D1093" s="8">
        <f>COUNTIFS('All Papers'!$D:$D,"*"&amp;$A1093&amp;"*",'All Papers'!$G:$G,"*"&amp;Table1[[#Headers],[Discovery]]&amp;"*")</f>
        <v>0</v>
      </c>
      <c r="E1093" s="8">
        <f>COUNTIFS('All Papers'!$D:$D,"*"&amp;$A1093&amp;"*",'All Papers'!$G:$G,"*"&amp;Table1[[#Headers],[Selection]]&amp;"*")</f>
        <v>0</v>
      </c>
      <c r="F1093" s="8">
        <f>COUNTIFS('All Papers'!$D:$D,"*"&amp;$A1093&amp;"*",'All Papers'!$G:$G,"*"&amp;Table1[[#Headers],[Recommendation]]&amp;"*")</f>
        <v>1</v>
      </c>
      <c r="G1093" s="8">
        <f>COUNTIFS('All Papers'!$D:$D,"*"&amp;$A1093&amp;"*",'All Papers'!$G:$G,"*"&amp;Table1[[#Headers],[Resource Management-CS]]&amp;"*")</f>
        <v>0</v>
      </c>
      <c r="H1093" s="8">
        <f>COUNTIFS('All Papers'!$D:$D,"*"&amp;$A1093&amp;"*",'All Papers'!$G:$G,"*"&amp;Table1[[#Headers],[Resource Management-PS]]&amp;"*")</f>
        <v>0</v>
      </c>
      <c r="I1093" s="8">
        <f>COUNTIFS('All Papers'!$D:$D,"*"&amp;$A1093&amp;"*",'All Papers'!$G:$G,"*"&amp;Table1[[#Headers],[SLA Management]]&amp;"*")</f>
        <v>1</v>
      </c>
      <c r="J1093" s="8">
        <f>COUNTIFS('All Papers'!$D:$D,"*"&amp;$A1093&amp;"*",'All Papers'!$G:$G,"*"&amp;Table1[[#Headers],[Big Data]]&amp;"*")</f>
        <v>0</v>
      </c>
      <c r="K1093" s="8">
        <f>COUNTIFS('All Papers'!$D:$D,"*"&amp;$A1093&amp;"*",'All Papers'!$G:$G,"*"&amp;Table1[[#Headers],[Energy Management]]&amp;"*")</f>
        <v>0</v>
      </c>
      <c r="L1093" s="8">
        <f>COUNTIFS('All Papers'!$D:$D,"*"&amp;$A1093&amp;"*",'All Papers'!$G:$G,"*"&amp;Table1[[#Headers],[Monitoring]]&amp;"*")</f>
        <v>0</v>
      </c>
      <c r="M1093" s="8">
        <f>COUNTIFS('All Papers'!$D:$D,"*"&amp;$A1093&amp;"*",'All Papers'!$G:$G,"*"&amp;Table1[[#Headers],[Pricing]]&amp;"*")</f>
        <v>0</v>
      </c>
    </row>
    <row r="1094" spans="1:13" x14ac:dyDescent="0.25">
      <c r="A1094" s="8" t="s">
        <v>3527</v>
      </c>
      <c r="B1094" s="8">
        <f>COUNTIF('All Papers'!D:D,"*"&amp;Table1[[#This Row],[Name]]&amp;"*")</f>
        <v>1</v>
      </c>
      <c r="C1094" s="8">
        <f>COUNTIFS('All Papers'!$D:$D,"*"&amp;$A1094&amp;"*",'All Papers'!$G:$G,"*"&amp;Table1[[#Headers],[Composition]]&amp;"*")</f>
        <v>0</v>
      </c>
      <c r="D1094" s="8">
        <f>COUNTIFS('All Papers'!$D:$D,"*"&amp;$A1094&amp;"*",'All Papers'!$G:$G,"*"&amp;Table1[[#Headers],[Discovery]]&amp;"*")</f>
        <v>0</v>
      </c>
      <c r="E1094" s="8">
        <f>COUNTIFS('All Papers'!$D:$D,"*"&amp;$A1094&amp;"*",'All Papers'!$G:$G,"*"&amp;Table1[[#Headers],[Selection]]&amp;"*")</f>
        <v>0</v>
      </c>
      <c r="F1094" s="8">
        <f>COUNTIFS('All Papers'!$D:$D,"*"&amp;$A1094&amp;"*",'All Papers'!$G:$G,"*"&amp;Table1[[#Headers],[Recommendation]]&amp;"*")</f>
        <v>1</v>
      </c>
      <c r="G1094" s="8">
        <f>COUNTIFS('All Papers'!$D:$D,"*"&amp;$A1094&amp;"*",'All Papers'!$G:$G,"*"&amp;Table1[[#Headers],[Resource Management-CS]]&amp;"*")</f>
        <v>0</v>
      </c>
      <c r="H1094" s="8">
        <f>COUNTIFS('All Papers'!$D:$D,"*"&amp;$A1094&amp;"*",'All Papers'!$G:$G,"*"&amp;Table1[[#Headers],[Resource Management-PS]]&amp;"*")</f>
        <v>0</v>
      </c>
      <c r="I1094" s="8">
        <f>COUNTIFS('All Papers'!$D:$D,"*"&amp;$A1094&amp;"*",'All Papers'!$G:$G,"*"&amp;Table1[[#Headers],[SLA Management]]&amp;"*")</f>
        <v>1</v>
      </c>
      <c r="J1094" s="8">
        <f>COUNTIFS('All Papers'!$D:$D,"*"&amp;$A1094&amp;"*",'All Papers'!$G:$G,"*"&amp;Table1[[#Headers],[Big Data]]&amp;"*")</f>
        <v>0</v>
      </c>
      <c r="K1094" s="8">
        <f>COUNTIFS('All Papers'!$D:$D,"*"&amp;$A1094&amp;"*",'All Papers'!$G:$G,"*"&amp;Table1[[#Headers],[Energy Management]]&amp;"*")</f>
        <v>0</v>
      </c>
      <c r="L1094" s="8">
        <f>COUNTIFS('All Papers'!$D:$D,"*"&amp;$A1094&amp;"*",'All Papers'!$G:$G,"*"&amp;Table1[[#Headers],[Monitoring]]&amp;"*")</f>
        <v>0</v>
      </c>
      <c r="M1094" s="8">
        <f>COUNTIFS('All Papers'!$D:$D,"*"&amp;$A1094&amp;"*",'All Papers'!$G:$G,"*"&amp;Table1[[#Headers],[Pricing]]&amp;"*")</f>
        <v>0</v>
      </c>
    </row>
    <row r="1095" spans="1:13" x14ac:dyDescent="0.25">
      <c r="A1095" s="8" t="s">
        <v>3528</v>
      </c>
      <c r="B1095" s="8">
        <f>COUNTIF('All Papers'!D:D,"*"&amp;Table1[[#This Row],[Name]]&amp;"*")</f>
        <v>1</v>
      </c>
      <c r="C1095" s="8">
        <f>COUNTIFS('All Papers'!$D:$D,"*"&amp;$A1095&amp;"*",'All Papers'!$G:$G,"*"&amp;Table1[[#Headers],[Composition]]&amp;"*")</f>
        <v>0</v>
      </c>
      <c r="D1095" s="8">
        <f>COUNTIFS('All Papers'!$D:$D,"*"&amp;$A1095&amp;"*",'All Papers'!$G:$G,"*"&amp;Table1[[#Headers],[Discovery]]&amp;"*")</f>
        <v>0</v>
      </c>
      <c r="E1095" s="8">
        <f>COUNTIFS('All Papers'!$D:$D,"*"&amp;$A1095&amp;"*",'All Papers'!$G:$G,"*"&amp;Table1[[#Headers],[Selection]]&amp;"*")</f>
        <v>0</v>
      </c>
      <c r="F1095" s="8">
        <f>COUNTIFS('All Papers'!$D:$D,"*"&amp;$A1095&amp;"*",'All Papers'!$G:$G,"*"&amp;Table1[[#Headers],[Recommendation]]&amp;"*")</f>
        <v>1</v>
      </c>
      <c r="G1095" s="8">
        <f>COUNTIFS('All Papers'!$D:$D,"*"&amp;$A1095&amp;"*",'All Papers'!$G:$G,"*"&amp;Table1[[#Headers],[Resource Management-CS]]&amp;"*")</f>
        <v>0</v>
      </c>
      <c r="H1095" s="8">
        <f>COUNTIFS('All Papers'!$D:$D,"*"&amp;$A1095&amp;"*",'All Papers'!$G:$G,"*"&amp;Table1[[#Headers],[Resource Management-PS]]&amp;"*")</f>
        <v>0</v>
      </c>
      <c r="I1095" s="8">
        <f>COUNTIFS('All Papers'!$D:$D,"*"&amp;$A1095&amp;"*",'All Papers'!$G:$G,"*"&amp;Table1[[#Headers],[SLA Management]]&amp;"*")</f>
        <v>1</v>
      </c>
      <c r="J1095" s="8">
        <f>COUNTIFS('All Papers'!$D:$D,"*"&amp;$A1095&amp;"*",'All Papers'!$G:$G,"*"&amp;Table1[[#Headers],[Big Data]]&amp;"*")</f>
        <v>0</v>
      </c>
      <c r="K1095" s="8">
        <f>COUNTIFS('All Papers'!$D:$D,"*"&amp;$A1095&amp;"*",'All Papers'!$G:$G,"*"&amp;Table1[[#Headers],[Energy Management]]&amp;"*")</f>
        <v>0</v>
      </c>
      <c r="L1095" s="8">
        <f>COUNTIFS('All Papers'!$D:$D,"*"&amp;$A1095&amp;"*",'All Papers'!$G:$G,"*"&amp;Table1[[#Headers],[Monitoring]]&amp;"*")</f>
        <v>0</v>
      </c>
      <c r="M1095" s="8">
        <f>COUNTIFS('All Papers'!$D:$D,"*"&amp;$A1095&amp;"*",'All Papers'!$G:$G,"*"&amp;Table1[[#Headers],[Pricing]]&amp;"*")</f>
        <v>0</v>
      </c>
    </row>
    <row r="1096" spans="1:13" x14ac:dyDescent="0.25">
      <c r="A1096" s="8" t="s">
        <v>3529</v>
      </c>
      <c r="B1096" s="8">
        <f>COUNTIF('All Papers'!D:D,"*"&amp;Table1[[#This Row],[Name]]&amp;"*")</f>
        <v>1</v>
      </c>
      <c r="C1096" s="8">
        <f>COUNTIFS('All Papers'!$D:$D,"*"&amp;$A1096&amp;"*",'All Papers'!$G:$G,"*"&amp;Table1[[#Headers],[Composition]]&amp;"*")</f>
        <v>0</v>
      </c>
      <c r="D1096" s="8">
        <f>COUNTIFS('All Papers'!$D:$D,"*"&amp;$A1096&amp;"*",'All Papers'!$G:$G,"*"&amp;Table1[[#Headers],[Discovery]]&amp;"*")</f>
        <v>0</v>
      </c>
      <c r="E1096" s="8">
        <f>COUNTIFS('All Papers'!$D:$D,"*"&amp;$A1096&amp;"*",'All Papers'!$G:$G,"*"&amp;Table1[[#Headers],[Selection]]&amp;"*")</f>
        <v>0</v>
      </c>
      <c r="F1096" s="8">
        <f>COUNTIFS('All Papers'!$D:$D,"*"&amp;$A1096&amp;"*",'All Papers'!$G:$G,"*"&amp;Table1[[#Headers],[Recommendation]]&amp;"*")</f>
        <v>1</v>
      </c>
      <c r="G1096" s="8">
        <f>COUNTIFS('All Papers'!$D:$D,"*"&amp;$A1096&amp;"*",'All Papers'!$G:$G,"*"&amp;Table1[[#Headers],[Resource Management-CS]]&amp;"*")</f>
        <v>0</v>
      </c>
      <c r="H1096" s="8">
        <f>COUNTIFS('All Papers'!$D:$D,"*"&amp;$A1096&amp;"*",'All Papers'!$G:$G,"*"&amp;Table1[[#Headers],[Resource Management-PS]]&amp;"*")</f>
        <v>0</v>
      </c>
      <c r="I1096" s="8">
        <f>COUNTIFS('All Papers'!$D:$D,"*"&amp;$A1096&amp;"*",'All Papers'!$G:$G,"*"&amp;Table1[[#Headers],[SLA Management]]&amp;"*")</f>
        <v>1</v>
      </c>
      <c r="J1096" s="8">
        <f>COUNTIFS('All Papers'!$D:$D,"*"&amp;$A1096&amp;"*",'All Papers'!$G:$G,"*"&amp;Table1[[#Headers],[Big Data]]&amp;"*")</f>
        <v>0</v>
      </c>
      <c r="K1096" s="8">
        <f>COUNTIFS('All Papers'!$D:$D,"*"&amp;$A1096&amp;"*",'All Papers'!$G:$G,"*"&amp;Table1[[#Headers],[Energy Management]]&amp;"*")</f>
        <v>0</v>
      </c>
      <c r="L1096" s="8">
        <f>COUNTIFS('All Papers'!$D:$D,"*"&amp;$A1096&amp;"*",'All Papers'!$G:$G,"*"&amp;Table1[[#Headers],[Monitoring]]&amp;"*")</f>
        <v>0</v>
      </c>
      <c r="M1096" s="8">
        <f>COUNTIFS('All Papers'!$D:$D,"*"&amp;$A1096&amp;"*",'All Papers'!$G:$G,"*"&amp;Table1[[#Headers],[Pricing]]&amp;"*")</f>
        <v>0</v>
      </c>
    </row>
    <row r="1097" spans="1:13" x14ac:dyDescent="0.25">
      <c r="A1097" s="8" t="s">
        <v>3530</v>
      </c>
      <c r="B1097" s="8">
        <f>COUNTIF('All Papers'!D:D,"*"&amp;Table1[[#This Row],[Name]]&amp;"*")</f>
        <v>1</v>
      </c>
      <c r="C1097" s="8">
        <f>COUNTIFS('All Papers'!$D:$D,"*"&amp;$A1097&amp;"*",'All Papers'!$G:$G,"*"&amp;Table1[[#Headers],[Composition]]&amp;"*")</f>
        <v>0</v>
      </c>
      <c r="D1097" s="8">
        <f>COUNTIFS('All Papers'!$D:$D,"*"&amp;$A1097&amp;"*",'All Papers'!$G:$G,"*"&amp;Table1[[#Headers],[Discovery]]&amp;"*")</f>
        <v>0</v>
      </c>
      <c r="E1097" s="8">
        <f>COUNTIFS('All Papers'!$D:$D,"*"&amp;$A1097&amp;"*",'All Papers'!$G:$G,"*"&amp;Table1[[#Headers],[Selection]]&amp;"*")</f>
        <v>1</v>
      </c>
      <c r="F1097" s="8">
        <f>COUNTIFS('All Papers'!$D:$D,"*"&amp;$A1097&amp;"*",'All Papers'!$G:$G,"*"&amp;Table1[[#Headers],[Recommendation]]&amp;"*")</f>
        <v>0</v>
      </c>
      <c r="G1097" s="8">
        <f>COUNTIFS('All Papers'!$D:$D,"*"&amp;$A1097&amp;"*",'All Papers'!$G:$G,"*"&amp;Table1[[#Headers],[Resource Management-CS]]&amp;"*")</f>
        <v>0</v>
      </c>
      <c r="H1097" s="8">
        <f>COUNTIFS('All Papers'!$D:$D,"*"&amp;$A1097&amp;"*",'All Papers'!$G:$G,"*"&amp;Table1[[#Headers],[Resource Management-PS]]&amp;"*")</f>
        <v>0</v>
      </c>
      <c r="I1097" s="8">
        <f>COUNTIFS('All Papers'!$D:$D,"*"&amp;$A1097&amp;"*",'All Papers'!$G:$G,"*"&amp;Table1[[#Headers],[SLA Management]]&amp;"*")</f>
        <v>0</v>
      </c>
      <c r="J1097" s="8">
        <f>COUNTIFS('All Papers'!$D:$D,"*"&amp;$A1097&amp;"*",'All Papers'!$G:$G,"*"&amp;Table1[[#Headers],[Big Data]]&amp;"*")</f>
        <v>0</v>
      </c>
      <c r="K1097" s="8">
        <f>COUNTIFS('All Papers'!$D:$D,"*"&amp;$A1097&amp;"*",'All Papers'!$G:$G,"*"&amp;Table1[[#Headers],[Energy Management]]&amp;"*")</f>
        <v>0</v>
      </c>
      <c r="L1097" s="8">
        <f>COUNTIFS('All Papers'!$D:$D,"*"&amp;$A1097&amp;"*",'All Papers'!$G:$G,"*"&amp;Table1[[#Headers],[Monitoring]]&amp;"*")</f>
        <v>0</v>
      </c>
      <c r="M1097" s="8">
        <f>COUNTIFS('All Papers'!$D:$D,"*"&amp;$A1097&amp;"*",'All Papers'!$G:$G,"*"&amp;Table1[[#Headers],[Pricing]]&amp;"*")</f>
        <v>0</v>
      </c>
    </row>
    <row r="1098" spans="1:13" x14ac:dyDescent="0.25">
      <c r="A1098" s="8" t="s">
        <v>3531</v>
      </c>
      <c r="B1098" s="8">
        <f>COUNTIF('All Papers'!D:D,"*"&amp;Table1[[#This Row],[Name]]&amp;"*")</f>
        <v>1</v>
      </c>
      <c r="C1098" s="8">
        <f>COUNTIFS('All Papers'!$D:$D,"*"&amp;$A1098&amp;"*",'All Papers'!$G:$G,"*"&amp;Table1[[#Headers],[Composition]]&amp;"*")</f>
        <v>0</v>
      </c>
      <c r="D1098" s="8">
        <f>COUNTIFS('All Papers'!$D:$D,"*"&amp;$A1098&amp;"*",'All Papers'!$G:$G,"*"&amp;Table1[[#Headers],[Discovery]]&amp;"*")</f>
        <v>0</v>
      </c>
      <c r="E1098" s="8">
        <f>COUNTIFS('All Papers'!$D:$D,"*"&amp;$A1098&amp;"*",'All Papers'!$G:$G,"*"&amp;Table1[[#Headers],[Selection]]&amp;"*")</f>
        <v>1</v>
      </c>
      <c r="F1098" s="8">
        <f>COUNTIFS('All Papers'!$D:$D,"*"&amp;$A1098&amp;"*",'All Papers'!$G:$G,"*"&amp;Table1[[#Headers],[Recommendation]]&amp;"*")</f>
        <v>0</v>
      </c>
      <c r="G1098" s="8">
        <f>COUNTIFS('All Papers'!$D:$D,"*"&amp;$A1098&amp;"*",'All Papers'!$G:$G,"*"&amp;Table1[[#Headers],[Resource Management-CS]]&amp;"*")</f>
        <v>0</v>
      </c>
      <c r="H1098" s="8">
        <f>COUNTIFS('All Papers'!$D:$D,"*"&amp;$A1098&amp;"*",'All Papers'!$G:$G,"*"&amp;Table1[[#Headers],[Resource Management-PS]]&amp;"*")</f>
        <v>0</v>
      </c>
      <c r="I1098" s="8">
        <f>COUNTIFS('All Papers'!$D:$D,"*"&amp;$A1098&amp;"*",'All Papers'!$G:$G,"*"&amp;Table1[[#Headers],[SLA Management]]&amp;"*")</f>
        <v>0</v>
      </c>
      <c r="J1098" s="8">
        <f>COUNTIFS('All Papers'!$D:$D,"*"&amp;$A1098&amp;"*",'All Papers'!$G:$G,"*"&amp;Table1[[#Headers],[Big Data]]&amp;"*")</f>
        <v>0</v>
      </c>
      <c r="K1098" s="8">
        <f>COUNTIFS('All Papers'!$D:$D,"*"&amp;$A1098&amp;"*",'All Papers'!$G:$G,"*"&amp;Table1[[#Headers],[Energy Management]]&amp;"*")</f>
        <v>0</v>
      </c>
      <c r="L1098" s="8">
        <f>COUNTIFS('All Papers'!$D:$D,"*"&amp;$A1098&amp;"*",'All Papers'!$G:$G,"*"&amp;Table1[[#Headers],[Monitoring]]&amp;"*")</f>
        <v>0</v>
      </c>
      <c r="M1098" s="8">
        <f>COUNTIFS('All Papers'!$D:$D,"*"&amp;$A1098&amp;"*",'All Papers'!$G:$G,"*"&amp;Table1[[#Headers],[Pricing]]&amp;"*")</f>
        <v>0</v>
      </c>
    </row>
    <row r="1099" spans="1:13" x14ac:dyDescent="0.25">
      <c r="A1099" s="8" t="s">
        <v>3532</v>
      </c>
      <c r="B1099" s="8">
        <f>COUNTIF('All Papers'!D:D,"*"&amp;Table1[[#This Row],[Name]]&amp;"*")</f>
        <v>0</v>
      </c>
      <c r="C1099" s="8">
        <f>COUNTIFS('All Papers'!$D:$D,"*"&amp;$A1099&amp;"*",'All Papers'!$G:$G,"*"&amp;Table1[[#Headers],[Composition]]&amp;"*")</f>
        <v>0</v>
      </c>
      <c r="D1099" s="8">
        <f>COUNTIFS('All Papers'!$D:$D,"*"&amp;$A1099&amp;"*",'All Papers'!$G:$G,"*"&amp;Table1[[#Headers],[Discovery]]&amp;"*")</f>
        <v>0</v>
      </c>
      <c r="E1099" s="8">
        <f>COUNTIFS('All Papers'!$D:$D,"*"&amp;$A1099&amp;"*",'All Papers'!$G:$G,"*"&amp;Table1[[#Headers],[Selection]]&amp;"*")</f>
        <v>0</v>
      </c>
      <c r="F1099" s="8">
        <f>COUNTIFS('All Papers'!$D:$D,"*"&amp;$A1099&amp;"*",'All Papers'!$G:$G,"*"&amp;Table1[[#Headers],[Recommendation]]&amp;"*")</f>
        <v>0</v>
      </c>
      <c r="G1099" s="8">
        <f>COUNTIFS('All Papers'!$D:$D,"*"&amp;$A1099&amp;"*",'All Papers'!$G:$G,"*"&amp;Table1[[#Headers],[Resource Management-CS]]&amp;"*")</f>
        <v>0</v>
      </c>
      <c r="H1099" s="8">
        <f>COUNTIFS('All Papers'!$D:$D,"*"&amp;$A1099&amp;"*",'All Papers'!$G:$G,"*"&amp;Table1[[#Headers],[Resource Management-PS]]&amp;"*")</f>
        <v>0</v>
      </c>
      <c r="I1099" s="8">
        <f>COUNTIFS('All Papers'!$D:$D,"*"&amp;$A1099&amp;"*",'All Papers'!$G:$G,"*"&amp;Table1[[#Headers],[SLA Management]]&amp;"*")</f>
        <v>0</v>
      </c>
      <c r="J1099" s="8">
        <f>COUNTIFS('All Papers'!$D:$D,"*"&amp;$A1099&amp;"*",'All Papers'!$G:$G,"*"&amp;Table1[[#Headers],[Big Data]]&amp;"*")</f>
        <v>0</v>
      </c>
      <c r="K1099" s="8">
        <f>COUNTIFS('All Papers'!$D:$D,"*"&amp;$A1099&amp;"*",'All Papers'!$G:$G,"*"&amp;Table1[[#Headers],[Energy Management]]&amp;"*")</f>
        <v>0</v>
      </c>
      <c r="L1099" s="8">
        <f>COUNTIFS('All Papers'!$D:$D,"*"&amp;$A1099&amp;"*",'All Papers'!$G:$G,"*"&amp;Table1[[#Headers],[Monitoring]]&amp;"*")</f>
        <v>0</v>
      </c>
      <c r="M1099" s="8">
        <f>COUNTIFS('All Papers'!$D:$D,"*"&amp;$A1099&amp;"*",'All Papers'!$G:$G,"*"&amp;Table1[[#Headers],[Pricing]]&amp;"*")</f>
        <v>0</v>
      </c>
    </row>
    <row r="1100" spans="1:13" x14ac:dyDescent="0.25">
      <c r="A1100" s="8" t="s">
        <v>3533</v>
      </c>
      <c r="B1100" s="8">
        <f>COUNTIF('All Papers'!D:D,"*"&amp;Table1[[#This Row],[Name]]&amp;"*")</f>
        <v>0</v>
      </c>
      <c r="C1100" s="8">
        <f>COUNTIFS('All Papers'!$D:$D,"*"&amp;$A1100&amp;"*",'All Papers'!$G:$G,"*"&amp;Table1[[#Headers],[Composition]]&amp;"*")</f>
        <v>0</v>
      </c>
      <c r="D1100" s="8">
        <f>COUNTIFS('All Papers'!$D:$D,"*"&amp;$A1100&amp;"*",'All Papers'!$G:$G,"*"&amp;Table1[[#Headers],[Discovery]]&amp;"*")</f>
        <v>0</v>
      </c>
      <c r="E1100" s="8">
        <f>COUNTIFS('All Papers'!$D:$D,"*"&amp;$A1100&amp;"*",'All Papers'!$G:$G,"*"&amp;Table1[[#Headers],[Selection]]&amp;"*")</f>
        <v>0</v>
      </c>
      <c r="F1100" s="8">
        <f>COUNTIFS('All Papers'!$D:$D,"*"&amp;$A1100&amp;"*",'All Papers'!$G:$G,"*"&amp;Table1[[#Headers],[Recommendation]]&amp;"*")</f>
        <v>0</v>
      </c>
      <c r="G1100" s="8">
        <f>COUNTIFS('All Papers'!$D:$D,"*"&amp;$A1100&amp;"*",'All Papers'!$G:$G,"*"&amp;Table1[[#Headers],[Resource Management-CS]]&amp;"*")</f>
        <v>0</v>
      </c>
      <c r="H1100" s="8">
        <f>COUNTIFS('All Papers'!$D:$D,"*"&amp;$A1100&amp;"*",'All Papers'!$G:$G,"*"&amp;Table1[[#Headers],[Resource Management-PS]]&amp;"*")</f>
        <v>0</v>
      </c>
      <c r="I1100" s="8">
        <f>COUNTIFS('All Papers'!$D:$D,"*"&amp;$A1100&amp;"*",'All Papers'!$G:$G,"*"&amp;Table1[[#Headers],[SLA Management]]&amp;"*")</f>
        <v>0</v>
      </c>
      <c r="J1100" s="8">
        <f>COUNTIFS('All Papers'!$D:$D,"*"&amp;$A1100&amp;"*",'All Papers'!$G:$G,"*"&amp;Table1[[#Headers],[Big Data]]&amp;"*")</f>
        <v>0</v>
      </c>
      <c r="K1100" s="8">
        <f>COUNTIFS('All Papers'!$D:$D,"*"&amp;$A1100&amp;"*",'All Papers'!$G:$G,"*"&amp;Table1[[#Headers],[Energy Management]]&amp;"*")</f>
        <v>0</v>
      </c>
      <c r="L1100" s="8">
        <f>COUNTIFS('All Papers'!$D:$D,"*"&amp;$A1100&amp;"*",'All Papers'!$G:$G,"*"&amp;Table1[[#Headers],[Monitoring]]&amp;"*")</f>
        <v>0</v>
      </c>
      <c r="M1100" s="8">
        <f>COUNTIFS('All Papers'!$D:$D,"*"&amp;$A1100&amp;"*",'All Papers'!$G:$G,"*"&amp;Table1[[#Headers],[Pricing]]&amp;"*")</f>
        <v>0</v>
      </c>
    </row>
    <row r="1101" spans="1:13" x14ac:dyDescent="0.25">
      <c r="A1101" s="8" t="s">
        <v>3534</v>
      </c>
      <c r="B1101" s="8">
        <f>COUNTIF('All Papers'!D:D,"*"&amp;Table1[[#This Row],[Name]]&amp;"*")</f>
        <v>0</v>
      </c>
      <c r="C1101" s="8">
        <f>COUNTIFS('All Papers'!$D:$D,"*"&amp;$A1101&amp;"*",'All Papers'!$G:$G,"*"&amp;Table1[[#Headers],[Composition]]&amp;"*")</f>
        <v>0</v>
      </c>
      <c r="D1101" s="8">
        <f>COUNTIFS('All Papers'!$D:$D,"*"&amp;$A1101&amp;"*",'All Papers'!$G:$G,"*"&amp;Table1[[#Headers],[Discovery]]&amp;"*")</f>
        <v>0</v>
      </c>
      <c r="E1101" s="8">
        <f>COUNTIFS('All Papers'!$D:$D,"*"&amp;$A1101&amp;"*",'All Papers'!$G:$G,"*"&amp;Table1[[#Headers],[Selection]]&amp;"*")</f>
        <v>0</v>
      </c>
      <c r="F1101" s="8">
        <f>COUNTIFS('All Papers'!$D:$D,"*"&amp;$A1101&amp;"*",'All Papers'!$G:$G,"*"&amp;Table1[[#Headers],[Recommendation]]&amp;"*")</f>
        <v>0</v>
      </c>
      <c r="G1101" s="8">
        <f>COUNTIFS('All Papers'!$D:$D,"*"&amp;$A1101&amp;"*",'All Papers'!$G:$G,"*"&amp;Table1[[#Headers],[Resource Management-CS]]&amp;"*")</f>
        <v>0</v>
      </c>
      <c r="H1101" s="8">
        <f>COUNTIFS('All Papers'!$D:$D,"*"&amp;$A1101&amp;"*",'All Papers'!$G:$G,"*"&amp;Table1[[#Headers],[Resource Management-PS]]&amp;"*")</f>
        <v>0</v>
      </c>
      <c r="I1101" s="8">
        <f>COUNTIFS('All Papers'!$D:$D,"*"&amp;$A1101&amp;"*",'All Papers'!$G:$G,"*"&amp;Table1[[#Headers],[SLA Management]]&amp;"*")</f>
        <v>0</v>
      </c>
      <c r="J1101" s="8">
        <f>COUNTIFS('All Papers'!$D:$D,"*"&amp;$A1101&amp;"*",'All Papers'!$G:$G,"*"&amp;Table1[[#Headers],[Big Data]]&amp;"*")</f>
        <v>0</v>
      </c>
      <c r="K1101" s="8">
        <f>COUNTIFS('All Papers'!$D:$D,"*"&amp;$A1101&amp;"*",'All Papers'!$G:$G,"*"&amp;Table1[[#Headers],[Energy Management]]&amp;"*")</f>
        <v>0</v>
      </c>
      <c r="L1101" s="8">
        <f>COUNTIFS('All Papers'!$D:$D,"*"&amp;$A1101&amp;"*",'All Papers'!$G:$G,"*"&amp;Table1[[#Headers],[Monitoring]]&amp;"*")</f>
        <v>0</v>
      </c>
      <c r="M1101" s="8">
        <f>COUNTIFS('All Papers'!$D:$D,"*"&amp;$A1101&amp;"*",'All Papers'!$G:$G,"*"&amp;Table1[[#Headers],[Pricing]]&amp;"*")</f>
        <v>0</v>
      </c>
    </row>
    <row r="1102" spans="1:13" x14ac:dyDescent="0.25">
      <c r="A1102" s="8" t="s">
        <v>3535</v>
      </c>
      <c r="B1102" s="8">
        <f>COUNTIF('All Papers'!D:D,"*"&amp;Table1[[#This Row],[Name]]&amp;"*")</f>
        <v>0</v>
      </c>
      <c r="C1102" s="8">
        <f>COUNTIFS('All Papers'!$D:$D,"*"&amp;$A1102&amp;"*",'All Papers'!$G:$G,"*"&amp;Table1[[#Headers],[Composition]]&amp;"*")</f>
        <v>0</v>
      </c>
      <c r="D1102" s="8">
        <f>COUNTIFS('All Papers'!$D:$D,"*"&amp;$A1102&amp;"*",'All Papers'!$G:$G,"*"&amp;Table1[[#Headers],[Discovery]]&amp;"*")</f>
        <v>0</v>
      </c>
      <c r="E1102" s="8">
        <f>COUNTIFS('All Papers'!$D:$D,"*"&amp;$A1102&amp;"*",'All Papers'!$G:$G,"*"&amp;Table1[[#Headers],[Selection]]&amp;"*")</f>
        <v>0</v>
      </c>
      <c r="F1102" s="8">
        <f>COUNTIFS('All Papers'!$D:$D,"*"&amp;$A1102&amp;"*",'All Papers'!$G:$G,"*"&amp;Table1[[#Headers],[Recommendation]]&amp;"*")</f>
        <v>0</v>
      </c>
      <c r="G1102" s="8">
        <f>COUNTIFS('All Papers'!$D:$D,"*"&amp;$A1102&amp;"*",'All Papers'!$G:$G,"*"&amp;Table1[[#Headers],[Resource Management-CS]]&amp;"*")</f>
        <v>0</v>
      </c>
      <c r="H1102" s="8">
        <f>COUNTIFS('All Papers'!$D:$D,"*"&amp;$A1102&amp;"*",'All Papers'!$G:$G,"*"&amp;Table1[[#Headers],[Resource Management-PS]]&amp;"*")</f>
        <v>0</v>
      </c>
      <c r="I1102" s="8">
        <f>COUNTIFS('All Papers'!$D:$D,"*"&amp;$A1102&amp;"*",'All Papers'!$G:$G,"*"&amp;Table1[[#Headers],[SLA Management]]&amp;"*")</f>
        <v>0</v>
      </c>
      <c r="J1102" s="8">
        <f>COUNTIFS('All Papers'!$D:$D,"*"&amp;$A1102&amp;"*",'All Papers'!$G:$G,"*"&amp;Table1[[#Headers],[Big Data]]&amp;"*")</f>
        <v>0</v>
      </c>
      <c r="K1102" s="8">
        <f>COUNTIFS('All Papers'!$D:$D,"*"&amp;$A1102&amp;"*",'All Papers'!$G:$G,"*"&amp;Table1[[#Headers],[Energy Management]]&amp;"*")</f>
        <v>0</v>
      </c>
      <c r="L1102" s="8">
        <f>COUNTIFS('All Papers'!$D:$D,"*"&amp;$A1102&amp;"*",'All Papers'!$G:$G,"*"&amp;Table1[[#Headers],[Monitoring]]&amp;"*")</f>
        <v>0</v>
      </c>
      <c r="M1102" s="8">
        <f>COUNTIFS('All Papers'!$D:$D,"*"&amp;$A1102&amp;"*",'All Papers'!$G:$G,"*"&amp;Table1[[#Headers],[Pricing]]&amp;"*")</f>
        <v>0</v>
      </c>
    </row>
    <row r="1103" spans="1:13" x14ac:dyDescent="0.25">
      <c r="A1103" s="8" t="s">
        <v>3536</v>
      </c>
      <c r="B1103" s="8">
        <f>COUNTIF('All Papers'!D:D,"*"&amp;Table1[[#This Row],[Name]]&amp;"*")</f>
        <v>1</v>
      </c>
      <c r="C1103" s="8">
        <f>COUNTIFS('All Papers'!$D:$D,"*"&amp;$A1103&amp;"*",'All Papers'!$G:$G,"*"&amp;Table1[[#Headers],[Composition]]&amp;"*")</f>
        <v>0</v>
      </c>
      <c r="D1103" s="8">
        <f>COUNTIFS('All Papers'!$D:$D,"*"&amp;$A1103&amp;"*",'All Papers'!$G:$G,"*"&amp;Table1[[#Headers],[Discovery]]&amp;"*")</f>
        <v>0</v>
      </c>
      <c r="E1103" s="8">
        <f>COUNTIFS('All Papers'!$D:$D,"*"&amp;$A1103&amp;"*",'All Papers'!$G:$G,"*"&amp;Table1[[#Headers],[Selection]]&amp;"*")</f>
        <v>1</v>
      </c>
      <c r="F1103" s="8">
        <f>COUNTIFS('All Papers'!$D:$D,"*"&amp;$A1103&amp;"*",'All Papers'!$G:$G,"*"&amp;Table1[[#Headers],[Recommendation]]&amp;"*")</f>
        <v>0</v>
      </c>
      <c r="G1103" s="8">
        <f>COUNTIFS('All Papers'!$D:$D,"*"&amp;$A1103&amp;"*",'All Papers'!$G:$G,"*"&amp;Table1[[#Headers],[Resource Management-CS]]&amp;"*")</f>
        <v>0</v>
      </c>
      <c r="H1103" s="8">
        <f>COUNTIFS('All Papers'!$D:$D,"*"&amp;$A1103&amp;"*",'All Papers'!$G:$G,"*"&amp;Table1[[#Headers],[Resource Management-PS]]&amp;"*")</f>
        <v>0</v>
      </c>
      <c r="I1103" s="8">
        <f>COUNTIFS('All Papers'!$D:$D,"*"&amp;$A1103&amp;"*",'All Papers'!$G:$G,"*"&amp;Table1[[#Headers],[SLA Management]]&amp;"*")</f>
        <v>0</v>
      </c>
      <c r="J1103" s="8">
        <f>COUNTIFS('All Papers'!$D:$D,"*"&amp;$A1103&amp;"*",'All Papers'!$G:$G,"*"&amp;Table1[[#Headers],[Big Data]]&amp;"*")</f>
        <v>0</v>
      </c>
      <c r="K1103" s="8">
        <f>COUNTIFS('All Papers'!$D:$D,"*"&amp;$A1103&amp;"*",'All Papers'!$G:$G,"*"&amp;Table1[[#Headers],[Energy Management]]&amp;"*")</f>
        <v>0</v>
      </c>
      <c r="L1103" s="8">
        <f>COUNTIFS('All Papers'!$D:$D,"*"&amp;$A1103&amp;"*",'All Papers'!$G:$G,"*"&amp;Table1[[#Headers],[Monitoring]]&amp;"*")</f>
        <v>0</v>
      </c>
      <c r="M1103" s="8">
        <f>COUNTIFS('All Papers'!$D:$D,"*"&amp;$A1103&amp;"*",'All Papers'!$G:$G,"*"&amp;Table1[[#Headers],[Pricing]]&amp;"*")</f>
        <v>0</v>
      </c>
    </row>
    <row r="1104" spans="1:13" x14ac:dyDescent="0.25">
      <c r="A1104" s="8" t="s">
        <v>3537</v>
      </c>
      <c r="B1104" s="8">
        <f>COUNTIF('All Papers'!D:D,"*"&amp;Table1[[#This Row],[Name]]&amp;"*")</f>
        <v>1</v>
      </c>
      <c r="C1104" s="8">
        <f>COUNTIFS('All Papers'!$D:$D,"*"&amp;$A1104&amp;"*",'All Papers'!$G:$G,"*"&amp;Table1[[#Headers],[Composition]]&amp;"*")</f>
        <v>0</v>
      </c>
      <c r="D1104" s="8">
        <f>COUNTIFS('All Papers'!$D:$D,"*"&amp;$A1104&amp;"*",'All Papers'!$G:$G,"*"&amp;Table1[[#Headers],[Discovery]]&amp;"*")</f>
        <v>0</v>
      </c>
      <c r="E1104" s="8">
        <f>COUNTIFS('All Papers'!$D:$D,"*"&amp;$A1104&amp;"*",'All Papers'!$G:$G,"*"&amp;Table1[[#Headers],[Selection]]&amp;"*")</f>
        <v>1</v>
      </c>
      <c r="F1104" s="8">
        <f>COUNTIFS('All Papers'!$D:$D,"*"&amp;$A1104&amp;"*",'All Papers'!$G:$G,"*"&amp;Table1[[#Headers],[Recommendation]]&amp;"*")</f>
        <v>0</v>
      </c>
      <c r="G1104" s="8">
        <f>COUNTIFS('All Papers'!$D:$D,"*"&amp;$A1104&amp;"*",'All Papers'!$G:$G,"*"&amp;Table1[[#Headers],[Resource Management-CS]]&amp;"*")</f>
        <v>0</v>
      </c>
      <c r="H1104" s="8">
        <f>COUNTIFS('All Papers'!$D:$D,"*"&amp;$A1104&amp;"*",'All Papers'!$G:$G,"*"&amp;Table1[[#Headers],[Resource Management-PS]]&amp;"*")</f>
        <v>0</v>
      </c>
      <c r="I1104" s="8">
        <f>COUNTIFS('All Papers'!$D:$D,"*"&amp;$A1104&amp;"*",'All Papers'!$G:$G,"*"&amp;Table1[[#Headers],[SLA Management]]&amp;"*")</f>
        <v>0</v>
      </c>
      <c r="J1104" s="8">
        <f>COUNTIFS('All Papers'!$D:$D,"*"&amp;$A1104&amp;"*",'All Papers'!$G:$G,"*"&amp;Table1[[#Headers],[Big Data]]&amp;"*")</f>
        <v>0</v>
      </c>
      <c r="K1104" s="8">
        <f>COUNTIFS('All Papers'!$D:$D,"*"&amp;$A1104&amp;"*",'All Papers'!$G:$G,"*"&amp;Table1[[#Headers],[Energy Management]]&amp;"*")</f>
        <v>0</v>
      </c>
      <c r="L1104" s="8">
        <f>COUNTIFS('All Papers'!$D:$D,"*"&amp;$A1104&amp;"*",'All Papers'!$G:$G,"*"&amp;Table1[[#Headers],[Monitoring]]&amp;"*")</f>
        <v>0</v>
      </c>
      <c r="M1104" s="8">
        <f>COUNTIFS('All Papers'!$D:$D,"*"&amp;$A1104&amp;"*",'All Papers'!$G:$G,"*"&amp;Table1[[#Headers],[Pricing]]&amp;"*")</f>
        <v>0</v>
      </c>
    </row>
    <row r="1105" spans="1:13" x14ac:dyDescent="0.25">
      <c r="A1105" s="8" t="s">
        <v>3538</v>
      </c>
      <c r="B1105" s="8">
        <f>COUNTIF('All Papers'!D:D,"*"&amp;Table1[[#This Row],[Name]]&amp;"*")</f>
        <v>1</v>
      </c>
      <c r="C1105" s="8">
        <f>COUNTIFS('All Papers'!$D:$D,"*"&amp;$A1105&amp;"*",'All Papers'!$G:$G,"*"&amp;Table1[[#Headers],[Composition]]&amp;"*")</f>
        <v>0</v>
      </c>
      <c r="D1105" s="8">
        <f>COUNTIFS('All Papers'!$D:$D,"*"&amp;$A1105&amp;"*",'All Papers'!$G:$G,"*"&amp;Table1[[#Headers],[Discovery]]&amp;"*")</f>
        <v>0</v>
      </c>
      <c r="E1105" s="8">
        <f>COUNTIFS('All Papers'!$D:$D,"*"&amp;$A1105&amp;"*",'All Papers'!$G:$G,"*"&amp;Table1[[#Headers],[Selection]]&amp;"*")</f>
        <v>1</v>
      </c>
      <c r="F1105" s="8">
        <f>COUNTIFS('All Papers'!$D:$D,"*"&amp;$A1105&amp;"*",'All Papers'!$G:$G,"*"&amp;Table1[[#Headers],[Recommendation]]&amp;"*")</f>
        <v>0</v>
      </c>
      <c r="G1105" s="8">
        <f>COUNTIFS('All Papers'!$D:$D,"*"&amp;$A1105&amp;"*",'All Papers'!$G:$G,"*"&amp;Table1[[#Headers],[Resource Management-CS]]&amp;"*")</f>
        <v>0</v>
      </c>
      <c r="H1105" s="8">
        <f>COUNTIFS('All Papers'!$D:$D,"*"&amp;$A1105&amp;"*",'All Papers'!$G:$G,"*"&amp;Table1[[#Headers],[Resource Management-PS]]&amp;"*")</f>
        <v>0</v>
      </c>
      <c r="I1105" s="8">
        <f>COUNTIFS('All Papers'!$D:$D,"*"&amp;$A1105&amp;"*",'All Papers'!$G:$G,"*"&amp;Table1[[#Headers],[SLA Management]]&amp;"*")</f>
        <v>0</v>
      </c>
      <c r="J1105" s="8">
        <f>COUNTIFS('All Papers'!$D:$D,"*"&amp;$A1105&amp;"*",'All Papers'!$G:$G,"*"&amp;Table1[[#Headers],[Big Data]]&amp;"*")</f>
        <v>0</v>
      </c>
      <c r="K1105" s="8">
        <f>COUNTIFS('All Papers'!$D:$D,"*"&amp;$A1105&amp;"*",'All Papers'!$G:$G,"*"&amp;Table1[[#Headers],[Energy Management]]&amp;"*")</f>
        <v>0</v>
      </c>
      <c r="L1105" s="8">
        <f>COUNTIFS('All Papers'!$D:$D,"*"&amp;$A1105&amp;"*",'All Papers'!$G:$G,"*"&amp;Table1[[#Headers],[Monitoring]]&amp;"*")</f>
        <v>0</v>
      </c>
      <c r="M1105" s="8">
        <f>COUNTIFS('All Papers'!$D:$D,"*"&amp;$A1105&amp;"*",'All Papers'!$G:$G,"*"&amp;Table1[[#Headers],[Pricing]]&amp;"*")</f>
        <v>0</v>
      </c>
    </row>
    <row r="1106" spans="1:13" x14ac:dyDescent="0.25">
      <c r="A1106" s="8" t="s">
        <v>3539</v>
      </c>
      <c r="B1106" s="8">
        <f>COUNTIF('All Papers'!D:D,"*"&amp;Table1[[#This Row],[Name]]&amp;"*")</f>
        <v>1</v>
      </c>
      <c r="C1106" s="8">
        <f>COUNTIFS('All Papers'!$D:$D,"*"&amp;$A1106&amp;"*",'All Papers'!$G:$G,"*"&amp;Table1[[#Headers],[Composition]]&amp;"*")</f>
        <v>0</v>
      </c>
      <c r="D1106" s="8">
        <f>COUNTIFS('All Papers'!$D:$D,"*"&amp;$A1106&amp;"*",'All Papers'!$G:$G,"*"&amp;Table1[[#Headers],[Discovery]]&amp;"*")</f>
        <v>0</v>
      </c>
      <c r="E1106" s="8">
        <f>COUNTIFS('All Papers'!$D:$D,"*"&amp;$A1106&amp;"*",'All Papers'!$G:$G,"*"&amp;Table1[[#Headers],[Selection]]&amp;"*")</f>
        <v>1</v>
      </c>
      <c r="F1106" s="8">
        <f>COUNTIFS('All Papers'!$D:$D,"*"&amp;$A1106&amp;"*",'All Papers'!$G:$G,"*"&amp;Table1[[#Headers],[Recommendation]]&amp;"*")</f>
        <v>0</v>
      </c>
      <c r="G1106" s="8">
        <f>COUNTIFS('All Papers'!$D:$D,"*"&amp;$A1106&amp;"*",'All Papers'!$G:$G,"*"&amp;Table1[[#Headers],[Resource Management-CS]]&amp;"*")</f>
        <v>0</v>
      </c>
      <c r="H1106" s="8">
        <f>COUNTIFS('All Papers'!$D:$D,"*"&amp;$A1106&amp;"*",'All Papers'!$G:$G,"*"&amp;Table1[[#Headers],[Resource Management-PS]]&amp;"*")</f>
        <v>0</v>
      </c>
      <c r="I1106" s="8">
        <f>COUNTIFS('All Papers'!$D:$D,"*"&amp;$A1106&amp;"*",'All Papers'!$G:$G,"*"&amp;Table1[[#Headers],[SLA Management]]&amp;"*")</f>
        <v>0</v>
      </c>
      <c r="J1106" s="8">
        <f>COUNTIFS('All Papers'!$D:$D,"*"&amp;$A1106&amp;"*",'All Papers'!$G:$G,"*"&amp;Table1[[#Headers],[Big Data]]&amp;"*")</f>
        <v>0</v>
      </c>
      <c r="K1106" s="8">
        <f>COUNTIFS('All Papers'!$D:$D,"*"&amp;$A1106&amp;"*",'All Papers'!$G:$G,"*"&amp;Table1[[#Headers],[Energy Management]]&amp;"*")</f>
        <v>0</v>
      </c>
      <c r="L1106" s="8">
        <f>COUNTIFS('All Papers'!$D:$D,"*"&amp;$A1106&amp;"*",'All Papers'!$G:$G,"*"&amp;Table1[[#Headers],[Monitoring]]&amp;"*")</f>
        <v>0</v>
      </c>
      <c r="M1106" s="8">
        <f>COUNTIFS('All Papers'!$D:$D,"*"&amp;$A1106&amp;"*",'All Papers'!$G:$G,"*"&amp;Table1[[#Headers],[Pricing]]&amp;"*")</f>
        <v>0</v>
      </c>
    </row>
    <row r="1107" spans="1:13" x14ac:dyDescent="0.25">
      <c r="A1107" s="8" t="s">
        <v>3540</v>
      </c>
      <c r="B1107" s="8">
        <f>COUNTIF('All Papers'!D:D,"*"&amp;Table1[[#This Row],[Name]]&amp;"*")</f>
        <v>1</v>
      </c>
      <c r="C1107" s="8">
        <f>COUNTIFS('All Papers'!$D:$D,"*"&amp;$A1107&amp;"*",'All Papers'!$G:$G,"*"&amp;Table1[[#Headers],[Composition]]&amp;"*")</f>
        <v>0</v>
      </c>
      <c r="D1107" s="8">
        <f>COUNTIFS('All Papers'!$D:$D,"*"&amp;$A1107&amp;"*",'All Papers'!$G:$G,"*"&amp;Table1[[#Headers],[Discovery]]&amp;"*")</f>
        <v>1</v>
      </c>
      <c r="E1107" s="8">
        <f>COUNTIFS('All Papers'!$D:$D,"*"&amp;$A1107&amp;"*",'All Papers'!$G:$G,"*"&amp;Table1[[#Headers],[Selection]]&amp;"*")</f>
        <v>0</v>
      </c>
      <c r="F1107" s="8">
        <f>COUNTIFS('All Papers'!$D:$D,"*"&amp;$A1107&amp;"*",'All Papers'!$G:$G,"*"&amp;Table1[[#Headers],[Recommendation]]&amp;"*")</f>
        <v>0</v>
      </c>
      <c r="G1107" s="8">
        <f>COUNTIFS('All Papers'!$D:$D,"*"&amp;$A1107&amp;"*",'All Papers'!$G:$G,"*"&amp;Table1[[#Headers],[Resource Management-CS]]&amp;"*")</f>
        <v>0</v>
      </c>
      <c r="H1107" s="8">
        <f>COUNTIFS('All Papers'!$D:$D,"*"&amp;$A1107&amp;"*",'All Papers'!$G:$G,"*"&amp;Table1[[#Headers],[Resource Management-PS]]&amp;"*")</f>
        <v>0</v>
      </c>
      <c r="I1107" s="8">
        <f>COUNTIFS('All Papers'!$D:$D,"*"&amp;$A1107&amp;"*",'All Papers'!$G:$G,"*"&amp;Table1[[#Headers],[SLA Management]]&amp;"*")</f>
        <v>0</v>
      </c>
      <c r="J1107" s="8">
        <f>COUNTIFS('All Papers'!$D:$D,"*"&amp;$A1107&amp;"*",'All Papers'!$G:$G,"*"&amp;Table1[[#Headers],[Big Data]]&amp;"*")</f>
        <v>0</v>
      </c>
      <c r="K1107" s="8">
        <f>COUNTIFS('All Papers'!$D:$D,"*"&amp;$A1107&amp;"*",'All Papers'!$G:$G,"*"&amp;Table1[[#Headers],[Energy Management]]&amp;"*")</f>
        <v>0</v>
      </c>
      <c r="L1107" s="8">
        <f>COUNTIFS('All Papers'!$D:$D,"*"&amp;$A1107&amp;"*",'All Papers'!$G:$G,"*"&amp;Table1[[#Headers],[Monitoring]]&amp;"*")</f>
        <v>0</v>
      </c>
      <c r="M1107" s="8">
        <f>COUNTIFS('All Papers'!$D:$D,"*"&amp;$A1107&amp;"*",'All Papers'!$G:$G,"*"&amp;Table1[[#Headers],[Pricing]]&amp;"*")</f>
        <v>1</v>
      </c>
    </row>
    <row r="1108" spans="1:13" x14ac:dyDescent="0.25">
      <c r="A1108" s="8" t="s">
        <v>3541</v>
      </c>
      <c r="B1108" s="8">
        <f>COUNTIF('All Papers'!D:D,"*"&amp;Table1[[#This Row],[Name]]&amp;"*")</f>
        <v>1</v>
      </c>
      <c r="C1108" s="8">
        <f>COUNTIFS('All Papers'!$D:$D,"*"&amp;$A1108&amp;"*",'All Papers'!$G:$G,"*"&amp;Table1[[#Headers],[Composition]]&amp;"*")</f>
        <v>0</v>
      </c>
      <c r="D1108" s="8">
        <f>COUNTIFS('All Papers'!$D:$D,"*"&amp;$A1108&amp;"*",'All Papers'!$G:$G,"*"&amp;Table1[[#Headers],[Discovery]]&amp;"*")</f>
        <v>1</v>
      </c>
      <c r="E1108" s="8">
        <f>COUNTIFS('All Papers'!$D:$D,"*"&amp;$A1108&amp;"*",'All Papers'!$G:$G,"*"&amp;Table1[[#Headers],[Selection]]&amp;"*")</f>
        <v>0</v>
      </c>
      <c r="F1108" s="8">
        <f>COUNTIFS('All Papers'!$D:$D,"*"&amp;$A1108&amp;"*",'All Papers'!$G:$G,"*"&amp;Table1[[#Headers],[Recommendation]]&amp;"*")</f>
        <v>0</v>
      </c>
      <c r="G1108" s="8">
        <f>COUNTIFS('All Papers'!$D:$D,"*"&amp;$A1108&amp;"*",'All Papers'!$G:$G,"*"&amp;Table1[[#Headers],[Resource Management-CS]]&amp;"*")</f>
        <v>0</v>
      </c>
      <c r="H1108" s="8">
        <f>COUNTIFS('All Papers'!$D:$D,"*"&amp;$A1108&amp;"*",'All Papers'!$G:$G,"*"&amp;Table1[[#Headers],[Resource Management-PS]]&amp;"*")</f>
        <v>0</v>
      </c>
      <c r="I1108" s="8">
        <f>COUNTIFS('All Papers'!$D:$D,"*"&amp;$A1108&amp;"*",'All Papers'!$G:$G,"*"&amp;Table1[[#Headers],[SLA Management]]&amp;"*")</f>
        <v>0</v>
      </c>
      <c r="J1108" s="8">
        <f>COUNTIFS('All Papers'!$D:$D,"*"&amp;$A1108&amp;"*",'All Papers'!$G:$G,"*"&amp;Table1[[#Headers],[Big Data]]&amp;"*")</f>
        <v>0</v>
      </c>
      <c r="K1108" s="8">
        <f>COUNTIFS('All Papers'!$D:$D,"*"&amp;$A1108&amp;"*",'All Papers'!$G:$G,"*"&amp;Table1[[#Headers],[Energy Management]]&amp;"*")</f>
        <v>0</v>
      </c>
      <c r="L1108" s="8">
        <f>COUNTIFS('All Papers'!$D:$D,"*"&amp;$A1108&amp;"*",'All Papers'!$G:$G,"*"&amp;Table1[[#Headers],[Monitoring]]&amp;"*")</f>
        <v>0</v>
      </c>
      <c r="M1108" s="8">
        <f>COUNTIFS('All Papers'!$D:$D,"*"&amp;$A1108&amp;"*",'All Papers'!$G:$G,"*"&amp;Table1[[#Headers],[Pricing]]&amp;"*")</f>
        <v>1</v>
      </c>
    </row>
    <row r="1109" spans="1:13" x14ac:dyDescent="0.25">
      <c r="A1109" s="8" t="s">
        <v>3542</v>
      </c>
      <c r="B1109" s="8">
        <f>COUNTIF('All Papers'!D:D,"*"&amp;Table1[[#This Row],[Name]]&amp;"*")</f>
        <v>1</v>
      </c>
      <c r="C1109" s="8">
        <f>COUNTIFS('All Papers'!$D:$D,"*"&amp;$A1109&amp;"*",'All Papers'!$G:$G,"*"&amp;Table1[[#Headers],[Composition]]&amp;"*")</f>
        <v>0</v>
      </c>
      <c r="D1109" s="8">
        <f>COUNTIFS('All Papers'!$D:$D,"*"&amp;$A1109&amp;"*",'All Papers'!$G:$G,"*"&amp;Table1[[#Headers],[Discovery]]&amp;"*")</f>
        <v>1</v>
      </c>
      <c r="E1109" s="8">
        <f>COUNTIFS('All Papers'!$D:$D,"*"&amp;$A1109&amp;"*",'All Papers'!$G:$G,"*"&amp;Table1[[#Headers],[Selection]]&amp;"*")</f>
        <v>0</v>
      </c>
      <c r="F1109" s="8">
        <f>COUNTIFS('All Papers'!$D:$D,"*"&amp;$A1109&amp;"*",'All Papers'!$G:$G,"*"&amp;Table1[[#Headers],[Recommendation]]&amp;"*")</f>
        <v>0</v>
      </c>
      <c r="G1109" s="8">
        <f>COUNTIFS('All Papers'!$D:$D,"*"&amp;$A1109&amp;"*",'All Papers'!$G:$G,"*"&amp;Table1[[#Headers],[Resource Management-CS]]&amp;"*")</f>
        <v>0</v>
      </c>
      <c r="H1109" s="8">
        <f>COUNTIFS('All Papers'!$D:$D,"*"&amp;$A1109&amp;"*",'All Papers'!$G:$G,"*"&amp;Table1[[#Headers],[Resource Management-PS]]&amp;"*")</f>
        <v>0</v>
      </c>
      <c r="I1109" s="8">
        <f>COUNTIFS('All Papers'!$D:$D,"*"&amp;$A1109&amp;"*",'All Papers'!$G:$G,"*"&amp;Table1[[#Headers],[SLA Management]]&amp;"*")</f>
        <v>0</v>
      </c>
      <c r="J1109" s="8">
        <f>COUNTIFS('All Papers'!$D:$D,"*"&amp;$A1109&amp;"*",'All Papers'!$G:$G,"*"&amp;Table1[[#Headers],[Big Data]]&amp;"*")</f>
        <v>0</v>
      </c>
      <c r="K1109" s="8">
        <f>COUNTIFS('All Papers'!$D:$D,"*"&amp;$A1109&amp;"*",'All Papers'!$G:$G,"*"&amp;Table1[[#Headers],[Energy Management]]&amp;"*")</f>
        <v>0</v>
      </c>
      <c r="L1109" s="8">
        <f>COUNTIFS('All Papers'!$D:$D,"*"&amp;$A1109&amp;"*",'All Papers'!$G:$G,"*"&amp;Table1[[#Headers],[Monitoring]]&amp;"*")</f>
        <v>0</v>
      </c>
      <c r="M1109" s="8">
        <f>COUNTIFS('All Papers'!$D:$D,"*"&amp;$A1109&amp;"*",'All Papers'!$G:$G,"*"&amp;Table1[[#Headers],[Pricing]]&amp;"*")</f>
        <v>1</v>
      </c>
    </row>
    <row r="1110" spans="1:13" x14ac:dyDescent="0.25">
      <c r="A1110" s="8" t="s">
        <v>3543</v>
      </c>
      <c r="B1110" s="8">
        <f>COUNTIF('All Papers'!D:D,"*"&amp;Table1[[#This Row],[Name]]&amp;"*")</f>
        <v>1</v>
      </c>
      <c r="C1110" s="8">
        <f>COUNTIFS('All Papers'!$D:$D,"*"&amp;$A1110&amp;"*",'All Papers'!$G:$G,"*"&amp;Table1[[#Headers],[Composition]]&amp;"*")</f>
        <v>0</v>
      </c>
      <c r="D1110" s="8">
        <f>COUNTIFS('All Papers'!$D:$D,"*"&amp;$A1110&amp;"*",'All Papers'!$G:$G,"*"&amp;Table1[[#Headers],[Discovery]]&amp;"*")</f>
        <v>0</v>
      </c>
      <c r="E1110" s="8">
        <f>COUNTIFS('All Papers'!$D:$D,"*"&amp;$A1110&amp;"*",'All Papers'!$G:$G,"*"&amp;Table1[[#Headers],[Selection]]&amp;"*")</f>
        <v>0</v>
      </c>
      <c r="F1110" s="8">
        <f>COUNTIFS('All Papers'!$D:$D,"*"&amp;$A1110&amp;"*",'All Papers'!$G:$G,"*"&amp;Table1[[#Headers],[Recommendation]]&amp;"*")</f>
        <v>0</v>
      </c>
      <c r="G1110" s="8">
        <f>COUNTIFS('All Papers'!$D:$D,"*"&amp;$A1110&amp;"*",'All Papers'!$G:$G,"*"&amp;Table1[[#Headers],[Resource Management-CS]]&amp;"*")</f>
        <v>1</v>
      </c>
      <c r="H1110" s="8">
        <f>COUNTIFS('All Papers'!$D:$D,"*"&amp;$A1110&amp;"*",'All Papers'!$G:$G,"*"&amp;Table1[[#Headers],[Resource Management-PS]]&amp;"*")</f>
        <v>0</v>
      </c>
      <c r="I1110" s="8">
        <f>COUNTIFS('All Papers'!$D:$D,"*"&amp;$A1110&amp;"*",'All Papers'!$G:$G,"*"&amp;Table1[[#Headers],[SLA Management]]&amp;"*")</f>
        <v>0</v>
      </c>
      <c r="J1110" s="8">
        <f>COUNTIFS('All Papers'!$D:$D,"*"&amp;$A1110&amp;"*",'All Papers'!$G:$G,"*"&amp;Table1[[#Headers],[Big Data]]&amp;"*")</f>
        <v>0</v>
      </c>
      <c r="K1110" s="8">
        <f>COUNTIFS('All Papers'!$D:$D,"*"&amp;$A1110&amp;"*",'All Papers'!$G:$G,"*"&amp;Table1[[#Headers],[Energy Management]]&amp;"*")</f>
        <v>0</v>
      </c>
      <c r="L1110" s="8">
        <f>COUNTIFS('All Papers'!$D:$D,"*"&amp;$A1110&amp;"*",'All Papers'!$G:$G,"*"&amp;Table1[[#Headers],[Monitoring]]&amp;"*")</f>
        <v>0</v>
      </c>
      <c r="M1110" s="8">
        <f>COUNTIFS('All Papers'!$D:$D,"*"&amp;$A1110&amp;"*",'All Papers'!$G:$G,"*"&amp;Table1[[#Headers],[Pricing]]&amp;"*")</f>
        <v>0</v>
      </c>
    </row>
    <row r="1111" spans="1:13" x14ac:dyDescent="0.25">
      <c r="A1111" s="8" t="s">
        <v>3544</v>
      </c>
      <c r="B1111" s="8">
        <f>COUNTIF('All Papers'!D:D,"*"&amp;Table1[[#This Row],[Name]]&amp;"*")</f>
        <v>1</v>
      </c>
      <c r="C1111" s="8">
        <f>COUNTIFS('All Papers'!$D:$D,"*"&amp;$A1111&amp;"*",'All Papers'!$G:$G,"*"&amp;Table1[[#Headers],[Composition]]&amp;"*")</f>
        <v>0</v>
      </c>
      <c r="D1111" s="8">
        <f>COUNTIFS('All Papers'!$D:$D,"*"&amp;$A1111&amp;"*",'All Papers'!$G:$G,"*"&amp;Table1[[#Headers],[Discovery]]&amp;"*")</f>
        <v>0</v>
      </c>
      <c r="E1111" s="8">
        <f>COUNTIFS('All Papers'!$D:$D,"*"&amp;$A1111&amp;"*",'All Papers'!$G:$G,"*"&amp;Table1[[#Headers],[Selection]]&amp;"*")</f>
        <v>0</v>
      </c>
      <c r="F1111" s="8">
        <f>COUNTIFS('All Papers'!$D:$D,"*"&amp;$A1111&amp;"*",'All Papers'!$G:$G,"*"&amp;Table1[[#Headers],[Recommendation]]&amp;"*")</f>
        <v>0</v>
      </c>
      <c r="G1111" s="8">
        <f>COUNTIFS('All Papers'!$D:$D,"*"&amp;$A1111&amp;"*",'All Papers'!$G:$G,"*"&amp;Table1[[#Headers],[Resource Management-CS]]&amp;"*")</f>
        <v>1</v>
      </c>
      <c r="H1111" s="8">
        <f>COUNTIFS('All Papers'!$D:$D,"*"&amp;$A1111&amp;"*",'All Papers'!$G:$G,"*"&amp;Table1[[#Headers],[Resource Management-PS]]&amp;"*")</f>
        <v>0</v>
      </c>
      <c r="I1111" s="8">
        <f>COUNTIFS('All Papers'!$D:$D,"*"&amp;$A1111&amp;"*",'All Papers'!$G:$G,"*"&amp;Table1[[#Headers],[SLA Management]]&amp;"*")</f>
        <v>0</v>
      </c>
      <c r="J1111" s="8">
        <f>COUNTIFS('All Papers'!$D:$D,"*"&amp;$A1111&amp;"*",'All Papers'!$G:$G,"*"&amp;Table1[[#Headers],[Big Data]]&amp;"*")</f>
        <v>0</v>
      </c>
      <c r="K1111" s="8">
        <f>COUNTIFS('All Papers'!$D:$D,"*"&amp;$A1111&amp;"*",'All Papers'!$G:$G,"*"&amp;Table1[[#Headers],[Energy Management]]&amp;"*")</f>
        <v>0</v>
      </c>
      <c r="L1111" s="8">
        <f>COUNTIFS('All Papers'!$D:$D,"*"&amp;$A1111&amp;"*",'All Papers'!$G:$G,"*"&amp;Table1[[#Headers],[Monitoring]]&amp;"*")</f>
        <v>0</v>
      </c>
      <c r="M1111" s="8">
        <f>COUNTIFS('All Papers'!$D:$D,"*"&amp;$A1111&amp;"*",'All Papers'!$G:$G,"*"&amp;Table1[[#Headers],[Pricing]]&amp;"*")</f>
        <v>0</v>
      </c>
    </row>
    <row r="1112" spans="1:13" x14ac:dyDescent="0.25">
      <c r="A1112" s="8" t="s">
        <v>3545</v>
      </c>
      <c r="B1112" s="8">
        <f>COUNTIF('All Papers'!D:D,"*"&amp;Table1[[#This Row],[Name]]&amp;"*")</f>
        <v>1</v>
      </c>
      <c r="C1112" s="8">
        <f>COUNTIFS('All Papers'!$D:$D,"*"&amp;$A1112&amp;"*",'All Papers'!$G:$G,"*"&amp;Table1[[#Headers],[Composition]]&amp;"*")</f>
        <v>0</v>
      </c>
      <c r="D1112" s="8">
        <f>COUNTIFS('All Papers'!$D:$D,"*"&amp;$A1112&amp;"*",'All Papers'!$G:$G,"*"&amp;Table1[[#Headers],[Discovery]]&amp;"*")</f>
        <v>0</v>
      </c>
      <c r="E1112" s="8">
        <f>COUNTIFS('All Papers'!$D:$D,"*"&amp;$A1112&amp;"*",'All Papers'!$G:$G,"*"&amp;Table1[[#Headers],[Selection]]&amp;"*")</f>
        <v>1</v>
      </c>
      <c r="F1112" s="8">
        <f>COUNTIFS('All Papers'!$D:$D,"*"&amp;$A1112&amp;"*",'All Papers'!$G:$G,"*"&amp;Table1[[#Headers],[Recommendation]]&amp;"*")</f>
        <v>0</v>
      </c>
      <c r="G1112" s="8">
        <f>COUNTIFS('All Papers'!$D:$D,"*"&amp;$A1112&amp;"*",'All Papers'!$G:$G,"*"&amp;Table1[[#Headers],[Resource Management-CS]]&amp;"*")</f>
        <v>0</v>
      </c>
      <c r="H1112" s="8">
        <f>COUNTIFS('All Papers'!$D:$D,"*"&amp;$A1112&amp;"*",'All Papers'!$G:$G,"*"&amp;Table1[[#Headers],[Resource Management-PS]]&amp;"*")</f>
        <v>0</v>
      </c>
      <c r="I1112" s="8">
        <f>COUNTIFS('All Papers'!$D:$D,"*"&amp;$A1112&amp;"*",'All Papers'!$G:$G,"*"&amp;Table1[[#Headers],[SLA Management]]&amp;"*")</f>
        <v>1</v>
      </c>
      <c r="J1112" s="8">
        <f>COUNTIFS('All Papers'!$D:$D,"*"&amp;$A1112&amp;"*",'All Papers'!$G:$G,"*"&amp;Table1[[#Headers],[Big Data]]&amp;"*")</f>
        <v>0</v>
      </c>
      <c r="K1112" s="8">
        <f>COUNTIFS('All Papers'!$D:$D,"*"&amp;$A1112&amp;"*",'All Papers'!$G:$G,"*"&amp;Table1[[#Headers],[Energy Management]]&amp;"*")</f>
        <v>0</v>
      </c>
      <c r="L1112" s="8">
        <f>COUNTIFS('All Papers'!$D:$D,"*"&amp;$A1112&amp;"*",'All Papers'!$G:$G,"*"&amp;Table1[[#Headers],[Monitoring]]&amp;"*")</f>
        <v>0</v>
      </c>
      <c r="M1112" s="8">
        <f>COUNTIFS('All Papers'!$D:$D,"*"&amp;$A1112&amp;"*",'All Papers'!$G:$G,"*"&amp;Table1[[#Headers],[Pricing]]&amp;"*")</f>
        <v>0</v>
      </c>
    </row>
    <row r="1113" spans="1:13" x14ac:dyDescent="0.25">
      <c r="A1113" s="8" t="s">
        <v>3546</v>
      </c>
      <c r="B1113" s="8">
        <f>COUNTIF('All Papers'!D:D,"*"&amp;Table1[[#This Row],[Name]]&amp;"*")</f>
        <v>1</v>
      </c>
      <c r="C1113" s="8">
        <f>COUNTIFS('All Papers'!$D:$D,"*"&amp;$A1113&amp;"*",'All Papers'!$G:$G,"*"&amp;Table1[[#Headers],[Composition]]&amp;"*")</f>
        <v>0</v>
      </c>
      <c r="D1113" s="8">
        <f>COUNTIFS('All Papers'!$D:$D,"*"&amp;$A1113&amp;"*",'All Papers'!$G:$G,"*"&amp;Table1[[#Headers],[Discovery]]&amp;"*")</f>
        <v>0</v>
      </c>
      <c r="E1113" s="8">
        <f>COUNTIFS('All Papers'!$D:$D,"*"&amp;$A1113&amp;"*",'All Papers'!$G:$G,"*"&amp;Table1[[#Headers],[Selection]]&amp;"*")</f>
        <v>1</v>
      </c>
      <c r="F1113" s="8">
        <f>COUNTIFS('All Papers'!$D:$D,"*"&amp;$A1113&amp;"*",'All Papers'!$G:$G,"*"&amp;Table1[[#Headers],[Recommendation]]&amp;"*")</f>
        <v>0</v>
      </c>
      <c r="G1113" s="8">
        <f>COUNTIFS('All Papers'!$D:$D,"*"&amp;$A1113&amp;"*",'All Papers'!$G:$G,"*"&amp;Table1[[#Headers],[Resource Management-CS]]&amp;"*")</f>
        <v>0</v>
      </c>
      <c r="H1113" s="8">
        <f>COUNTIFS('All Papers'!$D:$D,"*"&amp;$A1113&amp;"*",'All Papers'!$G:$G,"*"&amp;Table1[[#Headers],[Resource Management-PS]]&amp;"*")</f>
        <v>0</v>
      </c>
      <c r="I1113" s="8">
        <f>COUNTIFS('All Papers'!$D:$D,"*"&amp;$A1113&amp;"*",'All Papers'!$G:$G,"*"&amp;Table1[[#Headers],[SLA Management]]&amp;"*")</f>
        <v>1</v>
      </c>
      <c r="J1113" s="8">
        <f>COUNTIFS('All Papers'!$D:$D,"*"&amp;$A1113&amp;"*",'All Papers'!$G:$G,"*"&amp;Table1[[#Headers],[Big Data]]&amp;"*")</f>
        <v>0</v>
      </c>
      <c r="K1113" s="8">
        <f>COUNTIFS('All Papers'!$D:$D,"*"&amp;$A1113&amp;"*",'All Papers'!$G:$G,"*"&amp;Table1[[#Headers],[Energy Management]]&amp;"*")</f>
        <v>0</v>
      </c>
      <c r="L1113" s="8">
        <f>COUNTIFS('All Papers'!$D:$D,"*"&amp;$A1113&amp;"*",'All Papers'!$G:$G,"*"&amp;Table1[[#Headers],[Monitoring]]&amp;"*")</f>
        <v>0</v>
      </c>
      <c r="M1113" s="8">
        <f>COUNTIFS('All Papers'!$D:$D,"*"&amp;$A1113&amp;"*",'All Papers'!$G:$G,"*"&amp;Table1[[#Headers],[Pricing]]&amp;"*")</f>
        <v>0</v>
      </c>
    </row>
    <row r="1114" spans="1:13" x14ac:dyDescent="0.25">
      <c r="A1114" s="8" t="s">
        <v>3547</v>
      </c>
      <c r="B1114" s="8">
        <f>COUNTIF('All Papers'!D:D,"*"&amp;Table1[[#This Row],[Name]]&amp;"*")</f>
        <v>1</v>
      </c>
      <c r="C1114" s="8">
        <f>COUNTIFS('All Papers'!$D:$D,"*"&amp;$A1114&amp;"*",'All Papers'!$G:$G,"*"&amp;Table1[[#Headers],[Composition]]&amp;"*")</f>
        <v>0</v>
      </c>
      <c r="D1114" s="8">
        <f>COUNTIFS('All Papers'!$D:$D,"*"&amp;$A1114&amp;"*",'All Papers'!$G:$G,"*"&amp;Table1[[#Headers],[Discovery]]&amp;"*")</f>
        <v>0</v>
      </c>
      <c r="E1114" s="8">
        <f>COUNTIFS('All Papers'!$D:$D,"*"&amp;$A1114&amp;"*",'All Papers'!$G:$G,"*"&amp;Table1[[#Headers],[Selection]]&amp;"*")</f>
        <v>0</v>
      </c>
      <c r="F1114" s="8">
        <f>COUNTIFS('All Papers'!$D:$D,"*"&amp;$A1114&amp;"*",'All Papers'!$G:$G,"*"&amp;Table1[[#Headers],[Recommendation]]&amp;"*")</f>
        <v>0</v>
      </c>
      <c r="G1114" s="8">
        <f>COUNTIFS('All Papers'!$D:$D,"*"&amp;$A1114&amp;"*",'All Papers'!$G:$G,"*"&amp;Table1[[#Headers],[Resource Management-CS]]&amp;"*")</f>
        <v>1</v>
      </c>
      <c r="H1114" s="8">
        <f>COUNTIFS('All Papers'!$D:$D,"*"&amp;$A1114&amp;"*",'All Papers'!$G:$G,"*"&amp;Table1[[#Headers],[Resource Management-PS]]&amp;"*")</f>
        <v>0</v>
      </c>
      <c r="I1114" s="8">
        <f>COUNTIFS('All Papers'!$D:$D,"*"&amp;$A1114&amp;"*",'All Papers'!$G:$G,"*"&amp;Table1[[#Headers],[SLA Management]]&amp;"*")</f>
        <v>0</v>
      </c>
      <c r="J1114" s="8">
        <f>COUNTIFS('All Papers'!$D:$D,"*"&amp;$A1114&amp;"*",'All Papers'!$G:$G,"*"&amp;Table1[[#Headers],[Big Data]]&amp;"*")</f>
        <v>0</v>
      </c>
      <c r="K1114" s="8">
        <f>COUNTIFS('All Papers'!$D:$D,"*"&amp;$A1114&amp;"*",'All Papers'!$G:$G,"*"&amp;Table1[[#Headers],[Energy Management]]&amp;"*")</f>
        <v>0</v>
      </c>
      <c r="L1114" s="8">
        <f>COUNTIFS('All Papers'!$D:$D,"*"&amp;$A1114&amp;"*",'All Papers'!$G:$G,"*"&amp;Table1[[#Headers],[Monitoring]]&amp;"*")</f>
        <v>0</v>
      </c>
      <c r="M1114" s="8">
        <f>COUNTIFS('All Papers'!$D:$D,"*"&amp;$A1114&amp;"*",'All Papers'!$G:$G,"*"&amp;Table1[[#Headers],[Pricing]]&amp;"*")</f>
        <v>0</v>
      </c>
    </row>
    <row r="1115" spans="1:13" x14ac:dyDescent="0.25">
      <c r="A1115" s="8" t="s">
        <v>3548</v>
      </c>
      <c r="B1115" s="8">
        <f>COUNTIF('All Papers'!D:D,"*"&amp;Table1[[#This Row],[Name]]&amp;"*")</f>
        <v>1</v>
      </c>
      <c r="C1115" s="8">
        <f>COUNTIFS('All Papers'!$D:$D,"*"&amp;$A1115&amp;"*",'All Papers'!$G:$G,"*"&amp;Table1[[#Headers],[Composition]]&amp;"*")</f>
        <v>0</v>
      </c>
      <c r="D1115" s="8">
        <f>COUNTIFS('All Papers'!$D:$D,"*"&amp;$A1115&amp;"*",'All Papers'!$G:$G,"*"&amp;Table1[[#Headers],[Discovery]]&amp;"*")</f>
        <v>0</v>
      </c>
      <c r="E1115" s="8">
        <f>COUNTIFS('All Papers'!$D:$D,"*"&amp;$A1115&amp;"*",'All Papers'!$G:$G,"*"&amp;Table1[[#Headers],[Selection]]&amp;"*")</f>
        <v>0</v>
      </c>
      <c r="F1115" s="8">
        <f>COUNTIFS('All Papers'!$D:$D,"*"&amp;$A1115&amp;"*",'All Papers'!$G:$G,"*"&amp;Table1[[#Headers],[Recommendation]]&amp;"*")</f>
        <v>0</v>
      </c>
      <c r="G1115" s="8">
        <f>COUNTIFS('All Papers'!$D:$D,"*"&amp;$A1115&amp;"*",'All Papers'!$G:$G,"*"&amp;Table1[[#Headers],[Resource Management-CS]]&amp;"*")</f>
        <v>1</v>
      </c>
      <c r="H1115" s="8">
        <f>COUNTIFS('All Papers'!$D:$D,"*"&amp;$A1115&amp;"*",'All Papers'!$G:$G,"*"&amp;Table1[[#Headers],[Resource Management-PS]]&amp;"*")</f>
        <v>0</v>
      </c>
      <c r="I1115" s="8">
        <f>COUNTIFS('All Papers'!$D:$D,"*"&amp;$A1115&amp;"*",'All Papers'!$G:$G,"*"&amp;Table1[[#Headers],[SLA Management]]&amp;"*")</f>
        <v>0</v>
      </c>
      <c r="J1115" s="8">
        <f>COUNTIFS('All Papers'!$D:$D,"*"&amp;$A1115&amp;"*",'All Papers'!$G:$G,"*"&amp;Table1[[#Headers],[Big Data]]&amp;"*")</f>
        <v>0</v>
      </c>
      <c r="K1115" s="8">
        <f>COUNTIFS('All Papers'!$D:$D,"*"&amp;$A1115&amp;"*",'All Papers'!$G:$G,"*"&amp;Table1[[#Headers],[Energy Management]]&amp;"*")</f>
        <v>0</v>
      </c>
      <c r="L1115" s="8">
        <f>COUNTIFS('All Papers'!$D:$D,"*"&amp;$A1115&amp;"*",'All Papers'!$G:$G,"*"&amp;Table1[[#Headers],[Monitoring]]&amp;"*")</f>
        <v>0</v>
      </c>
      <c r="M1115" s="8">
        <f>COUNTIFS('All Papers'!$D:$D,"*"&amp;$A1115&amp;"*",'All Papers'!$G:$G,"*"&amp;Table1[[#Headers],[Pricing]]&amp;"*")</f>
        <v>0</v>
      </c>
    </row>
    <row r="1116" spans="1:13" x14ac:dyDescent="0.25">
      <c r="A1116" s="8" t="s">
        <v>3549</v>
      </c>
      <c r="B1116" s="8">
        <f>COUNTIF('All Papers'!D:D,"*"&amp;Table1[[#This Row],[Name]]&amp;"*")</f>
        <v>1</v>
      </c>
      <c r="C1116" s="8">
        <f>COUNTIFS('All Papers'!$D:$D,"*"&amp;$A1116&amp;"*",'All Papers'!$G:$G,"*"&amp;Table1[[#Headers],[Composition]]&amp;"*")</f>
        <v>0</v>
      </c>
      <c r="D1116" s="8">
        <f>COUNTIFS('All Papers'!$D:$D,"*"&amp;$A1116&amp;"*",'All Papers'!$G:$G,"*"&amp;Table1[[#Headers],[Discovery]]&amp;"*")</f>
        <v>0</v>
      </c>
      <c r="E1116" s="8">
        <f>COUNTIFS('All Papers'!$D:$D,"*"&amp;$A1116&amp;"*",'All Papers'!$G:$G,"*"&amp;Table1[[#Headers],[Selection]]&amp;"*")</f>
        <v>0</v>
      </c>
      <c r="F1116" s="8">
        <f>COUNTIFS('All Papers'!$D:$D,"*"&amp;$A1116&amp;"*",'All Papers'!$G:$G,"*"&amp;Table1[[#Headers],[Recommendation]]&amp;"*")</f>
        <v>0</v>
      </c>
      <c r="G1116" s="8">
        <f>COUNTIFS('All Papers'!$D:$D,"*"&amp;$A1116&amp;"*",'All Papers'!$G:$G,"*"&amp;Table1[[#Headers],[Resource Management-CS]]&amp;"*")</f>
        <v>1</v>
      </c>
      <c r="H1116" s="8">
        <f>COUNTIFS('All Papers'!$D:$D,"*"&amp;$A1116&amp;"*",'All Papers'!$G:$G,"*"&amp;Table1[[#Headers],[Resource Management-PS]]&amp;"*")</f>
        <v>0</v>
      </c>
      <c r="I1116" s="8">
        <f>COUNTIFS('All Papers'!$D:$D,"*"&amp;$A1116&amp;"*",'All Papers'!$G:$G,"*"&amp;Table1[[#Headers],[SLA Management]]&amp;"*")</f>
        <v>0</v>
      </c>
      <c r="J1116" s="8">
        <f>COUNTIFS('All Papers'!$D:$D,"*"&amp;$A1116&amp;"*",'All Papers'!$G:$G,"*"&amp;Table1[[#Headers],[Big Data]]&amp;"*")</f>
        <v>0</v>
      </c>
      <c r="K1116" s="8">
        <f>COUNTIFS('All Papers'!$D:$D,"*"&amp;$A1116&amp;"*",'All Papers'!$G:$G,"*"&amp;Table1[[#Headers],[Energy Management]]&amp;"*")</f>
        <v>0</v>
      </c>
      <c r="L1116" s="8">
        <f>COUNTIFS('All Papers'!$D:$D,"*"&amp;$A1116&amp;"*",'All Papers'!$G:$G,"*"&amp;Table1[[#Headers],[Monitoring]]&amp;"*")</f>
        <v>0</v>
      </c>
      <c r="M1116" s="8">
        <f>COUNTIFS('All Papers'!$D:$D,"*"&amp;$A1116&amp;"*",'All Papers'!$G:$G,"*"&amp;Table1[[#Headers],[Pricing]]&amp;"*")</f>
        <v>0</v>
      </c>
    </row>
    <row r="1117" spans="1:13" x14ac:dyDescent="0.25">
      <c r="A1117" s="8" t="s">
        <v>3550</v>
      </c>
      <c r="B1117" s="8">
        <f>COUNTIF('All Papers'!D:D,"*"&amp;Table1[[#This Row],[Name]]&amp;"*")</f>
        <v>1</v>
      </c>
      <c r="C1117" s="8">
        <f>COUNTIFS('All Papers'!$D:$D,"*"&amp;$A1117&amp;"*",'All Papers'!$G:$G,"*"&amp;Table1[[#Headers],[Composition]]&amp;"*")</f>
        <v>1</v>
      </c>
      <c r="D1117" s="8">
        <f>COUNTIFS('All Papers'!$D:$D,"*"&amp;$A1117&amp;"*",'All Papers'!$G:$G,"*"&amp;Table1[[#Headers],[Discovery]]&amp;"*")</f>
        <v>1</v>
      </c>
      <c r="E1117" s="8">
        <f>COUNTIFS('All Papers'!$D:$D,"*"&amp;$A1117&amp;"*",'All Papers'!$G:$G,"*"&amp;Table1[[#Headers],[Selection]]&amp;"*")</f>
        <v>0</v>
      </c>
      <c r="F1117" s="8">
        <f>COUNTIFS('All Papers'!$D:$D,"*"&amp;$A1117&amp;"*",'All Papers'!$G:$G,"*"&amp;Table1[[#Headers],[Recommendation]]&amp;"*")</f>
        <v>0</v>
      </c>
      <c r="G1117" s="8">
        <f>COUNTIFS('All Papers'!$D:$D,"*"&amp;$A1117&amp;"*",'All Papers'!$G:$G,"*"&amp;Table1[[#Headers],[Resource Management-CS]]&amp;"*")</f>
        <v>0</v>
      </c>
      <c r="H1117" s="8">
        <f>COUNTIFS('All Papers'!$D:$D,"*"&amp;$A1117&amp;"*",'All Papers'!$G:$G,"*"&amp;Table1[[#Headers],[Resource Management-PS]]&amp;"*")</f>
        <v>0</v>
      </c>
      <c r="I1117" s="8">
        <f>COUNTIFS('All Papers'!$D:$D,"*"&amp;$A1117&amp;"*",'All Papers'!$G:$G,"*"&amp;Table1[[#Headers],[SLA Management]]&amp;"*")</f>
        <v>0</v>
      </c>
      <c r="J1117" s="8">
        <f>COUNTIFS('All Papers'!$D:$D,"*"&amp;$A1117&amp;"*",'All Papers'!$G:$G,"*"&amp;Table1[[#Headers],[Big Data]]&amp;"*")</f>
        <v>0</v>
      </c>
      <c r="K1117" s="8">
        <f>COUNTIFS('All Papers'!$D:$D,"*"&amp;$A1117&amp;"*",'All Papers'!$G:$G,"*"&amp;Table1[[#Headers],[Energy Management]]&amp;"*")</f>
        <v>0</v>
      </c>
      <c r="L1117" s="8">
        <f>COUNTIFS('All Papers'!$D:$D,"*"&amp;$A1117&amp;"*",'All Papers'!$G:$G,"*"&amp;Table1[[#Headers],[Monitoring]]&amp;"*")</f>
        <v>0</v>
      </c>
      <c r="M1117" s="8">
        <f>COUNTIFS('All Papers'!$D:$D,"*"&amp;$A1117&amp;"*",'All Papers'!$G:$G,"*"&amp;Table1[[#Headers],[Pricing]]&amp;"*")</f>
        <v>0</v>
      </c>
    </row>
    <row r="1118" spans="1:13" x14ac:dyDescent="0.25">
      <c r="A1118" s="8" t="s">
        <v>3551</v>
      </c>
      <c r="B1118" s="8">
        <f>COUNTIF('All Papers'!D:D,"*"&amp;Table1[[#This Row],[Name]]&amp;"*")</f>
        <v>1</v>
      </c>
      <c r="C1118" s="8">
        <f>COUNTIFS('All Papers'!$D:$D,"*"&amp;$A1118&amp;"*",'All Papers'!$G:$G,"*"&amp;Table1[[#Headers],[Composition]]&amp;"*")</f>
        <v>1</v>
      </c>
      <c r="D1118" s="8">
        <f>COUNTIFS('All Papers'!$D:$D,"*"&amp;$A1118&amp;"*",'All Papers'!$G:$G,"*"&amp;Table1[[#Headers],[Discovery]]&amp;"*")</f>
        <v>1</v>
      </c>
      <c r="E1118" s="8">
        <f>COUNTIFS('All Papers'!$D:$D,"*"&amp;$A1118&amp;"*",'All Papers'!$G:$G,"*"&amp;Table1[[#Headers],[Selection]]&amp;"*")</f>
        <v>0</v>
      </c>
      <c r="F1118" s="8">
        <f>COUNTIFS('All Papers'!$D:$D,"*"&amp;$A1118&amp;"*",'All Papers'!$G:$G,"*"&amp;Table1[[#Headers],[Recommendation]]&amp;"*")</f>
        <v>0</v>
      </c>
      <c r="G1118" s="8">
        <f>COUNTIFS('All Papers'!$D:$D,"*"&amp;$A1118&amp;"*",'All Papers'!$G:$G,"*"&amp;Table1[[#Headers],[Resource Management-CS]]&amp;"*")</f>
        <v>0</v>
      </c>
      <c r="H1118" s="8">
        <f>COUNTIFS('All Papers'!$D:$D,"*"&amp;$A1118&amp;"*",'All Papers'!$G:$G,"*"&amp;Table1[[#Headers],[Resource Management-PS]]&amp;"*")</f>
        <v>0</v>
      </c>
      <c r="I1118" s="8">
        <f>COUNTIFS('All Papers'!$D:$D,"*"&amp;$A1118&amp;"*",'All Papers'!$G:$G,"*"&amp;Table1[[#Headers],[SLA Management]]&amp;"*")</f>
        <v>0</v>
      </c>
      <c r="J1118" s="8">
        <f>COUNTIFS('All Papers'!$D:$D,"*"&amp;$A1118&amp;"*",'All Papers'!$G:$G,"*"&amp;Table1[[#Headers],[Big Data]]&amp;"*")</f>
        <v>0</v>
      </c>
      <c r="K1118" s="8">
        <f>COUNTIFS('All Papers'!$D:$D,"*"&amp;$A1118&amp;"*",'All Papers'!$G:$G,"*"&amp;Table1[[#Headers],[Energy Management]]&amp;"*")</f>
        <v>0</v>
      </c>
      <c r="L1118" s="8">
        <f>COUNTIFS('All Papers'!$D:$D,"*"&amp;$A1118&amp;"*",'All Papers'!$G:$G,"*"&amp;Table1[[#Headers],[Monitoring]]&amp;"*")</f>
        <v>0</v>
      </c>
      <c r="M1118" s="8">
        <f>COUNTIFS('All Papers'!$D:$D,"*"&amp;$A1118&amp;"*",'All Papers'!$G:$G,"*"&amp;Table1[[#Headers],[Pricing]]&amp;"*")</f>
        <v>0</v>
      </c>
    </row>
    <row r="1119" spans="1:13" x14ac:dyDescent="0.25">
      <c r="A1119" s="8" t="s">
        <v>3552</v>
      </c>
      <c r="B1119" s="8">
        <f>COUNTIF('All Papers'!D:D,"*"&amp;Table1[[#This Row],[Name]]&amp;"*")</f>
        <v>1</v>
      </c>
      <c r="C1119" s="8">
        <f>COUNTIFS('All Papers'!$D:$D,"*"&amp;$A1119&amp;"*",'All Papers'!$G:$G,"*"&amp;Table1[[#Headers],[Composition]]&amp;"*")</f>
        <v>1</v>
      </c>
      <c r="D1119" s="8">
        <f>COUNTIFS('All Papers'!$D:$D,"*"&amp;$A1119&amp;"*",'All Papers'!$G:$G,"*"&amp;Table1[[#Headers],[Discovery]]&amp;"*")</f>
        <v>1</v>
      </c>
      <c r="E1119" s="8">
        <f>COUNTIFS('All Papers'!$D:$D,"*"&amp;$A1119&amp;"*",'All Papers'!$G:$G,"*"&amp;Table1[[#Headers],[Selection]]&amp;"*")</f>
        <v>0</v>
      </c>
      <c r="F1119" s="8">
        <f>COUNTIFS('All Papers'!$D:$D,"*"&amp;$A1119&amp;"*",'All Papers'!$G:$G,"*"&amp;Table1[[#Headers],[Recommendation]]&amp;"*")</f>
        <v>0</v>
      </c>
      <c r="G1119" s="8">
        <f>COUNTIFS('All Papers'!$D:$D,"*"&amp;$A1119&amp;"*",'All Papers'!$G:$G,"*"&amp;Table1[[#Headers],[Resource Management-CS]]&amp;"*")</f>
        <v>0</v>
      </c>
      <c r="H1119" s="8">
        <f>COUNTIFS('All Papers'!$D:$D,"*"&amp;$A1119&amp;"*",'All Papers'!$G:$G,"*"&amp;Table1[[#Headers],[Resource Management-PS]]&amp;"*")</f>
        <v>0</v>
      </c>
      <c r="I1119" s="8">
        <f>COUNTIFS('All Papers'!$D:$D,"*"&amp;$A1119&amp;"*",'All Papers'!$G:$G,"*"&amp;Table1[[#Headers],[SLA Management]]&amp;"*")</f>
        <v>0</v>
      </c>
      <c r="J1119" s="8">
        <f>COUNTIFS('All Papers'!$D:$D,"*"&amp;$A1119&amp;"*",'All Papers'!$G:$G,"*"&amp;Table1[[#Headers],[Big Data]]&amp;"*")</f>
        <v>0</v>
      </c>
      <c r="K1119" s="8">
        <f>COUNTIFS('All Papers'!$D:$D,"*"&amp;$A1119&amp;"*",'All Papers'!$G:$G,"*"&amp;Table1[[#Headers],[Energy Management]]&amp;"*")</f>
        <v>0</v>
      </c>
      <c r="L1119" s="8">
        <f>COUNTIFS('All Papers'!$D:$D,"*"&amp;$A1119&amp;"*",'All Papers'!$G:$G,"*"&amp;Table1[[#Headers],[Monitoring]]&amp;"*")</f>
        <v>0</v>
      </c>
      <c r="M1119" s="8">
        <f>COUNTIFS('All Papers'!$D:$D,"*"&amp;$A1119&amp;"*",'All Papers'!$G:$G,"*"&amp;Table1[[#Headers],[Pricing]]&amp;"*")</f>
        <v>0</v>
      </c>
    </row>
    <row r="1120" spans="1:13" x14ac:dyDescent="0.25">
      <c r="A1120" s="8" t="s">
        <v>3553</v>
      </c>
      <c r="B1120" s="8">
        <f>COUNTIF('All Papers'!D:D,"*"&amp;Table1[[#This Row],[Name]]&amp;"*")</f>
        <v>1</v>
      </c>
      <c r="C1120" s="8">
        <f>COUNTIFS('All Papers'!$D:$D,"*"&amp;$A1120&amp;"*",'All Papers'!$G:$G,"*"&amp;Table1[[#Headers],[Composition]]&amp;"*")</f>
        <v>0</v>
      </c>
      <c r="D1120" s="8">
        <f>COUNTIFS('All Papers'!$D:$D,"*"&amp;$A1120&amp;"*",'All Papers'!$G:$G,"*"&amp;Table1[[#Headers],[Discovery]]&amp;"*")</f>
        <v>0</v>
      </c>
      <c r="E1120" s="8">
        <f>COUNTIFS('All Papers'!$D:$D,"*"&amp;$A1120&amp;"*",'All Papers'!$G:$G,"*"&amp;Table1[[#Headers],[Selection]]&amp;"*")</f>
        <v>1</v>
      </c>
      <c r="F1120" s="8">
        <f>COUNTIFS('All Papers'!$D:$D,"*"&amp;$A1120&amp;"*",'All Papers'!$G:$G,"*"&amp;Table1[[#Headers],[Recommendation]]&amp;"*")</f>
        <v>0</v>
      </c>
      <c r="G1120" s="8">
        <f>COUNTIFS('All Papers'!$D:$D,"*"&amp;$A1120&amp;"*",'All Papers'!$G:$G,"*"&amp;Table1[[#Headers],[Resource Management-CS]]&amp;"*")</f>
        <v>0</v>
      </c>
      <c r="H1120" s="8">
        <f>COUNTIFS('All Papers'!$D:$D,"*"&amp;$A1120&amp;"*",'All Papers'!$G:$G,"*"&amp;Table1[[#Headers],[Resource Management-PS]]&amp;"*")</f>
        <v>0</v>
      </c>
      <c r="I1120" s="8">
        <f>COUNTIFS('All Papers'!$D:$D,"*"&amp;$A1120&amp;"*",'All Papers'!$G:$G,"*"&amp;Table1[[#Headers],[SLA Management]]&amp;"*")</f>
        <v>0</v>
      </c>
      <c r="J1120" s="8">
        <f>COUNTIFS('All Papers'!$D:$D,"*"&amp;$A1120&amp;"*",'All Papers'!$G:$G,"*"&amp;Table1[[#Headers],[Big Data]]&amp;"*")</f>
        <v>0</v>
      </c>
      <c r="K1120" s="8">
        <f>COUNTIFS('All Papers'!$D:$D,"*"&amp;$A1120&amp;"*",'All Papers'!$G:$G,"*"&amp;Table1[[#Headers],[Energy Management]]&amp;"*")</f>
        <v>0</v>
      </c>
      <c r="L1120" s="8">
        <f>COUNTIFS('All Papers'!$D:$D,"*"&amp;$A1120&amp;"*",'All Papers'!$G:$G,"*"&amp;Table1[[#Headers],[Monitoring]]&amp;"*")</f>
        <v>0</v>
      </c>
      <c r="M1120" s="8">
        <f>COUNTIFS('All Papers'!$D:$D,"*"&amp;$A1120&amp;"*",'All Papers'!$G:$G,"*"&amp;Table1[[#Headers],[Pricing]]&amp;"*")</f>
        <v>0</v>
      </c>
    </row>
    <row r="1121" spans="1:13" x14ac:dyDescent="0.25">
      <c r="A1121" s="8" t="s">
        <v>3554</v>
      </c>
      <c r="B1121" s="8">
        <f>COUNTIF('All Papers'!D:D,"*"&amp;Table1[[#This Row],[Name]]&amp;"*")</f>
        <v>1</v>
      </c>
      <c r="C1121" s="8">
        <f>COUNTIFS('All Papers'!$D:$D,"*"&amp;$A1121&amp;"*",'All Papers'!$G:$G,"*"&amp;Table1[[#Headers],[Composition]]&amp;"*")</f>
        <v>0</v>
      </c>
      <c r="D1121" s="8">
        <f>COUNTIFS('All Papers'!$D:$D,"*"&amp;$A1121&amp;"*",'All Papers'!$G:$G,"*"&amp;Table1[[#Headers],[Discovery]]&amp;"*")</f>
        <v>0</v>
      </c>
      <c r="E1121" s="8">
        <f>COUNTIFS('All Papers'!$D:$D,"*"&amp;$A1121&amp;"*",'All Papers'!$G:$G,"*"&amp;Table1[[#Headers],[Selection]]&amp;"*")</f>
        <v>1</v>
      </c>
      <c r="F1121" s="8">
        <f>COUNTIFS('All Papers'!$D:$D,"*"&amp;$A1121&amp;"*",'All Papers'!$G:$G,"*"&amp;Table1[[#Headers],[Recommendation]]&amp;"*")</f>
        <v>0</v>
      </c>
      <c r="G1121" s="8">
        <f>COUNTIFS('All Papers'!$D:$D,"*"&amp;$A1121&amp;"*",'All Papers'!$G:$G,"*"&amp;Table1[[#Headers],[Resource Management-CS]]&amp;"*")</f>
        <v>0</v>
      </c>
      <c r="H1121" s="8">
        <f>COUNTIFS('All Papers'!$D:$D,"*"&amp;$A1121&amp;"*",'All Papers'!$G:$G,"*"&amp;Table1[[#Headers],[Resource Management-PS]]&amp;"*")</f>
        <v>0</v>
      </c>
      <c r="I1121" s="8">
        <f>COUNTIFS('All Papers'!$D:$D,"*"&amp;$A1121&amp;"*",'All Papers'!$G:$G,"*"&amp;Table1[[#Headers],[SLA Management]]&amp;"*")</f>
        <v>0</v>
      </c>
      <c r="J1121" s="8">
        <f>COUNTIFS('All Papers'!$D:$D,"*"&amp;$A1121&amp;"*",'All Papers'!$G:$G,"*"&amp;Table1[[#Headers],[Big Data]]&amp;"*")</f>
        <v>0</v>
      </c>
      <c r="K1121" s="8">
        <f>COUNTIFS('All Papers'!$D:$D,"*"&amp;$A1121&amp;"*",'All Papers'!$G:$G,"*"&amp;Table1[[#Headers],[Energy Management]]&amp;"*")</f>
        <v>0</v>
      </c>
      <c r="L1121" s="8">
        <f>COUNTIFS('All Papers'!$D:$D,"*"&amp;$A1121&amp;"*",'All Papers'!$G:$G,"*"&amp;Table1[[#Headers],[Monitoring]]&amp;"*")</f>
        <v>0</v>
      </c>
      <c r="M1121" s="8">
        <f>COUNTIFS('All Papers'!$D:$D,"*"&amp;$A1121&amp;"*",'All Papers'!$G:$G,"*"&amp;Table1[[#Headers],[Pricing]]&amp;"*")</f>
        <v>0</v>
      </c>
    </row>
    <row r="1122" spans="1:13" x14ac:dyDescent="0.25">
      <c r="A1122" s="8" t="s">
        <v>3555</v>
      </c>
      <c r="B1122" s="8">
        <f>COUNTIF('All Papers'!D:D,"*"&amp;Table1[[#This Row],[Name]]&amp;"*")</f>
        <v>1</v>
      </c>
      <c r="C1122" s="8">
        <f>COUNTIFS('All Papers'!$D:$D,"*"&amp;$A1122&amp;"*",'All Papers'!$G:$G,"*"&amp;Table1[[#Headers],[Composition]]&amp;"*")</f>
        <v>0</v>
      </c>
      <c r="D1122" s="8">
        <f>COUNTIFS('All Papers'!$D:$D,"*"&amp;$A1122&amp;"*",'All Papers'!$G:$G,"*"&amp;Table1[[#Headers],[Discovery]]&amp;"*")</f>
        <v>0</v>
      </c>
      <c r="E1122" s="8">
        <f>COUNTIFS('All Papers'!$D:$D,"*"&amp;$A1122&amp;"*",'All Papers'!$G:$G,"*"&amp;Table1[[#Headers],[Selection]]&amp;"*")</f>
        <v>1</v>
      </c>
      <c r="F1122" s="8">
        <f>COUNTIFS('All Papers'!$D:$D,"*"&amp;$A1122&amp;"*",'All Papers'!$G:$G,"*"&amp;Table1[[#Headers],[Recommendation]]&amp;"*")</f>
        <v>0</v>
      </c>
      <c r="G1122" s="8">
        <f>COUNTIFS('All Papers'!$D:$D,"*"&amp;$A1122&amp;"*",'All Papers'!$G:$G,"*"&amp;Table1[[#Headers],[Resource Management-CS]]&amp;"*")</f>
        <v>0</v>
      </c>
      <c r="H1122" s="8">
        <f>COUNTIFS('All Papers'!$D:$D,"*"&amp;$A1122&amp;"*",'All Papers'!$G:$G,"*"&amp;Table1[[#Headers],[Resource Management-PS]]&amp;"*")</f>
        <v>0</v>
      </c>
      <c r="I1122" s="8">
        <f>COUNTIFS('All Papers'!$D:$D,"*"&amp;$A1122&amp;"*",'All Papers'!$G:$G,"*"&amp;Table1[[#Headers],[SLA Management]]&amp;"*")</f>
        <v>0</v>
      </c>
      <c r="J1122" s="8">
        <f>COUNTIFS('All Papers'!$D:$D,"*"&amp;$A1122&amp;"*",'All Papers'!$G:$G,"*"&amp;Table1[[#Headers],[Big Data]]&amp;"*")</f>
        <v>0</v>
      </c>
      <c r="K1122" s="8">
        <f>COUNTIFS('All Papers'!$D:$D,"*"&amp;$A1122&amp;"*",'All Papers'!$G:$G,"*"&amp;Table1[[#Headers],[Energy Management]]&amp;"*")</f>
        <v>0</v>
      </c>
      <c r="L1122" s="8">
        <f>COUNTIFS('All Papers'!$D:$D,"*"&amp;$A1122&amp;"*",'All Papers'!$G:$G,"*"&amp;Table1[[#Headers],[Monitoring]]&amp;"*")</f>
        <v>0</v>
      </c>
      <c r="M1122" s="8">
        <f>COUNTIFS('All Papers'!$D:$D,"*"&amp;$A1122&amp;"*",'All Papers'!$G:$G,"*"&amp;Table1[[#Headers],[Pricing]]&amp;"*")</f>
        <v>0</v>
      </c>
    </row>
    <row r="1123" spans="1:13" x14ac:dyDescent="0.25">
      <c r="A1123" s="8" t="s">
        <v>3556</v>
      </c>
      <c r="B1123" s="8">
        <f>COUNTIF('All Papers'!D:D,"*"&amp;Table1[[#This Row],[Name]]&amp;"*")</f>
        <v>1</v>
      </c>
      <c r="C1123" s="8">
        <f>COUNTIFS('All Papers'!$D:$D,"*"&amp;$A1123&amp;"*",'All Papers'!$G:$G,"*"&amp;Table1[[#Headers],[Composition]]&amp;"*")</f>
        <v>0</v>
      </c>
      <c r="D1123" s="8">
        <f>COUNTIFS('All Papers'!$D:$D,"*"&amp;$A1123&amp;"*",'All Papers'!$G:$G,"*"&amp;Table1[[#Headers],[Discovery]]&amp;"*")</f>
        <v>0</v>
      </c>
      <c r="E1123" s="8">
        <f>COUNTIFS('All Papers'!$D:$D,"*"&amp;$A1123&amp;"*",'All Papers'!$G:$G,"*"&amp;Table1[[#Headers],[Selection]]&amp;"*")</f>
        <v>1</v>
      </c>
      <c r="F1123" s="8">
        <f>COUNTIFS('All Papers'!$D:$D,"*"&amp;$A1123&amp;"*",'All Papers'!$G:$G,"*"&amp;Table1[[#Headers],[Recommendation]]&amp;"*")</f>
        <v>0</v>
      </c>
      <c r="G1123" s="8">
        <f>COUNTIFS('All Papers'!$D:$D,"*"&amp;$A1123&amp;"*",'All Papers'!$G:$G,"*"&amp;Table1[[#Headers],[Resource Management-CS]]&amp;"*")</f>
        <v>0</v>
      </c>
      <c r="H1123" s="8">
        <f>COUNTIFS('All Papers'!$D:$D,"*"&amp;$A1123&amp;"*",'All Papers'!$G:$G,"*"&amp;Table1[[#Headers],[Resource Management-PS]]&amp;"*")</f>
        <v>0</v>
      </c>
      <c r="I1123" s="8">
        <f>COUNTIFS('All Papers'!$D:$D,"*"&amp;$A1123&amp;"*",'All Papers'!$G:$G,"*"&amp;Table1[[#Headers],[SLA Management]]&amp;"*")</f>
        <v>0</v>
      </c>
      <c r="J1123" s="8">
        <f>COUNTIFS('All Papers'!$D:$D,"*"&amp;$A1123&amp;"*",'All Papers'!$G:$G,"*"&amp;Table1[[#Headers],[Big Data]]&amp;"*")</f>
        <v>0</v>
      </c>
      <c r="K1123" s="8">
        <f>COUNTIFS('All Papers'!$D:$D,"*"&amp;$A1123&amp;"*",'All Papers'!$G:$G,"*"&amp;Table1[[#Headers],[Energy Management]]&amp;"*")</f>
        <v>0</v>
      </c>
      <c r="L1123" s="8">
        <f>COUNTIFS('All Papers'!$D:$D,"*"&amp;$A1123&amp;"*",'All Papers'!$G:$G,"*"&amp;Table1[[#Headers],[Monitoring]]&amp;"*")</f>
        <v>0</v>
      </c>
      <c r="M1123" s="8">
        <f>COUNTIFS('All Papers'!$D:$D,"*"&amp;$A1123&amp;"*",'All Papers'!$G:$G,"*"&amp;Table1[[#Headers],[Pricing]]&amp;"*")</f>
        <v>0</v>
      </c>
    </row>
    <row r="1124" spans="1:13" x14ac:dyDescent="0.25">
      <c r="A1124" s="8" t="s">
        <v>3557</v>
      </c>
      <c r="B1124" s="8">
        <f>COUNTIF('All Papers'!D:D,"*"&amp;Table1[[#This Row],[Name]]&amp;"*")</f>
        <v>1</v>
      </c>
      <c r="C1124" s="8">
        <f>COUNTIFS('All Papers'!$D:$D,"*"&amp;$A1124&amp;"*",'All Papers'!$G:$G,"*"&amp;Table1[[#Headers],[Composition]]&amp;"*")</f>
        <v>1</v>
      </c>
      <c r="D1124" s="8">
        <f>COUNTIFS('All Papers'!$D:$D,"*"&amp;$A1124&amp;"*",'All Papers'!$G:$G,"*"&amp;Table1[[#Headers],[Discovery]]&amp;"*")</f>
        <v>1</v>
      </c>
      <c r="E1124" s="8">
        <f>COUNTIFS('All Papers'!$D:$D,"*"&amp;$A1124&amp;"*",'All Papers'!$G:$G,"*"&amp;Table1[[#Headers],[Selection]]&amp;"*")</f>
        <v>0</v>
      </c>
      <c r="F1124" s="8">
        <f>COUNTIFS('All Papers'!$D:$D,"*"&amp;$A1124&amp;"*",'All Papers'!$G:$G,"*"&amp;Table1[[#Headers],[Recommendation]]&amp;"*")</f>
        <v>0</v>
      </c>
      <c r="G1124" s="8">
        <f>COUNTIFS('All Papers'!$D:$D,"*"&amp;$A1124&amp;"*",'All Papers'!$G:$G,"*"&amp;Table1[[#Headers],[Resource Management-CS]]&amp;"*")</f>
        <v>0</v>
      </c>
      <c r="H1124" s="8">
        <f>COUNTIFS('All Papers'!$D:$D,"*"&amp;$A1124&amp;"*",'All Papers'!$G:$G,"*"&amp;Table1[[#Headers],[Resource Management-PS]]&amp;"*")</f>
        <v>0</v>
      </c>
      <c r="I1124" s="8">
        <f>COUNTIFS('All Papers'!$D:$D,"*"&amp;$A1124&amp;"*",'All Papers'!$G:$G,"*"&amp;Table1[[#Headers],[SLA Management]]&amp;"*")</f>
        <v>0</v>
      </c>
      <c r="J1124" s="8">
        <f>COUNTIFS('All Papers'!$D:$D,"*"&amp;$A1124&amp;"*",'All Papers'!$G:$G,"*"&amp;Table1[[#Headers],[Big Data]]&amp;"*")</f>
        <v>0</v>
      </c>
      <c r="K1124" s="8">
        <f>COUNTIFS('All Papers'!$D:$D,"*"&amp;$A1124&amp;"*",'All Papers'!$G:$G,"*"&amp;Table1[[#Headers],[Energy Management]]&amp;"*")</f>
        <v>0</v>
      </c>
      <c r="L1124" s="8">
        <f>COUNTIFS('All Papers'!$D:$D,"*"&amp;$A1124&amp;"*",'All Papers'!$G:$G,"*"&amp;Table1[[#Headers],[Monitoring]]&amp;"*")</f>
        <v>0</v>
      </c>
      <c r="M1124" s="8">
        <f>COUNTIFS('All Papers'!$D:$D,"*"&amp;$A1124&amp;"*",'All Papers'!$G:$G,"*"&amp;Table1[[#Headers],[Pricing]]&amp;"*")</f>
        <v>0</v>
      </c>
    </row>
    <row r="1125" spans="1:13" x14ac:dyDescent="0.25">
      <c r="A1125" s="8" t="s">
        <v>3558</v>
      </c>
      <c r="B1125" s="8">
        <f>COUNTIF('All Papers'!D:D,"*"&amp;Table1[[#This Row],[Name]]&amp;"*")</f>
        <v>1</v>
      </c>
      <c r="C1125" s="8">
        <f>COUNTIFS('All Papers'!$D:$D,"*"&amp;$A1125&amp;"*",'All Papers'!$G:$G,"*"&amp;Table1[[#Headers],[Composition]]&amp;"*")</f>
        <v>0</v>
      </c>
      <c r="D1125" s="8">
        <f>COUNTIFS('All Papers'!$D:$D,"*"&amp;$A1125&amp;"*",'All Papers'!$G:$G,"*"&amp;Table1[[#Headers],[Discovery]]&amp;"*")</f>
        <v>0</v>
      </c>
      <c r="E1125" s="8">
        <f>COUNTIFS('All Papers'!$D:$D,"*"&amp;$A1125&amp;"*",'All Papers'!$G:$G,"*"&amp;Table1[[#Headers],[Selection]]&amp;"*")</f>
        <v>1</v>
      </c>
      <c r="F1125" s="8">
        <f>COUNTIFS('All Papers'!$D:$D,"*"&amp;$A1125&amp;"*",'All Papers'!$G:$G,"*"&amp;Table1[[#Headers],[Recommendation]]&amp;"*")</f>
        <v>0</v>
      </c>
      <c r="G1125" s="8">
        <f>COUNTIFS('All Papers'!$D:$D,"*"&amp;$A1125&amp;"*",'All Papers'!$G:$G,"*"&amp;Table1[[#Headers],[Resource Management-CS]]&amp;"*")</f>
        <v>0</v>
      </c>
      <c r="H1125" s="8">
        <f>COUNTIFS('All Papers'!$D:$D,"*"&amp;$A1125&amp;"*",'All Papers'!$G:$G,"*"&amp;Table1[[#Headers],[Resource Management-PS]]&amp;"*")</f>
        <v>0</v>
      </c>
      <c r="I1125" s="8">
        <f>COUNTIFS('All Papers'!$D:$D,"*"&amp;$A1125&amp;"*",'All Papers'!$G:$G,"*"&amp;Table1[[#Headers],[SLA Management]]&amp;"*")</f>
        <v>0</v>
      </c>
      <c r="J1125" s="8">
        <f>COUNTIFS('All Papers'!$D:$D,"*"&amp;$A1125&amp;"*",'All Papers'!$G:$G,"*"&amp;Table1[[#Headers],[Big Data]]&amp;"*")</f>
        <v>0</v>
      </c>
      <c r="K1125" s="8">
        <f>COUNTIFS('All Papers'!$D:$D,"*"&amp;$A1125&amp;"*",'All Papers'!$G:$G,"*"&amp;Table1[[#Headers],[Energy Management]]&amp;"*")</f>
        <v>0</v>
      </c>
      <c r="L1125" s="8">
        <f>COUNTIFS('All Papers'!$D:$D,"*"&amp;$A1125&amp;"*",'All Papers'!$G:$G,"*"&amp;Table1[[#Headers],[Monitoring]]&amp;"*")</f>
        <v>0</v>
      </c>
      <c r="M1125" s="8">
        <f>COUNTIFS('All Papers'!$D:$D,"*"&amp;$A1125&amp;"*",'All Papers'!$G:$G,"*"&amp;Table1[[#Headers],[Pricing]]&amp;"*")</f>
        <v>0</v>
      </c>
    </row>
    <row r="1126" spans="1:13" x14ac:dyDescent="0.25">
      <c r="A1126" s="8" t="s">
        <v>3559</v>
      </c>
      <c r="B1126" s="8">
        <f>COUNTIF('All Papers'!D:D,"*"&amp;Table1[[#This Row],[Name]]&amp;"*")</f>
        <v>1</v>
      </c>
      <c r="C1126" s="8">
        <f>COUNTIFS('All Papers'!$D:$D,"*"&amp;$A1126&amp;"*",'All Papers'!$G:$G,"*"&amp;Table1[[#Headers],[Composition]]&amp;"*")</f>
        <v>0</v>
      </c>
      <c r="D1126" s="8">
        <f>COUNTIFS('All Papers'!$D:$D,"*"&amp;$A1126&amp;"*",'All Papers'!$G:$G,"*"&amp;Table1[[#Headers],[Discovery]]&amp;"*")</f>
        <v>0</v>
      </c>
      <c r="E1126" s="8">
        <f>COUNTIFS('All Papers'!$D:$D,"*"&amp;$A1126&amp;"*",'All Papers'!$G:$G,"*"&amp;Table1[[#Headers],[Selection]]&amp;"*")</f>
        <v>1</v>
      </c>
      <c r="F1126" s="8">
        <f>COUNTIFS('All Papers'!$D:$D,"*"&amp;$A1126&amp;"*",'All Papers'!$G:$G,"*"&amp;Table1[[#Headers],[Recommendation]]&amp;"*")</f>
        <v>0</v>
      </c>
      <c r="G1126" s="8">
        <f>COUNTIFS('All Papers'!$D:$D,"*"&amp;$A1126&amp;"*",'All Papers'!$G:$G,"*"&amp;Table1[[#Headers],[Resource Management-CS]]&amp;"*")</f>
        <v>0</v>
      </c>
      <c r="H1126" s="8">
        <f>COUNTIFS('All Papers'!$D:$D,"*"&amp;$A1126&amp;"*",'All Papers'!$G:$G,"*"&amp;Table1[[#Headers],[Resource Management-PS]]&amp;"*")</f>
        <v>0</v>
      </c>
      <c r="I1126" s="8">
        <f>COUNTIFS('All Papers'!$D:$D,"*"&amp;$A1126&amp;"*",'All Papers'!$G:$G,"*"&amp;Table1[[#Headers],[SLA Management]]&amp;"*")</f>
        <v>0</v>
      </c>
      <c r="J1126" s="8">
        <f>COUNTIFS('All Papers'!$D:$D,"*"&amp;$A1126&amp;"*",'All Papers'!$G:$G,"*"&amp;Table1[[#Headers],[Big Data]]&amp;"*")</f>
        <v>0</v>
      </c>
      <c r="K1126" s="8">
        <f>COUNTIFS('All Papers'!$D:$D,"*"&amp;$A1126&amp;"*",'All Papers'!$G:$G,"*"&amp;Table1[[#Headers],[Energy Management]]&amp;"*")</f>
        <v>0</v>
      </c>
      <c r="L1126" s="8">
        <f>COUNTIFS('All Papers'!$D:$D,"*"&amp;$A1126&amp;"*",'All Papers'!$G:$G,"*"&amp;Table1[[#Headers],[Monitoring]]&amp;"*")</f>
        <v>0</v>
      </c>
      <c r="M1126" s="8">
        <f>COUNTIFS('All Papers'!$D:$D,"*"&amp;$A1126&amp;"*",'All Papers'!$G:$G,"*"&amp;Table1[[#Headers],[Pricing]]&amp;"*")</f>
        <v>0</v>
      </c>
    </row>
    <row r="1127" spans="1:13" x14ac:dyDescent="0.25">
      <c r="A1127" s="8" t="s">
        <v>3560</v>
      </c>
      <c r="B1127" s="8">
        <f>COUNTIF('All Papers'!D:D,"*"&amp;Table1[[#This Row],[Name]]&amp;"*")</f>
        <v>1</v>
      </c>
      <c r="C1127" s="8">
        <f>COUNTIFS('All Papers'!$D:$D,"*"&amp;$A1127&amp;"*",'All Papers'!$G:$G,"*"&amp;Table1[[#Headers],[Composition]]&amp;"*")</f>
        <v>0</v>
      </c>
      <c r="D1127" s="8">
        <f>COUNTIFS('All Papers'!$D:$D,"*"&amp;$A1127&amp;"*",'All Papers'!$G:$G,"*"&amp;Table1[[#Headers],[Discovery]]&amp;"*")</f>
        <v>0</v>
      </c>
      <c r="E1127" s="8">
        <f>COUNTIFS('All Papers'!$D:$D,"*"&amp;$A1127&amp;"*",'All Papers'!$G:$G,"*"&amp;Table1[[#Headers],[Selection]]&amp;"*")</f>
        <v>1</v>
      </c>
      <c r="F1127" s="8">
        <f>COUNTIFS('All Papers'!$D:$D,"*"&amp;$A1127&amp;"*",'All Papers'!$G:$G,"*"&amp;Table1[[#Headers],[Recommendation]]&amp;"*")</f>
        <v>0</v>
      </c>
      <c r="G1127" s="8">
        <f>COUNTIFS('All Papers'!$D:$D,"*"&amp;$A1127&amp;"*",'All Papers'!$G:$G,"*"&amp;Table1[[#Headers],[Resource Management-CS]]&amp;"*")</f>
        <v>0</v>
      </c>
      <c r="H1127" s="8">
        <f>COUNTIFS('All Papers'!$D:$D,"*"&amp;$A1127&amp;"*",'All Papers'!$G:$G,"*"&amp;Table1[[#Headers],[Resource Management-PS]]&amp;"*")</f>
        <v>0</v>
      </c>
      <c r="I1127" s="8">
        <f>COUNTIFS('All Papers'!$D:$D,"*"&amp;$A1127&amp;"*",'All Papers'!$G:$G,"*"&amp;Table1[[#Headers],[SLA Management]]&amp;"*")</f>
        <v>0</v>
      </c>
      <c r="J1127" s="8">
        <f>COUNTIFS('All Papers'!$D:$D,"*"&amp;$A1127&amp;"*",'All Papers'!$G:$G,"*"&amp;Table1[[#Headers],[Big Data]]&amp;"*")</f>
        <v>0</v>
      </c>
      <c r="K1127" s="8">
        <f>COUNTIFS('All Papers'!$D:$D,"*"&amp;$A1127&amp;"*",'All Papers'!$G:$G,"*"&amp;Table1[[#Headers],[Energy Management]]&amp;"*")</f>
        <v>0</v>
      </c>
      <c r="L1127" s="8">
        <f>COUNTIFS('All Papers'!$D:$D,"*"&amp;$A1127&amp;"*",'All Papers'!$G:$G,"*"&amp;Table1[[#Headers],[Monitoring]]&amp;"*")</f>
        <v>0</v>
      </c>
      <c r="M1127" s="8">
        <f>COUNTIFS('All Papers'!$D:$D,"*"&amp;$A1127&amp;"*",'All Papers'!$G:$G,"*"&amp;Table1[[#Headers],[Pricing]]&amp;"*")</f>
        <v>0</v>
      </c>
    </row>
    <row r="1128" spans="1:13" x14ac:dyDescent="0.25">
      <c r="A1128" s="8" t="s">
        <v>3561</v>
      </c>
      <c r="B1128" s="8">
        <f>COUNTIF('All Papers'!D:D,"*"&amp;Table1[[#This Row],[Name]]&amp;"*")</f>
        <v>1</v>
      </c>
      <c r="C1128" s="8">
        <f>COUNTIFS('All Papers'!$D:$D,"*"&amp;$A1128&amp;"*",'All Papers'!$G:$G,"*"&amp;Table1[[#Headers],[Composition]]&amp;"*")</f>
        <v>0</v>
      </c>
      <c r="D1128" s="8">
        <f>COUNTIFS('All Papers'!$D:$D,"*"&amp;$A1128&amp;"*",'All Papers'!$G:$G,"*"&amp;Table1[[#Headers],[Discovery]]&amp;"*")</f>
        <v>0</v>
      </c>
      <c r="E1128" s="8">
        <f>COUNTIFS('All Papers'!$D:$D,"*"&amp;$A1128&amp;"*",'All Papers'!$G:$G,"*"&amp;Table1[[#Headers],[Selection]]&amp;"*")</f>
        <v>1</v>
      </c>
      <c r="F1128" s="8">
        <f>COUNTIFS('All Papers'!$D:$D,"*"&amp;$A1128&amp;"*",'All Papers'!$G:$G,"*"&amp;Table1[[#Headers],[Recommendation]]&amp;"*")</f>
        <v>0</v>
      </c>
      <c r="G1128" s="8">
        <f>COUNTIFS('All Papers'!$D:$D,"*"&amp;$A1128&amp;"*",'All Papers'!$G:$G,"*"&amp;Table1[[#Headers],[Resource Management-CS]]&amp;"*")</f>
        <v>0</v>
      </c>
      <c r="H1128" s="8">
        <f>COUNTIFS('All Papers'!$D:$D,"*"&amp;$A1128&amp;"*",'All Papers'!$G:$G,"*"&amp;Table1[[#Headers],[Resource Management-PS]]&amp;"*")</f>
        <v>0</v>
      </c>
      <c r="I1128" s="8">
        <f>COUNTIFS('All Papers'!$D:$D,"*"&amp;$A1128&amp;"*",'All Papers'!$G:$G,"*"&amp;Table1[[#Headers],[SLA Management]]&amp;"*")</f>
        <v>0</v>
      </c>
      <c r="J1128" s="8">
        <f>COUNTIFS('All Papers'!$D:$D,"*"&amp;$A1128&amp;"*",'All Papers'!$G:$G,"*"&amp;Table1[[#Headers],[Big Data]]&amp;"*")</f>
        <v>0</v>
      </c>
      <c r="K1128" s="8">
        <f>COUNTIFS('All Papers'!$D:$D,"*"&amp;$A1128&amp;"*",'All Papers'!$G:$G,"*"&amp;Table1[[#Headers],[Energy Management]]&amp;"*")</f>
        <v>0</v>
      </c>
      <c r="L1128" s="8">
        <f>COUNTIFS('All Papers'!$D:$D,"*"&amp;$A1128&amp;"*",'All Papers'!$G:$G,"*"&amp;Table1[[#Headers],[Monitoring]]&amp;"*")</f>
        <v>0</v>
      </c>
      <c r="M1128" s="8">
        <f>COUNTIFS('All Papers'!$D:$D,"*"&amp;$A1128&amp;"*",'All Papers'!$G:$G,"*"&amp;Table1[[#Headers],[Pricing]]&amp;"*")</f>
        <v>0</v>
      </c>
    </row>
    <row r="1129" spans="1:13" x14ac:dyDescent="0.25">
      <c r="A1129" s="8" t="s">
        <v>3562</v>
      </c>
      <c r="B1129" s="8">
        <f>COUNTIF('All Papers'!D:D,"*"&amp;Table1[[#This Row],[Name]]&amp;"*")</f>
        <v>1</v>
      </c>
      <c r="C1129" s="8">
        <f>COUNTIFS('All Papers'!$D:$D,"*"&amp;$A1129&amp;"*",'All Papers'!$G:$G,"*"&amp;Table1[[#Headers],[Composition]]&amp;"*")</f>
        <v>0</v>
      </c>
      <c r="D1129" s="8">
        <f>COUNTIFS('All Papers'!$D:$D,"*"&amp;$A1129&amp;"*",'All Papers'!$G:$G,"*"&amp;Table1[[#Headers],[Discovery]]&amp;"*")</f>
        <v>0</v>
      </c>
      <c r="E1129" s="8">
        <f>COUNTIFS('All Papers'!$D:$D,"*"&amp;$A1129&amp;"*",'All Papers'!$G:$G,"*"&amp;Table1[[#Headers],[Selection]]&amp;"*")</f>
        <v>1</v>
      </c>
      <c r="F1129" s="8">
        <f>COUNTIFS('All Papers'!$D:$D,"*"&amp;$A1129&amp;"*",'All Papers'!$G:$G,"*"&amp;Table1[[#Headers],[Recommendation]]&amp;"*")</f>
        <v>0</v>
      </c>
      <c r="G1129" s="8">
        <f>COUNTIFS('All Papers'!$D:$D,"*"&amp;$A1129&amp;"*",'All Papers'!$G:$G,"*"&amp;Table1[[#Headers],[Resource Management-CS]]&amp;"*")</f>
        <v>0</v>
      </c>
      <c r="H1129" s="8">
        <f>COUNTIFS('All Papers'!$D:$D,"*"&amp;$A1129&amp;"*",'All Papers'!$G:$G,"*"&amp;Table1[[#Headers],[Resource Management-PS]]&amp;"*")</f>
        <v>0</v>
      </c>
      <c r="I1129" s="8">
        <f>COUNTIFS('All Papers'!$D:$D,"*"&amp;$A1129&amp;"*",'All Papers'!$G:$G,"*"&amp;Table1[[#Headers],[SLA Management]]&amp;"*")</f>
        <v>0</v>
      </c>
      <c r="J1129" s="8">
        <f>COUNTIFS('All Papers'!$D:$D,"*"&amp;$A1129&amp;"*",'All Papers'!$G:$G,"*"&amp;Table1[[#Headers],[Big Data]]&amp;"*")</f>
        <v>0</v>
      </c>
      <c r="K1129" s="8">
        <f>COUNTIFS('All Papers'!$D:$D,"*"&amp;$A1129&amp;"*",'All Papers'!$G:$G,"*"&amp;Table1[[#Headers],[Energy Management]]&amp;"*")</f>
        <v>0</v>
      </c>
      <c r="L1129" s="8">
        <f>COUNTIFS('All Papers'!$D:$D,"*"&amp;$A1129&amp;"*",'All Papers'!$G:$G,"*"&amp;Table1[[#Headers],[Monitoring]]&amp;"*")</f>
        <v>0</v>
      </c>
      <c r="M1129" s="8">
        <f>COUNTIFS('All Papers'!$D:$D,"*"&amp;$A1129&amp;"*",'All Papers'!$G:$G,"*"&amp;Table1[[#Headers],[Pricing]]&amp;"*")</f>
        <v>0</v>
      </c>
    </row>
    <row r="1130" spans="1:13" x14ac:dyDescent="0.25">
      <c r="A1130" s="8" t="s">
        <v>3563</v>
      </c>
      <c r="B1130" s="8">
        <f>COUNTIF('All Papers'!D:D,"*"&amp;Table1[[#This Row],[Name]]&amp;"*")</f>
        <v>1</v>
      </c>
      <c r="C1130" s="8">
        <f>COUNTIFS('All Papers'!$D:$D,"*"&amp;$A1130&amp;"*",'All Papers'!$G:$G,"*"&amp;Table1[[#Headers],[Composition]]&amp;"*")</f>
        <v>0</v>
      </c>
      <c r="D1130" s="8">
        <f>COUNTIFS('All Papers'!$D:$D,"*"&amp;$A1130&amp;"*",'All Papers'!$G:$G,"*"&amp;Table1[[#Headers],[Discovery]]&amp;"*")</f>
        <v>0</v>
      </c>
      <c r="E1130" s="8">
        <f>COUNTIFS('All Papers'!$D:$D,"*"&amp;$A1130&amp;"*",'All Papers'!$G:$G,"*"&amp;Table1[[#Headers],[Selection]]&amp;"*")</f>
        <v>1</v>
      </c>
      <c r="F1130" s="8">
        <f>COUNTIFS('All Papers'!$D:$D,"*"&amp;$A1130&amp;"*",'All Papers'!$G:$G,"*"&amp;Table1[[#Headers],[Recommendation]]&amp;"*")</f>
        <v>0</v>
      </c>
      <c r="G1130" s="8">
        <f>COUNTIFS('All Papers'!$D:$D,"*"&amp;$A1130&amp;"*",'All Papers'!$G:$G,"*"&amp;Table1[[#Headers],[Resource Management-CS]]&amp;"*")</f>
        <v>0</v>
      </c>
      <c r="H1130" s="8">
        <f>COUNTIFS('All Papers'!$D:$D,"*"&amp;$A1130&amp;"*",'All Papers'!$G:$G,"*"&amp;Table1[[#Headers],[Resource Management-PS]]&amp;"*")</f>
        <v>0</v>
      </c>
      <c r="I1130" s="8">
        <f>COUNTIFS('All Papers'!$D:$D,"*"&amp;$A1130&amp;"*",'All Papers'!$G:$G,"*"&amp;Table1[[#Headers],[SLA Management]]&amp;"*")</f>
        <v>0</v>
      </c>
      <c r="J1130" s="8">
        <f>COUNTIFS('All Papers'!$D:$D,"*"&amp;$A1130&amp;"*",'All Papers'!$G:$G,"*"&amp;Table1[[#Headers],[Big Data]]&amp;"*")</f>
        <v>0</v>
      </c>
      <c r="K1130" s="8">
        <f>COUNTIFS('All Papers'!$D:$D,"*"&amp;$A1130&amp;"*",'All Papers'!$G:$G,"*"&amp;Table1[[#Headers],[Energy Management]]&amp;"*")</f>
        <v>0</v>
      </c>
      <c r="L1130" s="8">
        <f>COUNTIFS('All Papers'!$D:$D,"*"&amp;$A1130&amp;"*",'All Papers'!$G:$G,"*"&amp;Table1[[#Headers],[Monitoring]]&amp;"*")</f>
        <v>0</v>
      </c>
      <c r="M1130" s="8">
        <f>COUNTIFS('All Papers'!$D:$D,"*"&amp;$A1130&amp;"*",'All Papers'!$G:$G,"*"&amp;Table1[[#Headers],[Pricing]]&amp;"*")</f>
        <v>0</v>
      </c>
    </row>
    <row r="1131" spans="1:13" x14ac:dyDescent="0.25">
      <c r="A1131" s="8" t="s">
        <v>3564</v>
      </c>
      <c r="B1131" s="8">
        <f>COUNTIF('All Papers'!D:D,"*"&amp;Table1[[#This Row],[Name]]&amp;"*")</f>
        <v>1</v>
      </c>
      <c r="C1131" s="8">
        <f>COUNTIFS('All Papers'!$D:$D,"*"&amp;$A1131&amp;"*",'All Papers'!$G:$G,"*"&amp;Table1[[#Headers],[Composition]]&amp;"*")</f>
        <v>0</v>
      </c>
      <c r="D1131" s="8">
        <f>COUNTIFS('All Papers'!$D:$D,"*"&amp;$A1131&amp;"*",'All Papers'!$G:$G,"*"&amp;Table1[[#Headers],[Discovery]]&amp;"*")</f>
        <v>0</v>
      </c>
      <c r="E1131" s="8">
        <f>COUNTIFS('All Papers'!$D:$D,"*"&amp;$A1131&amp;"*",'All Papers'!$G:$G,"*"&amp;Table1[[#Headers],[Selection]]&amp;"*")</f>
        <v>1</v>
      </c>
      <c r="F1131" s="8">
        <f>COUNTIFS('All Papers'!$D:$D,"*"&amp;$A1131&amp;"*",'All Papers'!$G:$G,"*"&amp;Table1[[#Headers],[Recommendation]]&amp;"*")</f>
        <v>0</v>
      </c>
      <c r="G1131" s="8">
        <f>COUNTIFS('All Papers'!$D:$D,"*"&amp;$A1131&amp;"*",'All Papers'!$G:$G,"*"&amp;Table1[[#Headers],[Resource Management-CS]]&amp;"*")</f>
        <v>0</v>
      </c>
      <c r="H1131" s="8">
        <f>COUNTIFS('All Papers'!$D:$D,"*"&amp;$A1131&amp;"*",'All Papers'!$G:$G,"*"&amp;Table1[[#Headers],[Resource Management-PS]]&amp;"*")</f>
        <v>0</v>
      </c>
      <c r="I1131" s="8">
        <f>COUNTIFS('All Papers'!$D:$D,"*"&amp;$A1131&amp;"*",'All Papers'!$G:$G,"*"&amp;Table1[[#Headers],[SLA Management]]&amp;"*")</f>
        <v>0</v>
      </c>
      <c r="J1131" s="8">
        <f>COUNTIFS('All Papers'!$D:$D,"*"&amp;$A1131&amp;"*",'All Papers'!$G:$G,"*"&amp;Table1[[#Headers],[Big Data]]&amp;"*")</f>
        <v>0</v>
      </c>
      <c r="K1131" s="8">
        <f>COUNTIFS('All Papers'!$D:$D,"*"&amp;$A1131&amp;"*",'All Papers'!$G:$G,"*"&amp;Table1[[#Headers],[Energy Management]]&amp;"*")</f>
        <v>0</v>
      </c>
      <c r="L1131" s="8">
        <f>COUNTIFS('All Papers'!$D:$D,"*"&amp;$A1131&amp;"*",'All Papers'!$G:$G,"*"&amp;Table1[[#Headers],[Monitoring]]&amp;"*")</f>
        <v>0</v>
      </c>
      <c r="M1131" s="8">
        <f>COUNTIFS('All Papers'!$D:$D,"*"&amp;$A1131&amp;"*",'All Papers'!$G:$G,"*"&amp;Table1[[#Headers],[Pricing]]&amp;"*")</f>
        <v>0</v>
      </c>
    </row>
    <row r="1132" spans="1:13" x14ac:dyDescent="0.25">
      <c r="A1132" s="8" t="s">
        <v>3565</v>
      </c>
      <c r="B1132" s="8">
        <f>COUNTIF('All Papers'!D:D,"*"&amp;Table1[[#This Row],[Name]]&amp;"*")</f>
        <v>1</v>
      </c>
      <c r="C1132" s="8">
        <f>COUNTIFS('All Papers'!$D:$D,"*"&amp;$A1132&amp;"*",'All Papers'!$G:$G,"*"&amp;Table1[[#Headers],[Composition]]&amp;"*")</f>
        <v>1</v>
      </c>
      <c r="D1132" s="8">
        <f>COUNTIFS('All Papers'!$D:$D,"*"&amp;$A1132&amp;"*",'All Papers'!$G:$G,"*"&amp;Table1[[#Headers],[Discovery]]&amp;"*")</f>
        <v>0</v>
      </c>
      <c r="E1132" s="8">
        <f>COUNTIFS('All Papers'!$D:$D,"*"&amp;$A1132&amp;"*",'All Papers'!$G:$G,"*"&amp;Table1[[#Headers],[Selection]]&amp;"*")</f>
        <v>0</v>
      </c>
      <c r="F1132" s="8">
        <f>COUNTIFS('All Papers'!$D:$D,"*"&amp;$A1132&amp;"*",'All Papers'!$G:$G,"*"&amp;Table1[[#Headers],[Recommendation]]&amp;"*")</f>
        <v>0</v>
      </c>
      <c r="G1132" s="8">
        <f>COUNTIFS('All Papers'!$D:$D,"*"&amp;$A1132&amp;"*",'All Papers'!$G:$G,"*"&amp;Table1[[#Headers],[Resource Management-CS]]&amp;"*")</f>
        <v>0</v>
      </c>
      <c r="H1132" s="8">
        <f>COUNTIFS('All Papers'!$D:$D,"*"&amp;$A1132&amp;"*",'All Papers'!$G:$G,"*"&amp;Table1[[#Headers],[Resource Management-PS]]&amp;"*")</f>
        <v>0</v>
      </c>
      <c r="I1132" s="8">
        <f>COUNTIFS('All Papers'!$D:$D,"*"&amp;$A1132&amp;"*",'All Papers'!$G:$G,"*"&amp;Table1[[#Headers],[SLA Management]]&amp;"*")</f>
        <v>0</v>
      </c>
      <c r="J1132" s="8">
        <f>COUNTIFS('All Papers'!$D:$D,"*"&amp;$A1132&amp;"*",'All Papers'!$G:$G,"*"&amp;Table1[[#Headers],[Big Data]]&amp;"*")</f>
        <v>0</v>
      </c>
      <c r="K1132" s="8">
        <f>COUNTIFS('All Papers'!$D:$D,"*"&amp;$A1132&amp;"*",'All Papers'!$G:$G,"*"&amp;Table1[[#Headers],[Energy Management]]&amp;"*")</f>
        <v>0</v>
      </c>
      <c r="L1132" s="8">
        <f>COUNTIFS('All Papers'!$D:$D,"*"&amp;$A1132&amp;"*",'All Papers'!$G:$G,"*"&amp;Table1[[#Headers],[Monitoring]]&amp;"*")</f>
        <v>0</v>
      </c>
      <c r="M1132" s="8">
        <f>COUNTIFS('All Papers'!$D:$D,"*"&amp;$A1132&amp;"*",'All Papers'!$G:$G,"*"&amp;Table1[[#Headers],[Pricing]]&amp;"*")</f>
        <v>0</v>
      </c>
    </row>
    <row r="1133" spans="1:13" x14ac:dyDescent="0.25">
      <c r="A1133" s="8" t="s">
        <v>3566</v>
      </c>
      <c r="B1133" s="8">
        <f>COUNTIF('All Papers'!D:D,"*"&amp;Table1[[#This Row],[Name]]&amp;"*")</f>
        <v>1</v>
      </c>
      <c r="C1133" s="8">
        <f>COUNTIFS('All Papers'!$D:$D,"*"&amp;$A1133&amp;"*",'All Papers'!$G:$G,"*"&amp;Table1[[#Headers],[Composition]]&amp;"*")</f>
        <v>0</v>
      </c>
      <c r="D1133" s="8">
        <f>COUNTIFS('All Papers'!$D:$D,"*"&amp;$A1133&amp;"*",'All Papers'!$G:$G,"*"&amp;Table1[[#Headers],[Discovery]]&amp;"*")</f>
        <v>0</v>
      </c>
      <c r="E1133" s="8">
        <f>COUNTIFS('All Papers'!$D:$D,"*"&amp;$A1133&amp;"*",'All Papers'!$G:$G,"*"&amp;Table1[[#Headers],[Selection]]&amp;"*")</f>
        <v>0</v>
      </c>
      <c r="F1133" s="8">
        <f>COUNTIFS('All Papers'!$D:$D,"*"&amp;$A1133&amp;"*",'All Papers'!$G:$G,"*"&amp;Table1[[#Headers],[Recommendation]]&amp;"*")</f>
        <v>1</v>
      </c>
      <c r="G1133" s="8">
        <f>COUNTIFS('All Papers'!$D:$D,"*"&amp;$A1133&amp;"*",'All Papers'!$G:$G,"*"&amp;Table1[[#Headers],[Resource Management-CS]]&amp;"*")</f>
        <v>0</v>
      </c>
      <c r="H1133" s="8">
        <f>COUNTIFS('All Papers'!$D:$D,"*"&amp;$A1133&amp;"*",'All Papers'!$G:$G,"*"&amp;Table1[[#Headers],[Resource Management-PS]]&amp;"*")</f>
        <v>0</v>
      </c>
      <c r="I1133" s="8">
        <f>COUNTIFS('All Papers'!$D:$D,"*"&amp;$A1133&amp;"*",'All Papers'!$G:$G,"*"&amp;Table1[[#Headers],[SLA Management]]&amp;"*")</f>
        <v>0</v>
      </c>
      <c r="J1133" s="8">
        <f>COUNTIFS('All Papers'!$D:$D,"*"&amp;$A1133&amp;"*",'All Papers'!$G:$G,"*"&amp;Table1[[#Headers],[Big Data]]&amp;"*")</f>
        <v>0</v>
      </c>
      <c r="K1133" s="8">
        <f>COUNTIFS('All Papers'!$D:$D,"*"&amp;$A1133&amp;"*",'All Papers'!$G:$G,"*"&amp;Table1[[#Headers],[Energy Management]]&amp;"*")</f>
        <v>0</v>
      </c>
      <c r="L1133" s="8">
        <f>COUNTIFS('All Papers'!$D:$D,"*"&amp;$A1133&amp;"*",'All Papers'!$G:$G,"*"&amp;Table1[[#Headers],[Monitoring]]&amp;"*")</f>
        <v>0</v>
      </c>
      <c r="M1133" s="8">
        <f>COUNTIFS('All Papers'!$D:$D,"*"&amp;$A1133&amp;"*",'All Papers'!$G:$G,"*"&amp;Table1[[#Headers],[Pricing]]&amp;"*")</f>
        <v>0</v>
      </c>
    </row>
    <row r="1134" spans="1:13" x14ac:dyDescent="0.25">
      <c r="A1134" s="8" t="s">
        <v>3567</v>
      </c>
      <c r="B1134" s="8">
        <f>COUNTIF('All Papers'!D:D,"*"&amp;Table1[[#This Row],[Name]]&amp;"*")</f>
        <v>1</v>
      </c>
      <c r="C1134" s="8">
        <f>COUNTIFS('All Papers'!$D:$D,"*"&amp;$A1134&amp;"*",'All Papers'!$G:$G,"*"&amp;Table1[[#Headers],[Composition]]&amp;"*")</f>
        <v>0</v>
      </c>
      <c r="D1134" s="8">
        <f>COUNTIFS('All Papers'!$D:$D,"*"&amp;$A1134&amp;"*",'All Papers'!$G:$G,"*"&amp;Table1[[#Headers],[Discovery]]&amp;"*")</f>
        <v>0</v>
      </c>
      <c r="E1134" s="8">
        <f>COUNTIFS('All Papers'!$D:$D,"*"&amp;$A1134&amp;"*",'All Papers'!$G:$G,"*"&amp;Table1[[#Headers],[Selection]]&amp;"*")</f>
        <v>0</v>
      </c>
      <c r="F1134" s="8">
        <f>COUNTIFS('All Papers'!$D:$D,"*"&amp;$A1134&amp;"*",'All Papers'!$G:$G,"*"&amp;Table1[[#Headers],[Recommendation]]&amp;"*")</f>
        <v>1</v>
      </c>
      <c r="G1134" s="8">
        <f>COUNTIFS('All Papers'!$D:$D,"*"&amp;$A1134&amp;"*",'All Papers'!$G:$G,"*"&amp;Table1[[#Headers],[Resource Management-CS]]&amp;"*")</f>
        <v>0</v>
      </c>
      <c r="H1134" s="8">
        <f>COUNTIFS('All Papers'!$D:$D,"*"&amp;$A1134&amp;"*",'All Papers'!$G:$G,"*"&amp;Table1[[#Headers],[Resource Management-PS]]&amp;"*")</f>
        <v>0</v>
      </c>
      <c r="I1134" s="8">
        <f>COUNTIFS('All Papers'!$D:$D,"*"&amp;$A1134&amp;"*",'All Papers'!$G:$G,"*"&amp;Table1[[#Headers],[SLA Management]]&amp;"*")</f>
        <v>0</v>
      </c>
      <c r="J1134" s="8">
        <f>COUNTIFS('All Papers'!$D:$D,"*"&amp;$A1134&amp;"*",'All Papers'!$G:$G,"*"&amp;Table1[[#Headers],[Big Data]]&amp;"*")</f>
        <v>0</v>
      </c>
      <c r="K1134" s="8">
        <f>COUNTIFS('All Papers'!$D:$D,"*"&amp;$A1134&amp;"*",'All Papers'!$G:$G,"*"&amp;Table1[[#Headers],[Energy Management]]&amp;"*")</f>
        <v>0</v>
      </c>
      <c r="L1134" s="8">
        <f>COUNTIFS('All Papers'!$D:$D,"*"&amp;$A1134&amp;"*",'All Papers'!$G:$G,"*"&amp;Table1[[#Headers],[Monitoring]]&amp;"*")</f>
        <v>0</v>
      </c>
      <c r="M1134" s="8">
        <f>COUNTIFS('All Papers'!$D:$D,"*"&amp;$A1134&amp;"*",'All Papers'!$G:$G,"*"&amp;Table1[[#Headers],[Pricing]]&amp;"*")</f>
        <v>0</v>
      </c>
    </row>
    <row r="1135" spans="1:13" x14ac:dyDescent="0.25">
      <c r="A1135" s="8" t="s">
        <v>3568</v>
      </c>
      <c r="B1135" s="8">
        <f>COUNTIF('All Papers'!D:D,"*"&amp;Table1[[#This Row],[Name]]&amp;"*")</f>
        <v>1</v>
      </c>
      <c r="C1135" s="8">
        <f>COUNTIFS('All Papers'!$D:$D,"*"&amp;$A1135&amp;"*",'All Papers'!$G:$G,"*"&amp;Table1[[#Headers],[Composition]]&amp;"*")</f>
        <v>0</v>
      </c>
      <c r="D1135" s="8">
        <f>COUNTIFS('All Papers'!$D:$D,"*"&amp;$A1135&amp;"*",'All Papers'!$G:$G,"*"&amp;Table1[[#Headers],[Discovery]]&amp;"*")</f>
        <v>0</v>
      </c>
      <c r="E1135" s="8">
        <f>COUNTIFS('All Papers'!$D:$D,"*"&amp;$A1135&amp;"*",'All Papers'!$G:$G,"*"&amp;Table1[[#Headers],[Selection]]&amp;"*")</f>
        <v>0</v>
      </c>
      <c r="F1135" s="8">
        <f>COUNTIFS('All Papers'!$D:$D,"*"&amp;$A1135&amp;"*",'All Papers'!$G:$G,"*"&amp;Table1[[#Headers],[Recommendation]]&amp;"*")</f>
        <v>1</v>
      </c>
      <c r="G1135" s="8">
        <f>COUNTIFS('All Papers'!$D:$D,"*"&amp;$A1135&amp;"*",'All Papers'!$G:$G,"*"&amp;Table1[[#Headers],[Resource Management-CS]]&amp;"*")</f>
        <v>0</v>
      </c>
      <c r="H1135" s="8">
        <f>COUNTIFS('All Papers'!$D:$D,"*"&amp;$A1135&amp;"*",'All Papers'!$G:$G,"*"&amp;Table1[[#Headers],[Resource Management-PS]]&amp;"*")</f>
        <v>0</v>
      </c>
      <c r="I1135" s="8">
        <f>COUNTIFS('All Papers'!$D:$D,"*"&amp;$A1135&amp;"*",'All Papers'!$G:$G,"*"&amp;Table1[[#Headers],[SLA Management]]&amp;"*")</f>
        <v>0</v>
      </c>
      <c r="J1135" s="8">
        <f>COUNTIFS('All Papers'!$D:$D,"*"&amp;$A1135&amp;"*",'All Papers'!$G:$G,"*"&amp;Table1[[#Headers],[Big Data]]&amp;"*")</f>
        <v>0</v>
      </c>
      <c r="K1135" s="8">
        <f>COUNTIFS('All Papers'!$D:$D,"*"&amp;$A1135&amp;"*",'All Papers'!$G:$G,"*"&amp;Table1[[#Headers],[Energy Management]]&amp;"*")</f>
        <v>0</v>
      </c>
      <c r="L1135" s="8">
        <f>COUNTIFS('All Papers'!$D:$D,"*"&amp;$A1135&amp;"*",'All Papers'!$G:$G,"*"&amp;Table1[[#Headers],[Monitoring]]&amp;"*")</f>
        <v>0</v>
      </c>
      <c r="M1135" s="8">
        <f>COUNTIFS('All Papers'!$D:$D,"*"&amp;$A1135&amp;"*",'All Papers'!$G:$G,"*"&amp;Table1[[#Headers],[Pricing]]&amp;"*")</f>
        <v>0</v>
      </c>
    </row>
    <row r="1136" spans="1:13" x14ac:dyDescent="0.25">
      <c r="A1136" s="8" t="s">
        <v>3569</v>
      </c>
      <c r="B1136" s="8">
        <f>COUNTIF('All Papers'!D:D,"*"&amp;Table1[[#This Row],[Name]]&amp;"*")</f>
        <v>1</v>
      </c>
      <c r="C1136" s="8">
        <f>COUNTIFS('All Papers'!$D:$D,"*"&amp;$A1136&amp;"*",'All Papers'!$G:$G,"*"&amp;Table1[[#Headers],[Composition]]&amp;"*")</f>
        <v>0</v>
      </c>
      <c r="D1136" s="8">
        <f>COUNTIFS('All Papers'!$D:$D,"*"&amp;$A1136&amp;"*",'All Papers'!$G:$G,"*"&amp;Table1[[#Headers],[Discovery]]&amp;"*")</f>
        <v>0</v>
      </c>
      <c r="E1136" s="8">
        <f>COUNTIFS('All Papers'!$D:$D,"*"&amp;$A1136&amp;"*",'All Papers'!$G:$G,"*"&amp;Table1[[#Headers],[Selection]]&amp;"*")</f>
        <v>0</v>
      </c>
      <c r="F1136" s="8">
        <f>COUNTIFS('All Papers'!$D:$D,"*"&amp;$A1136&amp;"*",'All Papers'!$G:$G,"*"&amp;Table1[[#Headers],[Recommendation]]&amp;"*")</f>
        <v>1</v>
      </c>
      <c r="G1136" s="8">
        <f>COUNTIFS('All Papers'!$D:$D,"*"&amp;$A1136&amp;"*",'All Papers'!$G:$G,"*"&amp;Table1[[#Headers],[Resource Management-CS]]&amp;"*")</f>
        <v>0</v>
      </c>
      <c r="H1136" s="8">
        <f>COUNTIFS('All Papers'!$D:$D,"*"&amp;$A1136&amp;"*",'All Papers'!$G:$G,"*"&amp;Table1[[#Headers],[Resource Management-PS]]&amp;"*")</f>
        <v>0</v>
      </c>
      <c r="I1136" s="8">
        <f>COUNTIFS('All Papers'!$D:$D,"*"&amp;$A1136&amp;"*",'All Papers'!$G:$G,"*"&amp;Table1[[#Headers],[SLA Management]]&amp;"*")</f>
        <v>0</v>
      </c>
      <c r="J1136" s="8">
        <f>COUNTIFS('All Papers'!$D:$D,"*"&amp;$A1136&amp;"*",'All Papers'!$G:$G,"*"&amp;Table1[[#Headers],[Big Data]]&amp;"*")</f>
        <v>0</v>
      </c>
      <c r="K1136" s="8">
        <f>COUNTIFS('All Papers'!$D:$D,"*"&amp;$A1136&amp;"*",'All Papers'!$G:$G,"*"&amp;Table1[[#Headers],[Energy Management]]&amp;"*")</f>
        <v>0</v>
      </c>
      <c r="L1136" s="8">
        <f>COUNTIFS('All Papers'!$D:$D,"*"&amp;$A1136&amp;"*",'All Papers'!$G:$G,"*"&amp;Table1[[#Headers],[Monitoring]]&amp;"*")</f>
        <v>0</v>
      </c>
      <c r="M1136" s="8">
        <f>COUNTIFS('All Papers'!$D:$D,"*"&amp;$A1136&amp;"*",'All Papers'!$G:$G,"*"&amp;Table1[[#Headers],[Pricing]]&amp;"*")</f>
        <v>0</v>
      </c>
    </row>
    <row r="1137" spans="1:13" x14ac:dyDescent="0.25">
      <c r="A1137" s="8" t="s">
        <v>3570</v>
      </c>
      <c r="B1137" s="8">
        <f>COUNTIF('All Papers'!D:D,"*"&amp;Table1[[#This Row],[Name]]&amp;"*")</f>
        <v>1</v>
      </c>
      <c r="C1137" s="8">
        <f>COUNTIFS('All Papers'!$D:$D,"*"&amp;$A1137&amp;"*",'All Papers'!$G:$G,"*"&amp;Table1[[#Headers],[Composition]]&amp;"*")</f>
        <v>0</v>
      </c>
      <c r="D1137" s="8">
        <f>COUNTIFS('All Papers'!$D:$D,"*"&amp;$A1137&amp;"*",'All Papers'!$G:$G,"*"&amp;Table1[[#Headers],[Discovery]]&amp;"*")</f>
        <v>0</v>
      </c>
      <c r="E1137" s="8">
        <f>COUNTIFS('All Papers'!$D:$D,"*"&amp;$A1137&amp;"*",'All Papers'!$G:$G,"*"&amp;Table1[[#Headers],[Selection]]&amp;"*")</f>
        <v>0</v>
      </c>
      <c r="F1137" s="8">
        <f>COUNTIFS('All Papers'!$D:$D,"*"&amp;$A1137&amp;"*",'All Papers'!$G:$G,"*"&amp;Table1[[#Headers],[Recommendation]]&amp;"*")</f>
        <v>1</v>
      </c>
      <c r="G1137" s="8">
        <f>COUNTIFS('All Papers'!$D:$D,"*"&amp;$A1137&amp;"*",'All Papers'!$G:$G,"*"&amp;Table1[[#Headers],[Resource Management-CS]]&amp;"*")</f>
        <v>0</v>
      </c>
      <c r="H1137" s="8">
        <f>COUNTIFS('All Papers'!$D:$D,"*"&amp;$A1137&amp;"*",'All Papers'!$G:$G,"*"&amp;Table1[[#Headers],[Resource Management-PS]]&amp;"*")</f>
        <v>0</v>
      </c>
      <c r="I1137" s="8">
        <f>COUNTIFS('All Papers'!$D:$D,"*"&amp;$A1137&amp;"*",'All Papers'!$G:$G,"*"&amp;Table1[[#Headers],[SLA Management]]&amp;"*")</f>
        <v>0</v>
      </c>
      <c r="J1137" s="8">
        <f>COUNTIFS('All Papers'!$D:$D,"*"&amp;$A1137&amp;"*",'All Papers'!$G:$G,"*"&amp;Table1[[#Headers],[Big Data]]&amp;"*")</f>
        <v>0</v>
      </c>
      <c r="K1137" s="8">
        <f>COUNTIFS('All Papers'!$D:$D,"*"&amp;$A1137&amp;"*",'All Papers'!$G:$G,"*"&amp;Table1[[#Headers],[Energy Management]]&amp;"*")</f>
        <v>0</v>
      </c>
      <c r="L1137" s="8">
        <f>COUNTIFS('All Papers'!$D:$D,"*"&amp;$A1137&amp;"*",'All Papers'!$G:$G,"*"&amp;Table1[[#Headers],[Monitoring]]&amp;"*")</f>
        <v>0</v>
      </c>
      <c r="M1137" s="8">
        <f>COUNTIFS('All Papers'!$D:$D,"*"&amp;$A1137&amp;"*",'All Papers'!$G:$G,"*"&amp;Table1[[#Headers],[Pricing]]&amp;"*")</f>
        <v>0</v>
      </c>
    </row>
    <row r="1138" spans="1:13" x14ac:dyDescent="0.25">
      <c r="A1138" s="8" t="s">
        <v>3571</v>
      </c>
      <c r="B1138" s="8">
        <f>COUNTIF('All Papers'!D:D,"*"&amp;Table1[[#This Row],[Name]]&amp;"*")</f>
        <v>1</v>
      </c>
      <c r="C1138" s="8">
        <f>COUNTIFS('All Papers'!$D:$D,"*"&amp;$A1138&amp;"*",'All Papers'!$G:$G,"*"&amp;Table1[[#Headers],[Composition]]&amp;"*")</f>
        <v>0</v>
      </c>
      <c r="D1138" s="8">
        <f>COUNTIFS('All Papers'!$D:$D,"*"&amp;$A1138&amp;"*",'All Papers'!$G:$G,"*"&amp;Table1[[#Headers],[Discovery]]&amp;"*")</f>
        <v>0</v>
      </c>
      <c r="E1138" s="8">
        <f>COUNTIFS('All Papers'!$D:$D,"*"&amp;$A1138&amp;"*",'All Papers'!$G:$G,"*"&amp;Table1[[#Headers],[Selection]]&amp;"*")</f>
        <v>0</v>
      </c>
      <c r="F1138" s="8">
        <f>COUNTIFS('All Papers'!$D:$D,"*"&amp;$A1138&amp;"*",'All Papers'!$G:$G,"*"&amp;Table1[[#Headers],[Recommendation]]&amp;"*")</f>
        <v>0</v>
      </c>
      <c r="G1138" s="8">
        <f>COUNTIFS('All Papers'!$D:$D,"*"&amp;$A1138&amp;"*",'All Papers'!$G:$G,"*"&amp;Table1[[#Headers],[Resource Management-CS]]&amp;"*")</f>
        <v>1</v>
      </c>
      <c r="H1138" s="8">
        <f>COUNTIFS('All Papers'!$D:$D,"*"&amp;$A1138&amp;"*",'All Papers'!$G:$G,"*"&amp;Table1[[#Headers],[Resource Management-PS]]&amp;"*")</f>
        <v>0</v>
      </c>
      <c r="I1138" s="8">
        <f>COUNTIFS('All Papers'!$D:$D,"*"&amp;$A1138&amp;"*",'All Papers'!$G:$G,"*"&amp;Table1[[#Headers],[SLA Management]]&amp;"*")</f>
        <v>0</v>
      </c>
      <c r="J1138" s="8">
        <f>COUNTIFS('All Papers'!$D:$D,"*"&amp;$A1138&amp;"*",'All Papers'!$G:$G,"*"&amp;Table1[[#Headers],[Big Data]]&amp;"*")</f>
        <v>0</v>
      </c>
      <c r="K1138" s="8">
        <f>COUNTIFS('All Papers'!$D:$D,"*"&amp;$A1138&amp;"*",'All Papers'!$G:$G,"*"&amp;Table1[[#Headers],[Energy Management]]&amp;"*")</f>
        <v>0</v>
      </c>
      <c r="L1138" s="8">
        <f>COUNTIFS('All Papers'!$D:$D,"*"&amp;$A1138&amp;"*",'All Papers'!$G:$G,"*"&amp;Table1[[#Headers],[Monitoring]]&amp;"*")</f>
        <v>0</v>
      </c>
      <c r="M1138" s="8">
        <f>COUNTIFS('All Papers'!$D:$D,"*"&amp;$A1138&amp;"*",'All Papers'!$G:$G,"*"&amp;Table1[[#Headers],[Pricing]]&amp;"*")</f>
        <v>0</v>
      </c>
    </row>
    <row r="1139" spans="1:13" x14ac:dyDescent="0.25">
      <c r="A1139" s="8" t="s">
        <v>3572</v>
      </c>
      <c r="B1139" s="8">
        <f>COUNTIF('All Papers'!D:D,"*"&amp;Table1[[#This Row],[Name]]&amp;"*")</f>
        <v>1</v>
      </c>
      <c r="C1139" s="8">
        <f>COUNTIFS('All Papers'!$D:$D,"*"&amp;$A1139&amp;"*",'All Papers'!$G:$G,"*"&amp;Table1[[#Headers],[Composition]]&amp;"*")</f>
        <v>0</v>
      </c>
      <c r="D1139" s="8">
        <f>COUNTIFS('All Papers'!$D:$D,"*"&amp;$A1139&amp;"*",'All Papers'!$G:$G,"*"&amp;Table1[[#Headers],[Discovery]]&amp;"*")</f>
        <v>0</v>
      </c>
      <c r="E1139" s="8">
        <f>COUNTIFS('All Papers'!$D:$D,"*"&amp;$A1139&amp;"*",'All Papers'!$G:$G,"*"&amp;Table1[[#Headers],[Selection]]&amp;"*")</f>
        <v>0</v>
      </c>
      <c r="F1139" s="8">
        <f>COUNTIFS('All Papers'!$D:$D,"*"&amp;$A1139&amp;"*",'All Papers'!$G:$G,"*"&amp;Table1[[#Headers],[Recommendation]]&amp;"*")</f>
        <v>0</v>
      </c>
      <c r="G1139" s="8">
        <f>COUNTIFS('All Papers'!$D:$D,"*"&amp;$A1139&amp;"*",'All Papers'!$G:$G,"*"&amp;Table1[[#Headers],[Resource Management-CS]]&amp;"*")</f>
        <v>1</v>
      </c>
      <c r="H1139" s="8">
        <f>COUNTIFS('All Papers'!$D:$D,"*"&amp;$A1139&amp;"*",'All Papers'!$G:$G,"*"&amp;Table1[[#Headers],[Resource Management-PS]]&amp;"*")</f>
        <v>0</v>
      </c>
      <c r="I1139" s="8">
        <f>COUNTIFS('All Papers'!$D:$D,"*"&amp;$A1139&amp;"*",'All Papers'!$G:$G,"*"&amp;Table1[[#Headers],[SLA Management]]&amp;"*")</f>
        <v>0</v>
      </c>
      <c r="J1139" s="8">
        <f>COUNTIFS('All Papers'!$D:$D,"*"&amp;$A1139&amp;"*",'All Papers'!$G:$G,"*"&amp;Table1[[#Headers],[Big Data]]&amp;"*")</f>
        <v>0</v>
      </c>
      <c r="K1139" s="8">
        <f>COUNTIFS('All Papers'!$D:$D,"*"&amp;$A1139&amp;"*",'All Papers'!$G:$G,"*"&amp;Table1[[#Headers],[Energy Management]]&amp;"*")</f>
        <v>0</v>
      </c>
      <c r="L1139" s="8">
        <f>COUNTIFS('All Papers'!$D:$D,"*"&amp;$A1139&amp;"*",'All Papers'!$G:$G,"*"&amp;Table1[[#Headers],[Monitoring]]&amp;"*")</f>
        <v>0</v>
      </c>
      <c r="M1139" s="8">
        <f>COUNTIFS('All Papers'!$D:$D,"*"&amp;$A1139&amp;"*",'All Papers'!$G:$G,"*"&amp;Table1[[#Headers],[Pricing]]&amp;"*")</f>
        <v>0</v>
      </c>
    </row>
    <row r="1140" spans="1:13" x14ac:dyDescent="0.25">
      <c r="A1140" s="8" t="s">
        <v>3573</v>
      </c>
      <c r="B1140" s="8">
        <f>COUNTIF('All Papers'!D:D,"*"&amp;Table1[[#This Row],[Name]]&amp;"*")</f>
        <v>1</v>
      </c>
      <c r="C1140" s="8">
        <f>COUNTIFS('All Papers'!$D:$D,"*"&amp;$A1140&amp;"*",'All Papers'!$G:$G,"*"&amp;Table1[[#Headers],[Composition]]&amp;"*")</f>
        <v>0</v>
      </c>
      <c r="D1140" s="8">
        <f>COUNTIFS('All Papers'!$D:$D,"*"&amp;$A1140&amp;"*",'All Papers'!$G:$G,"*"&amp;Table1[[#Headers],[Discovery]]&amp;"*")</f>
        <v>0</v>
      </c>
      <c r="E1140" s="8">
        <f>COUNTIFS('All Papers'!$D:$D,"*"&amp;$A1140&amp;"*",'All Papers'!$G:$G,"*"&amp;Table1[[#Headers],[Selection]]&amp;"*")</f>
        <v>0</v>
      </c>
      <c r="F1140" s="8">
        <f>COUNTIFS('All Papers'!$D:$D,"*"&amp;$A1140&amp;"*",'All Papers'!$G:$G,"*"&amp;Table1[[#Headers],[Recommendation]]&amp;"*")</f>
        <v>0</v>
      </c>
      <c r="G1140" s="8">
        <f>COUNTIFS('All Papers'!$D:$D,"*"&amp;$A1140&amp;"*",'All Papers'!$G:$G,"*"&amp;Table1[[#Headers],[Resource Management-CS]]&amp;"*")</f>
        <v>1</v>
      </c>
      <c r="H1140" s="8">
        <f>COUNTIFS('All Papers'!$D:$D,"*"&amp;$A1140&amp;"*",'All Papers'!$G:$G,"*"&amp;Table1[[#Headers],[Resource Management-PS]]&amp;"*")</f>
        <v>0</v>
      </c>
      <c r="I1140" s="8">
        <f>COUNTIFS('All Papers'!$D:$D,"*"&amp;$A1140&amp;"*",'All Papers'!$G:$G,"*"&amp;Table1[[#Headers],[SLA Management]]&amp;"*")</f>
        <v>0</v>
      </c>
      <c r="J1140" s="8">
        <f>COUNTIFS('All Papers'!$D:$D,"*"&amp;$A1140&amp;"*",'All Papers'!$G:$G,"*"&amp;Table1[[#Headers],[Big Data]]&amp;"*")</f>
        <v>0</v>
      </c>
      <c r="K1140" s="8">
        <f>COUNTIFS('All Papers'!$D:$D,"*"&amp;$A1140&amp;"*",'All Papers'!$G:$G,"*"&amp;Table1[[#Headers],[Energy Management]]&amp;"*")</f>
        <v>0</v>
      </c>
      <c r="L1140" s="8">
        <f>COUNTIFS('All Papers'!$D:$D,"*"&amp;$A1140&amp;"*",'All Papers'!$G:$G,"*"&amp;Table1[[#Headers],[Monitoring]]&amp;"*")</f>
        <v>0</v>
      </c>
      <c r="M1140" s="8">
        <f>COUNTIFS('All Papers'!$D:$D,"*"&amp;$A1140&amp;"*",'All Papers'!$G:$G,"*"&amp;Table1[[#Headers],[Pricing]]&amp;"*")</f>
        <v>0</v>
      </c>
    </row>
    <row r="1141" spans="1:13" x14ac:dyDescent="0.25">
      <c r="A1141" s="8" t="s">
        <v>3574</v>
      </c>
      <c r="B1141" s="8">
        <f>COUNTIF('All Papers'!D:D,"*"&amp;Table1[[#This Row],[Name]]&amp;"*")</f>
        <v>1</v>
      </c>
      <c r="C1141" s="8">
        <f>COUNTIFS('All Papers'!$D:$D,"*"&amp;$A1141&amp;"*",'All Papers'!$G:$G,"*"&amp;Table1[[#Headers],[Composition]]&amp;"*")</f>
        <v>0</v>
      </c>
      <c r="D1141" s="8">
        <f>COUNTIFS('All Papers'!$D:$D,"*"&amp;$A1141&amp;"*",'All Papers'!$G:$G,"*"&amp;Table1[[#Headers],[Discovery]]&amp;"*")</f>
        <v>0</v>
      </c>
      <c r="E1141" s="8">
        <f>COUNTIFS('All Papers'!$D:$D,"*"&amp;$A1141&amp;"*",'All Papers'!$G:$G,"*"&amp;Table1[[#Headers],[Selection]]&amp;"*")</f>
        <v>0</v>
      </c>
      <c r="F1141" s="8">
        <f>COUNTIFS('All Papers'!$D:$D,"*"&amp;$A1141&amp;"*",'All Papers'!$G:$G,"*"&amp;Table1[[#Headers],[Recommendation]]&amp;"*")</f>
        <v>0</v>
      </c>
      <c r="G1141" s="8">
        <f>COUNTIFS('All Papers'!$D:$D,"*"&amp;$A1141&amp;"*",'All Papers'!$G:$G,"*"&amp;Table1[[#Headers],[Resource Management-CS]]&amp;"*")</f>
        <v>1</v>
      </c>
      <c r="H1141" s="8">
        <f>COUNTIFS('All Papers'!$D:$D,"*"&amp;$A1141&amp;"*",'All Papers'!$G:$G,"*"&amp;Table1[[#Headers],[Resource Management-PS]]&amp;"*")</f>
        <v>0</v>
      </c>
      <c r="I1141" s="8">
        <f>COUNTIFS('All Papers'!$D:$D,"*"&amp;$A1141&amp;"*",'All Papers'!$G:$G,"*"&amp;Table1[[#Headers],[SLA Management]]&amp;"*")</f>
        <v>0</v>
      </c>
      <c r="J1141" s="8">
        <f>COUNTIFS('All Papers'!$D:$D,"*"&amp;$A1141&amp;"*",'All Papers'!$G:$G,"*"&amp;Table1[[#Headers],[Big Data]]&amp;"*")</f>
        <v>0</v>
      </c>
      <c r="K1141" s="8">
        <f>COUNTIFS('All Papers'!$D:$D,"*"&amp;$A1141&amp;"*",'All Papers'!$G:$G,"*"&amp;Table1[[#Headers],[Energy Management]]&amp;"*")</f>
        <v>0</v>
      </c>
      <c r="L1141" s="8">
        <f>COUNTIFS('All Papers'!$D:$D,"*"&amp;$A1141&amp;"*",'All Papers'!$G:$G,"*"&amp;Table1[[#Headers],[Monitoring]]&amp;"*")</f>
        <v>0</v>
      </c>
      <c r="M1141" s="8">
        <f>COUNTIFS('All Papers'!$D:$D,"*"&amp;$A1141&amp;"*",'All Papers'!$G:$G,"*"&amp;Table1[[#Headers],[Pricing]]&amp;"*")</f>
        <v>0</v>
      </c>
    </row>
    <row r="1142" spans="1:13" x14ac:dyDescent="0.25">
      <c r="A1142" s="8" t="s">
        <v>3575</v>
      </c>
      <c r="B1142" s="8">
        <f>COUNTIF('All Papers'!D:D,"*"&amp;Table1[[#This Row],[Name]]&amp;"*")</f>
        <v>1</v>
      </c>
      <c r="C1142" s="8">
        <f>COUNTIFS('All Papers'!$D:$D,"*"&amp;$A1142&amp;"*",'All Papers'!$G:$G,"*"&amp;Table1[[#Headers],[Composition]]&amp;"*")</f>
        <v>0</v>
      </c>
      <c r="D1142" s="8">
        <f>COUNTIFS('All Papers'!$D:$D,"*"&amp;$A1142&amp;"*",'All Papers'!$G:$G,"*"&amp;Table1[[#Headers],[Discovery]]&amp;"*")</f>
        <v>0</v>
      </c>
      <c r="E1142" s="8">
        <f>COUNTIFS('All Papers'!$D:$D,"*"&amp;$A1142&amp;"*",'All Papers'!$G:$G,"*"&amp;Table1[[#Headers],[Selection]]&amp;"*")</f>
        <v>0</v>
      </c>
      <c r="F1142" s="8">
        <f>COUNTIFS('All Papers'!$D:$D,"*"&amp;$A1142&amp;"*",'All Papers'!$G:$G,"*"&amp;Table1[[#Headers],[Recommendation]]&amp;"*")</f>
        <v>0</v>
      </c>
      <c r="G1142" s="8">
        <f>COUNTIFS('All Papers'!$D:$D,"*"&amp;$A1142&amp;"*",'All Papers'!$G:$G,"*"&amp;Table1[[#Headers],[Resource Management-CS]]&amp;"*")</f>
        <v>1</v>
      </c>
      <c r="H1142" s="8">
        <f>COUNTIFS('All Papers'!$D:$D,"*"&amp;$A1142&amp;"*",'All Papers'!$G:$G,"*"&amp;Table1[[#Headers],[Resource Management-PS]]&amp;"*")</f>
        <v>0</v>
      </c>
      <c r="I1142" s="8">
        <f>COUNTIFS('All Papers'!$D:$D,"*"&amp;$A1142&amp;"*",'All Papers'!$G:$G,"*"&amp;Table1[[#Headers],[SLA Management]]&amp;"*")</f>
        <v>0</v>
      </c>
      <c r="J1142" s="8">
        <f>COUNTIFS('All Papers'!$D:$D,"*"&amp;$A1142&amp;"*",'All Papers'!$G:$G,"*"&amp;Table1[[#Headers],[Big Data]]&amp;"*")</f>
        <v>0</v>
      </c>
      <c r="K1142" s="8">
        <f>COUNTIFS('All Papers'!$D:$D,"*"&amp;$A1142&amp;"*",'All Papers'!$G:$G,"*"&amp;Table1[[#Headers],[Energy Management]]&amp;"*")</f>
        <v>0</v>
      </c>
      <c r="L1142" s="8">
        <f>COUNTIFS('All Papers'!$D:$D,"*"&amp;$A1142&amp;"*",'All Papers'!$G:$G,"*"&amp;Table1[[#Headers],[Monitoring]]&amp;"*")</f>
        <v>0</v>
      </c>
      <c r="M1142" s="8">
        <f>COUNTIFS('All Papers'!$D:$D,"*"&amp;$A1142&amp;"*",'All Papers'!$G:$G,"*"&amp;Table1[[#Headers],[Pricing]]&amp;"*")</f>
        <v>1</v>
      </c>
    </row>
    <row r="1143" spans="1:13" x14ac:dyDescent="0.25">
      <c r="A1143" s="8" t="s">
        <v>3576</v>
      </c>
      <c r="B1143" s="8">
        <f>COUNTIF('All Papers'!D:D,"*"&amp;Table1[[#This Row],[Name]]&amp;"*")</f>
        <v>1</v>
      </c>
      <c r="C1143" s="8">
        <f>COUNTIFS('All Papers'!$D:$D,"*"&amp;$A1143&amp;"*",'All Papers'!$G:$G,"*"&amp;Table1[[#Headers],[Composition]]&amp;"*")</f>
        <v>0</v>
      </c>
      <c r="D1143" s="8">
        <f>COUNTIFS('All Papers'!$D:$D,"*"&amp;$A1143&amp;"*",'All Papers'!$G:$G,"*"&amp;Table1[[#Headers],[Discovery]]&amp;"*")</f>
        <v>0</v>
      </c>
      <c r="E1143" s="8">
        <f>COUNTIFS('All Papers'!$D:$D,"*"&amp;$A1143&amp;"*",'All Papers'!$G:$G,"*"&amp;Table1[[#Headers],[Selection]]&amp;"*")</f>
        <v>0</v>
      </c>
      <c r="F1143" s="8">
        <f>COUNTIFS('All Papers'!$D:$D,"*"&amp;$A1143&amp;"*",'All Papers'!$G:$G,"*"&amp;Table1[[#Headers],[Recommendation]]&amp;"*")</f>
        <v>0</v>
      </c>
      <c r="G1143" s="8">
        <f>COUNTIFS('All Papers'!$D:$D,"*"&amp;$A1143&amp;"*",'All Papers'!$G:$G,"*"&amp;Table1[[#Headers],[Resource Management-CS]]&amp;"*")</f>
        <v>1</v>
      </c>
      <c r="H1143" s="8">
        <f>COUNTIFS('All Papers'!$D:$D,"*"&amp;$A1143&amp;"*",'All Papers'!$G:$G,"*"&amp;Table1[[#Headers],[Resource Management-PS]]&amp;"*")</f>
        <v>0</v>
      </c>
      <c r="I1143" s="8">
        <f>COUNTIFS('All Papers'!$D:$D,"*"&amp;$A1143&amp;"*",'All Papers'!$G:$G,"*"&amp;Table1[[#Headers],[SLA Management]]&amp;"*")</f>
        <v>0</v>
      </c>
      <c r="J1143" s="8">
        <f>COUNTIFS('All Papers'!$D:$D,"*"&amp;$A1143&amp;"*",'All Papers'!$G:$G,"*"&amp;Table1[[#Headers],[Big Data]]&amp;"*")</f>
        <v>0</v>
      </c>
      <c r="K1143" s="8">
        <f>COUNTIFS('All Papers'!$D:$D,"*"&amp;$A1143&amp;"*",'All Papers'!$G:$G,"*"&amp;Table1[[#Headers],[Energy Management]]&amp;"*")</f>
        <v>0</v>
      </c>
      <c r="L1143" s="8">
        <f>COUNTIFS('All Papers'!$D:$D,"*"&amp;$A1143&amp;"*",'All Papers'!$G:$G,"*"&amp;Table1[[#Headers],[Monitoring]]&amp;"*")</f>
        <v>0</v>
      </c>
      <c r="M1143" s="8">
        <f>COUNTIFS('All Papers'!$D:$D,"*"&amp;$A1143&amp;"*",'All Papers'!$G:$G,"*"&amp;Table1[[#Headers],[Pricing]]&amp;"*")</f>
        <v>1</v>
      </c>
    </row>
    <row r="1144" spans="1:13" x14ac:dyDescent="0.25">
      <c r="A1144" s="8" t="s">
        <v>3577</v>
      </c>
      <c r="B1144" s="8">
        <f>COUNTIF('All Papers'!D:D,"*"&amp;Table1[[#This Row],[Name]]&amp;"*")</f>
        <v>1</v>
      </c>
      <c r="C1144" s="8">
        <f>COUNTIFS('All Papers'!$D:$D,"*"&amp;$A1144&amp;"*",'All Papers'!$G:$G,"*"&amp;Table1[[#Headers],[Composition]]&amp;"*")</f>
        <v>0</v>
      </c>
      <c r="D1144" s="8">
        <f>COUNTIFS('All Papers'!$D:$D,"*"&amp;$A1144&amp;"*",'All Papers'!$G:$G,"*"&amp;Table1[[#Headers],[Discovery]]&amp;"*")</f>
        <v>0</v>
      </c>
      <c r="E1144" s="8">
        <f>COUNTIFS('All Papers'!$D:$D,"*"&amp;$A1144&amp;"*",'All Papers'!$G:$G,"*"&amp;Table1[[#Headers],[Selection]]&amp;"*")</f>
        <v>1</v>
      </c>
      <c r="F1144" s="8">
        <f>COUNTIFS('All Papers'!$D:$D,"*"&amp;$A1144&amp;"*",'All Papers'!$G:$G,"*"&amp;Table1[[#Headers],[Recommendation]]&amp;"*")</f>
        <v>0</v>
      </c>
      <c r="G1144" s="8">
        <f>COUNTIFS('All Papers'!$D:$D,"*"&amp;$A1144&amp;"*",'All Papers'!$G:$G,"*"&amp;Table1[[#Headers],[Resource Management-CS]]&amp;"*")</f>
        <v>0</v>
      </c>
      <c r="H1144" s="8">
        <f>COUNTIFS('All Papers'!$D:$D,"*"&amp;$A1144&amp;"*",'All Papers'!$G:$G,"*"&amp;Table1[[#Headers],[Resource Management-PS]]&amp;"*")</f>
        <v>0</v>
      </c>
      <c r="I1144" s="8">
        <f>COUNTIFS('All Papers'!$D:$D,"*"&amp;$A1144&amp;"*",'All Papers'!$G:$G,"*"&amp;Table1[[#Headers],[SLA Management]]&amp;"*")</f>
        <v>0</v>
      </c>
      <c r="J1144" s="8">
        <f>COUNTIFS('All Papers'!$D:$D,"*"&amp;$A1144&amp;"*",'All Papers'!$G:$G,"*"&amp;Table1[[#Headers],[Big Data]]&amp;"*")</f>
        <v>0</v>
      </c>
      <c r="K1144" s="8">
        <f>COUNTIFS('All Papers'!$D:$D,"*"&amp;$A1144&amp;"*",'All Papers'!$G:$G,"*"&amp;Table1[[#Headers],[Energy Management]]&amp;"*")</f>
        <v>0</v>
      </c>
      <c r="L1144" s="8">
        <f>COUNTIFS('All Papers'!$D:$D,"*"&amp;$A1144&amp;"*",'All Papers'!$G:$G,"*"&amp;Table1[[#Headers],[Monitoring]]&amp;"*")</f>
        <v>0</v>
      </c>
      <c r="M1144" s="8">
        <f>COUNTIFS('All Papers'!$D:$D,"*"&amp;$A1144&amp;"*",'All Papers'!$G:$G,"*"&amp;Table1[[#Headers],[Pricing]]&amp;"*")</f>
        <v>0</v>
      </c>
    </row>
    <row r="1145" spans="1:13" x14ac:dyDescent="0.25">
      <c r="A1145" s="8" t="s">
        <v>3578</v>
      </c>
      <c r="B1145" s="8">
        <f>COUNTIF('All Papers'!D:D,"*"&amp;Table1[[#This Row],[Name]]&amp;"*")</f>
        <v>1</v>
      </c>
      <c r="C1145" s="8">
        <f>COUNTIFS('All Papers'!$D:$D,"*"&amp;$A1145&amp;"*",'All Papers'!$G:$G,"*"&amp;Table1[[#Headers],[Composition]]&amp;"*")</f>
        <v>0</v>
      </c>
      <c r="D1145" s="8">
        <f>COUNTIFS('All Papers'!$D:$D,"*"&amp;$A1145&amp;"*",'All Papers'!$G:$G,"*"&amp;Table1[[#Headers],[Discovery]]&amp;"*")</f>
        <v>0</v>
      </c>
      <c r="E1145" s="8">
        <f>COUNTIFS('All Papers'!$D:$D,"*"&amp;$A1145&amp;"*",'All Papers'!$G:$G,"*"&amp;Table1[[#Headers],[Selection]]&amp;"*")</f>
        <v>1</v>
      </c>
      <c r="F1145" s="8">
        <f>COUNTIFS('All Papers'!$D:$D,"*"&amp;$A1145&amp;"*",'All Papers'!$G:$G,"*"&amp;Table1[[#Headers],[Recommendation]]&amp;"*")</f>
        <v>0</v>
      </c>
      <c r="G1145" s="8">
        <f>COUNTIFS('All Papers'!$D:$D,"*"&amp;$A1145&amp;"*",'All Papers'!$G:$G,"*"&amp;Table1[[#Headers],[Resource Management-CS]]&amp;"*")</f>
        <v>0</v>
      </c>
      <c r="H1145" s="8">
        <f>COUNTIFS('All Papers'!$D:$D,"*"&amp;$A1145&amp;"*",'All Papers'!$G:$G,"*"&amp;Table1[[#Headers],[Resource Management-PS]]&amp;"*")</f>
        <v>0</v>
      </c>
      <c r="I1145" s="8">
        <f>COUNTIFS('All Papers'!$D:$D,"*"&amp;$A1145&amp;"*",'All Papers'!$G:$G,"*"&amp;Table1[[#Headers],[SLA Management]]&amp;"*")</f>
        <v>0</v>
      </c>
      <c r="J1145" s="8">
        <f>COUNTIFS('All Papers'!$D:$D,"*"&amp;$A1145&amp;"*",'All Papers'!$G:$G,"*"&amp;Table1[[#Headers],[Big Data]]&amp;"*")</f>
        <v>0</v>
      </c>
      <c r="K1145" s="8">
        <f>COUNTIFS('All Papers'!$D:$D,"*"&amp;$A1145&amp;"*",'All Papers'!$G:$G,"*"&amp;Table1[[#Headers],[Energy Management]]&amp;"*")</f>
        <v>0</v>
      </c>
      <c r="L1145" s="8">
        <f>COUNTIFS('All Papers'!$D:$D,"*"&amp;$A1145&amp;"*",'All Papers'!$G:$G,"*"&amp;Table1[[#Headers],[Monitoring]]&amp;"*")</f>
        <v>0</v>
      </c>
      <c r="M1145" s="8">
        <f>COUNTIFS('All Papers'!$D:$D,"*"&amp;$A1145&amp;"*",'All Papers'!$G:$G,"*"&amp;Table1[[#Headers],[Pricing]]&amp;"*")</f>
        <v>0</v>
      </c>
    </row>
    <row r="1146" spans="1:13" x14ac:dyDescent="0.25">
      <c r="A1146" s="8" t="s">
        <v>3579</v>
      </c>
      <c r="B1146" s="8">
        <f>COUNTIF('All Papers'!D:D,"*"&amp;Table1[[#This Row],[Name]]&amp;"*")</f>
        <v>1</v>
      </c>
      <c r="C1146" s="8">
        <f>COUNTIFS('All Papers'!$D:$D,"*"&amp;$A1146&amp;"*",'All Papers'!$G:$G,"*"&amp;Table1[[#Headers],[Composition]]&amp;"*")</f>
        <v>0</v>
      </c>
      <c r="D1146" s="8">
        <f>COUNTIFS('All Papers'!$D:$D,"*"&amp;$A1146&amp;"*",'All Papers'!$G:$G,"*"&amp;Table1[[#Headers],[Discovery]]&amp;"*")</f>
        <v>0</v>
      </c>
      <c r="E1146" s="8">
        <f>COUNTIFS('All Papers'!$D:$D,"*"&amp;$A1146&amp;"*",'All Papers'!$G:$G,"*"&amp;Table1[[#Headers],[Selection]]&amp;"*")</f>
        <v>1</v>
      </c>
      <c r="F1146" s="8">
        <f>COUNTIFS('All Papers'!$D:$D,"*"&amp;$A1146&amp;"*",'All Papers'!$G:$G,"*"&amp;Table1[[#Headers],[Recommendation]]&amp;"*")</f>
        <v>0</v>
      </c>
      <c r="G1146" s="8">
        <f>COUNTIFS('All Papers'!$D:$D,"*"&amp;$A1146&amp;"*",'All Papers'!$G:$G,"*"&amp;Table1[[#Headers],[Resource Management-CS]]&amp;"*")</f>
        <v>0</v>
      </c>
      <c r="H1146" s="8">
        <f>COUNTIFS('All Papers'!$D:$D,"*"&amp;$A1146&amp;"*",'All Papers'!$G:$G,"*"&amp;Table1[[#Headers],[Resource Management-PS]]&amp;"*")</f>
        <v>0</v>
      </c>
      <c r="I1146" s="8">
        <f>COUNTIFS('All Papers'!$D:$D,"*"&amp;$A1146&amp;"*",'All Papers'!$G:$G,"*"&amp;Table1[[#Headers],[SLA Management]]&amp;"*")</f>
        <v>0</v>
      </c>
      <c r="J1146" s="8">
        <f>COUNTIFS('All Papers'!$D:$D,"*"&amp;$A1146&amp;"*",'All Papers'!$G:$G,"*"&amp;Table1[[#Headers],[Big Data]]&amp;"*")</f>
        <v>0</v>
      </c>
      <c r="K1146" s="8">
        <f>COUNTIFS('All Papers'!$D:$D,"*"&amp;$A1146&amp;"*",'All Papers'!$G:$G,"*"&amp;Table1[[#Headers],[Energy Management]]&amp;"*")</f>
        <v>0</v>
      </c>
      <c r="L1146" s="8">
        <f>COUNTIFS('All Papers'!$D:$D,"*"&amp;$A1146&amp;"*",'All Papers'!$G:$G,"*"&amp;Table1[[#Headers],[Monitoring]]&amp;"*")</f>
        <v>0</v>
      </c>
      <c r="M1146" s="8">
        <f>COUNTIFS('All Papers'!$D:$D,"*"&amp;$A1146&amp;"*",'All Papers'!$G:$G,"*"&amp;Table1[[#Headers],[Pricing]]&amp;"*")</f>
        <v>0</v>
      </c>
    </row>
    <row r="1147" spans="1:13" x14ac:dyDescent="0.25">
      <c r="A1147" s="8" t="s">
        <v>3580</v>
      </c>
      <c r="B1147" s="8">
        <f>COUNTIF('All Papers'!D:D,"*"&amp;Table1[[#This Row],[Name]]&amp;"*")</f>
        <v>1</v>
      </c>
      <c r="C1147" s="8">
        <f>COUNTIFS('All Papers'!$D:$D,"*"&amp;$A1147&amp;"*",'All Papers'!$G:$G,"*"&amp;Table1[[#Headers],[Composition]]&amp;"*")</f>
        <v>0</v>
      </c>
      <c r="D1147" s="8">
        <f>COUNTIFS('All Papers'!$D:$D,"*"&amp;$A1147&amp;"*",'All Papers'!$G:$G,"*"&amp;Table1[[#Headers],[Discovery]]&amp;"*")</f>
        <v>0</v>
      </c>
      <c r="E1147" s="8">
        <f>COUNTIFS('All Papers'!$D:$D,"*"&amp;$A1147&amp;"*",'All Papers'!$G:$G,"*"&amp;Table1[[#Headers],[Selection]]&amp;"*")</f>
        <v>1</v>
      </c>
      <c r="F1147" s="8">
        <f>COUNTIFS('All Papers'!$D:$D,"*"&amp;$A1147&amp;"*",'All Papers'!$G:$G,"*"&amp;Table1[[#Headers],[Recommendation]]&amp;"*")</f>
        <v>0</v>
      </c>
      <c r="G1147" s="8">
        <f>COUNTIFS('All Papers'!$D:$D,"*"&amp;$A1147&amp;"*",'All Papers'!$G:$G,"*"&amp;Table1[[#Headers],[Resource Management-CS]]&amp;"*")</f>
        <v>0</v>
      </c>
      <c r="H1147" s="8">
        <f>COUNTIFS('All Papers'!$D:$D,"*"&amp;$A1147&amp;"*",'All Papers'!$G:$G,"*"&amp;Table1[[#Headers],[Resource Management-PS]]&amp;"*")</f>
        <v>0</v>
      </c>
      <c r="I1147" s="8">
        <f>COUNTIFS('All Papers'!$D:$D,"*"&amp;$A1147&amp;"*",'All Papers'!$G:$G,"*"&amp;Table1[[#Headers],[SLA Management]]&amp;"*")</f>
        <v>0</v>
      </c>
      <c r="J1147" s="8">
        <f>COUNTIFS('All Papers'!$D:$D,"*"&amp;$A1147&amp;"*",'All Papers'!$G:$G,"*"&amp;Table1[[#Headers],[Big Data]]&amp;"*")</f>
        <v>0</v>
      </c>
      <c r="K1147" s="8">
        <f>COUNTIFS('All Papers'!$D:$D,"*"&amp;$A1147&amp;"*",'All Papers'!$G:$G,"*"&amp;Table1[[#Headers],[Energy Management]]&amp;"*")</f>
        <v>0</v>
      </c>
      <c r="L1147" s="8">
        <f>COUNTIFS('All Papers'!$D:$D,"*"&amp;$A1147&amp;"*",'All Papers'!$G:$G,"*"&amp;Table1[[#Headers],[Monitoring]]&amp;"*")</f>
        <v>0</v>
      </c>
      <c r="M1147" s="8">
        <f>COUNTIFS('All Papers'!$D:$D,"*"&amp;$A1147&amp;"*",'All Papers'!$G:$G,"*"&amp;Table1[[#Headers],[Pricing]]&amp;"*")</f>
        <v>0</v>
      </c>
    </row>
    <row r="1148" spans="1:13" x14ac:dyDescent="0.25">
      <c r="A1148" s="8" t="s">
        <v>3581</v>
      </c>
      <c r="B1148" s="8">
        <f>COUNTIF('All Papers'!D:D,"*"&amp;Table1[[#This Row],[Name]]&amp;"*")</f>
        <v>1</v>
      </c>
      <c r="C1148" s="8">
        <f>COUNTIFS('All Papers'!$D:$D,"*"&amp;$A1148&amp;"*",'All Papers'!$G:$G,"*"&amp;Table1[[#Headers],[Composition]]&amp;"*")</f>
        <v>0</v>
      </c>
      <c r="D1148" s="8">
        <f>COUNTIFS('All Papers'!$D:$D,"*"&amp;$A1148&amp;"*",'All Papers'!$G:$G,"*"&amp;Table1[[#Headers],[Discovery]]&amp;"*")</f>
        <v>0</v>
      </c>
      <c r="E1148" s="8">
        <f>COUNTIFS('All Papers'!$D:$D,"*"&amp;$A1148&amp;"*",'All Papers'!$G:$G,"*"&amp;Table1[[#Headers],[Selection]]&amp;"*")</f>
        <v>1</v>
      </c>
      <c r="F1148" s="8">
        <f>COUNTIFS('All Papers'!$D:$D,"*"&amp;$A1148&amp;"*",'All Papers'!$G:$G,"*"&amp;Table1[[#Headers],[Recommendation]]&amp;"*")</f>
        <v>0</v>
      </c>
      <c r="G1148" s="8">
        <f>COUNTIFS('All Papers'!$D:$D,"*"&amp;$A1148&amp;"*",'All Papers'!$G:$G,"*"&amp;Table1[[#Headers],[Resource Management-CS]]&amp;"*")</f>
        <v>0</v>
      </c>
      <c r="H1148" s="8">
        <f>COUNTIFS('All Papers'!$D:$D,"*"&amp;$A1148&amp;"*",'All Papers'!$G:$G,"*"&amp;Table1[[#Headers],[Resource Management-PS]]&amp;"*")</f>
        <v>0</v>
      </c>
      <c r="I1148" s="8">
        <f>COUNTIFS('All Papers'!$D:$D,"*"&amp;$A1148&amp;"*",'All Papers'!$G:$G,"*"&amp;Table1[[#Headers],[SLA Management]]&amp;"*")</f>
        <v>0</v>
      </c>
      <c r="J1148" s="8">
        <f>COUNTIFS('All Papers'!$D:$D,"*"&amp;$A1148&amp;"*",'All Papers'!$G:$G,"*"&amp;Table1[[#Headers],[Big Data]]&amp;"*")</f>
        <v>0</v>
      </c>
      <c r="K1148" s="8">
        <f>COUNTIFS('All Papers'!$D:$D,"*"&amp;$A1148&amp;"*",'All Papers'!$G:$G,"*"&amp;Table1[[#Headers],[Energy Management]]&amp;"*")</f>
        <v>0</v>
      </c>
      <c r="L1148" s="8">
        <f>COUNTIFS('All Papers'!$D:$D,"*"&amp;$A1148&amp;"*",'All Papers'!$G:$G,"*"&amp;Table1[[#Headers],[Monitoring]]&amp;"*")</f>
        <v>0</v>
      </c>
      <c r="M1148" s="8">
        <f>COUNTIFS('All Papers'!$D:$D,"*"&amp;$A1148&amp;"*",'All Papers'!$G:$G,"*"&amp;Table1[[#Headers],[Pricing]]&amp;"*")</f>
        <v>0</v>
      </c>
    </row>
    <row r="1149" spans="1:13" x14ac:dyDescent="0.25">
      <c r="A1149" s="8" t="s">
        <v>3582</v>
      </c>
      <c r="B1149" s="8">
        <f>COUNTIF('All Papers'!D:D,"*"&amp;Table1[[#This Row],[Name]]&amp;"*")</f>
        <v>1</v>
      </c>
      <c r="C1149" s="8">
        <f>COUNTIFS('All Papers'!$D:$D,"*"&amp;$A1149&amp;"*",'All Papers'!$G:$G,"*"&amp;Table1[[#Headers],[Composition]]&amp;"*")</f>
        <v>0</v>
      </c>
      <c r="D1149" s="8">
        <f>COUNTIFS('All Papers'!$D:$D,"*"&amp;$A1149&amp;"*",'All Papers'!$G:$G,"*"&amp;Table1[[#Headers],[Discovery]]&amp;"*")</f>
        <v>0</v>
      </c>
      <c r="E1149" s="8">
        <f>COUNTIFS('All Papers'!$D:$D,"*"&amp;$A1149&amp;"*",'All Papers'!$G:$G,"*"&amp;Table1[[#Headers],[Selection]]&amp;"*")</f>
        <v>1</v>
      </c>
      <c r="F1149" s="8">
        <f>COUNTIFS('All Papers'!$D:$D,"*"&amp;$A1149&amp;"*",'All Papers'!$G:$G,"*"&amp;Table1[[#Headers],[Recommendation]]&amp;"*")</f>
        <v>0</v>
      </c>
      <c r="G1149" s="8">
        <f>COUNTIFS('All Papers'!$D:$D,"*"&amp;$A1149&amp;"*",'All Papers'!$G:$G,"*"&amp;Table1[[#Headers],[Resource Management-CS]]&amp;"*")</f>
        <v>0</v>
      </c>
      <c r="H1149" s="8">
        <f>COUNTIFS('All Papers'!$D:$D,"*"&amp;$A1149&amp;"*",'All Papers'!$G:$G,"*"&amp;Table1[[#Headers],[Resource Management-PS]]&amp;"*")</f>
        <v>0</v>
      </c>
      <c r="I1149" s="8">
        <f>COUNTIFS('All Papers'!$D:$D,"*"&amp;$A1149&amp;"*",'All Papers'!$G:$G,"*"&amp;Table1[[#Headers],[SLA Management]]&amp;"*")</f>
        <v>0</v>
      </c>
      <c r="J1149" s="8">
        <f>COUNTIFS('All Papers'!$D:$D,"*"&amp;$A1149&amp;"*",'All Papers'!$G:$G,"*"&amp;Table1[[#Headers],[Big Data]]&amp;"*")</f>
        <v>0</v>
      </c>
      <c r="K1149" s="8">
        <f>COUNTIFS('All Papers'!$D:$D,"*"&amp;$A1149&amp;"*",'All Papers'!$G:$G,"*"&amp;Table1[[#Headers],[Energy Management]]&amp;"*")</f>
        <v>0</v>
      </c>
      <c r="L1149" s="8">
        <f>COUNTIFS('All Papers'!$D:$D,"*"&amp;$A1149&amp;"*",'All Papers'!$G:$G,"*"&amp;Table1[[#Headers],[Monitoring]]&amp;"*")</f>
        <v>0</v>
      </c>
      <c r="M1149" s="8">
        <f>COUNTIFS('All Papers'!$D:$D,"*"&amp;$A1149&amp;"*",'All Papers'!$G:$G,"*"&amp;Table1[[#Headers],[Pricing]]&amp;"*")</f>
        <v>0</v>
      </c>
    </row>
    <row r="1150" spans="1:13" x14ac:dyDescent="0.25">
      <c r="A1150" s="8" t="s">
        <v>3583</v>
      </c>
      <c r="B1150" s="8">
        <f>COUNTIF('All Papers'!D:D,"*"&amp;Table1[[#This Row],[Name]]&amp;"*")</f>
        <v>1</v>
      </c>
      <c r="C1150" s="8">
        <f>COUNTIFS('All Papers'!$D:$D,"*"&amp;$A1150&amp;"*",'All Papers'!$G:$G,"*"&amp;Table1[[#Headers],[Composition]]&amp;"*")</f>
        <v>0</v>
      </c>
      <c r="D1150" s="8">
        <f>COUNTIFS('All Papers'!$D:$D,"*"&amp;$A1150&amp;"*",'All Papers'!$G:$G,"*"&amp;Table1[[#Headers],[Discovery]]&amp;"*")</f>
        <v>0</v>
      </c>
      <c r="E1150" s="8">
        <f>COUNTIFS('All Papers'!$D:$D,"*"&amp;$A1150&amp;"*",'All Papers'!$G:$G,"*"&amp;Table1[[#Headers],[Selection]]&amp;"*")</f>
        <v>1</v>
      </c>
      <c r="F1150" s="8">
        <f>COUNTIFS('All Papers'!$D:$D,"*"&amp;$A1150&amp;"*",'All Papers'!$G:$G,"*"&amp;Table1[[#Headers],[Recommendation]]&amp;"*")</f>
        <v>0</v>
      </c>
      <c r="G1150" s="8">
        <f>COUNTIFS('All Papers'!$D:$D,"*"&amp;$A1150&amp;"*",'All Papers'!$G:$G,"*"&amp;Table1[[#Headers],[Resource Management-CS]]&amp;"*")</f>
        <v>0</v>
      </c>
      <c r="H1150" s="8">
        <f>COUNTIFS('All Papers'!$D:$D,"*"&amp;$A1150&amp;"*",'All Papers'!$G:$G,"*"&amp;Table1[[#Headers],[Resource Management-PS]]&amp;"*")</f>
        <v>0</v>
      </c>
      <c r="I1150" s="8">
        <f>COUNTIFS('All Papers'!$D:$D,"*"&amp;$A1150&amp;"*",'All Papers'!$G:$G,"*"&amp;Table1[[#Headers],[SLA Management]]&amp;"*")</f>
        <v>0</v>
      </c>
      <c r="J1150" s="8">
        <f>COUNTIFS('All Papers'!$D:$D,"*"&amp;$A1150&amp;"*",'All Papers'!$G:$G,"*"&amp;Table1[[#Headers],[Big Data]]&amp;"*")</f>
        <v>0</v>
      </c>
      <c r="K1150" s="8">
        <f>COUNTIFS('All Papers'!$D:$D,"*"&amp;$A1150&amp;"*",'All Papers'!$G:$G,"*"&amp;Table1[[#Headers],[Energy Management]]&amp;"*")</f>
        <v>0</v>
      </c>
      <c r="L1150" s="8">
        <f>COUNTIFS('All Papers'!$D:$D,"*"&amp;$A1150&amp;"*",'All Papers'!$G:$G,"*"&amp;Table1[[#Headers],[Monitoring]]&amp;"*")</f>
        <v>0</v>
      </c>
      <c r="M1150" s="8">
        <f>COUNTIFS('All Papers'!$D:$D,"*"&amp;$A1150&amp;"*",'All Papers'!$G:$G,"*"&amp;Table1[[#Headers],[Pricing]]&amp;"*")</f>
        <v>0</v>
      </c>
    </row>
    <row r="1151" spans="1:13" x14ac:dyDescent="0.25">
      <c r="A1151" s="8" t="s">
        <v>3584</v>
      </c>
      <c r="B1151" s="8">
        <f>COUNTIF('All Papers'!D:D,"*"&amp;Table1[[#This Row],[Name]]&amp;"*")</f>
        <v>1</v>
      </c>
      <c r="C1151" s="8">
        <f>COUNTIFS('All Papers'!$D:$D,"*"&amp;$A1151&amp;"*",'All Papers'!$G:$G,"*"&amp;Table1[[#Headers],[Composition]]&amp;"*")</f>
        <v>0</v>
      </c>
      <c r="D1151" s="8">
        <f>COUNTIFS('All Papers'!$D:$D,"*"&amp;$A1151&amp;"*",'All Papers'!$G:$G,"*"&amp;Table1[[#Headers],[Discovery]]&amp;"*")</f>
        <v>0</v>
      </c>
      <c r="E1151" s="8">
        <f>COUNTIFS('All Papers'!$D:$D,"*"&amp;$A1151&amp;"*",'All Papers'!$G:$G,"*"&amp;Table1[[#Headers],[Selection]]&amp;"*")</f>
        <v>1</v>
      </c>
      <c r="F1151" s="8">
        <f>COUNTIFS('All Papers'!$D:$D,"*"&amp;$A1151&amp;"*",'All Papers'!$G:$G,"*"&amp;Table1[[#Headers],[Recommendation]]&amp;"*")</f>
        <v>0</v>
      </c>
      <c r="G1151" s="8">
        <f>COUNTIFS('All Papers'!$D:$D,"*"&amp;$A1151&amp;"*",'All Papers'!$G:$G,"*"&amp;Table1[[#Headers],[Resource Management-CS]]&amp;"*")</f>
        <v>0</v>
      </c>
      <c r="H1151" s="8">
        <f>COUNTIFS('All Papers'!$D:$D,"*"&amp;$A1151&amp;"*",'All Papers'!$G:$G,"*"&amp;Table1[[#Headers],[Resource Management-PS]]&amp;"*")</f>
        <v>0</v>
      </c>
      <c r="I1151" s="8">
        <f>COUNTIFS('All Papers'!$D:$D,"*"&amp;$A1151&amp;"*",'All Papers'!$G:$G,"*"&amp;Table1[[#Headers],[SLA Management]]&amp;"*")</f>
        <v>0</v>
      </c>
      <c r="J1151" s="8">
        <f>COUNTIFS('All Papers'!$D:$D,"*"&amp;$A1151&amp;"*",'All Papers'!$G:$G,"*"&amp;Table1[[#Headers],[Big Data]]&amp;"*")</f>
        <v>0</v>
      </c>
      <c r="K1151" s="8">
        <f>COUNTIFS('All Papers'!$D:$D,"*"&amp;$A1151&amp;"*",'All Papers'!$G:$G,"*"&amp;Table1[[#Headers],[Energy Management]]&amp;"*")</f>
        <v>0</v>
      </c>
      <c r="L1151" s="8">
        <f>COUNTIFS('All Papers'!$D:$D,"*"&amp;$A1151&amp;"*",'All Papers'!$G:$G,"*"&amp;Table1[[#Headers],[Monitoring]]&amp;"*")</f>
        <v>0</v>
      </c>
      <c r="M1151" s="8">
        <f>COUNTIFS('All Papers'!$D:$D,"*"&amp;$A1151&amp;"*",'All Papers'!$G:$G,"*"&amp;Table1[[#Headers],[Pricing]]&amp;"*")</f>
        <v>0</v>
      </c>
    </row>
    <row r="1152" spans="1:13" x14ac:dyDescent="0.25">
      <c r="A1152" s="8" t="s">
        <v>3585</v>
      </c>
      <c r="B1152" s="8">
        <f>COUNTIF('All Papers'!D:D,"*"&amp;Table1[[#This Row],[Name]]&amp;"*")</f>
        <v>1</v>
      </c>
      <c r="C1152" s="8">
        <f>COUNTIFS('All Papers'!$D:$D,"*"&amp;$A1152&amp;"*",'All Papers'!$G:$G,"*"&amp;Table1[[#Headers],[Composition]]&amp;"*")</f>
        <v>0</v>
      </c>
      <c r="D1152" s="8">
        <f>COUNTIFS('All Papers'!$D:$D,"*"&amp;$A1152&amp;"*",'All Papers'!$G:$G,"*"&amp;Table1[[#Headers],[Discovery]]&amp;"*")</f>
        <v>0</v>
      </c>
      <c r="E1152" s="8">
        <f>COUNTIFS('All Papers'!$D:$D,"*"&amp;$A1152&amp;"*",'All Papers'!$G:$G,"*"&amp;Table1[[#Headers],[Selection]]&amp;"*")</f>
        <v>1</v>
      </c>
      <c r="F1152" s="8">
        <f>COUNTIFS('All Papers'!$D:$D,"*"&amp;$A1152&amp;"*",'All Papers'!$G:$G,"*"&amp;Table1[[#Headers],[Recommendation]]&amp;"*")</f>
        <v>0</v>
      </c>
      <c r="G1152" s="8">
        <f>COUNTIFS('All Papers'!$D:$D,"*"&amp;$A1152&amp;"*",'All Papers'!$G:$G,"*"&amp;Table1[[#Headers],[Resource Management-CS]]&amp;"*")</f>
        <v>0</v>
      </c>
      <c r="H1152" s="8">
        <f>COUNTIFS('All Papers'!$D:$D,"*"&amp;$A1152&amp;"*",'All Papers'!$G:$G,"*"&amp;Table1[[#Headers],[Resource Management-PS]]&amp;"*")</f>
        <v>0</v>
      </c>
      <c r="I1152" s="8">
        <f>COUNTIFS('All Papers'!$D:$D,"*"&amp;$A1152&amp;"*",'All Papers'!$G:$G,"*"&amp;Table1[[#Headers],[SLA Management]]&amp;"*")</f>
        <v>0</v>
      </c>
      <c r="J1152" s="8">
        <f>COUNTIFS('All Papers'!$D:$D,"*"&amp;$A1152&amp;"*",'All Papers'!$G:$G,"*"&amp;Table1[[#Headers],[Big Data]]&amp;"*")</f>
        <v>0</v>
      </c>
      <c r="K1152" s="8">
        <f>COUNTIFS('All Papers'!$D:$D,"*"&amp;$A1152&amp;"*",'All Papers'!$G:$G,"*"&amp;Table1[[#Headers],[Energy Management]]&amp;"*")</f>
        <v>0</v>
      </c>
      <c r="L1152" s="8">
        <f>COUNTIFS('All Papers'!$D:$D,"*"&amp;$A1152&amp;"*",'All Papers'!$G:$G,"*"&amp;Table1[[#Headers],[Monitoring]]&amp;"*")</f>
        <v>0</v>
      </c>
      <c r="M1152" s="8">
        <f>COUNTIFS('All Papers'!$D:$D,"*"&amp;$A1152&amp;"*",'All Papers'!$G:$G,"*"&amp;Table1[[#Headers],[Pricing]]&amp;"*")</f>
        <v>0</v>
      </c>
    </row>
    <row r="1153" spans="1:13" x14ac:dyDescent="0.25">
      <c r="A1153" s="8" t="s">
        <v>3586</v>
      </c>
      <c r="B1153" s="8">
        <f>COUNTIF('All Papers'!D:D,"*"&amp;Table1[[#This Row],[Name]]&amp;"*")</f>
        <v>1</v>
      </c>
      <c r="C1153" s="8">
        <f>COUNTIFS('All Papers'!$D:$D,"*"&amp;$A1153&amp;"*",'All Papers'!$G:$G,"*"&amp;Table1[[#Headers],[Composition]]&amp;"*")</f>
        <v>0</v>
      </c>
      <c r="D1153" s="8">
        <f>COUNTIFS('All Papers'!$D:$D,"*"&amp;$A1153&amp;"*",'All Papers'!$G:$G,"*"&amp;Table1[[#Headers],[Discovery]]&amp;"*")</f>
        <v>0</v>
      </c>
      <c r="E1153" s="8">
        <f>COUNTIFS('All Papers'!$D:$D,"*"&amp;$A1153&amp;"*",'All Papers'!$G:$G,"*"&amp;Table1[[#Headers],[Selection]]&amp;"*")</f>
        <v>0</v>
      </c>
      <c r="F1153" s="8">
        <f>COUNTIFS('All Papers'!$D:$D,"*"&amp;$A1153&amp;"*",'All Papers'!$G:$G,"*"&amp;Table1[[#Headers],[Recommendation]]&amp;"*")</f>
        <v>0</v>
      </c>
      <c r="G1153" s="8">
        <f>COUNTIFS('All Papers'!$D:$D,"*"&amp;$A1153&amp;"*",'All Papers'!$G:$G,"*"&amp;Table1[[#Headers],[Resource Management-CS]]&amp;"*")</f>
        <v>0</v>
      </c>
      <c r="H1153" s="8">
        <f>COUNTIFS('All Papers'!$D:$D,"*"&amp;$A1153&amp;"*",'All Papers'!$G:$G,"*"&amp;Table1[[#Headers],[Resource Management-PS]]&amp;"*")</f>
        <v>0</v>
      </c>
      <c r="I1153" s="8">
        <f>COUNTIFS('All Papers'!$D:$D,"*"&amp;$A1153&amp;"*",'All Papers'!$G:$G,"*"&amp;Table1[[#Headers],[SLA Management]]&amp;"*")</f>
        <v>1</v>
      </c>
      <c r="J1153" s="8">
        <f>COUNTIFS('All Papers'!$D:$D,"*"&amp;$A1153&amp;"*",'All Papers'!$G:$G,"*"&amp;Table1[[#Headers],[Big Data]]&amp;"*")</f>
        <v>0</v>
      </c>
      <c r="K1153" s="8">
        <f>COUNTIFS('All Papers'!$D:$D,"*"&amp;$A1153&amp;"*",'All Papers'!$G:$G,"*"&amp;Table1[[#Headers],[Energy Management]]&amp;"*")</f>
        <v>0</v>
      </c>
      <c r="L1153" s="8">
        <f>COUNTIFS('All Papers'!$D:$D,"*"&amp;$A1153&amp;"*",'All Papers'!$G:$G,"*"&amp;Table1[[#Headers],[Monitoring]]&amp;"*")</f>
        <v>1</v>
      </c>
      <c r="M1153" s="8">
        <f>COUNTIFS('All Papers'!$D:$D,"*"&amp;$A1153&amp;"*",'All Papers'!$G:$G,"*"&amp;Table1[[#Headers],[Pricing]]&amp;"*")</f>
        <v>0</v>
      </c>
    </row>
    <row r="1154" spans="1:13" x14ac:dyDescent="0.25">
      <c r="A1154" s="8" t="s">
        <v>3587</v>
      </c>
      <c r="B1154" s="8">
        <f>COUNTIF('All Papers'!D:D,"*"&amp;Table1[[#This Row],[Name]]&amp;"*")</f>
        <v>1</v>
      </c>
      <c r="C1154" s="8">
        <f>COUNTIFS('All Papers'!$D:$D,"*"&amp;$A1154&amp;"*",'All Papers'!$G:$G,"*"&amp;Table1[[#Headers],[Composition]]&amp;"*")</f>
        <v>0</v>
      </c>
      <c r="D1154" s="8">
        <f>COUNTIFS('All Papers'!$D:$D,"*"&amp;$A1154&amp;"*",'All Papers'!$G:$G,"*"&amp;Table1[[#Headers],[Discovery]]&amp;"*")</f>
        <v>0</v>
      </c>
      <c r="E1154" s="8">
        <f>COUNTIFS('All Papers'!$D:$D,"*"&amp;$A1154&amp;"*",'All Papers'!$G:$G,"*"&amp;Table1[[#Headers],[Selection]]&amp;"*")</f>
        <v>0</v>
      </c>
      <c r="F1154" s="8">
        <f>COUNTIFS('All Papers'!$D:$D,"*"&amp;$A1154&amp;"*",'All Papers'!$G:$G,"*"&amp;Table1[[#Headers],[Recommendation]]&amp;"*")</f>
        <v>0</v>
      </c>
      <c r="G1154" s="8">
        <f>COUNTIFS('All Papers'!$D:$D,"*"&amp;$A1154&amp;"*",'All Papers'!$G:$G,"*"&amp;Table1[[#Headers],[Resource Management-CS]]&amp;"*")</f>
        <v>0</v>
      </c>
      <c r="H1154" s="8">
        <f>COUNTIFS('All Papers'!$D:$D,"*"&amp;$A1154&amp;"*",'All Papers'!$G:$G,"*"&amp;Table1[[#Headers],[Resource Management-PS]]&amp;"*")</f>
        <v>0</v>
      </c>
      <c r="I1154" s="8">
        <f>COUNTIFS('All Papers'!$D:$D,"*"&amp;$A1154&amp;"*",'All Papers'!$G:$G,"*"&amp;Table1[[#Headers],[SLA Management]]&amp;"*")</f>
        <v>1</v>
      </c>
      <c r="J1154" s="8">
        <f>COUNTIFS('All Papers'!$D:$D,"*"&amp;$A1154&amp;"*",'All Papers'!$G:$G,"*"&amp;Table1[[#Headers],[Big Data]]&amp;"*")</f>
        <v>0</v>
      </c>
      <c r="K1154" s="8">
        <f>COUNTIFS('All Papers'!$D:$D,"*"&amp;$A1154&amp;"*",'All Papers'!$G:$G,"*"&amp;Table1[[#Headers],[Energy Management]]&amp;"*")</f>
        <v>0</v>
      </c>
      <c r="L1154" s="8">
        <f>COUNTIFS('All Papers'!$D:$D,"*"&amp;$A1154&amp;"*",'All Papers'!$G:$G,"*"&amp;Table1[[#Headers],[Monitoring]]&amp;"*")</f>
        <v>1</v>
      </c>
      <c r="M1154" s="8">
        <f>COUNTIFS('All Papers'!$D:$D,"*"&amp;$A1154&amp;"*",'All Papers'!$G:$G,"*"&amp;Table1[[#Headers],[Pricing]]&amp;"*")</f>
        <v>0</v>
      </c>
    </row>
    <row r="1155" spans="1:13" x14ac:dyDescent="0.25">
      <c r="A1155" s="8" t="s">
        <v>3588</v>
      </c>
      <c r="B1155" s="8">
        <f>COUNTIF('All Papers'!D:D,"*"&amp;Table1[[#This Row],[Name]]&amp;"*")</f>
        <v>1</v>
      </c>
      <c r="C1155" s="8">
        <f>COUNTIFS('All Papers'!$D:$D,"*"&amp;$A1155&amp;"*",'All Papers'!$G:$G,"*"&amp;Table1[[#Headers],[Composition]]&amp;"*")</f>
        <v>0</v>
      </c>
      <c r="D1155" s="8">
        <f>COUNTIFS('All Papers'!$D:$D,"*"&amp;$A1155&amp;"*",'All Papers'!$G:$G,"*"&amp;Table1[[#Headers],[Discovery]]&amp;"*")</f>
        <v>0</v>
      </c>
      <c r="E1155" s="8">
        <f>COUNTIFS('All Papers'!$D:$D,"*"&amp;$A1155&amp;"*",'All Papers'!$G:$G,"*"&amp;Table1[[#Headers],[Selection]]&amp;"*")</f>
        <v>0</v>
      </c>
      <c r="F1155" s="8">
        <f>COUNTIFS('All Papers'!$D:$D,"*"&amp;$A1155&amp;"*",'All Papers'!$G:$G,"*"&amp;Table1[[#Headers],[Recommendation]]&amp;"*")</f>
        <v>0</v>
      </c>
      <c r="G1155" s="8">
        <f>COUNTIFS('All Papers'!$D:$D,"*"&amp;$A1155&amp;"*",'All Papers'!$G:$G,"*"&amp;Table1[[#Headers],[Resource Management-CS]]&amp;"*")</f>
        <v>0</v>
      </c>
      <c r="H1155" s="8">
        <f>COUNTIFS('All Papers'!$D:$D,"*"&amp;$A1155&amp;"*",'All Papers'!$G:$G,"*"&amp;Table1[[#Headers],[Resource Management-PS]]&amp;"*")</f>
        <v>0</v>
      </c>
      <c r="I1155" s="8">
        <f>COUNTIFS('All Papers'!$D:$D,"*"&amp;$A1155&amp;"*",'All Papers'!$G:$G,"*"&amp;Table1[[#Headers],[SLA Management]]&amp;"*")</f>
        <v>1</v>
      </c>
      <c r="J1155" s="8">
        <f>COUNTIFS('All Papers'!$D:$D,"*"&amp;$A1155&amp;"*",'All Papers'!$G:$G,"*"&amp;Table1[[#Headers],[Big Data]]&amp;"*")</f>
        <v>0</v>
      </c>
      <c r="K1155" s="8">
        <f>COUNTIFS('All Papers'!$D:$D,"*"&amp;$A1155&amp;"*",'All Papers'!$G:$G,"*"&amp;Table1[[#Headers],[Energy Management]]&amp;"*")</f>
        <v>0</v>
      </c>
      <c r="L1155" s="8">
        <f>COUNTIFS('All Papers'!$D:$D,"*"&amp;$A1155&amp;"*",'All Papers'!$G:$G,"*"&amp;Table1[[#Headers],[Monitoring]]&amp;"*")</f>
        <v>1</v>
      </c>
      <c r="M1155" s="8">
        <f>COUNTIFS('All Papers'!$D:$D,"*"&amp;$A1155&amp;"*",'All Papers'!$G:$G,"*"&amp;Table1[[#Headers],[Pricing]]&amp;"*")</f>
        <v>0</v>
      </c>
    </row>
    <row r="1156" spans="1:13" x14ac:dyDescent="0.25">
      <c r="A1156" s="8" t="s">
        <v>3589</v>
      </c>
      <c r="B1156" s="8">
        <f>COUNTIF('All Papers'!D:D,"*"&amp;Table1[[#This Row],[Name]]&amp;"*")</f>
        <v>1</v>
      </c>
      <c r="C1156" s="8">
        <f>COUNTIFS('All Papers'!$D:$D,"*"&amp;$A1156&amp;"*",'All Papers'!$G:$G,"*"&amp;Table1[[#Headers],[Composition]]&amp;"*")</f>
        <v>0</v>
      </c>
      <c r="D1156" s="8">
        <f>COUNTIFS('All Papers'!$D:$D,"*"&amp;$A1156&amp;"*",'All Papers'!$G:$G,"*"&amp;Table1[[#Headers],[Discovery]]&amp;"*")</f>
        <v>0</v>
      </c>
      <c r="E1156" s="8">
        <f>COUNTIFS('All Papers'!$D:$D,"*"&amp;$A1156&amp;"*",'All Papers'!$G:$G,"*"&amp;Table1[[#Headers],[Selection]]&amp;"*")</f>
        <v>1</v>
      </c>
      <c r="F1156" s="8">
        <f>COUNTIFS('All Papers'!$D:$D,"*"&amp;$A1156&amp;"*",'All Papers'!$G:$G,"*"&amp;Table1[[#Headers],[Recommendation]]&amp;"*")</f>
        <v>0</v>
      </c>
      <c r="G1156" s="8">
        <f>COUNTIFS('All Papers'!$D:$D,"*"&amp;$A1156&amp;"*",'All Papers'!$G:$G,"*"&amp;Table1[[#Headers],[Resource Management-CS]]&amp;"*")</f>
        <v>0</v>
      </c>
      <c r="H1156" s="8">
        <f>COUNTIFS('All Papers'!$D:$D,"*"&amp;$A1156&amp;"*",'All Papers'!$G:$G,"*"&amp;Table1[[#Headers],[Resource Management-PS]]&amp;"*")</f>
        <v>0</v>
      </c>
      <c r="I1156" s="8">
        <f>COUNTIFS('All Papers'!$D:$D,"*"&amp;$A1156&amp;"*",'All Papers'!$G:$G,"*"&amp;Table1[[#Headers],[SLA Management]]&amp;"*")</f>
        <v>0</v>
      </c>
      <c r="J1156" s="8">
        <f>COUNTIFS('All Papers'!$D:$D,"*"&amp;$A1156&amp;"*",'All Papers'!$G:$G,"*"&amp;Table1[[#Headers],[Big Data]]&amp;"*")</f>
        <v>0</v>
      </c>
      <c r="K1156" s="8">
        <f>COUNTIFS('All Papers'!$D:$D,"*"&amp;$A1156&amp;"*",'All Papers'!$G:$G,"*"&amp;Table1[[#Headers],[Energy Management]]&amp;"*")</f>
        <v>0</v>
      </c>
      <c r="L1156" s="8">
        <f>COUNTIFS('All Papers'!$D:$D,"*"&amp;$A1156&amp;"*",'All Papers'!$G:$G,"*"&amp;Table1[[#Headers],[Monitoring]]&amp;"*")</f>
        <v>0</v>
      </c>
      <c r="M1156" s="8">
        <f>COUNTIFS('All Papers'!$D:$D,"*"&amp;$A1156&amp;"*",'All Papers'!$G:$G,"*"&amp;Table1[[#Headers],[Pricing]]&amp;"*")</f>
        <v>0</v>
      </c>
    </row>
    <row r="1157" spans="1:13" x14ac:dyDescent="0.25">
      <c r="A1157" s="8" t="s">
        <v>3590</v>
      </c>
      <c r="B1157" s="8">
        <f>COUNTIF('All Papers'!D:D,"*"&amp;Table1[[#This Row],[Name]]&amp;"*")</f>
        <v>1</v>
      </c>
      <c r="C1157" s="8">
        <f>COUNTIFS('All Papers'!$D:$D,"*"&amp;$A1157&amp;"*",'All Papers'!$G:$G,"*"&amp;Table1[[#Headers],[Composition]]&amp;"*")</f>
        <v>0</v>
      </c>
      <c r="D1157" s="8">
        <f>COUNTIFS('All Papers'!$D:$D,"*"&amp;$A1157&amp;"*",'All Papers'!$G:$G,"*"&amp;Table1[[#Headers],[Discovery]]&amp;"*")</f>
        <v>0</v>
      </c>
      <c r="E1157" s="8">
        <f>COUNTIFS('All Papers'!$D:$D,"*"&amp;$A1157&amp;"*",'All Papers'!$G:$G,"*"&amp;Table1[[#Headers],[Selection]]&amp;"*")</f>
        <v>1</v>
      </c>
      <c r="F1157" s="8">
        <f>COUNTIFS('All Papers'!$D:$D,"*"&amp;$A1157&amp;"*",'All Papers'!$G:$G,"*"&amp;Table1[[#Headers],[Recommendation]]&amp;"*")</f>
        <v>0</v>
      </c>
      <c r="G1157" s="8">
        <f>COUNTIFS('All Papers'!$D:$D,"*"&amp;$A1157&amp;"*",'All Papers'!$G:$G,"*"&amp;Table1[[#Headers],[Resource Management-CS]]&amp;"*")</f>
        <v>0</v>
      </c>
      <c r="H1157" s="8">
        <f>COUNTIFS('All Papers'!$D:$D,"*"&amp;$A1157&amp;"*",'All Papers'!$G:$G,"*"&amp;Table1[[#Headers],[Resource Management-PS]]&amp;"*")</f>
        <v>0</v>
      </c>
      <c r="I1157" s="8">
        <f>COUNTIFS('All Papers'!$D:$D,"*"&amp;$A1157&amp;"*",'All Papers'!$G:$G,"*"&amp;Table1[[#Headers],[SLA Management]]&amp;"*")</f>
        <v>0</v>
      </c>
      <c r="J1157" s="8">
        <f>COUNTIFS('All Papers'!$D:$D,"*"&amp;$A1157&amp;"*",'All Papers'!$G:$G,"*"&amp;Table1[[#Headers],[Big Data]]&amp;"*")</f>
        <v>0</v>
      </c>
      <c r="K1157" s="8">
        <f>COUNTIFS('All Papers'!$D:$D,"*"&amp;$A1157&amp;"*",'All Papers'!$G:$G,"*"&amp;Table1[[#Headers],[Energy Management]]&amp;"*")</f>
        <v>0</v>
      </c>
      <c r="L1157" s="8">
        <f>COUNTIFS('All Papers'!$D:$D,"*"&amp;$A1157&amp;"*",'All Papers'!$G:$G,"*"&amp;Table1[[#Headers],[Monitoring]]&amp;"*")</f>
        <v>0</v>
      </c>
      <c r="M1157" s="8">
        <f>COUNTIFS('All Papers'!$D:$D,"*"&amp;$A1157&amp;"*",'All Papers'!$G:$G,"*"&amp;Table1[[#Headers],[Pricing]]&amp;"*")</f>
        <v>0</v>
      </c>
    </row>
    <row r="1158" spans="1:13" x14ac:dyDescent="0.25">
      <c r="A1158" s="8" t="s">
        <v>3591</v>
      </c>
      <c r="B1158" s="8">
        <f>COUNTIF('All Papers'!D:D,"*"&amp;Table1[[#This Row],[Name]]&amp;"*")</f>
        <v>1</v>
      </c>
      <c r="C1158" s="8">
        <f>COUNTIFS('All Papers'!$D:$D,"*"&amp;$A1158&amp;"*",'All Papers'!$G:$G,"*"&amp;Table1[[#Headers],[Composition]]&amp;"*")</f>
        <v>0</v>
      </c>
      <c r="D1158" s="8">
        <f>COUNTIFS('All Papers'!$D:$D,"*"&amp;$A1158&amp;"*",'All Papers'!$G:$G,"*"&amp;Table1[[#Headers],[Discovery]]&amp;"*")</f>
        <v>0</v>
      </c>
      <c r="E1158" s="8">
        <f>COUNTIFS('All Papers'!$D:$D,"*"&amp;$A1158&amp;"*",'All Papers'!$G:$G,"*"&amp;Table1[[#Headers],[Selection]]&amp;"*")</f>
        <v>1</v>
      </c>
      <c r="F1158" s="8">
        <f>COUNTIFS('All Papers'!$D:$D,"*"&amp;$A1158&amp;"*",'All Papers'!$G:$G,"*"&amp;Table1[[#Headers],[Recommendation]]&amp;"*")</f>
        <v>0</v>
      </c>
      <c r="G1158" s="8">
        <f>COUNTIFS('All Papers'!$D:$D,"*"&amp;$A1158&amp;"*",'All Papers'!$G:$G,"*"&amp;Table1[[#Headers],[Resource Management-CS]]&amp;"*")</f>
        <v>0</v>
      </c>
      <c r="H1158" s="8">
        <f>COUNTIFS('All Papers'!$D:$D,"*"&amp;$A1158&amp;"*",'All Papers'!$G:$G,"*"&amp;Table1[[#Headers],[Resource Management-PS]]&amp;"*")</f>
        <v>0</v>
      </c>
      <c r="I1158" s="8">
        <f>COUNTIFS('All Papers'!$D:$D,"*"&amp;$A1158&amp;"*",'All Papers'!$G:$G,"*"&amp;Table1[[#Headers],[SLA Management]]&amp;"*")</f>
        <v>0</v>
      </c>
      <c r="J1158" s="8">
        <f>COUNTIFS('All Papers'!$D:$D,"*"&amp;$A1158&amp;"*",'All Papers'!$G:$G,"*"&amp;Table1[[#Headers],[Big Data]]&amp;"*")</f>
        <v>0</v>
      </c>
      <c r="K1158" s="8">
        <f>COUNTIFS('All Papers'!$D:$D,"*"&amp;$A1158&amp;"*",'All Papers'!$G:$G,"*"&amp;Table1[[#Headers],[Energy Management]]&amp;"*")</f>
        <v>0</v>
      </c>
      <c r="L1158" s="8">
        <f>COUNTIFS('All Papers'!$D:$D,"*"&amp;$A1158&amp;"*",'All Papers'!$G:$G,"*"&amp;Table1[[#Headers],[Monitoring]]&amp;"*")</f>
        <v>0</v>
      </c>
      <c r="M1158" s="8">
        <f>COUNTIFS('All Papers'!$D:$D,"*"&amp;$A1158&amp;"*",'All Papers'!$G:$G,"*"&amp;Table1[[#Headers],[Pricing]]&amp;"*")</f>
        <v>0</v>
      </c>
    </row>
    <row r="1159" spans="1:13" x14ac:dyDescent="0.25">
      <c r="A1159" s="8" t="s">
        <v>3592</v>
      </c>
      <c r="B1159" s="8">
        <f>COUNTIF('All Papers'!D:D,"*"&amp;Table1[[#This Row],[Name]]&amp;"*")</f>
        <v>1</v>
      </c>
      <c r="C1159" s="8">
        <f>COUNTIFS('All Papers'!$D:$D,"*"&amp;$A1159&amp;"*",'All Papers'!$G:$G,"*"&amp;Table1[[#Headers],[Composition]]&amp;"*")</f>
        <v>0</v>
      </c>
      <c r="D1159" s="8">
        <f>COUNTIFS('All Papers'!$D:$D,"*"&amp;$A1159&amp;"*",'All Papers'!$G:$G,"*"&amp;Table1[[#Headers],[Discovery]]&amp;"*")</f>
        <v>0</v>
      </c>
      <c r="E1159" s="8">
        <f>COUNTIFS('All Papers'!$D:$D,"*"&amp;$A1159&amp;"*",'All Papers'!$G:$G,"*"&amp;Table1[[#Headers],[Selection]]&amp;"*")</f>
        <v>1</v>
      </c>
      <c r="F1159" s="8">
        <f>COUNTIFS('All Papers'!$D:$D,"*"&amp;$A1159&amp;"*",'All Papers'!$G:$G,"*"&amp;Table1[[#Headers],[Recommendation]]&amp;"*")</f>
        <v>0</v>
      </c>
      <c r="G1159" s="8">
        <f>COUNTIFS('All Papers'!$D:$D,"*"&amp;$A1159&amp;"*",'All Papers'!$G:$G,"*"&amp;Table1[[#Headers],[Resource Management-CS]]&amp;"*")</f>
        <v>0</v>
      </c>
      <c r="H1159" s="8">
        <f>COUNTIFS('All Papers'!$D:$D,"*"&amp;$A1159&amp;"*",'All Papers'!$G:$G,"*"&amp;Table1[[#Headers],[Resource Management-PS]]&amp;"*")</f>
        <v>0</v>
      </c>
      <c r="I1159" s="8">
        <f>COUNTIFS('All Papers'!$D:$D,"*"&amp;$A1159&amp;"*",'All Papers'!$G:$G,"*"&amp;Table1[[#Headers],[SLA Management]]&amp;"*")</f>
        <v>0</v>
      </c>
      <c r="J1159" s="8">
        <f>COUNTIFS('All Papers'!$D:$D,"*"&amp;$A1159&amp;"*",'All Papers'!$G:$G,"*"&amp;Table1[[#Headers],[Big Data]]&amp;"*")</f>
        <v>0</v>
      </c>
      <c r="K1159" s="8">
        <f>COUNTIFS('All Papers'!$D:$D,"*"&amp;$A1159&amp;"*",'All Papers'!$G:$G,"*"&amp;Table1[[#Headers],[Energy Management]]&amp;"*")</f>
        <v>0</v>
      </c>
      <c r="L1159" s="8">
        <f>COUNTIFS('All Papers'!$D:$D,"*"&amp;$A1159&amp;"*",'All Papers'!$G:$G,"*"&amp;Table1[[#Headers],[Monitoring]]&amp;"*")</f>
        <v>0</v>
      </c>
      <c r="M1159" s="8">
        <f>COUNTIFS('All Papers'!$D:$D,"*"&amp;$A1159&amp;"*",'All Papers'!$G:$G,"*"&amp;Table1[[#Headers],[Pricing]]&amp;"*")</f>
        <v>0</v>
      </c>
    </row>
    <row r="1160" spans="1:13" x14ac:dyDescent="0.25">
      <c r="A1160" s="8" t="s">
        <v>3593</v>
      </c>
      <c r="B1160" s="8">
        <f>COUNTIF('All Papers'!D:D,"*"&amp;Table1[[#This Row],[Name]]&amp;"*")</f>
        <v>1</v>
      </c>
      <c r="C1160" s="8">
        <f>COUNTIFS('All Papers'!$D:$D,"*"&amp;$A1160&amp;"*",'All Papers'!$G:$G,"*"&amp;Table1[[#Headers],[Composition]]&amp;"*")</f>
        <v>0</v>
      </c>
      <c r="D1160" s="8">
        <f>COUNTIFS('All Papers'!$D:$D,"*"&amp;$A1160&amp;"*",'All Papers'!$G:$G,"*"&amp;Table1[[#Headers],[Discovery]]&amp;"*")</f>
        <v>0</v>
      </c>
      <c r="E1160" s="8">
        <f>COUNTIFS('All Papers'!$D:$D,"*"&amp;$A1160&amp;"*",'All Papers'!$G:$G,"*"&amp;Table1[[#Headers],[Selection]]&amp;"*")</f>
        <v>0</v>
      </c>
      <c r="F1160" s="8">
        <f>COUNTIFS('All Papers'!$D:$D,"*"&amp;$A1160&amp;"*",'All Papers'!$G:$G,"*"&amp;Table1[[#Headers],[Recommendation]]&amp;"*")</f>
        <v>1</v>
      </c>
      <c r="G1160" s="8">
        <f>COUNTIFS('All Papers'!$D:$D,"*"&amp;$A1160&amp;"*",'All Papers'!$G:$G,"*"&amp;Table1[[#Headers],[Resource Management-CS]]&amp;"*")</f>
        <v>0</v>
      </c>
      <c r="H1160" s="8">
        <f>COUNTIFS('All Papers'!$D:$D,"*"&amp;$A1160&amp;"*",'All Papers'!$G:$G,"*"&amp;Table1[[#Headers],[Resource Management-PS]]&amp;"*")</f>
        <v>0</v>
      </c>
      <c r="I1160" s="8">
        <f>COUNTIFS('All Papers'!$D:$D,"*"&amp;$A1160&amp;"*",'All Papers'!$G:$G,"*"&amp;Table1[[#Headers],[SLA Management]]&amp;"*")</f>
        <v>0</v>
      </c>
      <c r="J1160" s="8">
        <f>COUNTIFS('All Papers'!$D:$D,"*"&amp;$A1160&amp;"*",'All Papers'!$G:$G,"*"&amp;Table1[[#Headers],[Big Data]]&amp;"*")</f>
        <v>0</v>
      </c>
      <c r="K1160" s="8">
        <f>COUNTIFS('All Papers'!$D:$D,"*"&amp;$A1160&amp;"*",'All Papers'!$G:$G,"*"&amp;Table1[[#Headers],[Energy Management]]&amp;"*")</f>
        <v>0</v>
      </c>
      <c r="L1160" s="8">
        <f>COUNTIFS('All Papers'!$D:$D,"*"&amp;$A1160&amp;"*",'All Papers'!$G:$G,"*"&amp;Table1[[#Headers],[Monitoring]]&amp;"*")</f>
        <v>0</v>
      </c>
      <c r="M1160" s="8">
        <f>COUNTIFS('All Papers'!$D:$D,"*"&amp;$A1160&amp;"*",'All Papers'!$G:$G,"*"&amp;Table1[[#Headers],[Pricing]]&amp;"*")</f>
        <v>0</v>
      </c>
    </row>
    <row r="1161" spans="1:13" x14ac:dyDescent="0.25">
      <c r="A1161" s="8" t="s">
        <v>3594</v>
      </c>
      <c r="B1161" s="8">
        <f>COUNTIF('All Papers'!D:D,"*"&amp;Table1[[#This Row],[Name]]&amp;"*")</f>
        <v>1</v>
      </c>
      <c r="C1161" s="8">
        <f>COUNTIFS('All Papers'!$D:$D,"*"&amp;$A1161&amp;"*",'All Papers'!$G:$G,"*"&amp;Table1[[#Headers],[Composition]]&amp;"*")</f>
        <v>0</v>
      </c>
      <c r="D1161" s="8">
        <f>COUNTIFS('All Papers'!$D:$D,"*"&amp;$A1161&amp;"*",'All Papers'!$G:$G,"*"&amp;Table1[[#Headers],[Discovery]]&amp;"*")</f>
        <v>0</v>
      </c>
      <c r="E1161" s="8">
        <f>COUNTIFS('All Papers'!$D:$D,"*"&amp;$A1161&amp;"*",'All Papers'!$G:$G,"*"&amp;Table1[[#Headers],[Selection]]&amp;"*")</f>
        <v>0</v>
      </c>
      <c r="F1161" s="8">
        <f>COUNTIFS('All Papers'!$D:$D,"*"&amp;$A1161&amp;"*",'All Papers'!$G:$G,"*"&amp;Table1[[#Headers],[Recommendation]]&amp;"*")</f>
        <v>1</v>
      </c>
      <c r="G1161" s="8">
        <f>COUNTIFS('All Papers'!$D:$D,"*"&amp;$A1161&amp;"*",'All Papers'!$G:$G,"*"&amp;Table1[[#Headers],[Resource Management-CS]]&amp;"*")</f>
        <v>0</v>
      </c>
      <c r="H1161" s="8">
        <f>COUNTIFS('All Papers'!$D:$D,"*"&amp;$A1161&amp;"*",'All Papers'!$G:$G,"*"&amp;Table1[[#Headers],[Resource Management-PS]]&amp;"*")</f>
        <v>0</v>
      </c>
      <c r="I1161" s="8">
        <f>COUNTIFS('All Papers'!$D:$D,"*"&amp;$A1161&amp;"*",'All Papers'!$G:$G,"*"&amp;Table1[[#Headers],[SLA Management]]&amp;"*")</f>
        <v>0</v>
      </c>
      <c r="J1161" s="8">
        <f>COUNTIFS('All Papers'!$D:$D,"*"&amp;$A1161&amp;"*",'All Papers'!$G:$G,"*"&amp;Table1[[#Headers],[Big Data]]&amp;"*")</f>
        <v>0</v>
      </c>
      <c r="K1161" s="8">
        <f>COUNTIFS('All Papers'!$D:$D,"*"&amp;$A1161&amp;"*",'All Papers'!$G:$G,"*"&amp;Table1[[#Headers],[Energy Management]]&amp;"*")</f>
        <v>0</v>
      </c>
      <c r="L1161" s="8">
        <f>COUNTIFS('All Papers'!$D:$D,"*"&amp;$A1161&amp;"*",'All Papers'!$G:$G,"*"&amp;Table1[[#Headers],[Monitoring]]&amp;"*")</f>
        <v>0</v>
      </c>
      <c r="M1161" s="8">
        <f>COUNTIFS('All Papers'!$D:$D,"*"&amp;$A1161&amp;"*",'All Papers'!$G:$G,"*"&amp;Table1[[#Headers],[Pricing]]&amp;"*")</f>
        <v>0</v>
      </c>
    </row>
    <row r="1162" spans="1:13" x14ac:dyDescent="0.25">
      <c r="A1162" s="8" t="s">
        <v>3595</v>
      </c>
      <c r="B1162" s="8">
        <f>COUNTIF('All Papers'!D:D,"*"&amp;Table1[[#This Row],[Name]]&amp;"*")</f>
        <v>1</v>
      </c>
      <c r="C1162" s="8">
        <f>COUNTIFS('All Papers'!$D:$D,"*"&amp;$A1162&amp;"*",'All Papers'!$G:$G,"*"&amp;Table1[[#Headers],[Composition]]&amp;"*")</f>
        <v>0</v>
      </c>
      <c r="D1162" s="8">
        <f>COUNTIFS('All Papers'!$D:$D,"*"&amp;$A1162&amp;"*",'All Papers'!$G:$G,"*"&amp;Table1[[#Headers],[Discovery]]&amp;"*")</f>
        <v>0</v>
      </c>
      <c r="E1162" s="8">
        <f>COUNTIFS('All Papers'!$D:$D,"*"&amp;$A1162&amp;"*",'All Papers'!$G:$G,"*"&amp;Table1[[#Headers],[Selection]]&amp;"*")</f>
        <v>0</v>
      </c>
      <c r="F1162" s="8">
        <f>COUNTIFS('All Papers'!$D:$D,"*"&amp;$A1162&amp;"*",'All Papers'!$G:$G,"*"&amp;Table1[[#Headers],[Recommendation]]&amp;"*")</f>
        <v>1</v>
      </c>
      <c r="G1162" s="8">
        <f>COUNTIFS('All Papers'!$D:$D,"*"&amp;$A1162&amp;"*",'All Papers'!$G:$G,"*"&amp;Table1[[#Headers],[Resource Management-CS]]&amp;"*")</f>
        <v>0</v>
      </c>
      <c r="H1162" s="8">
        <f>COUNTIFS('All Papers'!$D:$D,"*"&amp;$A1162&amp;"*",'All Papers'!$G:$G,"*"&amp;Table1[[#Headers],[Resource Management-PS]]&amp;"*")</f>
        <v>0</v>
      </c>
      <c r="I1162" s="8">
        <f>COUNTIFS('All Papers'!$D:$D,"*"&amp;$A1162&amp;"*",'All Papers'!$G:$G,"*"&amp;Table1[[#Headers],[SLA Management]]&amp;"*")</f>
        <v>0</v>
      </c>
      <c r="J1162" s="8">
        <f>COUNTIFS('All Papers'!$D:$D,"*"&amp;$A1162&amp;"*",'All Papers'!$G:$G,"*"&amp;Table1[[#Headers],[Big Data]]&amp;"*")</f>
        <v>0</v>
      </c>
      <c r="K1162" s="8">
        <f>COUNTIFS('All Papers'!$D:$D,"*"&amp;$A1162&amp;"*",'All Papers'!$G:$G,"*"&amp;Table1[[#Headers],[Energy Management]]&amp;"*")</f>
        <v>0</v>
      </c>
      <c r="L1162" s="8">
        <f>COUNTIFS('All Papers'!$D:$D,"*"&amp;$A1162&amp;"*",'All Papers'!$G:$G,"*"&amp;Table1[[#Headers],[Monitoring]]&amp;"*")</f>
        <v>0</v>
      </c>
      <c r="M1162" s="8">
        <f>COUNTIFS('All Papers'!$D:$D,"*"&amp;$A1162&amp;"*",'All Papers'!$G:$G,"*"&amp;Table1[[#Headers],[Pricing]]&amp;"*")</f>
        <v>0</v>
      </c>
    </row>
    <row r="1163" spans="1:13" x14ac:dyDescent="0.25">
      <c r="A1163" s="8" t="s">
        <v>3596</v>
      </c>
      <c r="B1163" s="8">
        <f>COUNTIF('All Papers'!D:D,"*"&amp;Table1[[#This Row],[Name]]&amp;"*")</f>
        <v>1</v>
      </c>
      <c r="C1163" s="8">
        <f>COUNTIFS('All Papers'!$D:$D,"*"&amp;$A1163&amp;"*",'All Papers'!$G:$G,"*"&amp;Table1[[#Headers],[Composition]]&amp;"*")</f>
        <v>0</v>
      </c>
      <c r="D1163" s="8">
        <f>COUNTIFS('All Papers'!$D:$D,"*"&amp;$A1163&amp;"*",'All Papers'!$G:$G,"*"&amp;Table1[[#Headers],[Discovery]]&amp;"*")</f>
        <v>0</v>
      </c>
      <c r="E1163" s="8">
        <f>COUNTIFS('All Papers'!$D:$D,"*"&amp;$A1163&amp;"*",'All Papers'!$G:$G,"*"&amp;Table1[[#Headers],[Selection]]&amp;"*")</f>
        <v>0</v>
      </c>
      <c r="F1163" s="8">
        <f>COUNTIFS('All Papers'!$D:$D,"*"&amp;$A1163&amp;"*",'All Papers'!$G:$G,"*"&amp;Table1[[#Headers],[Recommendation]]&amp;"*")</f>
        <v>1</v>
      </c>
      <c r="G1163" s="8">
        <f>COUNTIFS('All Papers'!$D:$D,"*"&amp;$A1163&amp;"*",'All Papers'!$G:$G,"*"&amp;Table1[[#Headers],[Resource Management-CS]]&amp;"*")</f>
        <v>0</v>
      </c>
      <c r="H1163" s="8">
        <f>COUNTIFS('All Papers'!$D:$D,"*"&amp;$A1163&amp;"*",'All Papers'!$G:$G,"*"&amp;Table1[[#Headers],[Resource Management-PS]]&amp;"*")</f>
        <v>0</v>
      </c>
      <c r="I1163" s="8">
        <f>COUNTIFS('All Papers'!$D:$D,"*"&amp;$A1163&amp;"*",'All Papers'!$G:$G,"*"&amp;Table1[[#Headers],[SLA Management]]&amp;"*")</f>
        <v>0</v>
      </c>
      <c r="J1163" s="8">
        <f>COUNTIFS('All Papers'!$D:$D,"*"&amp;$A1163&amp;"*",'All Papers'!$G:$G,"*"&amp;Table1[[#Headers],[Big Data]]&amp;"*")</f>
        <v>0</v>
      </c>
      <c r="K1163" s="8">
        <f>COUNTIFS('All Papers'!$D:$D,"*"&amp;$A1163&amp;"*",'All Papers'!$G:$G,"*"&amp;Table1[[#Headers],[Energy Management]]&amp;"*")</f>
        <v>0</v>
      </c>
      <c r="L1163" s="8">
        <f>COUNTIFS('All Papers'!$D:$D,"*"&amp;$A1163&amp;"*",'All Papers'!$G:$G,"*"&amp;Table1[[#Headers],[Monitoring]]&amp;"*")</f>
        <v>0</v>
      </c>
      <c r="M1163" s="8">
        <f>COUNTIFS('All Papers'!$D:$D,"*"&amp;$A1163&amp;"*",'All Papers'!$G:$G,"*"&amp;Table1[[#Headers],[Pricing]]&amp;"*")</f>
        <v>0</v>
      </c>
    </row>
    <row r="1164" spans="1:13" x14ac:dyDescent="0.25">
      <c r="A1164" s="8" t="s">
        <v>3597</v>
      </c>
      <c r="B1164" s="8">
        <f>COUNTIF('All Papers'!D:D,"*"&amp;Table1[[#This Row],[Name]]&amp;"*")</f>
        <v>1</v>
      </c>
      <c r="C1164" s="8">
        <f>COUNTIFS('All Papers'!$D:$D,"*"&amp;$A1164&amp;"*",'All Papers'!$G:$G,"*"&amp;Table1[[#Headers],[Composition]]&amp;"*")</f>
        <v>0</v>
      </c>
      <c r="D1164" s="8">
        <f>COUNTIFS('All Papers'!$D:$D,"*"&amp;$A1164&amp;"*",'All Papers'!$G:$G,"*"&amp;Table1[[#Headers],[Discovery]]&amp;"*")</f>
        <v>0</v>
      </c>
      <c r="E1164" s="8">
        <f>COUNTIFS('All Papers'!$D:$D,"*"&amp;$A1164&amp;"*",'All Papers'!$G:$G,"*"&amp;Table1[[#Headers],[Selection]]&amp;"*")</f>
        <v>0</v>
      </c>
      <c r="F1164" s="8">
        <f>COUNTIFS('All Papers'!$D:$D,"*"&amp;$A1164&amp;"*",'All Papers'!$G:$G,"*"&amp;Table1[[#Headers],[Recommendation]]&amp;"*")</f>
        <v>1</v>
      </c>
      <c r="G1164" s="8">
        <f>COUNTIFS('All Papers'!$D:$D,"*"&amp;$A1164&amp;"*",'All Papers'!$G:$G,"*"&amp;Table1[[#Headers],[Resource Management-CS]]&amp;"*")</f>
        <v>0</v>
      </c>
      <c r="H1164" s="8">
        <f>COUNTIFS('All Papers'!$D:$D,"*"&amp;$A1164&amp;"*",'All Papers'!$G:$G,"*"&amp;Table1[[#Headers],[Resource Management-PS]]&amp;"*")</f>
        <v>0</v>
      </c>
      <c r="I1164" s="8">
        <f>COUNTIFS('All Papers'!$D:$D,"*"&amp;$A1164&amp;"*",'All Papers'!$G:$G,"*"&amp;Table1[[#Headers],[SLA Management]]&amp;"*")</f>
        <v>0</v>
      </c>
      <c r="J1164" s="8">
        <f>COUNTIFS('All Papers'!$D:$D,"*"&amp;$A1164&amp;"*",'All Papers'!$G:$G,"*"&amp;Table1[[#Headers],[Big Data]]&amp;"*")</f>
        <v>0</v>
      </c>
      <c r="K1164" s="8">
        <f>COUNTIFS('All Papers'!$D:$D,"*"&amp;$A1164&amp;"*",'All Papers'!$G:$G,"*"&amp;Table1[[#Headers],[Energy Management]]&amp;"*")</f>
        <v>0</v>
      </c>
      <c r="L1164" s="8">
        <f>COUNTIFS('All Papers'!$D:$D,"*"&amp;$A1164&amp;"*",'All Papers'!$G:$G,"*"&amp;Table1[[#Headers],[Monitoring]]&amp;"*")</f>
        <v>0</v>
      </c>
      <c r="M1164" s="8">
        <f>COUNTIFS('All Papers'!$D:$D,"*"&amp;$A1164&amp;"*",'All Papers'!$G:$G,"*"&amp;Table1[[#Headers],[Pricing]]&amp;"*")</f>
        <v>0</v>
      </c>
    </row>
    <row r="1165" spans="1:13" x14ac:dyDescent="0.25">
      <c r="A1165" s="8" t="s">
        <v>3598</v>
      </c>
      <c r="B1165" s="8">
        <f>COUNTIF('All Papers'!D:D,"*"&amp;Table1[[#This Row],[Name]]&amp;"*")</f>
        <v>1</v>
      </c>
      <c r="C1165" s="8">
        <f>COUNTIFS('All Papers'!$D:$D,"*"&amp;$A1165&amp;"*",'All Papers'!$G:$G,"*"&amp;Table1[[#Headers],[Composition]]&amp;"*")</f>
        <v>0</v>
      </c>
      <c r="D1165" s="8">
        <f>COUNTIFS('All Papers'!$D:$D,"*"&amp;$A1165&amp;"*",'All Papers'!$G:$G,"*"&amp;Table1[[#Headers],[Discovery]]&amp;"*")</f>
        <v>0</v>
      </c>
      <c r="E1165" s="8">
        <f>COUNTIFS('All Papers'!$D:$D,"*"&amp;$A1165&amp;"*",'All Papers'!$G:$G,"*"&amp;Table1[[#Headers],[Selection]]&amp;"*")</f>
        <v>0</v>
      </c>
      <c r="F1165" s="8">
        <f>COUNTIFS('All Papers'!$D:$D,"*"&amp;$A1165&amp;"*",'All Papers'!$G:$G,"*"&amp;Table1[[#Headers],[Recommendation]]&amp;"*")</f>
        <v>1</v>
      </c>
      <c r="G1165" s="8">
        <f>COUNTIFS('All Papers'!$D:$D,"*"&amp;$A1165&amp;"*",'All Papers'!$G:$G,"*"&amp;Table1[[#Headers],[Resource Management-CS]]&amp;"*")</f>
        <v>0</v>
      </c>
      <c r="H1165" s="8">
        <f>COUNTIFS('All Papers'!$D:$D,"*"&amp;$A1165&amp;"*",'All Papers'!$G:$G,"*"&amp;Table1[[#Headers],[Resource Management-PS]]&amp;"*")</f>
        <v>0</v>
      </c>
      <c r="I1165" s="8">
        <f>COUNTIFS('All Papers'!$D:$D,"*"&amp;$A1165&amp;"*",'All Papers'!$G:$G,"*"&amp;Table1[[#Headers],[SLA Management]]&amp;"*")</f>
        <v>0</v>
      </c>
      <c r="J1165" s="8">
        <f>COUNTIFS('All Papers'!$D:$D,"*"&amp;$A1165&amp;"*",'All Papers'!$G:$G,"*"&amp;Table1[[#Headers],[Big Data]]&amp;"*")</f>
        <v>0</v>
      </c>
      <c r="K1165" s="8">
        <f>COUNTIFS('All Papers'!$D:$D,"*"&amp;$A1165&amp;"*",'All Papers'!$G:$G,"*"&amp;Table1[[#Headers],[Energy Management]]&amp;"*")</f>
        <v>0</v>
      </c>
      <c r="L1165" s="8">
        <f>COUNTIFS('All Papers'!$D:$D,"*"&amp;$A1165&amp;"*",'All Papers'!$G:$G,"*"&amp;Table1[[#Headers],[Monitoring]]&amp;"*")</f>
        <v>0</v>
      </c>
      <c r="M1165" s="8">
        <f>COUNTIFS('All Papers'!$D:$D,"*"&amp;$A1165&amp;"*",'All Papers'!$G:$G,"*"&amp;Table1[[#Headers],[Pricing]]&amp;"*")</f>
        <v>0</v>
      </c>
    </row>
    <row r="1166" spans="1:13" x14ac:dyDescent="0.25">
      <c r="A1166" s="8" t="s">
        <v>3599</v>
      </c>
      <c r="B1166" s="8">
        <f>COUNTIF('All Papers'!D:D,"*"&amp;Table1[[#This Row],[Name]]&amp;"*")</f>
        <v>1</v>
      </c>
      <c r="C1166" s="8">
        <f>COUNTIFS('All Papers'!$D:$D,"*"&amp;$A1166&amp;"*",'All Papers'!$G:$G,"*"&amp;Table1[[#Headers],[Composition]]&amp;"*")</f>
        <v>0</v>
      </c>
      <c r="D1166" s="8">
        <f>COUNTIFS('All Papers'!$D:$D,"*"&amp;$A1166&amp;"*",'All Papers'!$G:$G,"*"&amp;Table1[[#Headers],[Discovery]]&amp;"*")</f>
        <v>0</v>
      </c>
      <c r="E1166" s="8">
        <f>COUNTIFS('All Papers'!$D:$D,"*"&amp;$A1166&amp;"*",'All Papers'!$G:$G,"*"&amp;Table1[[#Headers],[Selection]]&amp;"*")</f>
        <v>1</v>
      </c>
      <c r="F1166" s="8">
        <f>COUNTIFS('All Papers'!$D:$D,"*"&amp;$A1166&amp;"*",'All Papers'!$G:$G,"*"&amp;Table1[[#Headers],[Recommendation]]&amp;"*")</f>
        <v>0</v>
      </c>
      <c r="G1166" s="8">
        <f>COUNTIFS('All Papers'!$D:$D,"*"&amp;$A1166&amp;"*",'All Papers'!$G:$G,"*"&amp;Table1[[#Headers],[Resource Management-CS]]&amp;"*")</f>
        <v>0</v>
      </c>
      <c r="H1166" s="8">
        <f>COUNTIFS('All Papers'!$D:$D,"*"&amp;$A1166&amp;"*",'All Papers'!$G:$G,"*"&amp;Table1[[#Headers],[Resource Management-PS]]&amp;"*")</f>
        <v>0</v>
      </c>
      <c r="I1166" s="8">
        <f>COUNTIFS('All Papers'!$D:$D,"*"&amp;$A1166&amp;"*",'All Papers'!$G:$G,"*"&amp;Table1[[#Headers],[SLA Management]]&amp;"*")</f>
        <v>0</v>
      </c>
      <c r="J1166" s="8">
        <f>COUNTIFS('All Papers'!$D:$D,"*"&amp;$A1166&amp;"*",'All Papers'!$G:$G,"*"&amp;Table1[[#Headers],[Big Data]]&amp;"*")</f>
        <v>0</v>
      </c>
      <c r="K1166" s="8">
        <f>COUNTIFS('All Papers'!$D:$D,"*"&amp;$A1166&amp;"*",'All Papers'!$G:$G,"*"&amp;Table1[[#Headers],[Energy Management]]&amp;"*")</f>
        <v>0</v>
      </c>
      <c r="L1166" s="8">
        <f>COUNTIFS('All Papers'!$D:$D,"*"&amp;$A1166&amp;"*",'All Papers'!$G:$G,"*"&amp;Table1[[#Headers],[Monitoring]]&amp;"*")</f>
        <v>0</v>
      </c>
      <c r="M1166" s="8">
        <f>COUNTIFS('All Papers'!$D:$D,"*"&amp;$A1166&amp;"*",'All Papers'!$G:$G,"*"&amp;Table1[[#Headers],[Pricing]]&amp;"*")</f>
        <v>0</v>
      </c>
    </row>
    <row r="1167" spans="1:13" x14ac:dyDescent="0.25">
      <c r="A1167" s="8" t="s">
        <v>3600</v>
      </c>
      <c r="B1167" s="8">
        <f>COUNTIF('All Papers'!D:D,"*"&amp;Table1[[#This Row],[Name]]&amp;"*")</f>
        <v>1</v>
      </c>
      <c r="C1167" s="8">
        <f>COUNTIFS('All Papers'!$D:$D,"*"&amp;$A1167&amp;"*",'All Papers'!$G:$G,"*"&amp;Table1[[#Headers],[Composition]]&amp;"*")</f>
        <v>0</v>
      </c>
      <c r="D1167" s="8">
        <f>COUNTIFS('All Papers'!$D:$D,"*"&amp;$A1167&amp;"*",'All Papers'!$G:$G,"*"&amp;Table1[[#Headers],[Discovery]]&amp;"*")</f>
        <v>0</v>
      </c>
      <c r="E1167" s="8">
        <f>COUNTIFS('All Papers'!$D:$D,"*"&amp;$A1167&amp;"*",'All Papers'!$G:$G,"*"&amp;Table1[[#Headers],[Selection]]&amp;"*")</f>
        <v>1</v>
      </c>
      <c r="F1167" s="8">
        <f>COUNTIFS('All Papers'!$D:$D,"*"&amp;$A1167&amp;"*",'All Papers'!$G:$G,"*"&amp;Table1[[#Headers],[Recommendation]]&amp;"*")</f>
        <v>0</v>
      </c>
      <c r="G1167" s="8">
        <f>COUNTIFS('All Papers'!$D:$D,"*"&amp;$A1167&amp;"*",'All Papers'!$G:$G,"*"&amp;Table1[[#Headers],[Resource Management-CS]]&amp;"*")</f>
        <v>0</v>
      </c>
      <c r="H1167" s="8">
        <f>COUNTIFS('All Papers'!$D:$D,"*"&amp;$A1167&amp;"*",'All Papers'!$G:$G,"*"&amp;Table1[[#Headers],[Resource Management-PS]]&amp;"*")</f>
        <v>0</v>
      </c>
      <c r="I1167" s="8">
        <f>COUNTIFS('All Papers'!$D:$D,"*"&amp;$A1167&amp;"*",'All Papers'!$G:$G,"*"&amp;Table1[[#Headers],[SLA Management]]&amp;"*")</f>
        <v>0</v>
      </c>
      <c r="J1167" s="8">
        <f>COUNTIFS('All Papers'!$D:$D,"*"&amp;$A1167&amp;"*",'All Papers'!$G:$G,"*"&amp;Table1[[#Headers],[Big Data]]&amp;"*")</f>
        <v>0</v>
      </c>
      <c r="K1167" s="8">
        <f>COUNTIFS('All Papers'!$D:$D,"*"&amp;$A1167&amp;"*",'All Papers'!$G:$G,"*"&amp;Table1[[#Headers],[Energy Management]]&amp;"*")</f>
        <v>0</v>
      </c>
      <c r="L1167" s="8">
        <f>COUNTIFS('All Papers'!$D:$D,"*"&amp;$A1167&amp;"*",'All Papers'!$G:$G,"*"&amp;Table1[[#Headers],[Monitoring]]&amp;"*")</f>
        <v>0</v>
      </c>
      <c r="M1167" s="8">
        <f>COUNTIFS('All Papers'!$D:$D,"*"&amp;$A1167&amp;"*",'All Papers'!$G:$G,"*"&amp;Table1[[#Headers],[Pricing]]&amp;"*")</f>
        <v>0</v>
      </c>
    </row>
    <row r="1168" spans="1:13" x14ac:dyDescent="0.25">
      <c r="A1168" s="8" t="s">
        <v>3601</v>
      </c>
      <c r="B1168" s="8">
        <f>COUNTIF('All Papers'!D:D,"*"&amp;Table1[[#This Row],[Name]]&amp;"*")</f>
        <v>1</v>
      </c>
      <c r="C1168" s="8">
        <f>COUNTIFS('All Papers'!$D:$D,"*"&amp;$A1168&amp;"*",'All Papers'!$G:$G,"*"&amp;Table1[[#Headers],[Composition]]&amp;"*")</f>
        <v>0</v>
      </c>
      <c r="D1168" s="8">
        <f>COUNTIFS('All Papers'!$D:$D,"*"&amp;$A1168&amp;"*",'All Papers'!$G:$G,"*"&amp;Table1[[#Headers],[Discovery]]&amp;"*")</f>
        <v>0</v>
      </c>
      <c r="E1168" s="8">
        <f>COUNTIFS('All Papers'!$D:$D,"*"&amp;$A1168&amp;"*",'All Papers'!$G:$G,"*"&amp;Table1[[#Headers],[Selection]]&amp;"*")</f>
        <v>1</v>
      </c>
      <c r="F1168" s="8">
        <f>COUNTIFS('All Papers'!$D:$D,"*"&amp;$A1168&amp;"*",'All Papers'!$G:$G,"*"&amp;Table1[[#Headers],[Recommendation]]&amp;"*")</f>
        <v>0</v>
      </c>
      <c r="G1168" s="8">
        <f>COUNTIFS('All Papers'!$D:$D,"*"&amp;$A1168&amp;"*",'All Papers'!$G:$G,"*"&amp;Table1[[#Headers],[Resource Management-CS]]&amp;"*")</f>
        <v>0</v>
      </c>
      <c r="H1168" s="8">
        <f>COUNTIFS('All Papers'!$D:$D,"*"&amp;$A1168&amp;"*",'All Papers'!$G:$G,"*"&amp;Table1[[#Headers],[Resource Management-PS]]&amp;"*")</f>
        <v>0</v>
      </c>
      <c r="I1168" s="8">
        <f>COUNTIFS('All Papers'!$D:$D,"*"&amp;$A1168&amp;"*",'All Papers'!$G:$G,"*"&amp;Table1[[#Headers],[SLA Management]]&amp;"*")</f>
        <v>0</v>
      </c>
      <c r="J1168" s="8">
        <f>COUNTIFS('All Papers'!$D:$D,"*"&amp;$A1168&amp;"*",'All Papers'!$G:$G,"*"&amp;Table1[[#Headers],[Big Data]]&amp;"*")</f>
        <v>0</v>
      </c>
      <c r="K1168" s="8">
        <f>COUNTIFS('All Papers'!$D:$D,"*"&amp;$A1168&amp;"*",'All Papers'!$G:$G,"*"&amp;Table1[[#Headers],[Energy Management]]&amp;"*")</f>
        <v>0</v>
      </c>
      <c r="L1168" s="8">
        <f>COUNTIFS('All Papers'!$D:$D,"*"&amp;$A1168&amp;"*",'All Papers'!$G:$G,"*"&amp;Table1[[#Headers],[Monitoring]]&amp;"*")</f>
        <v>0</v>
      </c>
      <c r="M1168" s="8">
        <f>COUNTIFS('All Papers'!$D:$D,"*"&amp;$A1168&amp;"*",'All Papers'!$G:$G,"*"&amp;Table1[[#Headers],[Pricing]]&amp;"*")</f>
        <v>0</v>
      </c>
    </row>
    <row r="1169" spans="1:13" x14ac:dyDescent="0.25">
      <c r="A1169" s="8" t="s">
        <v>3602</v>
      </c>
      <c r="B1169" s="8">
        <f>COUNTIF('All Papers'!D:D,"*"&amp;Table1[[#This Row],[Name]]&amp;"*")</f>
        <v>1</v>
      </c>
      <c r="C1169" s="8">
        <f>COUNTIFS('All Papers'!$D:$D,"*"&amp;$A1169&amp;"*",'All Papers'!$G:$G,"*"&amp;Table1[[#Headers],[Composition]]&amp;"*")</f>
        <v>0</v>
      </c>
      <c r="D1169" s="8">
        <f>COUNTIFS('All Papers'!$D:$D,"*"&amp;$A1169&amp;"*",'All Papers'!$G:$G,"*"&amp;Table1[[#Headers],[Discovery]]&amp;"*")</f>
        <v>0</v>
      </c>
      <c r="E1169" s="8">
        <f>COUNTIFS('All Papers'!$D:$D,"*"&amp;$A1169&amp;"*",'All Papers'!$G:$G,"*"&amp;Table1[[#Headers],[Selection]]&amp;"*")</f>
        <v>1</v>
      </c>
      <c r="F1169" s="8">
        <f>COUNTIFS('All Papers'!$D:$D,"*"&amp;$A1169&amp;"*",'All Papers'!$G:$G,"*"&amp;Table1[[#Headers],[Recommendation]]&amp;"*")</f>
        <v>0</v>
      </c>
      <c r="G1169" s="8">
        <f>COUNTIFS('All Papers'!$D:$D,"*"&amp;$A1169&amp;"*",'All Papers'!$G:$G,"*"&amp;Table1[[#Headers],[Resource Management-CS]]&amp;"*")</f>
        <v>0</v>
      </c>
      <c r="H1169" s="8">
        <f>COUNTIFS('All Papers'!$D:$D,"*"&amp;$A1169&amp;"*",'All Papers'!$G:$G,"*"&amp;Table1[[#Headers],[Resource Management-PS]]&amp;"*")</f>
        <v>0</v>
      </c>
      <c r="I1169" s="8">
        <f>COUNTIFS('All Papers'!$D:$D,"*"&amp;$A1169&amp;"*",'All Papers'!$G:$G,"*"&amp;Table1[[#Headers],[SLA Management]]&amp;"*")</f>
        <v>0</v>
      </c>
      <c r="J1169" s="8">
        <f>COUNTIFS('All Papers'!$D:$D,"*"&amp;$A1169&amp;"*",'All Papers'!$G:$G,"*"&amp;Table1[[#Headers],[Big Data]]&amp;"*")</f>
        <v>0</v>
      </c>
      <c r="K1169" s="8">
        <f>COUNTIFS('All Papers'!$D:$D,"*"&amp;$A1169&amp;"*",'All Papers'!$G:$G,"*"&amp;Table1[[#Headers],[Energy Management]]&amp;"*")</f>
        <v>0</v>
      </c>
      <c r="L1169" s="8">
        <f>COUNTIFS('All Papers'!$D:$D,"*"&amp;$A1169&amp;"*",'All Papers'!$G:$G,"*"&amp;Table1[[#Headers],[Monitoring]]&amp;"*")</f>
        <v>0</v>
      </c>
      <c r="M1169" s="8">
        <f>COUNTIFS('All Papers'!$D:$D,"*"&amp;$A1169&amp;"*",'All Papers'!$G:$G,"*"&amp;Table1[[#Headers],[Pricing]]&amp;"*")</f>
        <v>0</v>
      </c>
    </row>
    <row r="1170" spans="1:13" x14ac:dyDescent="0.25">
      <c r="A1170" s="8" t="s">
        <v>3603</v>
      </c>
      <c r="B1170" s="8">
        <f>COUNTIF('All Papers'!D:D,"*"&amp;Table1[[#This Row],[Name]]&amp;"*")</f>
        <v>1</v>
      </c>
      <c r="C1170" s="8">
        <f>COUNTIFS('All Papers'!$D:$D,"*"&amp;$A1170&amp;"*",'All Papers'!$G:$G,"*"&amp;Table1[[#Headers],[Composition]]&amp;"*")</f>
        <v>0</v>
      </c>
      <c r="D1170" s="8">
        <f>COUNTIFS('All Papers'!$D:$D,"*"&amp;$A1170&amp;"*",'All Papers'!$G:$G,"*"&amp;Table1[[#Headers],[Discovery]]&amp;"*")</f>
        <v>0</v>
      </c>
      <c r="E1170" s="8">
        <f>COUNTIFS('All Papers'!$D:$D,"*"&amp;$A1170&amp;"*",'All Papers'!$G:$G,"*"&amp;Table1[[#Headers],[Selection]]&amp;"*")</f>
        <v>1</v>
      </c>
      <c r="F1170" s="8">
        <f>COUNTIFS('All Papers'!$D:$D,"*"&amp;$A1170&amp;"*",'All Papers'!$G:$G,"*"&amp;Table1[[#Headers],[Recommendation]]&amp;"*")</f>
        <v>0</v>
      </c>
      <c r="G1170" s="8">
        <f>COUNTIFS('All Papers'!$D:$D,"*"&amp;$A1170&amp;"*",'All Papers'!$G:$G,"*"&amp;Table1[[#Headers],[Resource Management-CS]]&amp;"*")</f>
        <v>0</v>
      </c>
      <c r="H1170" s="8">
        <f>COUNTIFS('All Papers'!$D:$D,"*"&amp;$A1170&amp;"*",'All Papers'!$G:$G,"*"&amp;Table1[[#Headers],[Resource Management-PS]]&amp;"*")</f>
        <v>0</v>
      </c>
      <c r="I1170" s="8">
        <f>COUNTIFS('All Papers'!$D:$D,"*"&amp;$A1170&amp;"*",'All Papers'!$G:$G,"*"&amp;Table1[[#Headers],[SLA Management]]&amp;"*")</f>
        <v>0</v>
      </c>
      <c r="J1170" s="8">
        <f>COUNTIFS('All Papers'!$D:$D,"*"&amp;$A1170&amp;"*",'All Papers'!$G:$G,"*"&amp;Table1[[#Headers],[Big Data]]&amp;"*")</f>
        <v>0</v>
      </c>
      <c r="K1170" s="8">
        <f>COUNTIFS('All Papers'!$D:$D,"*"&amp;$A1170&amp;"*",'All Papers'!$G:$G,"*"&amp;Table1[[#Headers],[Energy Management]]&amp;"*")</f>
        <v>0</v>
      </c>
      <c r="L1170" s="8">
        <f>COUNTIFS('All Papers'!$D:$D,"*"&amp;$A1170&amp;"*",'All Papers'!$G:$G,"*"&amp;Table1[[#Headers],[Monitoring]]&amp;"*")</f>
        <v>0</v>
      </c>
      <c r="M1170" s="8">
        <f>COUNTIFS('All Papers'!$D:$D,"*"&amp;$A1170&amp;"*",'All Papers'!$G:$G,"*"&amp;Table1[[#Headers],[Pricing]]&amp;"*")</f>
        <v>0</v>
      </c>
    </row>
    <row r="1171" spans="1:13" x14ac:dyDescent="0.25">
      <c r="A1171" s="8" t="s">
        <v>3604</v>
      </c>
      <c r="B1171" s="8">
        <f>COUNTIF('All Papers'!D:D,"*"&amp;Table1[[#This Row],[Name]]&amp;"*")</f>
        <v>1</v>
      </c>
      <c r="C1171" s="8">
        <f>COUNTIFS('All Papers'!$D:$D,"*"&amp;$A1171&amp;"*",'All Papers'!$G:$G,"*"&amp;Table1[[#Headers],[Composition]]&amp;"*")</f>
        <v>1</v>
      </c>
      <c r="D1171" s="8">
        <f>COUNTIFS('All Papers'!$D:$D,"*"&amp;$A1171&amp;"*",'All Papers'!$G:$G,"*"&amp;Table1[[#Headers],[Discovery]]&amp;"*")</f>
        <v>0</v>
      </c>
      <c r="E1171" s="8">
        <f>COUNTIFS('All Papers'!$D:$D,"*"&amp;$A1171&amp;"*",'All Papers'!$G:$G,"*"&amp;Table1[[#Headers],[Selection]]&amp;"*")</f>
        <v>0</v>
      </c>
      <c r="F1171" s="8">
        <f>COUNTIFS('All Papers'!$D:$D,"*"&amp;$A1171&amp;"*",'All Papers'!$G:$G,"*"&amp;Table1[[#Headers],[Recommendation]]&amp;"*")</f>
        <v>1</v>
      </c>
      <c r="G1171" s="8">
        <f>COUNTIFS('All Papers'!$D:$D,"*"&amp;$A1171&amp;"*",'All Papers'!$G:$G,"*"&amp;Table1[[#Headers],[Resource Management-CS]]&amp;"*")</f>
        <v>0</v>
      </c>
      <c r="H1171" s="8">
        <f>COUNTIFS('All Papers'!$D:$D,"*"&amp;$A1171&amp;"*",'All Papers'!$G:$G,"*"&amp;Table1[[#Headers],[Resource Management-PS]]&amp;"*")</f>
        <v>0</v>
      </c>
      <c r="I1171" s="8">
        <f>COUNTIFS('All Papers'!$D:$D,"*"&amp;$A1171&amp;"*",'All Papers'!$G:$G,"*"&amp;Table1[[#Headers],[SLA Management]]&amp;"*")</f>
        <v>0</v>
      </c>
      <c r="J1171" s="8">
        <f>COUNTIFS('All Papers'!$D:$D,"*"&amp;$A1171&amp;"*",'All Papers'!$G:$G,"*"&amp;Table1[[#Headers],[Big Data]]&amp;"*")</f>
        <v>0</v>
      </c>
      <c r="K1171" s="8">
        <f>COUNTIFS('All Papers'!$D:$D,"*"&amp;$A1171&amp;"*",'All Papers'!$G:$G,"*"&amp;Table1[[#Headers],[Energy Management]]&amp;"*")</f>
        <v>0</v>
      </c>
      <c r="L1171" s="8">
        <f>COUNTIFS('All Papers'!$D:$D,"*"&amp;$A1171&amp;"*",'All Papers'!$G:$G,"*"&amp;Table1[[#Headers],[Monitoring]]&amp;"*")</f>
        <v>0</v>
      </c>
      <c r="M1171" s="8">
        <f>COUNTIFS('All Papers'!$D:$D,"*"&amp;$A1171&amp;"*",'All Papers'!$G:$G,"*"&amp;Table1[[#Headers],[Pricing]]&amp;"*")</f>
        <v>0</v>
      </c>
    </row>
    <row r="1172" spans="1:13" x14ac:dyDescent="0.25">
      <c r="A1172" s="8" t="s">
        <v>3605</v>
      </c>
      <c r="B1172" s="8">
        <f>COUNTIF('All Papers'!D:D,"*"&amp;Table1[[#This Row],[Name]]&amp;"*")</f>
        <v>1</v>
      </c>
      <c r="C1172" s="8">
        <f>COUNTIFS('All Papers'!$D:$D,"*"&amp;$A1172&amp;"*",'All Papers'!$G:$G,"*"&amp;Table1[[#Headers],[Composition]]&amp;"*")</f>
        <v>1</v>
      </c>
      <c r="D1172" s="8">
        <f>COUNTIFS('All Papers'!$D:$D,"*"&amp;$A1172&amp;"*",'All Papers'!$G:$G,"*"&amp;Table1[[#Headers],[Discovery]]&amp;"*")</f>
        <v>0</v>
      </c>
      <c r="E1172" s="8">
        <f>COUNTIFS('All Papers'!$D:$D,"*"&amp;$A1172&amp;"*",'All Papers'!$G:$G,"*"&amp;Table1[[#Headers],[Selection]]&amp;"*")</f>
        <v>0</v>
      </c>
      <c r="F1172" s="8">
        <f>COUNTIFS('All Papers'!$D:$D,"*"&amp;$A1172&amp;"*",'All Papers'!$G:$G,"*"&amp;Table1[[#Headers],[Recommendation]]&amp;"*")</f>
        <v>1</v>
      </c>
      <c r="G1172" s="8">
        <f>COUNTIFS('All Papers'!$D:$D,"*"&amp;$A1172&amp;"*",'All Papers'!$G:$G,"*"&amp;Table1[[#Headers],[Resource Management-CS]]&amp;"*")</f>
        <v>0</v>
      </c>
      <c r="H1172" s="8">
        <f>COUNTIFS('All Papers'!$D:$D,"*"&amp;$A1172&amp;"*",'All Papers'!$G:$G,"*"&amp;Table1[[#Headers],[Resource Management-PS]]&amp;"*")</f>
        <v>0</v>
      </c>
      <c r="I1172" s="8">
        <f>COUNTIFS('All Papers'!$D:$D,"*"&amp;$A1172&amp;"*",'All Papers'!$G:$G,"*"&amp;Table1[[#Headers],[SLA Management]]&amp;"*")</f>
        <v>0</v>
      </c>
      <c r="J1172" s="8">
        <f>COUNTIFS('All Papers'!$D:$D,"*"&amp;$A1172&amp;"*",'All Papers'!$G:$G,"*"&amp;Table1[[#Headers],[Big Data]]&amp;"*")</f>
        <v>0</v>
      </c>
      <c r="K1172" s="8">
        <f>COUNTIFS('All Papers'!$D:$D,"*"&amp;$A1172&amp;"*",'All Papers'!$G:$G,"*"&amp;Table1[[#Headers],[Energy Management]]&amp;"*")</f>
        <v>0</v>
      </c>
      <c r="L1172" s="8">
        <f>COUNTIFS('All Papers'!$D:$D,"*"&amp;$A1172&amp;"*",'All Papers'!$G:$G,"*"&amp;Table1[[#Headers],[Monitoring]]&amp;"*")</f>
        <v>0</v>
      </c>
      <c r="M1172" s="8">
        <f>COUNTIFS('All Papers'!$D:$D,"*"&amp;$A1172&amp;"*",'All Papers'!$G:$G,"*"&amp;Table1[[#Headers],[Pricing]]&amp;"*")</f>
        <v>0</v>
      </c>
    </row>
    <row r="1173" spans="1:13" x14ac:dyDescent="0.25">
      <c r="A1173" s="8" t="s">
        <v>3606</v>
      </c>
      <c r="B1173" s="8">
        <f>COUNTIF('All Papers'!D:D,"*"&amp;Table1[[#This Row],[Name]]&amp;"*")</f>
        <v>1</v>
      </c>
      <c r="C1173" s="8">
        <f>COUNTIFS('All Papers'!$D:$D,"*"&amp;$A1173&amp;"*",'All Papers'!$G:$G,"*"&amp;Table1[[#Headers],[Composition]]&amp;"*")</f>
        <v>1</v>
      </c>
      <c r="D1173" s="8">
        <f>COUNTIFS('All Papers'!$D:$D,"*"&amp;$A1173&amp;"*",'All Papers'!$G:$G,"*"&amp;Table1[[#Headers],[Discovery]]&amp;"*")</f>
        <v>0</v>
      </c>
      <c r="E1173" s="8">
        <f>COUNTIFS('All Papers'!$D:$D,"*"&amp;$A1173&amp;"*",'All Papers'!$G:$G,"*"&amp;Table1[[#Headers],[Selection]]&amp;"*")</f>
        <v>0</v>
      </c>
      <c r="F1173" s="8">
        <f>COUNTIFS('All Papers'!$D:$D,"*"&amp;$A1173&amp;"*",'All Papers'!$G:$G,"*"&amp;Table1[[#Headers],[Recommendation]]&amp;"*")</f>
        <v>1</v>
      </c>
      <c r="G1173" s="8">
        <f>COUNTIFS('All Papers'!$D:$D,"*"&amp;$A1173&amp;"*",'All Papers'!$G:$G,"*"&amp;Table1[[#Headers],[Resource Management-CS]]&amp;"*")</f>
        <v>0</v>
      </c>
      <c r="H1173" s="8">
        <f>COUNTIFS('All Papers'!$D:$D,"*"&amp;$A1173&amp;"*",'All Papers'!$G:$G,"*"&amp;Table1[[#Headers],[Resource Management-PS]]&amp;"*")</f>
        <v>0</v>
      </c>
      <c r="I1173" s="8">
        <f>COUNTIFS('All Papers'!$D:$D,"*"&amp;$A1173&amp;"*",'All Papers'!$G:$G,"*"&amp;Table1[[#Headers],[SLA Management]]&amp;"*")</f>
        <v>0</v>
      </c>
      <c r="J1173" s="8">
        <f>COUNTIFS('All Papers'!$D:$D,"*"&amp;$A1173&amp;"*",'All Papers'!$G:$G,"*"&amp;Table1[[#Headers],[Big Data]]&amp;"*")</f>
        <v>0</v>
      </c>
      <c r="K1173" s="8">
        <f>COUNTIFS('All Papers'!$D:$D,"*"&amp;$A1173&amp;"*",'All Papers'!$G:$G,"*"&amp;Table1[[#Headers],[Energy Management]]&amp;"*")</f>
        <v>0</v>
      </c>
      <c r="L1173" s="8">
        <f>COUNTIFS('All Papers'!$D:$D,"*"&amp;$A1173&amp;"*",'All Papers'!$G:$G,"*"&amp;Table1[[#Headers],[Monitoring]]&amp;"*")</f>
        <v>0</v>
      </c>
      <c r="M1173" s="8">
        <f>COUNTIFS('All Papers'!$D:$D,"*"&amp;$A1173&amp;"*",'All Papers'!$G:$G,"*"&amp;Table1[[#Headers],[Pricing]]&amp;"*")</f>
        <v>0</v>
      </c>
    </row>
    <row r="1174" spans="1:13" x14ac:dyDescent="0.25">
      <c r="A1174" s="8" t="s">
        <v>3607</v>
      </c>
      <c r="B1174" s="8">
        <f>COUNTIF('All Papers'!D:D,"*"&amp;Table1[[#This Row],[Name]]&amp;"*")</f>
        <v>1</v>
      </c>
      <c r="C1174" s="8">
        <f>COUNTIFS('All Papers'!$D:$D,"*"&amp;$A1174&amp;"*",'All Papers'!$G:$G,"*"&amp;Table1[[#Headers],[Composition]]&amp;"*")</f>
        <v>1</v>
      </c>
      <c r="D1174" s="8">
        <f>COUNTIFS('All Papers'!$D:$D,"*"&amp;$A1174&amp;"*",'All Papers'!$G:$G,"*"&amp;Table1[[#Headers],[Discovery]]&amp;"*")</f>
        <v>0</v>
      </c>
      <c r="E1174" s="8">
        <f>COUNTIFS('All Papers'!$D:$D,"*"&amp;$A1174&amp;"*",'All Papers'!$G:$G,"*"&amp;Table1[[#Headers],[Selection]]&amp;"*")</f>
        <v>0</v>
      </c>
      <c r="F1174" s="8">
        <f>COUNTIFS('All Papers'!$D:$D,"*"&amp;$A1174&amp;"*",'All Papers'!$G:$G,"*"&amp;Table1[[#Headers],[Recommendation]]&amp;"*")</f>
        <v>1</v>
      </c>
      <c r="G1174" s="8">
        <f>COUNTIFS('All Papers'!$D:$D,"*"&amp;$A1174&amp;"*",'All Papers'!$G:$G,"*"&amp;Table1[[#Headers],[Resource Management-CS]]&amp;"*")</f>
        <v>0</v>
      </c>
      <c r="H1174" s="8">
        <f>COUNTIFS('All Papers'!$D:$D,"*"&amp;$A1174&amp;"*",'All Papers'!$G:$G,"*"&amp;Table1[[#Headers],[Resource Management-PS]]&amp;"*")</f>
        <v>0</v>
      </c>
      <c r="I1174" s="8">
        <f>COUNTIFS('All Papers'!$D:$D,"*"&amp;$A1174&amp;"*",'All Papers'!$G:$G,"*"&amp;Table1[[#Headers],[SLA Management]]&amp;"*")</f>
        <v>0</v>
      </c>
      <c r="J1174" s="8">
        <f>COUNTIFS('All Papers'!$D:$D,"*"&amp;$A1174&amp;"*",'All Papers'!$G:$G,"*"&amp;Table1[[#Headers],[Big Data]]&amp;"*")</f>
        <v>0</v>
      </c>
      <c r="K1174" s="8">
        <f>COUNTIFS('All Papers'!$D:$D,"*"&amp;$A1174&amp;"*",'All Papers'!$G:$G,"*"&amp;Table1[[#Headers],[Energy Management]]&amp;"*")</f>
        <v>0</v>
      </c>
      <c r="L1174" s="8">
        <f>COUNTIFS('All Papers'!$D:$D,"*"&amp;$A1174&amp;"*",'All Papers'!$G:$G,"*"&amp;Table1[[#Headers],[Monitoring]]&amp;"*")</f>
        <v>0</v>
      </c>
      <c r="M1174" s="8">
        <f>COUNTIFS('All Papers'!$D:$D,"*"&amp;$A1174&amp;"*",'All Papers'!$G:$G,"*"&amp;Table1[[#Headers],[Pricing]]&amp;"*")</f>
        <v>0</v>
      </c>
    </row>
    <row r="1175" spans="1:13" x14ac:dyDescent="0.25">
      <c r="A1175" s="8" t="s">
        <v>3608</v>
      </c>
      <c r="B1175" s="8">
        <f>COUNTIF('All Papers'!D:D,"*"&amp;Table1[[#This Row],[Name]]&amp;"*")</f>
        <v>1</v>
      </c>
      <c r="C1175" s="8">
        <f>COUNTIFS('All Papers'!$D:$D,"*"&amp;$A1175&amp;"*",'All Papers'!$G:$G,"*"&amp;Table1[[#Headers],[Composition]]&amp;"*")</f>
        <v>0</v>
      </c>
      <c r="D1175" s="8">
        <f>COUNTIFS('All Papers'!$D:$D,"*"&amp;$A1175&amp;"*",'All Papers'!$G:$G,"*"&amp;Table1[[#Headers],[Discovery]]&amp;"*")</f>
        <v>0</v>
      </c>
      <c r="E1175" s="8">
        <f>COUNTIFS('All Papers'!$D:$D,"*"&amp;$A1175&amp;"*",'All Papers'!$G:$G,"*"&amp;Table1[[#Headers],[Selection]]&amp;"*")</f>
        <v>0</v>
      </c>
      <c r="F1175" s="8">
        <f>COUNTIFS('All Papers'!$D:$D,"*"&amp;$A1175&amp;"*",'All Papers'!$G:$G,"*"&amp;Table1[[#Headers],[Recommendation]]&amp;"*")</f>
        <v>1</v>
      </c>
      <c r="G1175" s="8">
        <f>COUNTIFS('All Papers'!$D:$D,"*"&amp;$A1175&amp;"*",'All Papers'!$G:$G,"*"&amp;Table1[[#Headers],[Resource Management-CS]]&amp;"*")</f>
        <v>0</v>
      </c>
      <c r="H1175" s="8">
        <f>COUNTIFS('All Papers'!$D:$D,"*"&amp;$A1175&amp;"*",'All Papers'!$G:$G,"*"&amp;Table1[[#Headers],[Resource Management-PS]]&amp;"*")</f>
        <v>0</v>
      </c>
      <c r="I1175" s="8">
        <f>COUNTIFS('All Papers'!$D:$D,"*"&amp;$A1175&amp;"*",'All Papers'!$G:$G,"*"&amp;Table1[[#Headers],[SLA Management]]&amp;"*")</f>
        <v>0</v>
      </c>
      <c r="J1175" s="8">
        <f>COUNTIFS('All Papers'!$D:$D,"*"&amp;$A1175&amp;"*",'All Papers'!$G:$G,"*"&amp;Table1[[#Headers],[Big Data]]&amp;"*")</f>
        <v>0</v>
      </c>
      <c r="K1175" s="8">
        <f>COUNTIFS('All Papers'!$D:$D,"*"&amp;$A1175&amp;"*",'All Papers'!$G:$G,"*"&amp;Table1[[#Headers],[Energy Management]]&amp;"*")</f>
        <v>0</v>
      </c>
      <c r="L1175" s="8">
        <f>COUNTIFS('All Papers'!$D:$D,"*"&amp;$A1175&amp;"*",'All Papers'!$G:$G,"*"&amp;Table1[[#Headers],[Monitoring]]&amp;"*")</f>
        <v>0</v>
      </c>
      <c r="M1175" s="8">
        <f>COUNTIFS('All Papers'!$D:$D,"*"&amp;$A1175&amp;"*",'All Papers'!$G:$G,"*"&amp;Table1[[#Headers],[Pricing]]&amp;"*")</f>
        <v>0</v>
      </c>
    </row>
    <row r="1176" spans="1:13" x14ac:dyDescent="0.25">
      <c r="A1176" s="8" t="s">
        <v>3609</v>
      </c>
      <c r="B1176" s="8">
        <f>COUNTIF('All Papers'!D:D,"*"&amp;Table1[[#This Row],[Name]]&amp;"*")</f>
        <v>1</v>
      </c>
      <c r="C1176" s="8">
        <f>COUNTIFS('All Papers'!$D:$D,"*"&amp;$A1176&amp;"*",'All Papers'!$G:$G,"*"&amp;Table1[[#Headers],[Composition]]&amp;"*")</f>
        <v>0</v>
      </c>
      <c r="D1176" s="8">
        <f>COUNTIFS('All Papers'!$D:$D,"*"&amp;$A1176&amp;"*",'All Papers'!$G:$G,"*"&amp;Table1[[#Headers],[Discovery]]&amp;"*")</f>
        <v>0</v>
      </c>
      <c r="E1176" s="8">
        <f>COUNTIFS('All Papers'!$D:$D,"*"&amp;$A1176&amp;"*",'All Papers'!$G:$G,"*"&amp;Table1[[#Headers],[Selection]]&amp;"*")</f>
        <v>0</v>
      </c>
      <c r="F1176" s="8">
        <f>COUNTIFS('All Papers'!$D:$D,"*"&amp;$A1176&amp;"*",'All Papers'!$G:$G,"*"&amp;Table1[[#Headers],[Recommendation]]&amp;"*")</f>
        <v>1</v>
      </c>
      <c r="G1176" s="8">
        <f>COUNTIFS('All Papers'!$D:$D,"*"&amp;$A1176&amp;"*",'All Papers'!$G:$G,"*"&amp;Table1[[#Headers],[Resource Management-CS]]&amp;"*")</f>
        <v>0</v>
      </c>
      <c r="H1176" s="8">
        <f>COUNTIFS('All Papers'!$D:$D,"*"&amp;$A1176&amp;"*",'All Papers'!$G:$G,"*"&amp;Table1[[#Headers],[Resource Management-PS]]&amp;"*")</f>
        <v>0</v>
      </c>
      <c r="I1176" s="8">
        <f>COUNTIFS('All Papers'!$D:$D,"*"&amp;$A1176&amp;"*",'All Papers'!$G:$G,"*"&amp;Table1[[#Headers],[SLA Management]]&amp;"*")</f>
        <v>0</v>
      </c>
      <c r="J1176" s="8">
        <f>COUNTIFS('All Papers'!$D:$D,"*"&amp;$A1176&amp;"*",'All Papers'!$G:$G,"*"&amp;Table1[[#Headers],[Big Data]]&amp;"*")</f>
        <v>0</v>
      </c>
      <c r="K1176" s="8">
        <f>COUNTIFS('All Papers'!$D:$D,"*"&amp;$A1176&amp;"*",'All Papers'!$G:$G,"*"&amp;Table1[[#Headers],[Energy Management]]&amp;"*")</f>
        <v>0</v>
      </c>
      <c r="L1176" s="8">
        <f>COUNTIFS('All Papers'!$D:$D,"*"&amp;$A1176&amp;"*",'All Papers'!$G:$G,"*"&amp;Table1[[#Headers],[Monitoring]]&amp;"*")</f>
        <v>0</v>
      </c>
      <c r="M1176" s="8">
        <f>COUNTIFS('All Papers'!$D:$D,"*"&amp;$A1176&amp;"*",'All Papers'!$G:$G,"*"&amp;Table1[[#Headers],[Pricing]]&amp;"*")</f>
        <v>0</v>
      </c>
    </row>
    <row r="1177" spans="1:13" x14ac:dyDescent="0.25">
      <c r="A1177" s="8" t="s">
        <v>3610</v>
      </c>
      <c r="B1177" s="8">
        <f>COUNTIF('All Papers'!D:D,"*"&amp;Table1[[#This Row],[Name]]&amp;"*")</f>
        <v>1</v>
      </c>
      <c r="C1177" s="8">
        <f>COUNTIFS('All Papers'!$D:$D,"*"&amp;$A1177&amp;"*",'All Papers'!$G:$G,"*"&amp;Table1[[#Headers],[Composition]]&amp;"*")</f>
        <v>0</v>
      </c>
      <c r="D1177" s="8">
        <f>COUNTIFS('All Papers'!$D:$D,"*"&amp;$A1177&amp;"*",'All Papers'!$G:$G,"*"&amp;Table1[[#Headers],[Discovery]]&amp;"*")</f>
        <v>0</v>
      </c>
      <c r="E1177" s="8">
        <f>COUNTIFS('All Papers'!$D:$D,"*"&amp;$A1177&amp;"*",'All Papers'!$G:$G,"*"&amp;Table1[[#Headers],[Selection]]&amp;"*")</f>
        <v>0</v>
      </c>
      <c r="F1177" s="8">
        <f>COUNTIFS('All Papers'!$D:$D,"*"&amp;$A1177&amp;"*",'All Papers'!$G:$G,"*"&amp;Table1[[#Headers],[Recommendation]]&amp;"*")</f>
        <v>1</v>
      </c>
      <c r="G1177" s="8">
        <f>COUNTIFS('All Papers'!$D:$D,"*"&amp;$A1177&amp;"*",'All Papers'!$G:$G,"*"&amp;Table1[[#Headers],[Resource Management-CS]]&amp;"*")</f>
        <v>0</v>
      </c>
      <c r="H1177" s="8">
        <f>COUNTIFS('All Papers'!$D:$D,"*"&amp;$A1177&amp;"*",'All Papers'!$G:$G,"*"&amp;Table1[[#Headers],[Resource Management-PS]]&amp;"*")</f>
        <v>0</v>
      </c>
      <c r="I1177" s="8">
        <f>COUNTIFS('All Papers'!$D:$D,"*"&amp;$A1177&amp;"*",'All Papers'!$G:$G,"*"&amp;Table1[[#Headers],[SLA Management]]&amp;"*")</f>
        <v>0</v>
      </c>
      <c r="J1177" s="8">
        <f>COUNTIFS('All Papers'!$D:$D,"*"&amp;$A1177&amp;"*",'All Papers'!$G:$G,"*"&amp;Table1[[#Headers],[Big Data]]&amp;"*")</f>
        <v>0</v>
      </c>
      <c r="K1177" s="8">
        <f>COUNTIFS('All Papers'!$D:$D,"*"&amp;$A1177&amp;"*",'All Papers'!$G:$G,"*"&amp;Table1[[#Headers],[Energy Management]]&amp;"*")</f>
        <v>0</v>
      </c>
      <c r="L1177" s="8">
        <f>COUNTIFS('All Papers'!$D:$D,"*"&amp;$A1177&amp;"*",'All Papers'!$G:$G,"*"&amp;Table1[[#Headers],[Monitoring]]&amp;"*")</f>
        <v>0</v>
      </c>
      <c r="M1177" s="8">
        <f>COUNTIFS('All Papers'!$D:$D,"*"&amp;$A1177&amp;"*",'All Papers'!$G:$G,"*"&amp;Table1[[#Headers],[Pricing]]&amp;"*")</f>
        <v>0</v>
      </c>
    </row>
    <row r="1178" spans="1:13" x14ac:dyDescent="0.25">
      <c r="A1178" s="8" t="s">
        <v>3611</v>
      </c>
      <c r="B1178" s="8">
        <f>COUNTIF('All Papers'!D:D,"*"&amp;Table1[[#This Row],[Name]]&amp;"*")</f>
        <v>1</v>
      </c>
      <c r="C1178" s="8">
        <f>COUNTIFS('All Papers'!$D:$D,"*"&amp;$A1178&amp;"*",'All Papers'!$G:$G,"*"&amp;Table1[[#Headers],[Composition]]&amp;"*")</f>
        <v>0</v>
      </c>
      <c r="D1178" s="8">
        <f>COUNTIFS('All Papers'!$D:$D,"*"&amp;$A1178&amp;"*",'All Papers'!$G:$G,"*"&amp;Table1[[#Headers],[Discovery]]&amp;"*")</f>
        <v>0</v>
      </c>
      <c r="E1178" s="8">
        <f>COUNTIFS('All Papers'!$D:$D,"*"&amp;$A1178&amp;"*",'All Papers'!$G:$G,"*"&amp;Table1[[#Headers],[Selection]]&amp;"*")</f>
        <v>0</v>
      </c>
      <c r="F1178" s="8">
        <f>COUNTIFS('All Papers'!$D:$D,"*"&amp;$A1178&amp;"*",'All Papers'!$G:$G,"*"&amp;Table1[[#Headers],[Recommendation]]&amp;"*")</f>
        <v>0</v>
      </c>
      <c r="G1178" s="8">
        <f>COUNTIFS('All Papers'!$D:$D,"*"&amp;$A1178&amp;"*",'All Papers'!$G:$G,"*"&amp;Table1[[#Headers],[Resource Management-CS]]&amp;"*")</f>
        <v>0</v>
      </c>
      <c r="H1178" s="8">
        <f>COUNTIFS('All Papers'!$D:$D,"*"&amp;$A1178&amp;"*",'All Papers'!$G:$G,"*"&amp;Table1[[#Headers],[Resource Management-PS]]&amp;"*")</f>
        <v>0</v>
      </c>
      <c r="I1178" s="8">
        <f>COUNTIFS('All Papers'!$D:$D,"*"&amp;$A1178&amp;"*",'All Papers'!$G:$G,"*"&amp;Table1[[#Headers],[SLA Management]]&amp;"*")</f>
        <v>0</v>
      </c>
      <c r="J1178" s="8">
        <f>COUNTIFS('All Papers'!$D:$D,"*"&amp;$A1178&amp;"*",'All Papers'!$G:$G,"*"&amp;Table1[[#Headers],[Big Data]]&amp;"*")</f>
        <v>0</v>
      </c>
      <c r="K1178" s="8">
        <f>COUNTIFS('All Papers'!$D:$D,"*"&amp;$A1178&amp;"*",'All Papers'!$G:$G,"*"&amp;Table1[[#Headers],[Energy Management]]&amp;"*")</f>
        <v>0</v>
      </c>
      <c r="L1178" s="8">
        <f>COUNTIFS('All Papers'!$D:$D,"*"&amp;$A1178&amp;"*",'All Papers'!$G:$G,"*"&amp;Table1[[#Headers],[Monitoring]]&amp;"*")</f>
        <v>1</v>
      </c>
      <c r="M1178" s="8">
        <f>COUNTIFS('All Papers'!$D:$D,"*"&amp;$A1178&amp;"*",'All Papers'!$G:$G,"*"&amp;Table1[[#Headers],[Pricing]]&amp;"*")</f>
        <v>0</v>
      </c>
    </row>
    <row r="1179" spans="1:13" x14ac:dyDescent="0.25">
      <c r="A1179" s="8" t="s">
        <v>3612</v>
      </c>
      <c r="B1179" s="8">
        <f>COUNTIF('All Papers'!D:D,"*"&amp;Table1[[#This Row],[Name]]&amp;"*")</f>
        <v>1</v>
      </c>
      <c r="C1179" s="8">
        <f>COUNTIFS('All Papers'!$D:$D,"*"&amp;$A1179&amp;"*",'All Papers'!$G:$G,"*"&amp;Table1[[#Headers],[Composition]]&amp;"*")</f>
        <v>0</v>
      </c>
      <c r="D1179" s="8">
        <f>COUNTIFS('All Papers'!$D:$D,"*"&amp;$A1179&amp;"*",'All Papers'!$G:$G,"*"&amp;Table1[[#Headers],[Discovery]]&amp;"*")</f>
        <v>0</v>
      </c>
      <c r="E1179" s="8">
        <f>COUNTIFS('All Papers'!$D:$D,"*"&amp;$A1179&amp;"*",'All Papers'!$G:$G,"*"&amp;Table1[[#Headers],[Selection]]&amp;"*")</f>
        <v>0</v>
      </c>
      <c r="F1179" s="8">
        <f>COUNTIFS('All Papers'!$D:$D,"*"&amp;$A1179&amp;"*",'All Papers'!$G:$G,"*"&amp;Table1[[#Headers],[Recommendation]]&amp;"*")</f>
        <v>0</v>
      </c>
      <c r="G1179" s="8">
        <f>COUNTIFS('All Papers'!$D:$D,"*"&amp;$A1179&amp;"*",'All Papers'!$G:$G,"*"&amp;Table1[[#Headers],[Resource Management-CS]]&amp;"*")</f>
        <v>0</v>
      </c>
      <c r="H1179" s="8">
        <f>COUNTIFS('All Papers'!$D:$D,"*"&amp;$A1179&amp;"*",'All Papers'!$G:$G,"*"&amp;Table1[[#Headers],[Resource Management-PS]]&amp;"*")</f>
        <v>0</v>
      </c>
      <c r="I1179" s="8">
        <f>COUNTIFS('All Papers'!$D:$D,"*"&amp;$A1179&amp;"*",'All Papers'!$G:$G,"*"&amp;Table1[[#Headers],[SLA Management]]&amp;"*")</f>
        <v>0</v>
      </c>
      <c r="J1179" s="8">
        <f>COUNTIFS('All Papers'!$D:$D,"*"&amp;$A1179&amp;"*",'All Papers'!$G:$G,"*"&amp;Table1[[#Headers],[Big Data]]&amp;"*")</f>
        <v>0</v>
      </c>
      <c r="K1179" s="8">
        <f>COUNTIFS('All Papers'!$D:$D,"*"&amp;$A1179&amp;"*",'All Papers'!$G:$G,"*"&amp;Table1[[#Headers],[Energy Management]]&amp;"*")</f>
        <v>0</v>
      </c>
      <c r="L1179" s="8">
        <f>COUNTIFS('All Papers'!$D:$D,"*"&amp;$A1179&amp;"*",'All Papers'!$G:$G,"*"&amp;Table1[[#Headers],[Monitoring]]&amp;"*")</f>
        <v>1</v>
      </c>
      <c r="M1179" s="8">
        <f>COUNTIFS('All Papers'!$D:$D,"*"&amp;$A1179&amp;"*",'All Papers'!$G:$G,"*"&amp;Table1[[#Headers],[Pricing]]&amp;"*")</f>
        <v>0</v>
      </c>
    </row>
    <row r="1180" spans="1:13" x14ac:dyDescent="0.25">
      <c r="A1180" s="8" t="s">
        <v>3613</v>
      </c>
      <c r="B1180" s="8">
        <f>COUNTIF('All Papers'!D:D,"*"&amp;Table1[[#This Row],[Name]]&amp;"*")</f>
        <v>1</v>
      </c>
      <c r="C1180" s="8">
        <f>COUNTIFS('All Papers'!$D:$D,"*"&amp;$A1180&amp;"*",'All Papers'!$G:$G,"*"&amp;Table1[[#Headers],[Composition]]&amp;"*")</f>
        <v>0</v>
      </c>
      <c r="D1180" s="8">
        <f>COUNTIFS('All Papers'!$D:$D,"*"&amp;$A1180&amp;"*",'All Papers'!$G:$G,"*"&amp;Table1[[#Headers],[Discovery]]&amp;"*")</f>
        <v>0</v>
      </c>
      <c r="E1180" s="8">
        <f>COUNTIFS('All Papers'!$D:$D,"*"&amp;$A1180&amp;"*",'All Papers'!$G:$G,"*"&amp;Table1[[#Headers],[Selection]]&amp;"*")</f>
        <v>0</v>
      </c>
      <c r="F1180" s="8">
        <f>COUNTIFS('All Papers'!$D:$D,"*"&amp;$A1180&amp;"*",'All Papers'!$G:$G,"*"&amp;Table1[[#Headers],[Recommendation]]&amp;"*")</f>
        <v>0</v>
      </c>
      <c r="G1180" s="8">
        <f>COUNTIFS('All Papers'!$D:$D,"*"&amp;$A1180&amp;"*",'All Papers'!$G:$G,"*"&amp;Table1[[#Headers],[Resource Management-CS]]&amp;"*")</f>
        <v>0</v>
      </c>
      <c r="H1180" s="8">
        <f>COUNTIFS('All Papers'!$D:$D,"*"&amp;$A1180&amp;"*",'All Papers'!$G:$G,"*"&amp;Table1[[#Headers],[Resource Management-PS]]&amp;"*")</f>
        <v>0</v>
      </c>
      <c r="I1180" s="8">
        <f>COUNTIFS('All Papers'!$D:$D,"*"&amp;$A1180&amp;"*",'All Papers'!$G:$G,"*"&amp;Table1[[#Headers],[SLA Management]]&amp;"*")</f>
        <v>0</v>
      </c>
      <c r="J1180" s="8">
        <f>COUNTIFS('All Papers'!$D:$D,"*"&amp;$A1180&amp;"*",'All Papers'!$G:$G,"*"&amp;Table1[[#Headers],[Big Data]]&amp;"*")</f>
        <v>0</v>
      </c>
      <c r="K1180" s="8">
        <f>COUNTIFS('All Papers'!$D:$D,"*"&amp;$A1180&amp;"*",'All Papers'!$G:$G,"*"&amp;Table1[[#Headers],[Energy Management]]&amp;"*")</f>
        <v>0</v>
      </c>
      <c r="L1180" s="8">
        <f>COUNTIFS('All Papers'!$D:$D,"*"&amp;$A1180&amp;"*",'All Papers'!$G:$G,"*"&amp;Table1[[#Headers],[Monitoring]]&amp;"*")</f>
        <v>1</v>
      </c>
      <c r="M1180" s="8">
        <f>COUNTIFS('All Papers'!$D:$D,"*"&amp;$A1180&amp;"*",'All Papers'!$G:$G,"*"&amp;Table1[[#Headers],[Pricing]]&amp;"*")</f>
        <v>0</v>
      </c>
    </row>
    <row r="1181" spans="1:13" x14ac:dyDescent="0.25">
      <c r="A1181" s="8" t="s">
        <v>3614</v>
      </c>
      <c r="B1181" s="8">
        <f>COUNTIF('All Papers'!D:D,"*"&amp;Table1[[#This Row],[Name]]&amp;"*")</f>
        <v>1</v>
      </c>
      <c r="C1181" s="8">
        <f>COUNTIFS('All Papers'!$D:$D,"*"&amp;$A1181&amp;"*",'All Papers'!$G:$G,"*"&amp;Table1[[#Headers],[Composition]]&amp;"*")</f>
        <v>0</v>
      </c>
      <c r="D1181" s="8">
        <f>COUNTIFS('All Papers'!$D:$D,"*"&amp;$A1181&amp;"*",'All Papers'!$G:$G,"*"&amp;Table1[[#Headers],[Discovery]]&amp;"*")</f>
        <v>0</v>
      </c>
      <c r="E1181" s="8">
        <f>COUNTIFS('All Papers'!$D:$D,"*"&amp;$A1181&amp;"*",'All Papers'!$G:$G,"*"&amp;Table1[[#Headers],[Selection]]&amp;"*")</f>
        <v>0</v>
      </c>
      <c r="F1181" s="8">
        <f>COUNTIFS('All Papers'!$D:$D,"*"&amp;$A1181&amp;"*",'All Papers'!$G:$G,"*"&amp;Table1[[#Headers],[Recommendation]]&amp;"*")</f>
        <v>0</v>
      </c>
      <c r="G1181" s="8">
        <f>COUNTIFS('All Papers'!$D:$D,"*"&amp;$A1181&amp;"*",'All Papers'!$G:$G,"*"&amp;Table1[[#Headers],[Resource Management-CS]]&amp;"*")</f>
        <v>0</v>
      </c>
      <c r="H1181" s="8">
        <f>COUNTIFS('All Papers'!$D:$D,"*"&amp;$A1181&amp;"*",'All Papers'!$G:$G,"*"&amp;Table1[[#Headers],[Resource Management-PS]]&amp;"*")</f>
        <v>0</v>
      </c>
      <c r="I1181" s="8">
        <f>COUNTIFS('All Papers'!$D:$D,"*"&amp;$A1181&amp;"*",'All Papers'!$G:$G,"*"&amp;Table1[[#Headers],[SLA Management]]&amp;"*")</f>
        <v>1</v>
      </c>
      <c r="J1181" s="8">
        <f>COUNTIFS('All Papers'!$D:$D,"*"&amp;$A1181&amp;"*",'All Papers'!$G:$G,"*"&amp;Table1[[#Headers],[Big Data]]&amp;"*")</f>
        <v>0</v>
      </c>
      <c r="K1181" s="8">
        <f>COUNTIFS('All Papers'!$D:$D,"*"&amp;$A1181&amp;"*",'All Papers'!$G:$G,"*"&amp;Table1[[#Headers],[Energy Management]]&amp;"*")</f>
        <v>0</v>
      </c>
      <c r="L1181" s="8">
        <f>COUNTIFS('All Papers'!$D:$D,"*"&amp;$A1181&amp;"*",'All Papers'!$G:$G,"*"&amp;Table1[[#Headers],[Monitoring]]&amp;"*")</f>
        <v>1</v>
      </c>
      <c r="M1181" s="8">
        <f>COUNTIFS('All Papers'!$D:$D,"*"&amp;$A1181&amp;"*",'All Papers'!$G:$G,"*"&amp;Table1[[#Headers],[Pricing]]&amp;"*")</f>
        <v>0</v>
      </c>
    </row>
    <row r="1182" spans="1:13" x14ac:dyDescent="0.25">
      <c r="A1182" s="8" t="s">
        <v>3615</v>
      </c>
      <c r="B1182" s="8">
        <f>COUNTIF('All Papers'!D:D,"*"&amp;Table1[[#This Row],[Name]]&amp;"*")</f>
        <v>1</v>
      </c>
      <c r="C1182" s="8">
        <f>COUNTIFS('All Papers'!$D:$D,"*"&amp;$A1182&amp;"*",'All Papers'!$G:$G,"*"&amp;Table1[[#Headers],[Composition]]&amp;"*")</f>
        <v>0</v>
      </c>
      <c r="D1182" s="8">
        <f>COUNTIFS('All Papers'!$D:$D,"*"&amp;$A1182&amp;"*",'All Papers'!$G:$G,"*"&amp;Table1[[#Headers],[Discovery]]&amp;"*")</f>
        <v>0</v>
      </c>
      <c r="E1182" s="8">
        <f>COUNTIFS('All Papers'!$D:$D,"*"&amp;$A1182&amp;"*",'All Papers'!$G:$G,"*"&amp;Table1[[#Headers],[Selection]]&amp;"*")</f>
        <v>0</v>
      </c>
      <c r="F1182" s="8">
        <f>COUNTIFS('All Papers'!$D:$D,"*"&amp;$A1182&amp;"*",'All Papers'!$G:$G,"*"&amp;Table1[[#Headers],[Recommendation]]&amp;"*")</f>
        <v>0</v>
      </c>
      <c r="G1182" s="8">
        <f>COUNTIFS('All Papers'!$D:$D,"*"&amp;$A1182&amp;"*",'All Papers'!$G:$G,"*"&amp;Table1[[#Headers],[Resource Management-CS]]&amp;"*")</f>
        <v>0</v>
      </c>
      <c r="H1182" s="8">
        <f>COUNTIFS('All Papers'!$D:$D,"*"&amp;$A1182&amp;"*",'All Papers'!$G:$G,"*"&amp;Table1[[#Headers],[Resource Management-PS]]&amp;"*")</f>
        <v>0</v>
      </c>
      <c r="I1182" s="8">
        <f>COUNTIFS('All Papers'!$D:$D,"*"&amp;$A1182&amp;"*",'All Papers'!$G:$G,"*"&amp;Table1[[#Headers],[SLA Management]]&amp;"*")</f>
        <v>1</v>
      </c>
      <c r="J1182" s="8">
        <f>COUNTIFS('All Papers'!$D:$D,"*"&amp;$A1182&amp;"*",'All Papers'!$G:$G,"*"&amp;Table1[[#Headers],[Big Data]]&amp;"*")</f>
        <v>0</v>
      </c>
      <c r="K1182" s="8">
        <f>COUNTIFS('All Papers'!$D:$D,"*"&amp;$A1182&amp;"*",'All Papers'!$G:$G,"*"&amp;Table1[[#Headers],[Energy Management]]&amp;"*")</f>
        <v>0</v>
      </c>
      <c r="L1182" s="8">
        <f>COUNTIFS('All Papers'!$D:$D,"*"&amp;$A1182&amp;"*",'All Papers'!$G:$G,"*"&amp;Table1[[#Headers],[Monitoring]]&amp;"*")</f>
        <v>1</v>
      </c>
      <c r="M1182" s="8">
        <f>COUNTIFS('All Papers'!$D:$D,"*"&amp;$A1182&amp;"*",'All Papers'!$G:$G,"*"&amp;Table1[[#Headers],[Pricing]]&amp;"*")</f>
        <v>0</v>
      </c>
    </row>
    <row r="1183" spans="1:13" x14ac:dyDescent="0.25">
      <c r="A1183" s="8" t="s">
        <v>3616</v>
      </c>
      <c r="B1183" s="8">
        <f>COUNTIF('All Papers'!D:D,"*"&amp;Table1[[#This Row],[Name]]&amp;"*")</f>
        <v>1</v>
      </c>
      <c r="C1183" s="8">
        <f>COUNTIFS('All Papers'!$D:$D,"*"&amp;$A1183&amp;"*",'All Papers'!$G:$G,"*"&amp;Table1[[#Headers],[Composition]]&amp;"*")</f>
        <v>0</v>
      </c>
      <c r="D1183" s="8">
        <f>COUNTIFS('All Papers'!$D:$D,"*"&amp;$A1183&amp;"*",'All Papers'!$G:$G,"*"&amp;Table1[[#Headers],[Discovery]]&amp;"*")</f>
        <v>0</v>
      </c>
      <c r="E1183" s="8">
        <f>COUNTIFS('All Papers'!$D:$D,"*"&amp;$A1183&amp;"*",'All Papers'!$G:$G,"*"&amp;Table1[[#Headers],[Selection]]&amp;"*")</f>
        <v>0</v>
      </c>
      <c r="F1183" s="8">
        <f>COUNTIFS('All Papers'!$D:$D,"*"&amp;$A1183&amp;"*",'All Papers'!$G:$G,"*"&amp;Table1[[#Headers],[Recommendation]]&amp;"*")</f>
        <v>0</v>
      </c>
      <c r="G1183" s="8">
        <f>COUNTIFS('All Papers'!$D:$D,"*"&amp;$A1183&amp;"*",'All Papers'!$G:$G,"*"&amp;Table1[[#Headers],[Resource Management-CS]]&amp;"*")</f>
        <v>1</v>
      </c>
      <c r="H1183" s="8">
        <f>COUNTIFS('All Papers'!$D:$D,"*"&amp;$A1183&amp;"*",'All Papers'!$G:$G,"*"&amp;Table1[[#Headers],[Resource Management-PS]]&amp;"*")</f>
        <v>0</v>
      </c>
      <c r="I1183" s="8">
        <f>COUNTIFS('All Papers'!$D:$D,"*"&amp;$A1183&amp;"*",'All Papers'!$G:$G,"*"&amp;Table1[[#Headers],[SLA Management]]&amp;"*")</f>
        <v>0</v>
      </c>
      <c r="J1183" s="8">
        <f>COUNTIFS('All Papers'!$D:$D,"*"&amp;$A1183&amp;"*",'All Papers'!$G:$G,"*"&amp;Table1[[#Headers],[Big Data]]&amp;"*")</f>
        <v>0</v>
      </c>
      <c r="K1183" s="8">
        <f>COUNTIFS('All Papers'!$D:$D,"*"&amp;$A1183&amp;"*",'All Papers'!$G:$G,"*"&amp;Table1[[#Headers],[Energy Management]]&amp;"*")</f>
        <v>0</v>
      </c>
      <c r="L1183" s="8">
        <f>COUNTIFS('All Papers'!$D:$D,"*"&amp;$A1183&amp;"*",'All Papers'!$G:$G,"*"&amp;Table1[[#Headers],[Monitoring]]&amp;"*")</f>
        <v>0</v>
      </c>
      <c r="M1183" s="8">
        <f>COUNTIFS('All Papers'!$D:$D,"*"&amp;$A1183&amp;"*",'All Papers'!$G:$G,"*"&amp;Table1[[#Headers],[Pricing]]&amp;"*")</f>
        <v>0</v>
      </c>
    </row>
    <row r="1184" spans="1:13" x14ac:dyDescent="0.25">
      <c r="A1184" s="8" t="s">
        <v>3617</v>
      </c>
      <c r="B1184" s="8">
        <f>COUNTIF('All Papers'!D:D,"*"&amp;Table1[[#This Row],[Name]]&amp;"*")</f>
        <v>1</v>
      </c>
      <c r="C1184" s="8">
        <f>COUNTIFS('All Papers'!$D:$D,"*"&amp;$A1184&amp;"*",'All Papers'!$G:$G,"*"&amp;Table1[[#Headers],[Composition]]&amp;"*")</f>
        <v>0</v>
      </c>
      <c r="D1184" s="8">
        <f>COUNTIFS('All Papers'!$D:$D,"*"&amp;$A1184&amp;"*",'All Papers'!$G:$G,"*"&amp;Table1[[#Headers],[Discovery]]&amp;"*")</f>
        <v>0</v>
      </c>
      <c r="E1184" s="8">
        <f>COUNTIFS('All Papers'!$D:$D,"*"&amp;$A1184&amp;"*",'All Papers'!$G:$G,"*"&amp;Table1[[#Headers],[Selection]]&amp;"*")</f>
        <v>0</v>
      </c>
      <c r="F1184" s="8">
        <f>COUNTIFS('All Papers'!$D:$D,"*"&amp;$A1184&amp;"*",'All Papers'!$G:$G,"*"&amp;Table1[[#Headers],[Recommendation]]&amp;"*")</f>
        <v>0</v>
      </c>
      <c r="G1184" s="8">
        <f>COUNTIFS('All Papers'!$D:$D,"*"&amp;$A1184&amp;"*",'All Papers'!$G:$G,"*"&amp;Table1[[#Headers],[Resource Management-CS]]&amp;"*")</f>
        <v>1</v>
      </c>
      <c r="H1184" s="8">
        <f>COUNTIFS('All Papers'!$D:$D,"*"&amp;$A1184&amp;"*",'All Papers'!$G:$G,"*"&amp;Table1[[#Headers],[Resource Management-PS]]&amp;"*")</f>
        <v>0</v>
      </c>
      <c r="I1184" s="8">
        <f>COUNTIFS('All Papers'!$D:$D,"*"&amp;$A1184&amp;"*",'All Papers'!$G:$G,"*"&amp;Table1[[#Headers],[SLA Management]]&amp;"*")</f>
        <v>0</v>
      </c>
      <c r="J1184" s="8">
        <f>COUNTIFS('All Papers'!$D:$D,"*"&amp;$A1184&amp;"*",'All Papers'!$G:$G,"*"&amp;Table1[[#Headers],[Big Data]]&amp;"*")</f>
        <v>0</v>
      </c>
      <c r="K1184" s="8">
        <f>COUNTIFS('All Papers'!$D:$D,"*"&amp;$A1184&amp;"*",'All Papers'!$G:$G,"*"&amp;Table1[[#Headers],[Energy Management]]&amp;"*")</f>
        <v>0</v>
      </c>
      <c r="L1184" s="8">
        <f>COUNTIFS('All Papers'!$D:$D,"*"&amp;$A1184&amp;"*",'All Papers'!$G:$G,"*"&amp;Table1[[#Headers],[Monitoring]]&amp;"*")</f>
        <v>0</v>
      </c>
      <c r="M1184" s="8">
        <f>COUNTIFS('All Papers'!$D:$D,"*"&amp;$A1184&amp;"*",'All Papers'!$G:$G,"*"&amp;Table1[[#Headers],[Pricing]]&amp;"*")</f>
        <v>0</v>
      </c>
    </row>
    <row r="1185" spans="1:13" x14ac:dyDescent="0.25">
      <c r="A1185" s="8" t="s">
        <v>3618</v>
      </c>
      <c r="B1185" s="8">
        <f>COUNTIF('All Papers'!D:D,"*"&amp;Table1[[#This Row],[Name]]&amp;"*")</f>
        <v>1</v>
      </c>
      <c r="C1185" s="8">
        <f>COUNTIFS('All Papers'!$D:$D,"*"&amp;$A1185&amp;"*",'All Papers'!$G:$G,"*"&amp;Table1[[#Headers],[Composition]]&amp;"*")</f>
        <v>0</v>
      </c>
      <c r="D1185" s="8">
        <f>COUNTIFS('All Papers'!$D:$D,"*"&amp;$A1185&amp;"*",'All Papers'!$G:$G,"*"&amp;Table1[[#Headers],[Discovery]]&amp;"*")</f>
        <v>0</v>
      </c>
      <c r="E1185" s="8">
        <f>COUNTIFS('All Papers'!$D:$D,"*"&amp;$A1185&amp;"*",'All Papers'!$G:$G,"*"&amp;Table1[[#Headers],[Selection]]&amp;"*")</f>
        <v>0</v>
      </c>
      <c r="F1185" s="8">
        <f>COUNTIFS('All Papers'!$D:$D,"*"&amp;$A1185&amp;"*",'All Papers'!$G:$G,"*"&amp;Table1[[#Headers],[Recommendation]]&amp;"*")</f>
        <v>0</v>
      </c>
      <c r="G1185" s="8">
        <f>COUNTIFS('All Papers'!$D:$D,"*"&amp;$A1185&amp;"*",'All Papers'!$G:$G,"*"&amp;Table1[[#Headers],[Resource Management-CS]]&amp;"*")</f>
        <v>1</v>
      </c>
      <c r="H1185" s="8">
        <f>COUNTIFS('All Papers'!$D:$D,"*"&amp;$A1185&amp;"*",'All Papers'!$G:$G,"*"&amp;Table1[[#Headers],[Resource Management-PS]]&amp;"*")</f>
        <v>0</v>
      </c>
      <c r="I1185" s="8">
        <f>COUNTIFS('All Papers'!$D:$D,"*"&amp;$A1185&amp;"*",'All Papers'!$G:$G,"*"&amp;Table1[[#Headers],[SLA Management]]&amp;"*")</f>
        <v>0</v>
      </c>
      <c r="J1185" s="8">
        <f>COUNTIFS('All Papers'!$D:$D,"*"&amp;$A1185&amp;"*",'All Papers'!$G:$G,"*"&amp;Table1[[#Headers],[Big Data]]&amp;"*")</f>
        <v>0</v>
      </c>
      <c r="K1185" s="8">
        <f>COUNTIFS('All Papers'!$D:$D,"*"&amp;$A1185&amp;"*",'All Papers'!$G:$G,"*"&amp;Table1[[#Headers],[Energy Management]]&amp;"*")</f>
        <v>0</v>
      </c>
      <c r="L1185" s="8">
        <f>COUNTIFS('All Papers'!$D:$D,"*"&amp;$A1185&amp;"*",'All Papers'!$G:$G,"*"&amp;Table1[[#Headers],[Monitoring]]&amp;"*")</f>
        <v>0</v>
      </c>
      <c r="M1185" s="8">
        <f>COUNTIFS('All Papers'!$D:$D,"*"&amp;$A1185&amp;"*",'All Papers'!$G:$G,"*"&amp;Table1[[#Headers],[Pricing]]&amp;"*")</f>
        <v>0</v>
      </c>
    </row>
    <row r="1186" spans="1:13" x14ac:dyDescent="0.25">
      <c r="A1186" s="8" t="s">
        <v>3619</v>
      </c>
      <c r="B1186" s="8">
        <f>COUNTIF('All Papers'!D:D,"*"&amp;Table1[[#This Row],[Name]]&amp;"*")</f>
        <v>1</v>
      </c>
      <c r="C1186" s="8">
        <f>COUNTIFS('All Papers'!$D:$D,"*"&amp;$A1186&amp;"*",'All Papers'!$G:$G,"*"&amp;Table1[[#Headers],[Composition]]&amp;"*")</f>
        <v>0</v>
      </c>
      <c r="D1186" s="8">
        <f>COUNTIFS('All Papers'!$D:$D,"*"&amp;$A1186&amp;"*",'All Papers'!$G:$G,"*"&amp;Table1[[#Headers],[Discovery]]&amp;"*")</f>
        <v>0</v>
      </c>
      <c r="E1186" s="8">
        <f>COUNTIFS('All Papers'!$D:$D,"*"&amp;$A1186&amp;"*",'All Papers'!$G:$G,"*"&amp;Table1[[#Headers],[Selection]]&amp;"*")</f>
        <v>0</v>
      </c>
      <c r="F1186" s="8">
        <f>COUNTIFS('All Papers'!$D:$D,"*"&amp;$A1186&amp;"*",'All Papers'!$G:$G,"*"&amp;Table1[[#Headers],[Recommendation]]&amp;"*")</f>
        <v>0</v>
      </c>
      <c r="G1186" s="8">
        <f>COUNTIFS('All Papers'!$D:$D,"*"&amp;$A1186&amp;"*",'All Papers'!$G:$G,"*"&amp;Table1[[#Headers],[Resource Management-CS]]&amp;"*")</f>
        <v>0</v>
      </c>
      <c r="H1186" s="8">
        <f>COUNTIFS('All Papers'!$D:$D,"*"&amp;$A1186&amp;"*",'All Papers'!$G:$G,"*"&amp;Table1[[#Headers],[Resource Management-PS]]&amp;"*")</f>
        <v>1</v>
      </c>
      <c r="I1186" s="8">
        <f>COUNTIFS('All Papers'!$D:$D,"*"&amp;$A1186&amp;"*",'All Papers'!$G:$G,"*"&amp;Table1[[#Headers],[SLA Management]]&amp;"*")</f>
        <v>0</v>
      </c>
      <c r="J1186" s="8">
        <f>COUNTIFS('All Papers'!$D:$D,"*"&amp;$A1186&amp;"*",'All Papers'!$G:$G,"*"&amp;Table1[[#Headers],[Big Data]]&amp;"*")</f>
        <v>0</v>
      </c>
      <c r="K1186" s="8">
        <f>COUNTIFS('All Papers'!$D:$D,"*"&amp;$A1186&amp;"*",'All Papers'!$G:$G,"*"&amp;Table1[[#Headers],[Energy Management]]&amp;"*")</f>
        <v>0</v>
      </c>
      <c r="L1186" s="8">
        <f>COUNTIFS('All Papers'!$D:$D,"*"&amp;$A1186&amp;"*",'All Papers'!$G:$G,"*"&amp;Table1[[#Headers],[Monitoring]]&amp;"*")</f>
        <v>0</v>
      </c>
      <c r="M1186" s="8">
        <f>COUNTIFS('All Papers'!$D:$D,"*"&amp;$A1186&amp;"*",'All Papers'!$G:$G,"*"&amp;Table1[[#Headers],[Pricing]]&amp;"*")</f>
        <v>0</v>
      </c>
    </row>
    <row r="1187" spans="1:13" x14ac:dyDescent="0.25">
      <c r="A1187" s="8" t="s">
        <v>3620</v>
      </c>
      <c r="B1187" s="8">
        <f>COUNTIF('All Papers'!D:D,"*"&amp;Table1[[#This Row],[Name]]&amp;"*")</f>
        <v>1</v>
      </c>
      <c r="C1187" s="8">
        <f>COUNTIFS('All Papers'!$D:$D,"*"&amp;$A1187&amp;"*",'All Papers'!$G:$G,"*"&amp;Table1[[#Headers],[Composition]]&amp;"*")</f>
        <v>0</v>
      </c>
      <c r="D1187" s="8">
        <f>COUNTIFS('All Papers'!$D:$D,"*"&amp;$A1187&amp;"*",'All Papers'!$G:$G,"*"&amp;Table1[[#Headers],[Discovery]]&amp;"*")</f>
        <v>0</v>
      </c>
      <c r="E1187" s="8">
        <f>COUNTIFS('All Papers'!$D:$D,"*"&amp;$A1187&amp;"*",'All Papers'!$G:$G,"*"&amp;Table1[[#Headers],[Selection]]&amp;"*")</f>
        <v>0</v>
      </c>
      <c r="F1187" s="8">
        <f>COUNTIFS('All Papers'!$D:$D,"*"&amp;$A1187&amp;"*",'All Papers'!$G:$G,"*"&amp;Table1[[#Headers],[Recommendation]]&amp;"*")</f>
        <v>0</v>
      </c>
      <c r="G1187" s="8">
        <f>COUNTIFS('All Papers'!$D:$D,"*"&amp;$A1187&amp;"*",'All Papers'!$G:$G,"*"&amp;Table1[[#Headers],[Resource Management-CS]]&amp;"*")</f>
        <v>0</v>
      </c>
      <c r="H1187" s="8">
        <f>COUNTIFS('All Papers'!$D:$D,"*"&amp;$A1187&amp;"*",'All Papers'!$G:$G,"*"&amp;Table1[[#Headers],[Resource Management-PS]]&amp;"*")</f>
        <v>1</v>
      </c>
      <c r="I1187" s="8">
        <f>COUNTIFS('All Papers'!$D:$D,"*"&amp;$A1187&amp;"*",'All Papers'!$G:$G,"*"&amp;Table1[[#Headers],[SLA Management]]&amp;"*")</f>
        <v>0</v>
      </c>
      <c r="J1187" s="8">
        <f>COUNTIFS('All Papers'!$D:$D,"*"&amp;$A1187&amp;"*",'All Papers'!$G:$G,"*"&amp;Table1[[#Headers],[Big Data]]&amp;"*")</f>
        <v>0</v>
      </c>
      <c r="K1187" s="8">
        <f>COUNTIFS('All Papers'!$D:$D,"*"&amp;$A1187&amp;"*",'All Papers'!$G:$G,"*"&amp;Table1[[#Headers],[Energy Management]]&amp;"*")</f>
        <v>0</v>
      </c>
      <c r="L1187" s="8">
        <f>COUNTIFS('All Papers'!$D:$D,"*"&amp;$A1187&amp;"*",'All Papers'!$G:$G,"*"&amp;Table1[[#Headers],[Monitoring]]&amp;"*")</f>
        <v>0</v>
      </c>
      <c r="M1187" s="8">
        <f>COUNTIFS('All Papers'!$D:$D,"*"&amp;$A1187&amp;"*",'All Papers'!$G:$G,"*"&amp;Table1[[#Headers],[Pricing]]&amp;"*")</f>
        <v>0</v>
      </c>
    </row>
    <row r="1188" spans="1:13" x14ac:dyDescent="0.25">
      <c r="A1188" s="8" t="s">
        <v>3621</v>
      </c>
      <c r="B1188" s="8">
        <f>COUNTIF('All Papers'!D:D,"*"&amp;Table1[[#This Row],[Name]]&amp;"*")</f>
        <v>1</v>
      </c>
      <c r="C1188" s="8">
        <f>COUNTIFS('All Papers'!$D:$D,"*"&amp;$A1188&amp;"*",'All Papers'!$G:$G,"*"&amp;Table1[[#Headers],[Composition]]&amp;"*")</f>
        <v>0</v>
      </c>
      <c r="D1188" s="8">
        <f>COUNTIFS('All Papers'!$D:$D,"*"&amp;$A1188&amp;"*",'All Papers'!$G:$G,"*"&amp;Table1[[#Headers],[Discovery]]&amp;"*")</f>
        <v>0</v>
      </c>
      <c r="E1188" s="8">
        <f>COUNTIFS('All Papers'!$D:$D,"*"&amp;$A1188&amp;"*",'All Papers'!$G:$G,"*"&amp;Table1[[#Headers],[Selection]]&amp;"*")</f>
        <v>1</v>
      </c>
      <c r="F1188" s="8">
        <f>COUNTIFS('All Papers'!$D:$D,"*"&amp;$A1188&amp;"*",'All Papers'!$G:$G,"*"&amp;Table1[[#Headers],[Recommendation]]&amp;"*")</f>
        <v>0</v>
      </c>
      <c r="G1188" s="8">
        <f>COUNTIFS('All Papers'!$D:$D,"*"&amp;$A1188&amp;"*",'All Papers'!$G:$G,"*"&amp;Table1[[#Headers],[Resource Management-CS]]&amp;"*")</f>
        <v>0</v>
      </c>
      <c r="H1188" s="8">
        <f>COUNTIFS('All Papers'!$D:$D,"*"&amp;$A1188&amp;"*",'All Papers'!$G:$G,"*"&amp;Table1[[#Headers],[Resource Management-PS]]&amp;"*")</f>
        <v>0</v>
      </c>
      <c r="I1188" s="8">
        <f>COUNTIFS('All Papers'!$D:$D,"*"&amp;$A1188&amp;"*",'All Papers'!$G:$G,"*"&amp;Table1[[#Headers],[SLA Management]]&amp;"*")</f>
        <v>0</v>
      </c>
      <c r="J1188" s="8">
        <f>COUNTIFS('All Papers'!$D:$D,"*"&amp;$A1188&amp;"*",'All Papers'!$G:$G,"*"&amp;Table1[[#Headers],[Big Data]]&amp;"*")</f>
        <v>0</v>
      </c>
      <c r="K1188" s="8">
        <f>COUNTIFS('All Papers'!$D:$D,"*"&amp;$A1188&amp;"*",'All Papers'!$G:$G,"*"&amp;Table1[[#Headers],[Energy Management]]&amp;"*")</f>
        <v>0</v>
      </c>
      <c r="L1188" s="8">
        <f>COUNTIFS('All Papers'!$D:$D,"*"&amp;$A1188&amp;"*",'All Papers'!$G:$G,"*"&amp;Table1[[#Headers],[Monitoring]]&amp;"*")</f>
        <v>1</v>
      </c>
      <c r="M1188" s="8">
        <f>COUNTIFS('All Papers'!$D:$D,"*"&amp;$A1188&amp;"*",'All Papers'!$G:$G,"*"&amp;Table1[[#Headers],[Pricing]]&amp;"*")</f>
        <v>0</v>
      </c>
    </row>
    <row r="1189" spans="1:13" x14ac:dyDescent="0.25">
      <c r="A1189" s="8" t="s">
        <v>3622</v>
      </c>
      <c r="B1189" s="8">
        <f>COUNTIF('All Papers'!D:D,"*"&amp;Table1[[#This Row],[Name]]&amp;"*")</f>
        <v>1</v>
      </c>
      <c r="C1189" s="8">
        <f>COUNTIFS('All Papers'!$D:$D,"*"&amp;$A1189&amp;"*",'All Papers'!$G:$G,"*"&amp;Table1[[#Headers],[Composition]]&amp;"*")</f>
        <v>0</v>
      </c>
      <c r="D1189" s="8">
        <f>COUNTIFS('All Papers'!$D:$D,"*"&amp;$A1189&amp;"*",'All Papers'!$G:$G,"*"&amp;Table1[[#Headers],[Discovery]]&amp;"*")</f>
        <v>0</v>
      </c>
      <c r="E1189" s="8">
        <f>COUNTIFS('All Papers'!$D:$D,"*"&amp;$A1189&amp;"*",'All Papers'!$G:$G,"*"&amp;Table1[[#Headers],[Selection]]&amp;"*")</f>
        <v>1</v>
      </c>
      <c r="F1189" s="8">
        <f>COUNTIFS('All Papers'!$D:$D,"*"&amp;$A1189&amp;"*",'All Papers'!$G:$G,"*"&amp;Table1[[#Headers],[Recommendation]]&amp;"*")</f>
        <v>0</v>
      </c>
      <c r="G1189" s="8">
        <f>COUNTIFS('All Papers'!$D:$D,"*"&amp;$A1189&amp;"*",'All Papers'!$G:$G,"*"&amp;Table1[[#Headers],[Resource Management-CS]]&amp;"*")</f>
        <v>0</v>
      </c>
      <c r="H1189" s="8">
        <f>COUNTIFS('All Papers'!$D:$D,"*"&amp;$A1189&amp;"*",'All Papers'!$G:$G,"*"&amp;Table1[[#Headers],[Resource Management-PS]]&amp;"*")</f>
        <v>0</v>
      </c>
      <c r="I1189" s="8">
        <f>COUNTIFS('All Papers'!$D:$D,"*"&amp;$A1189&amp;"*",'All Papers'!$G:$G,"*"&amp;Table1[[#Headers],[SLA Management]]&amp;"*")</f>
        <v>0</v>
      </c>
      <c r="J1189" s="8">
        <f>COUNTIFS('All Papers'!$D:$D,"*"&amp;$A1189&amp;"*",'All Papers'!$G:$G,"*"&amp;Table1[[#Headers],[Big Data]]&amp;"*")</f>
        <v>0</v>
      </c>
      <c r="K1189" s="8">
        <f>COUNTIFS('All Papers'!$D:$D,"*"&amp;$A1189&amp;"*",'All Papers'!$G:$G,"*"&amp;Table1[[#Headers],[Energy Management]]&amp;"*")</f>
        <v>0</v>
      </c>
      <c r="L1189" s="8">
        <f>COUNTIFS('All Papers'!$D:$D,"*"&amp;$A1189&amp;"*",'All Papers'!$G:$G,"*"&amp;Table1[[#Headers],[Monitoring]]&amp;"*")</f>
        <v>1</v>
      </c>
      <c r="M1189" s="8">
        <f>COUNTIFS('All Papers'!$D:$D,"*"&amp;$A1189&amp;"*",'All Papers'!$G:$G,"*"&amp;Table1[[#Headers],[Pricing]]&amp;"*")</f>
        <v>0</v>
      </c>
    </row>
    <row r="1190" spans="1:13" x14ac:dyDescent="0.25">
      <c r="A1190" s="8" t="s">
        <v>3623</v>
      </c>
      <c r="B1190" s="8">
        <f>COUNTIF('All Papers'!D:D,"*"&amp;Table1[[#This Row],[Name]]&amp;"*")</f>
        <v>1</v>
      </c>
      <c r="C1190" s="8">
        <f>COUNTIFS('All Papers'!$D:$D,"*"&amp;$A1190&amp;"*",'All Papers'!$G:$G,"*"&amp;Table1[[#Headers],[Composition]]&amp;"*")</f>
        <v>0</v>
      </c>
      <c r="D1190" s="8">
        <f>COUNTIFS('All Papers'!$D:$D,"*"&amp;$A1190&amp;"*",'All Papers'!$G:$G,"*"&amp;Table1[[#Headers],[Discovery]]&amp;"*")</f>
        <v>0</v>
      </c>
      <c r="E1190" s="8">
        <f>COUNTIFS('All Papers'!$D:$D,"*"&amp;$A1190&amp;"*",'All Papers'!$G:$G,"*"&amp;Table1[[#Headers],[Selection]]&amp;"*")</f>
        <v>1</v>
      </c>
      <c r="F1190" s="8">
        <f>COUNTIFS('All Papers'!$D:$D,"*"&amp;$A1190&amp;"*",'All Papers'!$G:$G,"*"&amp;Table1[[#Headers],[Recommendation]]&amp;"*")</f>
        <v>0</v>
      </c>
      <c r="G1190" s="8">
        <f>COUNTIFS('All Papers'!$D:$D,"*"&amp;$A1190&amp;"*",'All Papers'!$G:$G,"*"&amp;Table1[[#Headers],[Resource Management-CS]]&amp;"*")</f>
        <v>0</v>
      </c>
      <c r="H1190" s="8">
        <f>COUNTIFS('All Papers'!$D:$D,"*"&amp;$A1190&amp;"*",'All Papers'!$G:$G,"*"&amp;Table1[[#Headers],[Resource Management-PS]]&amp;"*")</f>
        <v>0</v>
      </c>
      <c r="I1190" s="8">
        <f>COUNTIFS('All Papers'!$D:$D,"*"&amp;$A1190&amp;"*",'All Papers'!$G:$G,"*"&amp;Table1[[#Headers],[SLA Management]]&amp;"*")</f>
        <v>0</v>
      </c>
      <c r="J1190" s="8">
        <f>COUNTIFS('All Papers'!$D:$D,"*"&amp;$A1190&amp;"*",'All Papers'!$G:$G,"*"&amp;Table1[[#Headers],[Big Data]]&amp;"*")</f>
        <v>0</v>
      </c>
      <c r="K1190" s="8">
        <f>COUNTIFS('All Papers'!$D:$D,"*"&amp;$A1190&amp;"*",'All Papers'!$G:$G,"*"&amp;Table1[[#Headers],[Energy Management]]&amp;"*")</f>
        <v>0</v>
      </c>
      <c r="L1190" s="8">
        <f>COUNTIFS('All Papers'!$D:$D,"*"&amp;$A1190&amp;"*",'All Papers'!$G:$G,"*"&amp;Table1[[#Headers],[Monitoring]]&amp;"*")</f>
        <v>1</v>
      </c>
      <c r="M1190" s="8">
        <f>COUNTIFS('All Papers'!$D:$D,"*"&amp;$A1190&amp;"*",'All Papers'!$G:$G,"*"&amp;Table1[[#Headers],[Pricing]]&amp;"*")</f>
        <v>0</v>
      </c>
    </row>
    <row r="1191" spans="1:13" x14ac:dyDescent="0.25">
      <c r="A1191" s="8" t="s">
        <v>3624</v>
      </c>
      <c r="B1191" s="8">
        <f>COUNTIF('All Papers'!D:D,"*"&amp;Table1[[#This Row],[Name]]&amp;"*")</f>
        <v>1</v>
      </c>
      <c r="C1191" s="8">
        <f>COUNTIFS('All Papers'!$D:$D,"*"&amp;$A1191&amp;"*",'All Papers'!$G:$G,"*"&amp;Table1[[#Headers],[Composition]]&amp;"*")</f>
        <v>1</v>
      </c>
      <c r="D1191" s="8">
        <f>COUNTIFS('All Papers'!$D:$D,"*"&amp;$A1191&amp;"*",'All Papers'!$G:$G,"*"&amp;Table1[[#Headers],[Discovery]]&amp;"*")</f>
        <v>0</v>
      </c>
      <c r="E1191" s="8">
        <f>COUNTIFS('All Papers'!$D:$D,"*"&amp;$A1191&amp;"*",'All Papers'!$G:$G,"*"&amp;Table1[[#Headers],[Selection]]&amp;"*")</f>
        <v>0</v>
      </c>
      <c r="F1191" s="8">
        <f>COUNTIFS('All Papers'!$D:$D,"*"&amp;$A1191&amp;"*",'All Papers'!$G:$G,"*"&amp;Table1[[#Headers],[Recommendation]]&amp;"*")</f>
        <v>0</v>
      </c>
      <c r="G1191" s="8">
        <f>COUNTIFS('All Papers'!$D:$D,"*"&amp;$A1191&amp;"*",'All Papers'!$G:$G,"*"&amp;Table1[[#Headers],[Resource Management-CS]]&amp;"*")</f>
        <v>0</v>
      </c>
      <c r="H1191" s="8">
        <f>COUNTIFS('All Papers'!$D:$D,"*"&amp;$A1191&amp;"*",'All Papers'!$G:$G,"*"&amp;Table1[[#Headers],[Resource Management-PS]]&amp;"*")</f>
        <v>0</v>
      </c>
      <c r="I1191" s="8">
        <f>COUNTIFS('All Papers'!$D:$D,"*"&amp;$A1191&amp;"*",'All Papers'!$G:$G,"*"&amp;Table1[[#Headers],[SLA Management]]&amp;"*")</f>
        <v>0</v>
      </c>
      <c r="J1191" s="8">
        <f>COUNTIFS('All Papers'!$D:$D,"*"&amp;$A1191&amp;"*",'All Papers'!$G:$G,"*"&amp;Table1[[#Headers],[Big Data]]&amp;"*")</f>
        <v>0</v>
      </c>
      <c r="K1191" s="8">
        <f>COUNTIFS('All Papers'!$D:$D,"*"&amp;$A1191&amp;"*",'All Papers'!$G:$G,"*"&amp;Table1[[#Headers],[Energy Management]]&amp;"*")</f>
        <v>0</v>
      </c>
      <c r="L1191" s="8">
        <f>COUNTIFS('All Papers'!$D:$D,"*"&amp;$A1191&amp;"*",'All Papers'!$G:$G,"*"&amp;Table1[[#Headers],[Monitoring]]&amp;"*")</f>
        <v>0</v>
      </c>
      <c r="M1191" s="8">
        <f>COUNTIFS('All Papers'!$D:$D,"*"&amp;$A1191&amp;"*",'All Papers'!$G:$G,"*"&amp;Table1[[#Headers],[Pricing]]&amp;"*")</f>
        <v>0</v>
      </c>
    </row>
    <row r="1192" spans="1:13" x14ac:dyDescent="0.25">
      <c r="A1192" s="8" t="s">
        <v>3625</v>
      </c>
      <c r="B1192" s="8">
        <f>COUNTIF('All Papers'!D:D,"*"&amp;Table1[[#This Row],[Name]]&amp;"*")</f>
        <v>1</v>
      </c>
      <c r="C1192" s="8">
        <f>COUNTIFS('All Papers'!$D:$D,"*"&amp;$A1192&amp;"*",'All Papers'!$G:$G,"*"&amp;Table1[[#Headers],[Composition]]&amp;"*")</f>
        <v>1</v>
      </c>
      <c r="D1192" s="8">
        <f>COUNTIFS('All Papers'!$D:$D,"*"&amp;$A1192&amp;"*",'All Papers'!$G:$G,"*"&amp;Table1[[#Headers],[Discovery]]&amp;"*")</f>
        <v>0</v>
      </c>
      <c r="E1192" s="8">
        <f>COUNTIFS('All Papers'!$D:$D,"*"&amp;$A1192&amp;"*",'All Papers'!$G:$G,"*"&amp;Table1[[#Headers],[Selection]]&amp;"*")</f>
        <v>0</v>
      </c>
      <c r="F1192" s="8">
        <f>COUNTIFS('All Papers'!$D:$D,"*"&amp;$A1192&amp;"*",'All Papers'!$G:$G,"*"&amp;Table1[[#Headers],[Recommendation]]&amp;"*")</f>
        <v>0</v>
      </c>
      <c r="G1192" s="8">
        <f>COUNTIFS('All Papers'!$D:$D,"*"&amp;$A1192&amp;"*",'All Papers'!$G:$G,"*"&amp;Table1[[#Headers],[Resource Management-CS]]&amp;"*")</f>
        <v>0</v>
      </c>
      <c r="H1192" s="8">
        <f>COUNTIFS('All Papers'!$D:$D,"*"&amp;$A1192&amp;"*",'All Papers'!$G:$G,"*"&amp;Table1[[#Headers],[Resource Management-PS]]&amp;"*")</f>
        <v>0</v>
      </c>
      <c r="I1192" s="8">
        <f>COUNTIFS('All Papers'!$D:$D,"*"&amp;$A1192&amp;"*",'All Papers'!$G:$G,"*"&amp;Table1[[#Headers],[SLA Management]]&amp;"*")</f>
        <v>0</v>
      </c>
      <c r="J1192" s="8">
        <f>COUNTIFS('All Papers'!$D:$D,"*"&amp;$A1192&amp;"*",'All Papers'!$G:$G,"*"&amp;Table1[[#Headers],[Big Data]]&amp;"*")</f>
        <v>0</v>
      </c>
      <c r="K1192" s="8">
        <f>COUNTIFS('All Papers'!$D:$D,"*"&amp;$A1192&amp;"*",'All Papers'!$G:$G,"*"&amp;Table1[[#Headers],[Energy Management]]&amp;"*")</f>
        <v>0</v>
      </c>
      <c r="L1192" s="8">
        <f>COUNTIFS('All Papers'!$D:$D,"*"&amp;$A1192&amp;"*",'All Papers'!$G:$G,"*"&amp;Table1[[#Headers],[Monitoring]]&amp;"*")</f>
        <v>0</v>
      </c>
      <c r="M1192" s="8">
        <f>COUNTIFS('All Papers'!$D:$D,"*"&amp;$A1192&amp;"*",'All Papers'!$G:$G,"*"&amp;Table1[[#Headers],[Pricing]]&amp;"*")</f>
        <v>0</v>
      </c>
    </row>
    <row r="1193" spans="1:13" x14ac:dyDescent="0.25">
      <c r="A1193" s="8" t="s">
        <v>3626</v>
      </c>
      <c r="B1193" s="8">
        <f>COUNTIF('All Papers'!D:D,"*"&amp;Table1[[#This Row],[Name]]&amp;"*")</f>
        <v>1</v>
      </c>
      <c r="C1193" s="8">
        <f>COUNTIFS('All Papers'!$D:$D,"*"&amp;$A1193&amp;"*",'All Papers'!$G:$G,"*"&amp;Table1[[#Headers],[Composition]]&amp;"*")</f>
        <v>0</v>
      </c>
      <c r="D1193" s="8">
        <f>COUNTIFS('All Papers'!$D:$D,"*"&amp;$A1193&amp;"*",'All Papers'!$G:$G,"*"&amp;Table1[[#Headers],[Discovery]]&amp;"*")</f>
        <v>0</v>
      </c>
      <c r="E1193" s="8">
        <f>COUNTIFS('All Papers'!$D:$D,"*"&amp;$A1193&amp;"*",'All Papers'!$G:$G,"*"&amp;Table1[[#Headers],[Selection]]&amp;"*")</f>
        <v>0</v>
      </c>
      <c r="F1193" s="8">
        <f>COUNTIFS('All Papers'!$D:$D,"*"&amp;$A1193&amp;"*",'All Papers'!$G:$G,"*"&amp;Table1[[#Headers],[Recommendation]]&amp;"*")</f>
        <v>0</v>
      </c>
      <c r="G1193" s="8">
        <f>COUNTIFS('All Papers'!$D:$D,"*"&amp;$A1193&amp;"*",'All Papers'!$G:$G,"*"&amp;Table1[[#Headers],[Resource Management-CS]]&amp;"*")</f>
        <v>1</v>
      </c>
      <c r="H1193" s="8">
        <f>COUNTIFS('All Papers'!$D:$D,"*"&amp;$A1193&amp;"*",'All Papers'!$G:$G,"*"&amp;Table1[[#Headers],[Resource Management-PS]]&amp;"*")</f>
        <v>0</v>
      </c>
      <c r="I1193" s="8">
        <f>COUNTIFS('All Papers'!$D:$D,"*"&amp;$A1193&amp;"*",'All Papers'!$G:$G,"*"&amp;Table1[[#Headers],[SLA Management]]&amp;"*")</f>
        <v>0</v>
      </c>
      <c r="J1193" s="8">
        <f>COUNTIFS('All Papers'!$D:$D,"*"&amp;$A1193&amp;"*",'All Papers'!$G:$G,"*"&amp;Table1[[#Headers],[Big Data]]&amp;"*")</f>
        <v>0</v>
      </c>
      <c r="K1193" s="8">
        <f>COUNTIFS('All Papers'!$D:$D,"*"&amp;$A1193&amp;"*",'All Papers'!$G:$G,"*"&amp;Table1[[#Headers],[Energy Management]]&amp;"*")</f>
        <v>0</v>
      </c>
      <c r="L1193" s="8">
        <f>COUNTIFS('All Papers'!$D:$D,"*"&amp;$A1193&amp;"*",'All Papers'!$G:$G,"*"&amp;Table1[[#Headers],[Monitoring]]&amp;"*")</f>
        <v>0</v>
      </c>
      <c r="M1193" s="8">
        <f>COUNTIFS('All Papers'!$D:$D,"*"&amp;$A1193&amp;"*",'All Papers'!$G:$G,"*"&amp;Table1[[#Headers],[Pricing]]&amp;"*")</f>
        <v>0</v>
      </c>
    </row>
    <row r="1194" spans="1:13" x14ac:dyDescent="0.25">
      <c r="A1194" s="8" t="s">
        <v>3627</v>
      </c>
      <c r="B1194" s="8">
        <f>COUNTIF('All Papers'!D:D,"*"&amp;Table1[[#This Row],[Name]]&amp;"*")</f>
        <v>1</v>
      </c>
      <c r="C1194" s="8">
        <f>COUNTIFS('All Papers'!$D:$D,"*"&amp;$A1194&amp;"*",'All Papers'!$G:$G,"*"&amp;Table1[[#Headers],[Composition]]&amp;"*")</f>
        <v>0</v>
      </c>
      <c r="D1194" s="8">
        <f>COUNTIFS('All Papers'!$D:$D,"*"&amp;$A1194&amp;"*",'All Papers'!$G:$G,"*"&amp;Table1[[#Headers],[Discovery]]&amp;"*")</f>
        <v>0</v>
      </c>
      <c r="E1194" s="8">
        <f>COUNTIFS('All Papers'!$D:$D,"*"&amp;$A1194&amp;"*",'All Papers'!$G:$G,"*"&amp;Table1[[#Headers],[Selection]]&amp;"*")</f>
        <v>0</v>
      </c>
      <c r="F1194" s="8">
        <f>COUNTIFS('All Papers'!$D:$D,"*"&amp;$A1194&amp;"*",'All Papers'!$G:$G,"*"&amp;Table1[[#Headers],[Recommendation]]&amp;"*")</f>
        <v>0</v>
      </c>
      <c r="G1194" s="8">
        <f>COUNTIFS('All Papers'!$D:$D,"*"&amp;$A1194&amp;"*",'All Papers'!$G:$G,"*"&amp;Table1[[#Headers],[Resource Management-CS]]&amp;"*")</f>
        <v>1</v>
      </c>
      <c r="H1194" s="8">
        <f>COUNTIFS('All Papers'!$D:$D,"*"&amp;$A1194&amp;"*",'All Papers'!$G:$G,"*"&amp;Table1[[#Headers],[Resource Management-PS]]&amp;"*")</f>
        <v>0</v>
      </c>
      <c r="I1194" s="8">
        <f>COUNTIFS('All Papers'!$D:$D,"*"&amp;$A1194&amp;"*",'All Papers'!$G:$G,"*"&amp;Table1[[#Headers],[SLA Management]]&amp;"*")</f>
        <v>0</v>
      </c>
      <c r="J1194" s="8">
        <f>COUNTIFS('All Papers'!$D:$D,"*"&amp;$A1194&amp;"*",'All Papers'!$G:$G,"*"&amp;Table1[[#Headers],[Big Data]]&amp;"*")</f>
        <v>0</v>
      </c>
      <c r="K1194" s="8">
        <f>COUNTIFS('All Papers'!$D:$D,"*"&amp;$A1194&amp;"*",'All Papers'!$G:$G,"*"&amp;Table1[[#Headers],[Energy Management]]&amp;"*")</f>
        <v>0</v>
      </c>
      <c r="L1194" s="8">
        <f>COUNTIFS('All Papers'!$D:$D,"*"&amp;$A1194&amp;"*",'All Papers'!$G:$G,"*"&amp;Table1[[#Headers],[Monitoring]]&amp;"*")</f>
        <v>0</v>
      </c>
      <c r="M1194" s="8">
        <f>COUNTIFS('All Papers'!$D:$D,"*"&amp;$A1194&amp;"*",'All Papers'!$G:$G,"*"&amp;Table1[[#Headers],[Pricing]]&amp;"*")</f>
        <v>0</v>
      </c>
    </row>
    <row r="1195" spans="1:13" x14ac:dyDescent="0.25">
      <c r="A1195" s="8" t="s">
        <v>3628</v>
      </c>
      <c r="B1195" s="8">
        <f>COUNTIF('All Papers'!D:D,"*"&amp;Table1[[#This Row],[Name]]&amp;"*")</f>
        <v>1</v>
      </c>
      <c r="C1195" s="8">
        <f>COUNTIFS('All Papers'!$D:$D,"*"&amp;$A1195&amp;"*",'All Papers'!$G:$G,"*"&amp;Table1[[#Headers],[Composition]]&amp;"*")</f>
        <v>0</v>
      </c>
      <c r="D1195" s="8">
        <f>COUNTIFS('All Papers'!$D:$D,"*"&amp;$A1195&amp;"*",'All Papers'!$G:$G,"*"&amp;Table1[[#Headers],[Discovery]]&amp;"*")</f>
        <v>0</v>
      </c>
      <c r="E1195" s="8">
        <f>COUNTIFS('All Papers'!$D:$D,"*"&amp;$A1195&amp;"*",'All Papers'!$G:$G,"*"&amp;Table1[[#Headers],[Selection]]&amp;"*")</f>
        <v>0</v>
      </c>
      <c r="F1195" s="8">
        <f>COUNTIFS('All Papers'!$D:$D,"*"&amp;$A1195&amp;"*",'All Papers'!$G:$G,"*"&amp;Table1[[#Headers],[Recommendation]]&amp;"*")</f>
        <v>0</v>
      </c>
      <c r="G1195" s="8">
        <f>COUNTIFS('All Papers'!$D:$D,"*"&amp;$A1195&amp;"*",'All Papers'!$G:$G,"*"&amp;Table1[[#Headers],[Resource Management-CS]]&amp;"*")</f>
        <v>1</v>
      </c>
      <c r="H1195" s="8">
        <f>COUNTIFS('All Papers'!$D:$D,"*"&amp;$A1195&amp;"*",'All Papers'!$G:$G,"*"&amp;Table1[[#Headers],[Resource Management-PS]]&amp;"*")</f>
        <v>0</v>
      </c>
      <c r="I1195" s="8">
        <f>COUNTIFS('All Papers'!$D:$D,"*"&amp;$A1195&amp;"*",'All Papers'!$G:$G,"*"&amp;Table1[[#Headers],[SLA Management]]&amp;"*")</f>
        <v>0</v>
      </c>
      <c r="J1195" s="8">
        <f>COUNTIFS('All Papers'!$D:$D,"*"&amp;$A1195&amp;"*",'All Papers'!$G:$G,"*"&amp;Table1[[#Headers],[Big Data]]&amp;"*")</f>
        <v>0</v>
      </c>
      <c r="K1195" s="8">
        <f>COUNTIFS('All Papers'!$D:$D,"*"&amp;$A1195&amp;"*",'All Papers'!$G:$G,"*"&amp;Table1[[#Headers],[Energy Management]]&amp;"*")</f>
        <v>0</v>
      </c>
      <c r="L1195" s="8">
        <f>COUNTIFS('All Papers'!$D:$D,"*"&amp;$A1195&amp;"*",'All Papers'!$G:$G,"*"&amp;Table1[[#Headers],[Monitoring]]&amp;"*")</f>
        <v>0</v>
      </c>
      <c r="M1195" s="8">
        <f>COUNTIFS('All Papers'!$D:$D,"*"&amp;$A1195&amp;"*",'All Papers'!$G:$G,"*"&amp;Table1[[#Headers],[Pricing]]&amp;"*")</f>
        <v>0</v>
      </c>
    </row>
    <row r="1196" spans="1:13" x14ac:dyDescent="0.25">
      <c r="A1196" s="8" t="s">
        <v>3629</v>
      </c>
      <c r="B1196" s="8">
        <f>COUNTIF('All Papers'!D:D,"*"&amp;Table1[[#This Row],[Name]]&amp;"*")</f>
        <v>1</v>
      </c>
      <c r="C1196" s="8">
        <f>COUNTIFS('All Papers'!$D:$D,"*"&amp;$A1196&amp;"*",'All Papers'!$G:$G,"*"&amp;Table1[[#Headers],[Composition]]&amp;"*")</f>
        <v>0</v>
      </c>
      <c r="D1196" s="8">
        <f>COUNTIFS('All Papers'!$D:$D,"*"&amp;$A1196&amp;"*",'All Papers'!$G:$G,"*"&amp;Table1[[#Headers],[Discovery]]&amp;"*")</f>
        <v>0</v>
      </c>
      <c r="E1196" s="8">
        <f>COUNTIFS('All Papers'!$D:$D,"*"&amp;$A1196&amp;"*",'All Papers'!$G:$G,"*"&amp;Table1[[#Headers],[Selection]]&amp;"*")</f>
        <v>0</v>
      </c>
      <c r="F1196" s="8">
        <f>COUNTIFS('All Papers'!$D:$D,"*"&amp;$A1196&amp;"*",'All Papers'!$G:$G,"*"&amp;Table1[[#Headers],[Recommendation]]&amp;"*")</f>
        <v>0</v>
      </c>
      <c r="G1196" s="8">
        <f>COUNTIFS('All Papers'!$D:$D,"*"&amp;$A1196&amp;"*",'All Papers'!$G:$G,"*"&amp;Table1[[#Headers],[Resource Management-CS]]&amp;"*")</f>
        <v>1</v>
      </c>
      <c r="H1196" s="8">
        <f>COUNTIFS('All Papers'!$D:$D,"*"&amp;$A1196&amp;"*",'All Papers'!$G:$G,"*"&amp;Table1[[#Headers],[Resource Management-PS]]&amp;"*")</f>
        <v>0</v>
      </c>
      <c r="I1196" s="8">
        <f>COUNTIFS('All Papers'!$D:$D,"*"&amp;$A1196&amp;"*",'All Papers'!$G:$G,"*"&amp;Table1[[#Headers],[SLA Management]]&amp;"*")</f>
        <v>0</v>
      </c>
      <c r="J1196" s="8">
        <f>COUNTIFS('All Papers'!$D:$D,"*"&amp;$A1196&amp;"*",'All Papers'!$G:$G,"*"&amp;Table1[[#Headers],[Big Data]]&amp;"*")</f>
        <v>0</v>
      </c>
      <c r="K1196" s="8">
        <f>COUNTIFS('All Papers'!$D:$D,"*"&amp;$A1196&amp;"*",'All Papers'!$G:$G,"*"&amp;Table1[[#Headers],[Energy Management]]&amp;"*")</f>
        <v>0</v>
      </c>
      <c r="L1196" s="8">
        <f>COUNTIFS('All Papers'!$D:$D,"*"&amp;$A1196&amp;"*",'All Papers'!$G:$G,"*"&amp;Table1[[#Headers],[Monitoring]]&amp;"*")</f>
        <v>0</v>
      </c>
      <c r="M1196" s="8">
        <f>COUNTIFS('All Papers'!$D:$D,"*"&amp;$A1196&amp;"*",'All Papers'!$G:$G,"*"&amp;Table1[[#Headers],[Pricing]]&amp;"*")</f>
        <v>0</v>
      </c>
    </row>
    <row r="1197" spans="1:13" x14ac:dyDescent="0.25">
      <c r="A1197" s="8" t="s">
        <v>3630</v>
      </c>
      <c r="B1197" s="8">
        <f>COUNTIF('All Papers'!D:D,"*"&amp;Table1[[#This Row],[Name]]&amp;"*")</f>
        <v>1</v>
      </c>
      <c r="C1197" s="8">
        <f>COUNTIFS('All Papers'!$D:$D,"*"&amp;$A1197&amp;"*",'All Papers'!$G:$G,"*"&amp;Table1[[#Headers],[Composition]]&amp;"*")</f>
        <v>0</v>
      </c>
      <c r="D1197" s="8">
        <f>COUNTIFS('All Papers'!$D:$D,"*"&amp;$A1197&amp;"*",'All Papers'!$G:$G,"*"&amp;Table1[[#Headers],[Discovery]]&amp;"*")</f>
        <v>0</v>
      </c>
      <c r="E1197" s="8">
        <f>COUNTIFS('All Papers'!$D:$D,"*"&amp;$A1197&amp;"*",'All Papers'!$G:$G,"*"&amp;Table1[[#Headers],[Selection]]&amp;"*")</f>
        <v>0</v>
      </c>
      <c r="F1197" s="8">
        <f>COUNTIFS('All Papers'!$D:$D,"*"&amp;$A1197&amp;"*",'All Papers'!$G:$G,"*"&amp;Table1[[#Headers],[Recommendation]]&amp;"*")</f>
        <v>0</v>
      </c>
      <c r="G1197" s="8">
        <f>COUNTIFS('All Papers'!$D:$D,"*"&amp;$A1197&amp;"*",'All Papers'!$G:$G,"*"&amp;Table1[[#Headers],[Resource Management-CS]]&amp;"*")</f>
        <v>1</v>
      </c>
      <c r="H1197" s="8">
        <f>COUNTIFS('All Papers'!$D:$D,"*"&amp;$A1197&amp;"*",'All Papers'!$G:$G,"*"&amp;Table1[[#Headers],[Resource Management-PS]]&amp;"*")</f>
        <v>0</v>
      </c>
      <c r="I1197" s="8">
        <f>COUNTIFS('All Papers'!$D:$D,"*"&amp;$A1197&amp;"*",'All Papers'!$G:$G,"*"&amp;Table1[[#Headers],[SLA Management]]&amp;"*")</f>
        <v>0</v>
      </c>
      <c r="J1197" s="8">
        <f>COUNTIFS('All Papers'!$D:$D,"*"&amp;$A1197&amp;"*",'All Papers'!$G:$G,"*"&amp;Table1[[#Headers],[Big Data]]&amp;"*")</f>
        <v>0</v>
      </c>
      <c r="K1197" s="8">
        <f>COUNTIFS('All Papers'!$D:$D,"*"&amp;$A1197&amp;"*",'All Papers'!$G:$G,"*"&amp;Table1[[#Headers],[Energy Management]]&amp;"*")</f>
        <v>0</v>
      </c>
      <c r="L1197" s="8">
        <f>COUNTIFS('All Papers'!$D:$D,"*"&amp;$A1197&amp;"*",'All Papers'!$G:$G,"*"&amp;Table1[[#Headers],[Monitoring]]&amp;"*")</f>
        <v>0</v>
      </c>
      <c r="M1197" s="8">
        <f>COUNTIFS('All Papers'!$D:$D,"*"&amp;$A1197&amp;"*",'All Papers'!$G:$G,"*"&amp;Table1[[#Headers],[Pricing]]&amp;"*")</f>
        <v>0</v>
      </c>
    </row>
    <row r="1198" spans="1:13" x14ac:dyDescent="0.25">
      <c r="A1198" s="8" t="s">
        <v>3631</v>
      </c>
      <c r="B1198" s="8">
        <f>COUNTIF('All Papers'!D:D,"*"&amp;Table1[[#This Row],[Name]]&amp;"*")</f>
        <v>1</v>
      </c>
      <c r="C1198" s="8">
        <f>COUNTIFS('All Papers'!$D:$D,"*"&amp;$A1198&amp;"*",'All Papers'!$G:$G,"*"&amp;Table1[[#Headers],[Composition]]&amp;"*")</f>
        <v>0</v>
      </c>
      <c r="D1198" s="8">
        <f>COUNTIFS('All Papers'!$D:$D,"*"&amp;$A1198&amp;"*",'All Papers'!$G:$G,"*"&amp;Table1[[#Headers],[Discovery]]&amp;"*")</f>
        <v>0</v>
      </c>
      <c r="E1198" s="8">
        <f>COUNTIFS('All Papers'!$D:$D,"*"&amp;$A1198&amp;"*",'All Papers'!$G:$G,"*"&amp;Table1[[#Headers],[Selection]]&amp;"*")</f>
        <v>0</v>
      </c>
      <c r="F1198" s="8">
        <f>COUNTIFS('All Papers'!$D:$D,"*"&amp;$A1198&amp;"*",'All Papers'!$G:$G,"*"&amp;Table1[[#Headers],[Recommendation]]&amp;"*")</f>
        <v>0</v>
      </c>
      <c r="G1198" s="8">
        <f>COUNTIFS('All Papers'!$D:$D,"*"&amp;$A1198&amp;"*",'All Papers'!$G:$G,"*"&amp;Table1[[#Headers],[Resource Management-CS]]&amp;"*")</f>
        <v>1</v>
      </c>
      <c r="H1198" s="8">
        <f>COUNTIFS('All Papers'!$D:$D,"*"&amp;$A1198&amp;"*",'All Papers'!$G:$G,"*"&amp;Table1[[#Headers],[Resource Management-PS]]&amp;"*")</f>
        <v>0</v>
      </c>
      <c r="I1198" s="8">
        <f>COUNTIFS('All Papers'!$D:$D,"*"&amp;$A1198&amp;"*",'All Papers'!$G:$G,"*"&amp;Table1[[#Headers],[SLA Management]]&amp;"*")</f>
        <v>0</v>
      </c>
      <c r="J1198" s="8">
        <f>COUNTIFS('All Papers'!$D:$D,"*"&amp;$A1198&amp;"*",'All Papers'!$G:$G,"*"&amp;Table1[[#Headers],[Big Data]]&amp;"*")</f>
        <v>0</v>
      </c>
      <c r="K1198" s="8">
        <f>COUNTIFS('All Papers'!$D:$D,"*"&amp;$A1198&amp;"*",'All Papers'!$G:$G,"*"&amp;Table1[[#Headers],[Energy Management]]&amp;"*")</f>
        <v>0</v>
      </c>
      <c r="L1198" s="8">
        <f>COUNTIFS('All Papers'!$D:$D,"*"&amp;$A1198&amp;"*",'All Papers'!$G:$G,"*"&amp;Table1[[#Headers],[Monitoring]]&amp;"*")</f>
        <v>0</v>
      </c>
      <c r="M1198" s="8">
        <f>COUNTIFS('All Papers'!$D:$D,"*"&amp;$A1198&amp;"*",'All Papers'!$G:$G,"*"&amp;Table1[[#Headers],[Pricing]]&amp;"*")</f>
        <v>0</v>
      </c>
    </row>
    <row r="1199" spans="1:13" x14ac:dyDescent="0.25">
      <c r="A1199" s="8" t="s">
        <v>3632</v>
      </c>
      <c r="B1199" s="8">
        <f>COUNTIF('All Papers'!D:D,"*"&amp;Table1[[#This Row],[Name]]&amp;"*")</f>
        <v>1</v>
      </c>
      <c r="C1199" s="8">
        <f>COUNTIFS('All Papers'!$D:$D,"*"&amp;$A1199&amp;"*",'All Papers'!$G:$G,"*"&amp;Table1[[#Headers],[Composition]]&amp;"*")</f>
        <v>1</v>
      </c>
      <c r="D1199" s="8">
        <f>COUNTIFS('All Papers'!$D:$D,"*"&amp;$A1199&amp;"*",'All Papers'!$G:$G,"*"&amp;Table1[[#Headers],[Discovery]]&amp;"*")</f>
        <v>0</v>
      </c>
      <c r="E1199" s="8">
        <f>COUNTIFS('All Papers'!$D:$D,"*"&amp;$A1199&amp;"*",'All Papers'!$G:$G,"*"&amp;Table1[[#Headers],[Selection]]&amp;"*")</f>
        <v>0</v>
      </c>
      <c r="F1199" s="8">
        <f>COUNTIFS('All Papers'!$D:$D,"*"&amp;$A1199&amp;"*",'All Papers'!$G:$G,"*"&amp;Table1[[#Headers],[Recommendation]]&amp;"*")</f>
        <v>0</v>
      </c>
      <c r="G1199" s="8">
        <f>COUNTIFS('All Papers'!$D:$D,"*"&amp;$A1199&amp;"*",'All Papers'!$G:$G,"*"&amp;Table1[[#Headers],[Resource Management-CS]]&amp;"*")</f>
        <v>0</v>
      </c>
      <c r="H1199" s="8">
        <f>COUNTIFS('All Papers'!$D:$D,"*"&amp;$A1199&amp;"*",'All Papers'!$G:$G,"*"&amp;Table1[[#Headers],[Resource Management-PS]]&amp;"*")</f>
        <v>0</v>
      </c>
      <c r="I1199" s="8">
        <f>COUNTIFS('All Papers'!$D:$D,"*"&amp;$A1199&amp;"*",'All Papers'!$G:$G,"*"&amp;Table1[[#Headers],[SLA Management]]&amp;"*")</f>
        <v>0</v>
      </c>
      <c r="J1199" s="8">
        <f>COUNTIFS('All Papers'!$D:$D,"*"&amp;$A1199&amp;"*",'All Papers'!$G:$G,"*"&amp;Table1[[#Headers],[Big Data]]&amp;"*")</f>
        <v>0</v>
      </c>
      <c r="K1199" s="8">
        <f>COUNTIFS('All Papers'!$D:$D,"*"&amp;$A1199&amp;"*",'All Papers'!$G:$G,"*"&amp;Table1[[#Headers],[Energy Management]]&amp;"*")</f>
        <v>0</v>
      </c>
      <c r="L1199" s="8">
        <f>COUNTIFS('All Papers'!$D:$D,"*"&amp;$A1199&amp;"*",'All Papers'!$G:$G,"*"&amp;Table1[[#Headers],[Monitoring]]&amp;"*")</f>
        <v>0</v>
      </c>
      <c r="M1199" s="8">
        <f>COUNTIFS('All Papers'!$D:$D,"*"&amp;$A1199&amp;"*",'All Papers'!$G:$G,"*"&amp;Table1[[#Headers],[Pricing]]&amp;"*")</f>
        <v>0</v>
      </c>
    </row>
    <row r="1200" spans="1:13" x14ac:dyDescent="0.25">
      <c r="A1200" s="8" t="s">
        <v>3633</v>
      </c>
      <c r="B1200" s="8">
        <f>COUNTIF('All Papers'!D:D,"*"&amp;Table1[[#This Row],[Name]]&amp;"*")</f>
        <v>1</v>
      </c>
      <c r="C1200" s="8">
        <f>COUNTIFS('All Papers'!$D:$D,"*"&amp;$A1200&amp;"*",'All Papers'!$G:$G,"*"&amp;Table1[[#Headers],[Composition]]&amp;"*")</f>
        <v>1</v>
      </c>
      <c r="D1200" s="8">
        <f>COUNTIFS('All Papers'!$D:$D,"*"&amp;$A1200&amp;"*",'All Papers'!$G:$G,"*"&amp;Table1[[#Headers],[Discovery]]&amp;"*")</f>
        <v>0</v>
      </c>
      <c r="E1200" s="8">
        <f>COUNTIFS('All Papers'!$D:$D,"*"&amp;$A1200&amp;"*",'All Papers'!$G:$G,"*"&amp;Table1[[#Headers],[Selection]]&amp;"*")</f>
        <v>0</v>
      </c>
      <c r="F1200" s="8">
        <f>COUNTIFS('All Papers'!$D:$D,"*"&amp;$A1200&amp;"*",'All Papers'!$G:$G,"*"&amp;Table1[[#Headers],[Recommendation]]&amp;"*")</f>
        <v>0</v>
      </c>
      <c r="G1200" s="8">
        <f>COUNTIFS('All Papers'!$D:$D,"*"&amp;$A1200&amp;"*",'All Papers'!$G:$G,"*"&amp;Table1[[#Headers],[Resource Management-CS]]&amp;"*")</f>
        <v>0</v>
      </c>
      <c r="H1200" s="8">
        <f>COUNTIFS('All Papers'!$D:$D,"*"&amp;$A1200&amp;"*",'All Papers'!$G:$G,"*"&amp;Table1[[#Headers],[Resource Management-PS]]&amp;"*")</f>
        <v>0</v>
      </c>
      <c r="I1200" s="8">
        <f>COUNTIFS('All Papers'!$D:$D,"*"&amp;$A1200&amp;"*",'All Papers'!$G:$G,"*"&amp;Table1[[#Headers],[SLA Management]]&amp;"*")</f>
        <v>0</v>
      </c>
      <c r="J1200" s="8">
        <f>COUNTIFS('All Papers'!$D:$D,"*"&amp;$A1200&amp;"*",'All Papers'!$G:$G,"*"&amp;Table1[[#Headers],[Big Data]]&amp;"*")</f>
        <v>0</v>
      </c>
      <c r="K1200" s="8">
        <f>COUNTIFS('All Papers'!$D:$D,"*"&amp;$A1200&amp;"*",'All Papers'!$G:$G,"*"&amp;Table1[[#Headers],[Energy Management]]&amp;"*")</f>
        <v>0</v>
      </c>
      <c r="L1200" s="8">
        <f>COUNTIFS('All Papers'!$D:$D,"*"&amp;$A1200&amp;"*",'All Papers'!$G:$G,"*"&amp;Table1[[#Headers],[Monitoring]]&amp;"*")</f>
        <v>0</v>
      </c>
      <c r="M1200" s="8">
        <f>COUNTIFS('All Papers'!$D:$D,"*"&amp;$A1200&amp;"*",'All Papers'!$G:$G,"*"&amp;Table1[[#Headers],[Pricing]]&amp;"*")</f>
        <v>0</v>
      </c>
    </row>
    <row r="1201" spans="1:13" x14ac:dyDescent="0.25">
      <c r="A1201" s="8" t="s">
        <v>3634</v>
      </c>
      <c r="B1201" s="8">
        <f>COUNTIF('All Papers'!D:D,"*"&amp;Table1[[#This Row],[Name]]&amp;"*")</f>
        <v>1</v>
      </c>
      <c r="C1201" s="8">
        <f>COUNTIFS('All Papers'!$D:$D,"*"&amp;$A1201&amp;"*",'All Papers'!$G:$G,"*"&amp;Table1[[#Headers],[Composition]]&amp;"*")</f>
        <v>1</v>
      </c>
      <c r="D1201" s="8">
        <f>COUNTIFS('All Papers'!$D:$D,"*"&amp;$A1201&amp;"*",'All Papers'!$G:$G,"*"&amp;Table1[[#Headers],[Discovery]]&amp;"*")</f>
        <v>0</v>
      </c>
      <c r="E1201" s="8">
        <f>COUNTIFS('All Papers'!$D:$D,"*"&amp;$A1201&amp;"*",'All Papers'!$G:$G,"*"&amp;Table1[[#Headers],[Selection]]&amp;"*")</f>
        <v>0</v>
      </c>
      <c r="F1201" s="8">
        <f>COUNTIFS('All Papers'!$D:$D,"*"&amp;$A1201&amp;"*",'All Papers'!$G:$G,"*"&amp;Table1[[#Headers],[Recommendation]]&amp;"*")</f>
        <v>0</v>
      </c>
      <c r="G1201" s="8">
        <f>COUNTIFS('All Papers'!$D:$D,"*"&amp;$A1201&amp;"*",'All Papers'!$G:$G,"*"&amp;Table1[[#Headers],[Resource Management-CS]]&amp;"*")</f>
        <v>0</v>
      </c>
      <c r="H1201" s="8">
        <f>COUNTIFS('All Papers'!$D:$D,"*"&amp;$A1201&amp;"*",'All Papers'!$G:$G,"*"&amp;Table1[[#Headers],[Resource Management-PS]]&amp;"*")</f>
        <v>0</v>
      </c>
      <c r="I1201" s="8">
        <f>COUNTIFS('All Papers'!$D:$D,"*"&amp;$A1201&amp;"*",'All Papers'!$G:$G,"*"&amp;Table1[[#Headers],[SLA Management]]&amp;"*")</f>
        <v>0</v>
      </c>
      <c r="J1201" s="8">
        <f>COUNTIFS('All Papers'!$D:$D,"*"&amp;$A1201&amp;"*",'All Papers'!$G:$G,"*"&amp;Table1[[#Headers],[Big Data]]&amp;"*")</f>
        <v>0</v>
      </c>
      <c r="K1201" s="8">
        <f>COUNTIFS('All Papers'!$D:$D,"*"&amp;$A1201&amp;"*",'All Papers'!$G:$G,"*"&amp;Table1[[#Headers],[Energy Management]]&amp;"*")</f>
        <v>0</v>
      </c>
      <c r="L1201" s="8">
        <f>COUNTIFS('All Papers'!$D:$D,"*"&amp;$A1201&amp;"*",'All Papers'!$G:$G,"*"&amp;Table1[[#Headers],[Monitoring]]&amp;"*")</f>
        <v>0</v>
      </c>
      <c r="M1201" s="8">
        <f>COUNTIFS('All Papers'!$D:$D,"*"&amp;$A1201&amp;"*",'All Papers'!$G:$G,"*"&amp;Table1[[#Headers],[Pricing]]&amp;"*")</f>
        <v>0</v>
      </c>
    </row>
    <row r="1202" spans="1:13" x14ac:dyDescent="0.25">
      <c r="A1202" s="8" t="s">
        <v>3635</v>
      </c>
      <c r="B1202" s="8">
        <f>COUNTIF('All Papers'!D:D,"*"&amp;Table1[[#This Row],[Name]]&amp;"*")</f>
        <v>1</v>
      </c>
      <c r="C1202" s="8">
        <f>COUNTIFS('All Papers'!$D:$D,"*"&amp;$A1202&amp;"*",'All Papers'!$G:$G,"*"&amp;Table1[[#Headers],[Composition]]&amp;"*")</f>
        <v>1</v>
      </c>
      <c r="D1202" s="8">
        <f>COUNTIFS('All Papers'!$D:$D,"*"&amp;$A1202&amp;"*",'All Papers'!$G:$G,"*"&amp;Table1[[#Headers],[Discovery]]&amp;"*")</f>
        <v>0</v>
      </c>
      <c r="E1202" s="8">
        <f>COUNTIFS('All Papers'!$D:$D,"*"&amp;$A1202&amp;"*",'All Papers'!$G:$G,"*"&amp;Table1[[#Headers],[Selection]]&amp;"*")</f>
        <v>0</v>
      </c>
      <c r="F1202" s="8">
        <f>COUNTIFS('All Papers'!$D:$D,"*"&amp;$A1202&amp;"*",'All Papers'!$G:$G,"*"&amp;Table1[[#Headers],[Recommendation]]&amp;"*")</f>
        <v>0</v>
      </c>
      <c r="G1202" s="8">
        <f>COUNTIFS('All Papers'!$D:$D,"*"&amp;$A1202&amp;"*",'All Papers'!$G:$G,"*"&amp;Table1[[#Headers],[Resource Management-CS]]&amp;"*")</f>
        <v>0</v>
      </c>
      <c r="H1202" s="8">
        <f>COUNTIFS('All Papers'!$D:$D,"*"&amp;$A1202&amp;"*",'All Papers'!$G:$G,"*"&amp;Table1[[#Headers],[Resource Management-PS]]&amp;"*")</f>
        <v>0</v>
      </c>
      <c r="I1202" s="8">
        <f>COUNTIFS('All Papers'!$D:$D,"*"&amp;$A1202&amp;"*",'All Papers'!$G:$G,"*"&amp;Table1[[#Headers],[SLA Management]]&amp;"*")</f>
        <v>0</v>
      </c>
      <c r="J1202" s="8">
        <f>COUNTIFS('All Papers'!$D:$D,"*"&amp;$A1202&amp;"*",'All Papers'!$G:$G,"*"&amp;Table1[[#Headers],[Big Data]]&amp;"*")</f>
        <v>0</v>
      </c>
      <c r="K1202" s="8">
        <f>COUNTIFS('All Papers'!$D:$D,"*"&amp;$A1202&amp;"*",'All Papers'!$G:$G,"*"&amp;Table1[[#Headers],[Energy Management]]&amp;"*")</f>
        <v>0</v>
      </c>
      <c r="L1202" s="8">
        <f>COUNTIFS('All Papers'!$D:$D,"*"&amp;$A1202&amp;"*",'All Papers'!$G:$G,"*"&amp;Table1[[#Headers],[Monitoring]]&amp;"*")</f>
        <v>0</v>
      </c>
      <c r="M1202" s="8">
        <f>COUNTIFS('All Papers'!$D:$D,"*"&amp;$A1202&amp;"*",'All Papers'!$G:$G,"*"&amp;Table1[[#Headers],[Pricing]]&amp;"*")</f>
        <v>0</v>
      </c>
    </row>
    <row r="1203" spans="1:13" x14ac:dyDescent="0.25">
      <c r="A1203" s="8" t="s">
        <v>3636</v>
      </c>
      <c r="B1203" s="8">
        <f>COUNTIF('All Papers'!D:D,"*"&amp;Table1[[#This Row],[Name]]&amp;"*")</f>
        <v>1</v>
      </c>
      <c r="C1203" s="8">
        <f>COUNTIFS('All Papers'!$D:$D,"*"&amp;$A1203&amp;"*",'All Papers'!$G:$G,"*"&amp;Table1[[#Headers],[Composition]]&amp;"*")</f>
        <v>1</v>
      </c>
      <c r="D1203" s="8">
        <f>COUNTIFS('All Papers'!$D:$D,"*"&amp;$A1203&amp;"*",'All Papers'!$G:$G,"*"&amp;Table1[[#Headers],[Discovery]]&amp;"*")</f>
        <v>0</v>
      </c>
      <c r="E1203" s="8">
        <f>COUNTIFS('All Papers'!$D:$D,"*"&amp;$A1203&amp;"*",'All Papers'!$G:$G,"*"&amp;Table1[[#Headers],[Selection]]&amp;"*")</f>
        <v>0</v>
      </c>
      <c r="F1203" s="8">
        <f>COUNTIFS('All Papers'!$D:$D,"*"&amp;$A1203&amp;"*",'All Papers'!$G:$G,"*"&amp;Table1[[#Headers],[Recommendation]]&amp;"*")</f>
        <v>0</v>
      </c>
      <c r="G1203" s="8">
        <f>COUNTIFS('All Papers'!$D:$D,"*"&amp;$A1203&amp;"*",'All Papers'!$G:$G,"*"&amp;Table1[[#Headers],[Resource Management-CS]]&amp;"*")</f>
        <v>0</v>
      </c>
      <c r="H1203" s="8">
        <f>COUNTIFS('All Papers'!$D:$D,"*"&amp;$A1203&amp;"*",'All Papers'!$G:$G,"*"&amp;Table1[[#Headers],[Resource Management-PS]]&amp;"*")</f>
        <v>0</v>
      </c>
      <c r="I1203" s="8">
        <f>COUNTIFS('All Papers'!$D:$D,"*"&amp;$A1203&amp;"*",'All Papers'!$G:$G,"*"&amp;Table1[[#Headers],[SLA Management]]&amp;"*")</f>
        <v>0</v>
      </c>
      <c r="J1203" s="8">
        <f>COUNTIFS('All Papers'!$D:$D,"*"&amp;$A1203&amp;"*",'All Papers'!$G:$G,"*"&amp;Table1[[#Headers],[Big Data]]&amp;"*")</f>
        <v>0</v>
      </c>
      <c r="K1203" s="8">
        <f>COUNTIFS('All Papers'!$D:$D,"*"&amp;$A1203&amp;"*",'All Papers'!$G:$G,"*"&amp;Table1[[#Headers],[Energy Management]]&amp;"*")</f>
        <v>0</v>
      </c>
      <c r="L1203" s="8">
        <f>COUNTIFS('All Papers'!$D:$D,"*"&amp;$A1203&amp;"*",'All Papers'!$G:$G,"*"&amp;Table1[[#Headers],[Monitoring]]&amp;"*")</f>
        <v>0</v>
      </c>
      <c r="M1203" s="8">
        <f>COUNTIFS('All Papers'!$D:$D,"*"&amp;$A1203&amp;"*",'All Papers'!$G:$G,"*"&amp;Table1[[#Headers],[Pricing]]&amp;"*")</f>
        <v>0</v>
      </c>
    </row>
    <row r="1204" spans="1:13" x14ac:dyDescent="0.25">
      <c r="A1204" s="8" t="s">
        <v>3637</v>
      </c>
      <c r="B1204" s="8">
        <f>COUNTIF('All Papers'!D:D,"*"&amp;Table1[[#This Row],[Name]]&amp;"*")</f>
        <v>1</v>
      </c>
      <c r="C1204" s="8">
        <f>COUNTIFS('All Papers'!$D:$D,"*"&amp;$A1204&amp;"*",'All Papers'!$G:$G,"*"&amp;Table1[[#Headers],[Composition]]&amp;"*")</f>
        <v>0</v>
      </c>
      <c r="D1204" s="8">
        <f>COUNTIFS('All Papers'!$D:$D,"*"&amp;$A1204&amp;"*",'All Papers'!$G:$G,"*"&amp;Table1[[#Headers],[Discovery]]&amp;"*")</f>
        <v>0</v>
      </c>
      <c r="E1204" s="8">
        <f>COUNTIFS('All Papers'!$D:$D,"*"&amp;$A1204&amp;"*",'All Papers'!$G:$G,"*"&amp;Table1[[#Headers],[Selection]]&amp;"*")</f>
        <v>0</v>
      </c>
      <c r="F1204" s="8">
        <f>COUNTIFS('All Papers'!$D:$D,"*"&amp;$A1204&amp;"*",'All Papers'!$G:$G,"*"&amp;Table1[[#Headers],[Recommendation]]&amp;"*")</f>
        <v>0</v>
      </c>
      <c r="G1204" s="8">
        <f>COUNTIFS('All Papers'!$D:$D,"*"&amp;$A1204&amp;"*",'All Papers'!$G:$G,"*"&amp;Table1[[#Headers],[Resource Management-CS]]&amp;"*")</f>
        <v>0</v>
      </c>
      <c r="H1204" s="8">
        <f>COUNTIFS('All Papers'!$D:$D,"*"&amp;$A1204&amp;"*",'All Papers'!$G:$G,"*"&amp;Table1[[#Headers],[Resource Management-PS]]&amp;"*")</f>
        <v>1</v>
      </c>
      <c r="I1204" s="8">
        <f>COUNTIFS('All Papers'!$D:$D,"*"&amp;$A1204&amp;"*",'All Papers'!$G:$G,"*"&amp;Table1[[#Headers],[SLA Management]]&amp;"*")</f>
        <v>0</v>
      </c>
      <c r="J1204" s="8">
        <f>COUNTIFS('All Papers'!$D:$D,"*"&amp;$A1204&amp;"*",'All Papers'!$G:$G,"*"&amp;Table1[[#Headers],[Big Data]]&amp;"*")</f>
        <v>0</v>
      </c>
      <c r="K1204" s="8">
        <f>COUNTIFS('All Papers'!$D:$D,"*"&amp;$A1204&amp;"*",'All Papers'!$G:$G,"*"&amp;Table1[[#Headers],[Energy Management]]&amp;"*")</f>
        <v>0</v>
      </c>
      <c r="L1204" s="8">
        <f>COUNTIFS('All Papers'!$D:$D,"*"&amp;$A1204&amp;"*",'All Papers'!$G:$G,"*"&amp;Table1[[#Headers],[Monitoring]]&amp;"*")</f>
        <v>0</v>
      </c>
      <c r="M1204" s="8">
        <f>COUNTIFS('All Papers'!$D:$D,"*"&amp;$A1204&amp;"*",'All Papers'!$G:$G,"*"&amp;Table1[[#Headers],[Pricing]]&amp;"*")</f>
        <v>0</v>
      </c>
    </row>
    <row r="1205" spans="1:13" x14ac:dyDescent="0.25">
      <c r="A1205" s="8" t="s">
        <v>3638</v>
      </c>
      <c r="B1205" s="8">
        <f>COUNTIF('All Papers'!D:D,"*"&amp;Table1[[#This Row],[Name]]&amp;"*")</f>
        <v>1</v>
      </c>
      <c r="C1205" s="8">
        <f>COUNTIFS('All Papers'!$D:$D,"*"&amp;$A1205&amp;"*",'All Papers'!$G:$G,"*"&amp;Table1[[#Headers],[Composition]]&amp;"*")</f>
        <v>0</v>
      </c>
      <c r="D1205" s="8">
        <f>COUNTIFS('All Papers'!$D:$D,"*"&amp;$A1205&amp;"*",'All Papers'!$G:$G,"*"&amp;Table1[[#Headers],[Discovery]]&amp;"*")</f>
        <v>0</v>
      </c>
      <c r="E1205" s="8">
        <f>COUNTIFS('All Papers'!$D:$D,"*"&amp;$A1205&amp;"*",'All Papers'!$G:$G,"*"&amp;Table1[[#Headers],[Selection]]&amp;"*")</f>
        <v>1</v>
      </c>
      <c r="F1205" s="8">
        <f>COUNTIFS('All Papers'!$D:$D,"*"&amp;$A1205&amp;"*",'All Papers'!$G:$G,"*"&amp;Table1[[#Headers],[Recommendation]]&amp;"*")</f>
        <v>0</v>
      </c>
      <c r="G1205" s="8">
        <f>COUNTIFS('All Papers'!$D:$D,"*"&amp;$A1205&amp;"*",'All Papers'!$G:$G,"*"&amp;Table1[[#Headers],[Resource Management-CS]]&amp;"*")</f>
        <v>0</v>
      </c>
      <c r="H1205" s="8">
        <f>COUNTIFS('All Papers'!$D:$D,"*"&amp;$A1205&amp;"*",'All Papers'!$G:$G,"*"&amp;Table1[[#Headers],[Resource Management-PS]]&amp;"*")</f>
        <v>0</v>
      </c>
      <c r="I1205" s="8">
        <f>COUNTIFS('All Papers'!$D:$D,"*"&amp;$A1205&amp;"*",'All Papers'!$G:$G,"*"&amp;Table1[[#Headers],[SLA Management]]&amp;"*")</f>
        <v>0</v>
      </c>
      <c r="J1205" s="8">
        <f>COUNTIFS('All Papers'!$D:$D,"*"&amp;$A1205&amp;"*",'All Papers'!$G:$G,"*"&amp;Table1[[#Headers],[Big Data]]&amp;"*")</f>
        <v>0</v>
      </c>
      <c r="K1205" s="8">
        <f>COUNTIFS('All Papers'!$D:$D,"*"&amp;$A1205&amp;"*",'All Papers'!$G:$G,"*"&amp;Table1[[#Headers],[Energy Management]]&amp;"*")</f>
        <v>0</v>
      </c>
      <c r="L1205" s="8">
        <f>COUNTIFS('All Papers'!$D:$D,"*"&amp;$A1205&amp;"*",'All Papers'!$G:$G,"*"&amp;Table1[[#Headers],[Monitoring]]&amp;"*")</f>
        <v>0</v>
      </c>
      <c r="M1205" s="8">
        <f>COUNTIFS('All Papers'!$D:$D,"*"&amp;$A1205&amp;"*",'All Papers'!$G:$G,"*"&amp;Table1[[#Headers],[Pricing]]&amp;"*")</f>
        <v>0</v>
      </c>
    </row>
    <row r="1206" spans="1:13" x14ac:dyDescent="0.25">
      <c r="A1206" s="8" t="s">
        <v>3639</v>
      </c>
      <c r="B1206" s="8">
        <f>COUNTIF('All Papers'!D:D,"*"&amp;Table1[[#This Row],[Name]]&amp;"*")</f>
        <v>1</v>
      </c>
      <c r="C1206" s="8">
        <f>COUNTIFS('All Papers'!$D:$D,"*"&amp;$A1206&amp;"*",'All Papers'!$G:$G,"*"&amp;Table1[[#Headers],[Composition]]&amp;"*")</f>
        <v>0</v>
      </c>
      <c r="D1206" s="8">
        <f>COUNTIFS('All Papers'!$D:$D,"*"&amp;$A1206&amp;"*",'All Papers'!$G:$G,"*"&amp;Table1[[#Headers],[Discovery]]&amp;"*")</f>
        <v>0</v>
      </c>
      <c r="E1206" s="8">
        <f>COUNTIFS('All Papers'!$D:$D,"*"&amp;$A1206&amp;"*",'All Papers'!$G:$G,"*"&amp;Table1[[#Headers],[Selection]]&amp;"*")</f>
        <v>0</v>
      </c>
      <c r="F1206" s="8">
        <f>COUNTIFS('All Papers'!$D:$D,"*"&amp;$A1206&amp;"*",'All Papers'!$G:$G,"*"&amp;Table1[[#Headers],[Recommendation]]&amp;"*")</f>
        <v>0</v>
      </c>
      <c r="G1206" s="8">
        <f>COUNTIFS('All Papers'!$D:$D,"*"&amp;$A1206&amp;"*",'All Papers'!$G:$G,"*"&amp;Table1[[#Headers],[Resource Management-CS]]&amp;"*")</f>
        <v>1</v>
      </c>
      <c r="H1206" s="8">
        <f>COUNTIFS('All Papers'!$D:$D,"*"&amp;$A1206&amp;"*",'All Papers'!$G:$G,"*"&amp;Table1[[#Headers],[Resource Management-PS]]&amp;"*")</f>
        <v>0</v>
      </c>
      <c r="I1206" s="8">
        <f>COUNTIFS('All Papers'!$D:$D,"*"&amp;$A1206&amp;"*",'All Papers'!$G:$G,"*"&amp;Table1[[#Headers],[SLA Management]]&amp;"*")</f>
        <v>0</v>
      </c>
      <c r="J1206" s="8">
        <f>COUNTIFS('All Papers'!$D:$D,"*"&amp;$A1206&amp;"*",'All Papers'!$G:$G,"*"&amp;Table1[[#Headers],[Big Data]]&amp;"*")</f>
        <v>0</v>
      </c>
      <c r="K1206" s="8">
        <f>COUNTIFS('All Papers'!$D:$D,"*"&amp;$A1206&amp;"*",'All Papers'!$G:$G,"*"&amp;Table1[[#Headers],[Energy Management]]&amp;"*")</f>
        <v>0</v>
      </c>
      <c r="L1206" s="8">
        <f>COUNTIFS('All Papers'!$D:$D,"*"&amp;$A1206&amp;"*",'All Papers'!$G:$G,"*"&amp;Table1[[#Headers],[Monitoring]]&amp;"*")</f>
        <v>0</v>
      </c>
      <c r="M1206" s="8">
        <f>COUNTIFS('All Papers'!$D:$D,"*"&amp;$A1206&amp;"*",'All Papers'!$G:$G,"*"&amp;Table1[[#Headers],[Pricing]]&amp;"*")</f>
        <v>0</v>
      </c>
    </row>
    <row r="1207" spans="1:13" x14ac:dyDescent="0.25">
      <c r="A1207" s="8" t="s">
        <v>3640</v>
      </c>
      <c r="B1207" s="8">
        <f>COUNTIF('All Papers'!D:D,"*"&amp;Table1[[#This Row],[Name]]&amp;"*")</f>
        <v>1</v>
      </c>
      <c r="C1207" s="8">
        <f>COUNTIFS('All Papers'!$D:$D,"*"&amp;$A1207&amp;"*",'All Papers'!$G:$G,"*"&amp;Table1[[#Headers],[Composition]]&amp;"*")</f>
        <v>0</v>
      </c>
      <c r="D1207" s="8">
        <f>COUNTIFS('All Papers'!$D:$D,"*"&amp;$A1207&amp;"*",'All Papers'!$G:$G,"*"&amp;Table1[[#Headers],[Discovery]]&amp;"*")</f>
        <v>0</v>
      </c>
      <c r="E1207" s="8">
        <f>COUNTIFS('All Papers'!$D:$D,"*"&amp;$A1207&amp;"*",'All Papers'!$G:$G,"*"&amp;Table1[[#Headers],[Selection]]&amp;"*")</f>
        <v>0</v>
      </c>
      <c r="F1207" s="8">
        <f>COUNTIFS('All Papers'!$D:$D,"*"&amp;$A1207&amp;"*",'All Papers'!$G:$G,"*"&amp;Table1[[#Headers],[Recommendation]]&amp;"*")</f>
        <v>0</v>
      </c>
      <c r="G1207" s="8">
        <f>COUNTIFS('All Papers'!$D:$D,"*"&amp;$A1207&amp;"*",'All Papers'!$G:$G,"*"&amp;Table1[[#Headers],[Resource Management-CS]]&amp;"*")</f>
        <v>0</v>
      </c>
      <c r="H1207" s="8">
        <f>COUNTIFS('All Papers'!$D:$D,"*"&amp;$A1207&amp;"*",'All Papers'!$G:$G,"*"&amp;Table1[[#Headers],[Resource Management-PS]]&amp;"*")</f>
        <v>0</v>
      </c>
      <c r="I1207" s="8">
        <f>COUNTIFS('All Papers'!$D:$D,"*"&amp;$A1207&amp;"*",'All Papers'!$G:$G,"*"&amp;Table1[[#Headers],[SLA Management]]&amp;"*")</f>
        <v>1</v>
      </c>
      <c r="J1207" s="8">
        <f>COUNTIFS('All Papers'!$D:$D,"*"&amp;$A1207&amp;"*",'All Papers'!$G:$G,"*"&amp;Table1[[#Headers],[Big Data]]&amp;"*")</f>
        <v>0</v>
      </c>
      <c r="K1207" s="8">
        <f>COUNTIFS('All Papers'!$D:$D,"*"&amp;$A1207&amp;"*",'All Papers'!$G:$G,"*"&amp;Table1[[#Headers],[Energy Management]]&amp;"*")</f>
        <v>1</v>
      </c>
      <c r="L1207" s="8">
        <f>COUNTIFS('All Papers'!$D:$D,"*"&amp;$A1207&amp;"*",'All Papers'!$G:$G,"*"&amp;Table1[[#Headers],[Monitoring]]&amp;"*")</f>
        <v>0</v>
      </c>
      <c r="M1207" s="8">
        <f>COUNTIFS('All Papers'!$D:$D,"*"&amp;$A1207&amp;"*",'All Papers'!$G:$G,"*"&amp;Table1[[#Headers],[Pricing]]&amp;"*")</f>
        <v>0</v>
      </c>
    </row>
    <row r="1208" spans="1:13" x14ac:dyDescent="0.25">
      <c r="A1208" s="8" t="s">
        <v>3641</v>
      </c>
      <c r="B1208" s="8">
        <f>COUNTIF('All Papers'!D:D,"*"&amp;Table1[[#This Row],[Name]]&amp;"*")</f>
        <v>1</v>
      </c>
      <c r="C1208" s="8">
        <f>COUNTIFS('All Papers'!$D:$D,"*"&amp;$A1208&amp;"*",'All Papers'!$G:$G,"*"&amp;Table1[[#Headers],[Composition]]&amp;"*")</f>
        <v>0</v>
      </c>
      <c r="D1208" s="8">
        <f>COUNTIFS('All Papers'!$D:$D,"*"&amp;$A1208&amp;"*",'All Papers'!$G:$G,"*"&amp;Table1[[#Headers],[Discovery]]&amp;"*")</f>
        <v>0</v>
      </c>
      <c r="E1208" s="8">
        <f>COUNTIFS('All Papers'!$D:$D,"*"&amp;$A1208&amp;"*",'All Papers'!$G:$G,"*"&amp;Table1[[#Headers],[Selection]]&amp;"*")</f>
        <v>0</v>
      </c>
      <c r="F1208" s="8">
        <f>COUNTIFS('All Papers'!$D:$D,"*"&amp;$A1208&amp;"*",'All Papers'!$G:$G,"*"&amp;Table1[[#Headers],[Recommendation]]&amp;"*")</f>
        <v>0</v>
      </c>
      <c r="G1208" s="8">
        <f>COUNTIFS('All Papers'!$D:$D,"*"&amp;$A1208&amp;"*",'All Papers'!$G:$G,"*"&amp;Table1[[#Headers],[Resource Management-CS]]&amp;"*")</f>
        <v>0</v>
      </c>
      <c r="H1208" s="8">
        <f>COUNTIFS('All Papers'!$D:$D,"*"&amp;$A1208&amp;"*",'All Papers'!$G:$G,"*"&amp;Table1[[#Headers],[Resource Management-PS]]&amp;"*")</f>
        <v>0</v>
      </c>
      <c r="I1208" s="8">
        <f>COUNTIFS('All Papers'!$D:$D,"*"&amp;$A1208&amp;"*",'All Papers'!$G:$G,"*"&amp;Table1[[#Headers],[SLA Management]]&amp;"*")</f>
        <v>1</v>
      </c>
      <c r="J1208" s="8">
        <f>COUNTIFS('All Papers'!$D:$D,"*"&amp;$A1208&amp;"*",'All Papers'!$G:$G,"*"&amp;Table1[[#Headers],[Big Data]]&amp;"*")</f>
        <v>0</v>
      </c>
      <c r="K1208" s="8">
        <f>COUNTIFS('All Papers'!$D:$D,"*"&amp;$A1208&amp;"*",'All Papers'!$G:$G,"*"&amp;Table1[[#Headers],[Energy Management]]&amp;"*")</f>
        <v>1</v>
      </c>
      <c r="L1208" s="8">
        <f>COUNTIFS('All Papers'!$D:$D,"*"&amp;$A1208&amp;"*",'All Papers'!$G:$G,"*"&amp;Table1[[#Headers],[Monitoring]]&amp;"*")</f>
        <v>0</v>
      </c>
      <c r="M1208" s="8">
        <f>COUNTIFS('All Papers'!$D:$D,"*"&amp;$A1208&amp;"*",'All Papers'!$G:$G,"*"&amp;Table1[[#Headers],[Pricing]]&amp;"*")</f>
        <v>0</v>
      </c>
    </row>
    <row r="1209" spans="1:13" x14ac:dyDescent="0.25">
      <c r="A1209" s="8" t="s">
        <v>3642</v>
      </c>
      <c r="B1209" s="8">
        <f>COUNTIF('All Papers'!D:D,"*"&amp;Table1[[#This Row],[Name]]&amp;"*")</f>
        <v>1</v>
      </c>
      <c r="C1209" s="8">
        <f>COUNTIFS('All Papers'!$D:$D,"*"&amp;$A1209&amp;"*",'All Papers'!$G:$G,"*"&amp;Table1[[#Headers],[Composition]]&amp;"*")</f>
        <v>0</v>
      </c>
      <c r="D1209" s="8">
        <f>COUNTIFS('All Papers'!$D:$D,"*"&amp;$A1209&amp;"*",'All Papers'!$G:$G,"*"&amp;Table1[[#Headers],[Discovery]]&amp;"*")</f>
        <v>0</v>
      </c>
      <c r="E1209" s="8">
        <f>COUNTIFS('All Papers'!$D:$D,"*"&amp;$A1209&amp;"*",'All Papers'!$G:$G,"*"&amp;Table1[[#Headers],[Selection]]&amp;"*")</f>
        <v>0</v>
      </c>
      <c r="F1209" s="8">
        <f>COUNTIFS('All Papers'!$D:$D,"*"&amp;$A1209&amp;"*",'All Papers'!$G:$G,"*"&amp;Table1[[#Headers],[Recommendation]]&amp;"*")</f>
        <v>0</v>
      </c>
      <c r="G1209" s="8">
        <f>COUNTIFS('All Papers'!$D:$D,"*"&amp;$A1209&amp;"*",'All Papers'!$G:$G,"*"&amp;Table1[[#Headers],[Resource Management-CS]]&amp;"*")</f>
        <v>0</v>
      </c>
      <c r="H1209" s="8">
        <f>COUNTIFS('All Papers'!$D:$D,"*"&amp;$A1209&amp;"*",'All Papers'!$G:$G,"*"&amp;Table1[[#Headers],[Resource Management-PS]]&amp;"*")</f>
        <v>0</v>
      </c>
      <c r="I1209" s="8">
        <f>COUNTIFS('All Papers'!$D:$D,"*"&amp;$A1209&amp;"*",'All Papers'!$G:$G,"*"&amp;Table1[[#Headers],[SLA Management]]&amp;"*")</f>
        <v>1</v>
      </c>
      <c r="J1209" s="8">
        <f>COUNTIFS('All Papers'!$D:$D,"*"&amp;$A1209&amp;"*",'All Papers'!$G:$G,"*"&amp;Table1[[#Headers],[Big Data]]&amp;"*")</f>
        <v>0</v>
      </c>
      <c r="K1209" s="8">
        <f>COUNTIFS('All Papers'!$D:$D,"*"&amp;$A1209&amp;"*",'All Papers'!$G:$G,"*"&amp;Table1[[#Headers],[Energy Management]]&amp;"*")</f>
        <v>1</v>
      </c>
      <c r="L1209" s="8">
        <f>COUNTIFS('All Papers'!$D:$D,"*"&amp;$A1209&amp;"*",'All Papers'!$G:$G,"*"&amp;Table1[[#Headers],[Monitoring]]&amp;"*")</f>
        <v>0</v>
      </c>
      <c r="M1209" s="8">
        <f>COUNTIFS('All Papers'!$D:$D,"*"&amp;$A1209&amp;"*",'All Papers'!$G:$G,"*"&amp;Table1[[#Headers],[Pricing]]&amp;"*")</f>
        <v>0</v>
      </c>
    </row>
    <row r="1210" spans="1:13" x14ac:dyDescent="0.25">
      <c r="A1210" s="8" t="s">
        <v>3643</v>
      </c>
      <c r="B1210" s="8">
        <f>COUNTIF('All Papers'!D:D,"*"&amp;Table1[[#This Row],[Name]]&amp;"*")</f>
        <v>1</v>
      </c>
      <c r="C1210" s="8">
        <f>COUNTIFS('All Papers'!$D:$D,"*"&amp;$A1210&amp;"*",'All Papers'!$G:$G,"*"&amp;Table1[[#Headers],[Composition]]&amp;"*")</f>
        <v>0</v>
      </c>
      <c r="D1210" s="8">
        <f>COUNTIFS('All Papers'!$D:$D,"*"&amp;$A1210&amp;"*",'All Papers'!$G:$G,"*"&amp;Table1[[#Headers],[Discovery]]&amp;"*")</f>
        <v>0</v>
      </c>
      <c r="E1210" s="8">
        <f>COUNTIFS('All Papers'!$D:$D,"*"&amp;$A1210&amp;"*",'All Papers'!$G:$G,"*"&amp;Table1[[#Headers],[Selection]]&amp;"*")</f>
        <v>0</v>
      </c>
      <c r="F1210" s="8">
        <f>COUNTIFS('All Papers'!$D:$D,"*"&amp;$A1210&amp;"*",'All Papers'!$G:$G,"*"&amp;Table1[[#Headers],[Recommendation]]&amp;"*")</f>
        <v>0</v>
      </c>
      <c r="G1210" s="8">
        <f>COUNTIFS('All Papers'!$D:$D,"*"&amp;$A1210&amp;"*",'All Papers'!$G:$G,"*"&amp;Table1[[#Headers],[Resource Management-CS]]&amp;"*")</f>
        <v>0</v>
      </c>
      <c r="H1210" s="8">
        <f>COUNTIFS('All Papers'!$D:$D,"*"&amp;$A1210&amp;"*",'All Papers'!$G:$G,"*"&amp;Table1[[#Headers],[Resource Management-PS]]&amp;"*")</f>
        <v>0</v>
      </c>
      <c r="I1210" s="8">
        <f>COUNTIFS('All Papers'!$D:$D,"*"&amp;$A1210&amp;"*",'All Papers'!$G:$G,"*"&amp;Table1[[#Headers],[SLA Management]]&amp;"*")</f>
        <v>1</v>
      </c>
      <c r="J1210" s="8">
        <f>COUNTIFS('All Papers'!$D:$D,"*"&amp;$A1210&amp;"*",'All Papers'!$G:$G,"*"&amp;Table1[[#Headers],[Big Data]]&amp;"*")</f>
        <v>0</v>
      </c>
      <c r="K1210" s="8">
        <f>COUNTIFS('All Papers'!$D:$D,"*"&amp;$A1210&amp;"*",'All Papers'!$G:$G,"*"&amp;Table1[[#Headers],[Energy Management]]&amp;"*")</f>
        <v>1</v>
      </c>
      <c r="L1210" s="8">
        <f>COUNTIFS('All Papers'!$D:$D,"*"&amp;$A1210&amp;"*",'All Papers'!$G:$G,"*"&amp;Table1[[#Headers],[Monitoring]]&amp;"*")</f>
        <v>0</v>
      </c>
      <c r="M1210" s="8">
        <f>COUNTIFS('All Papers'!$D:$D,"*"&amp;$A1210&amp;"*",'All Papers'!$G:$G,"*"&amp;Table1[[#Headers],[Pricing]]&amp;"*")</f>
        <v>0</v>
      </c>
    </row>
    <row r="1211" spans="1:13" x14ac:dyDescent="0.25">
      <c r="A1211" s="8" t="s">
        <v>3644</v>
      </c>
      <c r="B1211" s="8">
        <f>COUNTIF('All Papers'!D:D,"*"&amp;Table1[[#This Row],[Name]]&amp;"*")</f>
        <v>1</v>
      </c>
      <c r="C1211" s="8">
        <f>COUNTIFS('All Papers'!$D:$D,"*"&amp;$A1211&amp;"*",'All Papers'!$G:$G,"*"&amp;Table1[[#Headers],[Composition]]&amp;"*")</f>
        <v>0</v>
      </c>
      <c r="D1211" s="8">
        <f>COUNTIFS('All Papers'!$D:$D,"*"&amp;$A1211&amp;"*",'All Papers'!$G:$G,"*"&amp;Table1[[#Headers],[Discovery]]&amp;"*")</f>
        <v>0</v>
      </c>
      <c r="E1211" s="8">
        <f>COUNTIFS('All Papers'!$D:$D,"*"&amp;$A1211&amp;"*",'All Papers'!$G:$G,"*"&amp;Table1[[#Headers],[Selection]]&amp;"*")</f>
        <v>0</v>
      </c>
      <c r="F1211" s="8">
        <f>COUNTIFS('All Papers'!$D:$D,"*"&amp;$A1211&amp;"*",'All Papers'!$G:$G,"*"&amp;Table1[[#Headers],[Recommendation]]&amp;"*")</f>
        <v>0</v>
      </c>
      <c r="G1211" s="8">
        <f>COUNTIFS('All Papers'!$D:$D,"*"&amp;$A1211&amp;"*",'All Papers'!$G:$G,"*"&amp;Table1[[#Headers],[Resource Management-CS]]&amp;"*")</f>
        <v>0</v>
      </c>
      <c r="H1211" s="8">
        <f>COUNTIFS('All Papers'!$D:$D,"*"&amp;$A1211&amp;"*",'All Papers'!$G:$G,"*"&amp;Table1[[#Headers],[Resource Management-PS]]&amp;"*")</f>
        <v>0</v>
      </c>
      <c r="I1211" s="8">
        <f>COUNTIFS('All Papers'!$D:$D,"*"&amp;$A1211&amp;"*",'All Papers'!$G:$G,"*"&amp;Table1[[#Headers],[SLA Management]]&amp;"*")</f>
        <v>1</v>
      </c>
      <c r="J1211" s="8">
        <f>COUNTIFS('All Papers'!$D:$D,"*"&amp;$A1211&amp;"*",'All Papers'!$G:$G,"*"&amp;Table1[[#Headers],[Big Data]]&amp;"*")</f>
        <v>0</v>
      </c>
      <c r="K1211" s="8">
        <f>COUNTIFS('All Papers'!$D:$D,"*"&amp;$A1211&amp;"*",'All Papers'!$G:$G,"*"&amp;Table1[[#Headers],[Energy Management]]&amp;"*")</f>
        <v>1</v>
      </c>
      <c r="L1211" s="8">
        <f>COUNTIFS('All Papers'!$D:$D,"*"&amp;$A1211&amp;"*",'All Papers'!$G:$G,"*"&amp;Table1[[#Headers],[Monitoring]]&amp;"*")</f>
        <v>0</v>
      </c>
      <c r="M1211" s="8">
        <f>COUNTIFS('All Papers'!$D:$D,"*"&amp;$A1211&amp;"*",'All Papers'!$G:$G,"*"&amp;Table1[[#Headers],[Pricing]]&amp;"*")</f>
        <v>0</v>
      </c>
    </row>
    <row r="1212" spans="1:13" x14ac:dyDescent="0.25">
      <c r="A1212" s="8" t="s">
        <v>3645</v>
      </c>
      <c r="B1212" s="8">
        <f>COUNTIF('All Papers'!D:D,"*"&amp;Table1[[#This Row],[Name]]&amp;"*")</f>
        <v>1</v>
      </c>
      <c r="C1212" s="8">
        <f>COUNTIFS('All Papers'!$D:$D,"*"&amp;$A1212&amp;"*",'All Papers'!$G:$G,"*"&amp;Table1[[#Headers],[Composition]]&amp;"*")</f>
        <v>0</v>
      </c>
      <c r="D1212" s="8">
        <f>COUNTIFS('All Papers'!$D:$D,"*"&amp;$A1212&amp;"*",'All Papers'!$G:$G,"*"&amp;Table1[[#Headers],[Discovery]]&amp;"*")</f>
        <v>0</v>
      </c>
      <c r="E1212" s="8">
        <f>COUNTIFS('All Papers'!$D:$D,"*"&amp;$A1212&amp;"*",'All Papers'!$G:$G,"*"&amp;Table1[[#Headers],[Selection]]&amp;"*")</f>
        <v>0</v>
      </c>
      <c r="F1212" s="8">
        <f>COUNTIFS('All Papers'!$D:$D,"*"&amp;$A1212&amp;"*",'All Papers'!$G:$G,"*"&amp;Table1[[#Headers],[Recommendation]]&amp;"*")</f>
        <v>0</v>
      </c>
      <c r="G1212" s="8">
        <f>COUNTIFS('All Papers'!$D:$D,"*"&amp;$A1212&amp;"*",'All Papers'!$G:$G,"*"&amp;Table1[[#Headers],[Resource Management-CS]]&amp;"*")</f>
        <v>1</v>
      </c>
      <c r="H1212" s="8">
        <f>COUNTIFS('All Papers'!$D:$D,"*"&amp;$A1212&amp;"*",'All Papers'!$G:$G,"*"&amp;Table1[[#Headers],[Resource Management-PS]]&amp;"*")</f>
        <v>0</v>
      </c>
      <c r="I1212" s="8">
        <f>COUNTIFS('All Papers'!$D:$D,"*"&amp;$A1212&amp;"*",'All Papers'!$G:$G,"*"&amp;Table1[[#Headers],[SLA Management]]&amp;"*")</f>
        <v>0</v>
      </c>
      <c r="J1212" s="8">
        <f>COUNTIFS('All Papers'!$D:$D,"*"&amp;$A1212&amp;"*",'All Papers'!$G:$G,"*"&amp;Table1[[#Headers],[Big Data]]&amp;"*")</f>
        <v>0</v>
      </c>
      <c r="K1212" s="8">
        <f>COUNTIFS('All Papers'!$D:$D,"*"&amp;$A1212&amp;"*",'All Papers'!$G:$G,"*"&amp;Table1[[#Headers],[Energy Management]]&amp;"*")</f>
        <v>0</v>
      </c>
      <c r="L1212" s="8">
        <f>COUNTIFS('All Papers'!$D:$D,"*"&amp;$A1212&amp;"*",'All Papers'!$G:$G,"*"&amp;Table1[[#Headers],[Monitoring]]&amp;"*")</f>
        <v>0</v>
      </c>
      <c r="M1212" s="8">
        <f>COUNTIFS('All Papers'!$D:$D,"*"&amp;$A1212&amp;"*",'All Papers'!$G:$G,"*"&amp;Table1[[#Headers],[Pricing]]&amp;"*")</f>
        <v>0</v>
      </c>
    </row>
    <row r="1213" spans="1:13" x14ac:dyDescent="0.25">
      <c r="A1213" s="8" t="s">
        <v>3646</v>
      </c>
      <c r="B1213" s="8">
        <f>COUNTIF('All Papers'!D:D,"*"&amp;Table1[[#This Row],[Name]]&amp;"*")</f>
        <v>1</v>
      </c>
      <c r="C1213" s="8">
        <f>COUNTIFS('All Papers'!$D:$D,"*"&amp;$A1213&amp;"*",'All Papers'!$G:$G,"*"&amp;Table1[[#Headers],[Composition]]&amp;"*")</f>
        <v>0</v>
      </c>
      <c r="D1213" s="8">
        <f>COUNTIFS('All Papers'!$D:$D,"*"&amp;$A1213&amp;"*",'All Papers'!$G:$G,"*"&amp;Table1[[#Headers],[Discovery]]&amp;"*")</f>
        <v>0</v>
      </c>
      <c r="E1213" s="8">
        <f>COUNTIFS('All Papers'!$D:$D,"*"&amp;$A1213&amp;"*",'All Papers'!$G:$G,"*"&amp;Table1[[#Headers],[Selection]]&amp;"*")</f>
        <v>0</v>
      </c>
      <c r="F1213" s="8">
        <f>COUNTIFS('All Papers'!$D:$D,"*"&amp;$A1213&amp;"*",'All Papers'!$G:$G,"*"&amp;Table1[[#Headers],[Recommendation]]&amp;"*")</f>
        <v>0</v>
      </c>
      <c r="G1213" s="8">
        <f>COUNTIFS('All Papers'!$D:$D,"*"&amp;$A1213&amp;"*",'All Papers'!$G:$G,"*"&amp;Table1[[#Headers],[Resource Management-CS]]&amp;"*")</f>
        <v>1</v>
      </c>
      <c r="H1213" s="8">
        <f>COUNTIFS('All Papers'!$D:$D,"*"&amp;$A1213&amp;"*",'All Papers'!$G:$G,"*"&amp;Table1[[#Headers],[Resource Management-PS]]&amp;"*")</f>
        <v>0</v>
      </c>
      <c r="I1213" s="8">
        <f>COUNTIFS('All Papers'!$D:$D,"*"&amp;$A1213&amp;"*",'All Papers'!$G:$G,"*"&amp;Table1[[#Headers],[SLA Management]]&amp;"*")</f>
        <v>0</v>
      </c>
      <c r="J1213" s="8">
        <f>COUNTIFS('All Papers'!$D:$D,"*"&amp;$A1213&amp;"*",'All Papers'!$G:$G,"*"&amp;Table1[[#Headers],[Big Data]]&amp;"*")</f>
        <v>0</v>
      </c>
      <c r="K1213" s="8">
        <f>COUNTIFS('All Papers'!$D:$D,"*"&amp;$A1213&amp;"*",'All Papers'!$G:$G,"*"&amp;Table1[[#Headers],[Energy Management]]&amp;"*")</f>
        <v>0</v>
      </c>
      <c r="L1213" s="8">
        <f>COUNTIFS('All Papers'!$D:$D,"*"&amp;$A1213&amp;"*",'All Papers'!$G:$G,"*"&amp;Table1[[#Headers],[Monitoring]]&amp;"*")</f>
        <v>0</v>
      </c>
      <c r="M1213" s="8">
        <f>COUNTIFS('All Papers'!$D:$D,"*"&amp;$A1213&amp;"*",'All Papers'!$G:$G,"*"&amp;Table1[[#Headers],[Pricing]]&amp;"*")</f>
        <v>0</v>
      </c>
    </row>
    <row r="1214" spans="1:13" x14ac:dyDescent="0.25">
      <c r="A1214" s="8" t="s">
        <v>3647</v>
      </c>
      <c r="B1214" s="8">
        <f>COUNTIF('All Papers'!D:D,"*"&amp;Table1[[#This Row],[Name]]&amp;"*")</f>
        <v>1</v>
      </c>
      <c r="C1214" s="8">
        <f>COUNTIFS('All Papers'!$D:$D,"*"&amp;$A1214&amp;"*",'All Papers'!$G:$G,"*"&amp;Table1[[#Headers],[Composition]]&amp;"*")</f>
        <v>0</v>
      </c>
      <c r="D1214" s="8">
        <f>COUNTIFS('All Papers'!$D:$D,"*"&amp;$A1214&amp;"*",'All Papers'!$G:$G,"*"&amp;Table1[[#Headers],[Discovery]]&amp;"*")</f>
        <v>0</v>
      </c>
      <c r="E1214" s="8">
        <f>COUNTIFS('All Papers'!$D:$D,"*"&amp;$A1214&amp;"*",'All Papers'!$G:$G,"*"&amp;Table1[[#Headers],[Selection]]&amp;"*")</f>
        <v>0</v>
      </c>
      <c r="F1214" s="8">
        <f>COUNTIFS('All Papers'!$D:$D,"*"&amp;$A1214&amp;"*",'All Papers'!$G:$G,"*"&amp;Table1[[#Headers],[Recommendation]]&amp;"*")</f>
        <v>0</v>
      </c>
      <c r="G1214" s="8">
        <f>COUNTIFS('All Papers'!$D:$D,"*"&amp;$A1214&amp;"*",'All Papers'!$G:$G,"*"&amp;Table1[[#Headers],[Resource Management-CS]]&amp;"*")</f>
        <v>0</v>
      </c>
      <c r="H1214" s="8">
        <f>COUNTIFS('All Papers'!$D:$D,"*"&amp;$A1214&amp;"*",'All Papers'!$G:$G,"*"&amp;Table1[[#Headers],[Resource Management-PS]]&amp;"*")</f>
        <v>1</v>
      </c>
      <c r="I1214" s="8">
        <f>COUNTIFS('All Papers'!$D:$D,"*"&amp;$A1214&amp;"*",'All Papers'!$G:$G,"*"&amp;Table1[[#Headers],[SLA Management]]&amp;"*")</f>
        <v>0</v>
      </c>
      <c r="J1214" s="8">
        <f>COUNTIFS('All Papers'!$D:$D,"*"&amp;$A1214&amp;"*",'All Papers'!$G:$G,"*"&amp;Table1[[#Headers],[Big Data]]&amp;"*")</f>
        <v>0</v>
      </c>
      <c r="K1214" s="8">
        <f>COUNTIFS('All Papers'!$D:$D,"*"&amp;$A1214&amp;"*",'All Papers'!$G:$G,"*"&amp;Table1[[#Headers],[Energy Management]]&amp;"*")</f>
        <v>0</v>
      </c>
      <c r="L1214" s="8">
        <f>COUNTIFS('All Papers'!$D:$D,"*"&amp;$A1214&amp;"*",'All Papers'!$G:$G,"*"&amp;Table1[[#Headers],[Monitoring]]&amp;"*")</f>
        <v>0</v>
      </c>
      <c r="M1214" s="8">
        <f>COUNTIFS('All Papers'!$D:$D,"*"&amp;$A1214&amp;"*",'All Papers'!$G:$G,"*"&amp;Table1[[#Headers],[Pricing]]&amp;"*")</f>
        <v>0</v>
      </c>
    </row>
    <row r="1215" spans="1:13" x14ac:dyDescent="0.25">
      <c r="A1215" s="8" t="s">
        <v>3648</v>
      </c>
      <c r="B1215" s="8">
        <f>COUNTIF('All Papers'!D:D,"*"&amp;Table1[[#This Row],[Name]]&amp;"*")</f>
        <v>1</v>
      </c>
      <c r="C1215" s="8">
        <f>COUNTIFS('All Papers'!$D:$D,"*"&amp;$A1215&amp;"*",'All Papers'!$G:$G,"*"&amp;Table1[[#Headers],[Composition]]&amp;"*")</f>
        <v>0</v>
      </c>
      <c r="D1215" s="8">
        <f>COUNTIFS('All Papers'!$D:$D,"*"&amp;$A1215&amp;"*",'All Papers'!$G:$G,"*"&amp;Table1[[#Headers],[Discovery]]&amp;"*")</f>
        <v>0</v>
      </c>
      <c r="E1215" s="8">
        <f>COUNTIFS('All Papers'!$D:$D,"*"&amp;$A1215&amp;"*",'All Papers'!$G:$G,"*"&amp;Table1[[#Headers],[Selection]]&amp;"*")</f>
        <v>1</v>
      </c>
      <c r="F1215" s="8">
        <f>COUNTIFS('All Papers'!$D:$D,"*"&amp;$A1215&amp;"*",'All Papers'!$G:$G,"*"&amp;Table1[[#Headers],[Recommendation]]&amp;"*")</f>
        <v>0</v>
      </c>
      <c r="G1215" s="8">
        <f>COUNTIFS('All Papers'!$D:$D,"*"&amp;$A1215&amp;"*",'All Papers'!$G:$G,"*"&amp;Table1[[#Headers],[Resource Management-CS]]&amp;"*")</f>
        <v>0</v>
      </c>
      <c r="H1215" s="8">
        <f>COUNTIFS('All Papers'!$D:$D,"*"&amp;$A1215&amp;"*",'All Papers'!$G:$G,"*"&amp;Table1[[#Headers],[Resource Management-PS]]&amp;"*")</f>
        <v>1</v>
      </c>
      <c r="I1215" s="8">
        <f>COUNTIFS('All Papers'!$D:$D,"*"&amp;$A1215&amp;"*",'All Papers'!$G:$G,"*"&amp;Table1[[#Headers],[SLA Management]]&amp;"*")</f>
        <v>0</v>
      </c>
      <c r="J1215" s="8">
        <f>COUNTIFS('All Papers'!$D:$D,"*"&amp;$A1215&amp;"*",'All Papers'!$G:$G,"*"&amp;Table1[[#Headers],[Big Data]]&amp;"*")</f>
        <v>0</v>
      </c>
      <c r="K1215" s="8">
        <f>COUNTIFS('All Papers'!$D:$D,"*"&amp;$A1215&amp;"*",'All Papers'!$G:$G,"*"&amp;Table1[[#Headers],[Energy Management]]&amp;"*")</f>
        <v>0</v>
      </c>
      <c r="L1215" s="8">
        <f>COUNTIFS('All Papers'!$D:$D,"*"&amp;$A1215&amp;"*",'All Papers'!$G:$G,"*"&amp;Table1[[#Headers],[Monitoring]]&amp;"*")</f>
        <v>0</v>
      </c>
      <c r="M1215" s="8">
        <f>COUNTIFS('All Papers'!$D:$D,"*"&amp;$A1215&amp;"*",'All Papers'!$G:$G,"*"&amp;Table1[[#Headers],[Pricing]]&amp;"*")</f>
        <v>0</v>
      </c>
    </row>
    <row r="1216" spans="1:13" x14ac:dyDescent="0.25">
      <c r="A1216" s="8" t="s">
        <v>3649</v>
      </c>
      <c r="B1216" s="8">
        <f>COUNTIF('All Papers'!D:D,"*"&amp;Table1[[#This Row],[Name]]&amp;"*")</f>
        <v>1</v>
      </c>
      <c r="C1216" s="8">
        <f>COUNTIFS('All Papers'!$D:$D,"*"&amp;$A1216&amp;"*",'All Papers'!$G:$G,"*"&amp;Table1[[#Headers],[Composition]]&amp;"*")</f>
        <v>0</v>
      </c>
      <c r="D1216" s="8">
        <f>COUNTIFS('All Papers'!$D:$D,"*"&amp;$A1216&amp;"*",'All Papers'!$G:$G,"*"&amp;Table1[[#Headers],[Discovery]]&amp;"*")</f>
        <v>0</v>
      </c>
      <c r="E1216" s="8">
        <f>COUNTIFS('All Papers'!$D:$D,"*"&amp;$A1216&amp;"*",'All Papers'!$G:$G,"*"&amp;Table1[[#Headers],[Selection]]&amp;"*")</f>
        <v>1</v>
      </c>
      <c r="F1216" s="8">
        <f>COUNTIFS('All Papers'!$D:$D,"*"&amp;$A1216&amp;"*",'All Papers'!$G:$G,"*"&amp;Table1[[#Headers],[Recommendation]]&amp;"*")</f>
        <v>0</v>
      </c>
      <c r="G1216" s="8">
        <f>COUNTIFS('All Papers'!$D:$D,"*"&amp;$A1216&amp;"*",'All Papers'!$G:$G,"*"&amp;Table1[[#Headers],[Resource Management-CS]]&amp;"*")</f>
        <v>0</v>
      </c>
      <c r="H1216" s="8">
        <f>COUNTIFS('All Papers'!$D:$D,"*"&amp;$A1216&amp;"*",'All Papers'!$G:$G,"*"&amp;Table1[[#Headers],[Resource Management-PS]]&amp;"*")</f>
        <v>1</v>
      </c>
      <c r="I1216" s="8">
        <f>COUNTIFS('All Papers'!$D:$D,"*"&amp;$A1216&amp;"*",'All Papers'!$G:$G,"*"&amp;Table1[[#Headers],[SLA Management]]&amp;"*")</f>
        <v>0</v>
      </c>
      <c r="J1216" s="8">
        <f>COUNTIFS('All Papers'!$D:$D,"*"&amp;$A1216&amp;"*",'All Papers'!$G:$G,"*"&amp;Table1[[#Headers],[Big Data]]&amp;"*")</f>
        <v>0</v>
      </c>
      <c r="K1216" s="8">
        <f>COUNTIFS('All Papers'!$D:$D,"*"&amp;$A1216&amp;"*",'All Papers'!$G:$G,"*"&amp;Table1[[#Headers],[Energy Management]]&amp;"*")</f>
        <v>0</v>
      </c>
      <c r="L1216" s="8">
        <f>COUNTIFS('All Papers'!$D:$D,"*"&amp;$A1216&amp;"*",'All Papers'!$G:$G,"*"&amp;Table1[[#Headers],[Monitoring]]&amp;"*")</f>
        <v>0</v>
      </c>
      <c r="M1216" s="8">
        <f>COUNTIFS('All Papers'!$D:$D,"*"&amp;$A1216&amp;"*",'All Papers'!$G:$G,"*"&amp;Table1[[#Headers],[Pricing]]&amp;"*")</f>
        <v>0</v>
      </c>
    </row>
    <row r="1217" spans="1:13" x14ac:dyDescent="0.25">
      <c r="A1217" s="8" t="s">
        <v>3650</v>
      </c>
      <c r="B1217" s="8">
        <f>COUNTIF('All Papers'!D:D,"*"&amp;Table1[[#This Row],[Name]]&amp;"*")</f>
        <v>1</v>
      </c>
      <c r="C1217" s="8">
        <f>COUNTIFS('All Papers'!$D:$D,"*"&amp;$A1217&amp;"*",'All Papers'!$G:$G,"*"&amp;Table1[[#Headers],[Composition]]&amp;"*")</f>
        <v>0</v>
      </c>
      <c r="D1217" s="8">
        <f>COUNTIFS('All Papers'!$D:$D,"*"&amp;$A1217&amp;"*",'All Papers'!$G:$G,"*"&amp;Table1[[#Headers],[Discovery]]&amp;"*")</f>
        <v>0</v>
      </c>
      <c r="E1217" s="8">
        <f>COUNTIFS('All Papers'!$D:$D,"*"&amp;$A1217&amp;"*",'All Papers'!$G:$G,"*"&amp;Table1[[#Headers],[Selection]]&amp;"*")</f>
        <v>0</v>
      </c>
      <c r="F1217" s="8">
        <f>COUNTIFS('All Papers'!$D:$D,"*"&amp;$A1217&amp;"*",'All Papers'!$G:$G,"*"&amp;Table1[[#Headers],[Recommendation]]&amp;"*")</f>
        <v>0</v>
      </c>
      <c r="G1217" s="8">
        <f>COUNTIFS('All Papers'!$D:$D,"*"&amp;$A1217&amp;"*",'All Papers'!$G:$G,"*"&amp;Table1[[#Headers],[Resource Management-CS]]&amp;"*")</f>
        <v>0</v>
      </c>
      <c r="H1217" s="8">
        <f>COUNTIFS('All Papers'!$D:$D,"*"&amp;$A1217&amp;"*",'All Papers'!$G:$G,"*"&amp;Table1[[#Headers],[Resource Management-PS]]&amp;"*")</f>
        <v>1</v>
      </c>
      <c r="I1217" s="8">
        <f>COUNTIFS('All Papers'!$D:$D,"*"&amp;$A1217&amp;"*",'All Papers'!$G:$G,"*"&amp;Table1[[#Headers],[SLA Management]]&amp;"*")</f>
        <v>0</v>
      </c>
      <c r="J1217" s="8">
        <f>COUNTIFS('All Papers'!$D:$D,"*"&amp;$A1217&amp;"*",'All Papers'!$G:$G,"*"&amp;Table1[[#Headers],[Big Data]]&amp;"*")</f>
        <v>0</v>
      </c>
      <c r="K1217" s="8">
        <f>COUNTIFS('All Papers'!$D:$D,"*"&amp;$A1217&amp;"*",'All Papers'!$G:$G,"*"&amp;Table1[[#Headers],[Energy Management]]&amp;"*")</f>
        <v>0</v>
      </c>
      <c r="L1217" s="8">
        <f>COUNTIFS('All Papers'!$D:$D,"*"&amp;$A1217&amp;"*",'All Papers'!$G:$G,"*"&amp;Table1[[#Headers],[Monitoring]]&amp;"*")</f>
        <v>0</v>
      </c>
      <c r="M1217" s="8">
        <f>COUNTIFS('All Papers'!$D:$D,"*"&amp;$A1217&amp;"*",'All Papers'!$G:$G,"*"&amp;Table1[[#Headers],[Pricing]]&amp;"*")</f>
        <v>0</v>
      </c>
    </row>
    <row r="1218" spans="1:13" x14ac:dyDescent="0.25">
      <c r="A1218" s="8" t="s">
        <v>3651</v>
      </c>
      <c r="B1218" s="8">
        <f>COUNTIF('All Papers'!D:D,"*"&amp;Table1[[#This Row],[Name]]&amp;"*")</f>
        <v>1</v>
      </c>
      <c r="C1218" s="8">
        <f>COUNTIFS('All Papers'!$D:$D,"*"&amp;$A1218&amp;"*",'All Papers'!$G:$G,"*"&amp;Table1[[#Headers],[Composition]]&amp;"*")</f>
        <v>0</v>
      </c>
      <c r="D1218" s="8">
        <f>COUNTIFS('All Papers'!$D:$D,"*"&amp;$A1218&amp;"*",'All Papers'!$G:$G,"*"&amp;Table1[[#Headers],[Discovery]]&amp;"*")</f>
        <v>0</v>
      </c>
      <c r="E1218" s="8">
        <f>COUNTIFS('All Papers'!$D:$D,"*"&amp;$A1218&amp;"*",'All Papers'!$G:$G,"*"&amp;Table1[[#Headers],[Selection]]&amp;"*")</f>
        <v>0</v>
      </c>
      <c r="F1218" s="8">
        <f>COUNTIFS('All Papers'!$D:$D,"*"&amp;$A1218&amp;"*",'All Papers'!$G:$G,"*"&amp;Table1[[#Headers],[Recommendation]]&amp;"*")</f>
        <v>0</v>
      </c>
      <c r="G1218" s="8">
        <f>COUNTIFS('All Papers'!$D:$D,"*"&amp;$A1218&amp;"*",'All Papers'!$G:$G,"*"&amp;Table1[[#Headers],[Resource Management-CS]]&amp;"*")</f>
        <v>0</v>
      </c>
      <c r="H1218" s="8">
        <f>COUNTIFS('All Papers'!$D:$D,"*"&amp;$A1218&amp;"*",'All Papers'!$G:$G,"*"&amp;Table1[[#Headers],[Resource Management-PS]]&amp;"*")</f>
        <v>1</v>
      </c>
      <c r="I1218" s="8">
        <f>COUNTIFS('All Papers'!$D:$D,"*"&amp;$A1218&amp;"*",'All Papers'!$G:$G,"*"&amp;Table1[[#Headers],[SLA Management]]&amp;"*")</f>
        <v>0</v>
      </c>
      <c r="J1218" s="8">
        <f>COUNTIFS('All Papers'!$D:$D,"*"&amp;$A1218&amp;"*",'All Papers'!$G:$G,"*"&amp;Table1[[#Headers],[Big Data]]&amp;"*")</f>
        <v>0</v>
      </c>
      <c r="K1218" s="8">
        <f>COUNTIFS('All Papers'!$D:$D,"*"&amp;$A1218&amp;"*",'All Papers'!$G:$G,"*"&amp;Table1[[#Headers],[Energy Management]]&amp;"*")</f>
        <v>0</v>
      </c>
      <c r="L1218" s="8">
        <f>COUNTIFS('All Papers'!$D:$D,"*"&amp;$A1218&amp;"*",'All Papers'!$G:$G,"*"&amp;Table1[[#Headers],[Monitoring]]&amp;"*")</f>
        <v>0</v>
      </c>
      <c r="M1218" s="8">
        <f>COUNTIFS('All Papers'!$D:$D,"*"&amp;$A1218&amp;"*",'All Papers'!$G:$G,"*"&amp;Table1[[#Headers],[Pricing]]&amp;"*")</f>
        <v>0</v>
      </c>
    </row>
    <row r="1219" spans="1:13" x14ac:dyDescent="0.25">
      <c r="A1219" s="8" t="s">
        <v>3652</v>
      </c>
      <c r="B1219" s="8">
        <f>COUNTIF('All Papers'!D:D,"*"&amp;Table1[[#This Row],[Name]]&amp;"*")</f>
        <v>1</v>
      </c>
      <c r="C1219" s="8">
        <f>COUNTIFS('All Papers'!$D:$D,"*"&amp;$A1219&amp;"*",'All Papers'!$G:$G,"*"&amp;Table1[[#Headers],[Composition]]&amp;"*")</f>
        <v>0</v>
      </c>
      <c r="D1219" s="8">
        <f>COUNTIFS('All Papers'!$D:$D,"*"&amp;$A1219&amp;"*",'All Papers'!$G:$G,"*"&amp;Table1[[#Headers],[Discovery]]&amp;"*")</f>
        <v>0</v>
      </c>
      <c r="E1219" s="8">
        <f>COUNTIFS('All Papers'!$D:$D,"*"&amp;$A1219&amp;"*",'All Papers'!$G:$G,"*"&amp;Table1[[#Headers],[Selection]]&amp;"*")</f>
        <v>1</v>
      </c>
      <c r="F1219" s="8">
        <f>COUNTIFS('All Papers'!$D:$D,"*"&amp;$A1219&amp;"*",'All Papers'!$G:$G,"*"&amp;Table1[[#Headers],[Recommendation]]&amp;"*")</f>
        <v>0</v>
      </c>
      <c r="G1219" s="8">
        <f>COUNTIFS('All Papers'!$D:$D,"*"&amp;$A1219&amp;"*",'All Papers'!$G:$G,"*"&amp;Table1[[#Headers],[Resource Management-CS]]&amp;"*")</f>
        <v>0</v>
      </c>
      <c r="H1219" s="8">
        <f>COUNTIFS('All Papers'!$D:$D,"*"&amp;$A1219&amp;"*",'All Papers'!$G:$G,"*"&amp;Table1[[#Headers],[Resource Management-PS]]&amp;"*")</f>
        <v>0</v>
      </c>
      <c r="I1219" s="8">
        <f>COUNTIFS('All Papers'!$D:$D,"*"&amp;$A1219&amp;"*",'All Papers'!$G:$G,"*"&amp;Table1[[#Headers],[SLA Management]]&amp;"*")</f>
        <v>0</v>
      </c>
      <c r="J1219" s="8">
        <f>COUNTIFS('All Papers'!$D:$D,"*"&amp;$A1219&amp;"*",'All Papers'!$G:$G,"*"&amp;Table1[[#Headers],[Big Data]]&amp;"*")</f>
        <v>0</v>
      </c>
      <c r="K1219" s="8">
        <f>COUNTIFS('All Papers'!$D:$D,"*"&amp;$A1219&amp;"*",'All Papers'!$G:$G,"*"&amp;Table1[[#Headers],[Energy Management]]&amp;"*")</f>
        <v>0</v>
      </c>
      <c r="L1219" s="8">
        <f>COUNTIFS('All Papers'!$D:$D,"*"&amp;$A1219&amp;"*",'All Papers'!$G:$G,"*"&amp;Table1[[#Headers],[Monitoring]]&amp;"*")</f>
        <v>0</v>
      </c>
      <c r="M1219" s="8">
        <f>COUNTIFS('All Papers'!$D:$D,"*"&amp;$A1219&amp;"*",'All Papers'!$G:$G,"*"&amp;Table1[[#Headers],[Pricing]]&amp;"*")</f>
        <v>0</v>
      </c>
    </row>
    <row r="1220" spans="1:13" x14ac:dyDescent="0.25">
      <c r="A1220" s="8" t="s">
        <v>3653</v>
      </c>
      <c r="B1220" s="8">
        <f>COUNTIF('All Papers'!D:D,"*"&amp;Table1[[#This Row],[Name]]&amp;"*")</f>
        <v>1</v>
      </c>
      <c r="C1220" s="8">
        <f>COUNTIFS('All Papers'!$D:$D,"*"&amp;$A1220&amp;"*",'All Papers'!$G:$G,"*"&amp;Table1[[#Headers],[Composition]]&amp;"*")</f>
        <v>0</v>
      </c>
      <c r="D1220" s="8">
        <f>COUNTIFS('All Papers'!$D:$D,"*"&amp;$A1220&amp;"*",'All Papers'!$G:$G,"*"&amp;Table1[[#Headers],[Discovery]]&amp;"*")</f>
        <v>0</v>
      </c>
      <c r="E1220" s="8">
        <f>COUNTIFS('All Papers'!$D:$D,"*"&amp;$A1220&amp;"*",'All Papers'!$G:$G,"*"&amp;Table1[[#Headers],[Selection]]&amp;"*")</f>
        <v>1</v>
      </c>
      <c r="F1220" s="8">
        <f>COUNTIFS('All Papers'!$D:$D,"*"&amp;$A1220&amp;"*",'All Papers'!$G:$G,"*"&amp;Table1[[#Headers],[Recommendation]]&amp;"*")</f>
        <v>0</v>
      </c>
      <c r="G1220" s="8">
        <f>COUNTIFS('All Papers'!$D:$D,"*"&amp;$A1220&amp;"*",'All Papers'!$G:$G,"*"&amp;Table1[[#Headers],[Resource Management-CS]]&amp;"*")</f>
        <v>0</v>
      </c>
      <c r="H1220" s="8">
        <f>COUNTIFS('All Papers'!$D:$D,"*"&amp;$A1220&amp;"*",'All Papers'!$G:$G,"*"&amp;Table1[[#Headers],[Resource Management-PS]]&amp;"*")</f>
        <v>0</v>
      </c>
      <c r="I1220" s="8">
        <f>COUNTIFS('All Papers'!$D:$D,"*"&amp;$A1220&amp;"*",'All Papers'!$G:$G,"*"&amp;Table1[[#Headers],[SLA Management]]&amp;"*")</f>
        <v>0</v>
      </c>
      <c r="J1220" s="8">
        <f>COUNTIFS('All Papers'!$D:$D,"*"&amp;$A1220&amp;"*",'All Papers'!$G:$G,"*"&amp;Table1[[#Headers],[Big Data]]&amp;"*")</f>
        <v>0</v>
      </c>
      <c r="K1220" s="8">
        <f>COUNTIFS('All Papers'!$D:$D,"*"&amp;$A1220&amp;"*",'All Papers'!$G:$G,"*"&amp;Table1[[#Headers],[Energy Management]]&amp;"*")</f>
        <v>0</v>
      </c>
      <c r="L1220" s="8">
        <f>COUNTIFS('All Papers'!$D:$D,"*"&amp;$A1220&amp;"*",'All Papers'!$G:$G,"*"&amp;Table1[[#Headers],[Monitoring]]&amp;"*")</f>
        <v>0</v>
      </c>
      <c r="M1220" s="8">
        <f>COUNTIFS('All Papers'!$D:$D,"*"&amp;$A1220&amp;"*",'All Papers'!$G:$G,"*"&amp;Table1[[#Headers],[Pricing]]&amp;"*")</f>
        <v>0</v>
      </c>
    </row>
    <row r="1221" spans="1:13" x14ac:dyDescent="0.25">
      <c r="A1221" s="8" t="s">
        <v>3654</v>
      </c>
      <c r="B1221" s="8">
        <f>COUNTIF('All Papers'!D:D,"*"&amp;Table1[[#This Row],[Name]]&amp;"*")</f>
        <v>1</v>
      </c>
      <c r="C1221" s="8">
        <f>COUNTIFS('All Papers'!$D:$D,"*"&amp;$A1221&amp;"*",'All Papers'!$G:$G,"*"&amp;Table1[[#Headers],[Composition]]&amp;"*")</f>
        <v>0</v>
      </c>
      <c r="D1221" s="8">
        <f>COUNTIFS('All Papers'!$D:$D,"*"&amp;$A1221&amp;"*",'All Papers'!$G:$G,"*"&amp;Table1[[#Headers],[Discovery]]&amp;"*")</f>
        <v>0</v>
      </c>
      <c r="E1221" s="8">
        <f>COUNTIFS('All Papers'!$D:$D,"*"&amp;$A1221&amp;"*",'All Papers'!$G:$G,"*"&amp;Table1[[#Headers],[Selection]]&amp;"*")</f>
        <v>0</v>
      </c>
      <c r="F1221" s="8">
        <f>COUNTIFS('All Papers'!$D:$D,"*"&amp;$A1221&amp;"*",'All Papers'!$G:$G,"*"&amp;Table1[[#Headers],[Recommendation]]&amp;"*")</f>
        <v>0</v>
      </c>
      <c r="G1221" s="8">
        <f>COUNTIFS('All Papers'!$D:$D,"*"&amp;$A1221&amp;"*",'All Papers'!$G:$G,"*"&amp;Table1[[#Headers],[Resource Management-CS]]&amp;"*")</f>
        <v>0</v>
      </c>
      <c r="H1221" s="8">
        <f>COUNTIFS('All Papers'!$D:$D,"*"&amp;$A1221&amp;"*",'All Papers'!$G:$G,"*"&amp;Table1[[#Headers],[Resource Management-PS]]&amp;"*")</f>
        <v>1</v>
      </c>
      <c r="I1221" s="8">
        <f>COUNTIFS('All Papers'!$D:$D,"*"&amp;$A1221&amp;"*",'All Papers'!$G:$G,"*"&amp;Table1[[#Headers],[SLA Management]]&amp;"*")</f>
        <v>0</v>
      </c>
      <c r="J1221" s="8">
        <f>COUNTIFS('All Papers'!$D:$D,"*"&amp;$A1221&amp;"*",'All Papers'!$G:$G,"*"&amp;Table1[[#Headers],[Big Data]]&amp;"*")</f>
        <v>0</v>
      </c>
      <c r="K1221" s="8">
        <f>COUNTIFS('All Papers'!$D:$D,"*"&amp;$A1221&amp;"*",'All Papers'!$G:$G,"*"&amp;Table1[[#Headers],[Energy Management]]&amp;"*")</f>
        <v>0</v>
      </c>
      <c r="L1221" s="8">
        <f>COUNTIFS('All Papers'!$D:$D,"*"&amp;$A1221&amp;"*",'All Papers'!$G:$G,"*"&amp;Table1[[#Headers],[Monitoring]]&amp;"*")</f>
        <v>0</v>
      </c>
      <c r="M1221" s="8">
        <f>COUNTIFS('All Papers'!$D:$D,"*"&amp;$A1221&amp;"*",'All Papers'!$G:$G,"*"&amp;Table1[[#Headers],[Pricing]]&amp;"*")</f>
        <v>1</v>
      </c>
    </row>
    <row r="1222" spans="1:13" x14ac:dyDescent="0.25">
      <c r="A1222" s="8" t="s">
        <v>3655</v>
      </c>
      <c r="B1222" s="8">
        <f>COUNTIF('All Papers'!D:D,"*"&amp;Table1[[#This Row],[Name]]&amp;"*")</f>
        <v>1</v>
      </c>
      <c r="C1222" s="8">
        <f>COUNTIFS('All Papers'!$D:$D,"*"&amp;$A1222&amp;"*",'All Papers'!$G:$G,"*"&amp;Table1[[#Headers],[Composition]]&amp;"*")</f>
        <v>0</v>
      </c>
      <c r="D1222" s="8">
        <f>COUNTIFS('All Papers'!$D:$D,"*"&amp;$A1222&amp;"*",'All Papers'!$G:$G,"*"&amp;Table1[[#Headers],[Discovery]]&amp;"*")</f>
        <v>0</v>
      </c>
      <c r="E1222" s="8">
        <f>COUNTIFS('All Papers'!$D:$D,"*"&amp;$A1222&amp;"*",'All Papers'!$G:$G,"*"&amp;Table1[[#Headers],[Selection]]&amp;"*")</f>
        <v>0</v>
      </c>
      <c r="F1222" s="8">
        <f>COUNTIFS('All Papers'!$D:$D,"*"&amp;$A1222&amp;"*",'All Papers'!$G:$G,"*"&amp;Table1[[#Headers],[Recommendation]]&amp;"*")</f>
        <v>0</v>
      </c>
      <c r="G1222" s="8">
        <f>COUNTIFS('All Papers'!$D:$D,"*"&amp;$A1222&amp;"*",'All Papers'!$G:$G,"*"&amp;Table1[[#Headers],[Resource Management-CS]]&amp;"*")</f>
        <v>0</v>
      </c>
      <c r="H1222" s="8">
        <f>COUNTIFS('All Papers'!$D:$D,"*"&amp;$A1222&amp;"*",'All Papers'!$G:$G,"*"&amp;Table1[[#Headers],[Resource Management-PS]]&amp;"*")</f>
        <v>1</v>
      </c>
      <c r="I1222" s="8">
        <f>COUNTIFS('All Papers'!$D:$D,"*"&amp;$A1222&amp;"*",'All Papers'!$G:$G,"*"&amp;Table1[[#Headers],[SLA Management]]&amp;"*")</f>
        <v>0</v>
      </c>
      <c r="J1222" s="8">
        <f>COUNTIFS('All Papers'!$D:$D,"*"&amp;$A1222&amp;"*",'All Papers'!$G:$G,"*"&amp;Table1[[#Headers],[Big Data]]&amp;"*")</f>
        <v>0</v>
      </c>
      <c r="K1222" s="8">
        <f>COUNTIFS('All Papers'!$D:$D,"*"&amp;$A1222&amp;"*",'All Papers'!$G:$G,"*"&amp;Table1[[#Headers],[Energy Management]]&amp;"*")</f>
        <v>0</v>
      </c>
      <c r="L1222" s="8">
        <f>COUNTIFS('All Papers'!$D:$D,"*"&amp;$A1222&amp;"*",'All Papers'!$G:$G,"*"&amp;Table1[[#Headers],[Monitoring]]&amp;"*")</f>
        <v>0</v>
      </c>
      <c r="M1222" s="8">
        <f>COUNTIFS('All Papers'!$D:$D,"*"&amp;$A1222&amp;"*",'All Papers'!$G:$G,"*"&amp;Table1[[#Headers],[Pricing]]&amp;"*")</f>
        <v>1</v>
      </c>
    </row>
    <row r="1223" spans="1:13" x14ac:dyDescent="0.25">
      <c r="A1223" s="8" t="s">
        <v>3656</v>
      </c>
      <c r="B1223" s="8">
        <f>COUNTIF('All Papers'!D:D,"*"&amp;Table1[[#This Row],[Name]]&amp;"*")</f>
        <v>1</v>
      </c>
      <c r="C1223" s="8">
        <f>COUNTIFS('All Papers'!$D:$D,"*"&amp;$A1223&amp;"*",'All Papers'!$G:$G,"*"&amp;Table1[[#Headers],[Composition]]&amp;"*")</f>
        <v>0</v>
      </c>
      <c r="D1223" s="8">
        <f>COUNTIFS('All Papers'!$D:$D,"*"&amp;$A1223&amp;"*",'All Papers'!$G:$G,"*"&amp;Table1[[#Headers],[Discovery]]&amp;"*")</f>
        <v>0</v>
      </c>
      <c r="E1223" s="8">
        <f>COUNTIFS('All Papers'!$D:$D,"*"&amp;$A1223&amp;"*",'All Papers'!$G:$G,"*"&amp;Table1[[#Headers],[Selection]]&amp;"*")</f>
        <v>0</v>
      </c>
      <c r="F1223" s="8">
        <f>COUNTIFS('All Papers'!$D:$D,"*"&amp;$A1223&amp;"*",'All Papers'!$G:$G,"*"&amp;Table1[[#Headers],[Recommendation]]&amp;"*")</f>
        <v>0</v>
      </c>
      <c r="G1223" s="8">
        <f>COUNTIFS('All Papers'!$D:$D,"*"&amp;$A1223&amp;"*",'All Papers'!$G:$G,"*"&amp;Table1[[#Headers],[Resource Management-CS]]&amp;"*")</f>
        <v>0</v>
      </c>
      <c r="H1223" s="8">
        <f>COUNTIFS('All Papers'!$D:$D,"*"&amp;$A1223&amp;"*",'All Papers'!$G:$G,"*"&amp;Table1[[#Headers],[Resource Management-PS]]&amp;"*")</f>
        <v>1</v>
      </c>
      <c r="I1223" s="8">
        <f>COUNTIFS('All Papers'!$D:$D,"*"&amp;$A1223&amp;"*",'All Papers'!$G:$G,"*"&amp;Table1[[#Headers],[SLA Management]]&amp;"*")</f>
        <v>0</v>
      </c>
      <c r="J1223" s="8">
        <f>COUNTIFS('All Papers'!$D:$D,"*"&amp;$A1223&amp;"*",'All Papers'!$G:$G,"*"&amp;Table1[[#Headers],[Big Data]]&amp;"*")</f>
        <v>0</v>
      </c>
      <c r="K1223" s="8">
        <f>COUNTIFS('All Papers'!$D:$D,"*"&amp;$A1223&amp;"*",'All Papers'!$G:$G,"*"&amp;Table1[[#Headers],[Energy Management]]&amp;"*")</f>
        <v>0</v>
      </c>
      <c r="L1223" s="8">
        <f>COUNTIFS('All Papers'!$D:$D,"*"&amp;$A1223&amp;"*",'All Papers'!$G:$G,"*"&amp;Table1[[#Headers],[Monitoring]]&amp;"*")</f>
        <v>0</v>
      </c>
      <c r="M1223" s="8">
        <f>COUNTIFS('All Papers'!$D:$D,"*"&amp;$A1223&amp;"*",'All Papers'!$G:$G,"*"&amp;Table1[[#Headers],[Pricing]]&amp;"*")</f>
        <v>1</v>
      </c>
    </row>
    <row r="1224" spans="1:13" x14ac:dyDescent="0.25">
      <c r="A1224" s="8" t="s">
        <v>3657</v>
      </c>
      <c r="B1224" s="8">
        <f>COUNTIF('All Papers'!D:D,"*"&amp;Table1[[#This Row],[Name]]&amp;"*")</f>
        <v>1</v>
      </c>
      <c r="C1224" s="8">
        <f>COUNTIFS('All Papers'!$D:$D,"*"&amp;$A1224&amp;"*",'All Papers'!$G:$G,"*"&amp;Table1[[#Headers],[Composition]]&amp;"*")</f>
        <v>0</v>
      </c>
      <c r="D1224" s="8">
        <f>COUNTIFS('All Papers'!$D:$D,"*"&amp;$A1224&amp;"*",'All Papers'!$G:$G,"*"&amp;Table1[[#Headers],[Discovery]]&amp;"*")</f>
        <v>0</v>
      </c>
      <c r="E1224" s="8">
        <f>COUNTIFS('All Papers'!$D:$D,"*"&amp;$A1224&amp;"*",'All Papers'!$G:$G,"*"&amp;Table1[[#Headers],[Selection]]&amp;"*")</f>
        <v>0</v>
      </c>
      <c r="F1224" s="8">
        <f>COUNTIFS('All Papers'!$D:$D,"*"&amp;$A1224&amp;"*",'All Papers'!$G:$G,"*"&amp;Table1[[#Headers],[Recommendation]]&amp;"*")</f>
        <v>0</v>
      </c>
      <c r="G1224" s="8">
        <f>COUNTIFS('All Papers'!$D:$D,"*"&amp;$A1224&amp;"*",'All Papers'!$G:$G,"*"&amp;Table1[[#Headers],[Resource Management-CS]]&amp;"*")</f>
        <v>0</v>
      </c>
      <c r="H1224" s="8">
        <f>COUNTIFS('All Papers'!$D:$D,"*"&amp;$A1224&amp;"*",'All Papers'!$G:$G,"*"&amp;Table1[[#Headers],[Resource Management-PS]]&amp;"*")</f>
        <v>1</v>
      </c>
      <c r="I1224" s="8">
        <f>COUNTIFS('All Papers'!$D:$D,"*"&amp;$A1224&amp;"*",'All Papers'!$G:$G,"*"&amp;Table1[[#Headers],[SLA Management]]&amp;"*")</f>
        <v>0</v>
      </c>
      <c r="J1224" s="8">
        <f>COUNTIFS('All Papers'!$D:$D,"*"&amp;$A1224&amp;"*",'All Papers'!$G:$G,"*"&amp;Table1[[#Headers],[Big Data]]&amp;"*")</f>
        <v>0</v>
      </c>
      <c r="K1224" s="8">
        <f>COUNTIFS('All Papers'!$D:$D,"*"&amp;$A1224&amp;"*",'All Papers'!$G:$G,"*"&amp;Table1[[#Headers],[Energy Management]]&amp;"*")</f>
        <v>0</v>
      </c>
      <c r="L1224" s="8">
        <f>COUNTIFS('All Papers'!$D:$D,"*"&amp;$A1224&amp;"*",'All Papers'!$G:$G,"*"&amp;Table1[[#Headers],[Monitoring]]&amp;"*")</f>
        <v>0</v>
      </c>
      <c r="M1224" s="8">
        <f>COUNTIFS('All Papers'!$D:$D,"*"&amp;$A1224&amp;"*",'All Papers'!$G:$G,"*"&amp;Table1[[#Headers],[Pricing]]&amp;"*")</f>
        <v>0</v>
      </c>
    </row>
    <row r="1225" spans="1:13" x14ac:dyDescent="0.25">
      <c r="A1225" s="8" t="s">
        <v>3658</v>
      </c>
      <c r="B1225" s="8">
        <f>COUNTIF('All Papers'!D:D,"*"&amp;Table1[[#This Row],[Name]]&amp;"*")</f>
        <v>1</v>
      </c>
      <c r="C1225" s="8">
        <f>COUNTIFS('All Papers'!$D:$D,"*"&amp;$A1225&amp;"*",'All Papers'!$G:$G,"*"&amp;Table1[[#Headers],[Composition]]&amp;"*")</f>
        <v>0</v>
      </c>
      <c r="D1225" s="8">
        <f>COUNTIFS('All Papers'!$D:$D,"*"&amp;$A1225&amp;"*",'All Papers'!$G:$G,"*"&amp;Table1[[#Headers],[Discovery]]&amp;"*")</f>
        <v>0</v>
      </c>
      <c r="E1225" s="8">
        <f>COUNTIFS('All Papers'!$D:$D,"*"&amp;$A1225&amp;"*",'All Papers'!$G:$G,"*"&amp;Table1[[#Headers],[Selection]]&amp;"*")</f>
        <v>0</v>
      </c>
      <c r="F1225" s="8">
        <f>COUNTIFS('All Papers'!$D:$D,"*"&amp;$A1225&amp;"*",'All Papers'!$G:$G,"*"&amp;Table1[[#Headers],[Recommendation]]&amp;"*")</f>
        <v>0</v>
      </c>
      <c r="G1225" s="8">
        <f>COUNTIFS('All Papers'!$D:$D,"*"&amp;$A1225&amp;"*",'All Papers'!$G:$G,"*"&amp;Table1[[#Headers],[Resource Management-CS]]&amp;"*")</f>
        <v>0</v>
      </c>
      <c r="H1225" s="8">
        <f>COUNTIFS('All Papers'!$D:$D,"*"&amp;$A1225&amp;"*",'All Papers'!$G:$G,"*"&amp;Table1[[#Headers],[Resource Management-PS]]&amp;"*")</f>
        <v>1</v>
      </c>
      <c r="I1225" s="8">
        <f>COUNTIFS('All Papers'!$D:$D,"*"&amp;$A1225&amp;"*",'All Papers'!$G:$G,"*"&amp;Table1[[#Headers],[SLA Management]]&amp;"*")</f>
        <v>0</v>
      </c>
      <c r="J1225" s="8">
        <f>COUNTIFS('All Papers'!$D:$D,"*"&amp;$A1225&amp;"*",'All Papers'!$G:$G,"*"&amp;Table1[[#Headers],[Big Data]]&amp;"*")</f>
        <v>0</v>
      </c>
      <c r="K1225" s="8">
        <f>COUNTIFS('All Papers'!$D:$D,"*"&amp;$A1225&amp;"*",'All Papers'!$G:$G,"*"&amp;Table1[[#Headers],[Energy Management]]&amp;"*")</f>
        <v>0</v>
      </c>
      <c r="L1225" s="8">
        <f>COUNTIFS('All Papers'!$D:$D,"*"&amp;$A1225&amp;"*",'All Papers'!$G:$G,"*"&amp;Table1[[#Headers],[Monitoring]]&amp;"*")</f>
        <v>0</v>
      </c>
      <c r="M1225" s="8">
        <f>COUNTIFS('All Papers'!$D:$D,"*"&amp;$A1225&amp;"*",'All Papers'!$G:$G,"*"&amp;Table1[[#Headers],[Pricing]]&amp;"*")</f>
        <v>0</v>
      </c>
    </row>
    <row r="1226" spans="1:13" x14ac:dyDescent="0.25">
      <c r="A1226" s="8" t="s">
        <v>3659</v>
      </c>
      <c r="B1226" s="8">
        <f>COUNTIF('All Papers'!D:D,"*"&amp;Table1[[#This Row],[Name]]&amp;"*")</f>
        <v>1</v>
      </c>
      <c r="C1226" s="8">
        <f>COUNTIFS('All Papers'!$D:$D,"*"&amp;$A1226&amp;"*",'All Papers'!$G:$G,"*"&amp;Table1[[#Headers],[Composition]]&amp;"*")</f>
        <v>0</v>
      </c>
      <c r="D1226" s="8">
        <f>COUNTIFS('All Papers'!$D:$D,"*"&amp;$A1226&amp;"*",'All Papers'!$G:$G,"*"&amp;Table1[[#Headers],[Discovery]]&amp;"*")</f>
        <v>0</v>
      </c>
      <c r="E1226" s="8">
        <f>COUNTIFS('All Papers'!$D:$D,"*"&amp;$A1226&amp;"*",'All Papers'!$G:$G,"*"&amp;Table1[[#Headers],[Selection]]&amp;"*")</f>
        <v>0</v>
      </c>
      <c r="F1226" s="8">
        <f>COUNTIFS('All Papers'!$D:$D,"*"&amp;$A1226&amp;"*",'All Papers'!$G:$G,"*"&amp;Table1[[#Headers],[Recommendation]]&amp;"*")</f>
        <v>0</v>
      </c>
      <c r="G1226" s="8">
        <f>COUNTIFS('All Papers'!$D:$D,"*"&amp;$A1226&amp;"*",'All Papers'!$G:$G,"*"&amp;Table1[[#Headers],[Resource Management-CS]]&amp;"*")</f>
        <v>0</v>
      </c>
      <c r="H1226" s="8">
        <f>COUNTIFS('All Papers'!$D:$D,"*"&amp;$A1226&amp;"*",'All Papers'!$G:$G,"*"&amp;Table1[[#Headers],[Resource Management-PS]]&amp;"*")</f>
        <v>1</v>
      </c>
      <c r="I1226" s="8">
        <f>COUNTIFS('All Papers'!$D:$D,"*"&amp;$A1226&amp;"*",'All Papers'!$G:$G,"*"&amp;Table1[[#Headers],[SLA Management]]&amp;"*")</f>
        <v>0</v>
      </c>
      <c r="J1226" s="8">
        <f>COUNTIFS('All Papers'!$D:$D,"*"&amp;$A1226&amp;"*",'All Papers'!$G:$G,"*"&amp;Table1[[#Headers],[Big Data]]&amp;"*")</f>
        <v>0</v>
      </c>
      <c r="K1226" s="8">
        <f>COUNTIFS('All Papers'!$D:$D,"*"&amp;$A1226&amp;"*",'All Papers'!$G:$G,"*"&amp;Table1[[#Headers],[Energy Management]]&amp;"*")</f>
        <v>0</v>
      </c>
      <c r="L1226" s="8">
        <f>COUNTIFS('All Papers'!$D:$D,"*"&amp;$A1226&amp;"*",'All Papers'!$G:$G,"*"&amp;Table1[[#Headers],[Monitoring]]&amp;"*")</f>
        <v>0</v>
      </c>
      <c r="M1226" s="8">
        <f>COUNTIFS('All Papers'!$D:$D,"*"&amp;$A1226&amp;"*",'All Papers'!$G:$G,"*"&amp;Table1[[#Headers],[Pricing]]&amp;"*")</f>
        <v>0</v>
      </c>
    </row>
    <row r="1227" spans="1:13" x14ac:dyDescent="0.25">
      <c r="A1227" s="8" t="s">
        <v>3660</v>
      </c>
      <c r="B1227" s="8">
        <f>COUNTIF('All Papers'!D:D,"*"&amp;Table1[[#This Row],[Name]]&amp;"*")</f>
        <v>1</v>
      </c>
      <c r="C1227" s="8">
        <f>COUNTIFS('All Papers'!$D:$D,"*"&amp;$A1227&amp;"*",'All Papers'!$G:$G,"*"&amp;Table1[[#Headers],[Composition]]&amp;"*")</f>
        <v>0</v>
      </c>
      <c r="D1227" s="8">
        <f>COUNTIFS('All Papers'!$D:$D,"*"&amp;$A1227&amp;"*",'All Papers'!$G:$G,"*"&amp;Table1[[#Headers],[Discovery]]&amp;"*")</f>
        <v>0</v>
      </c>
      <c r="E1227" s="8">
        <f>COUNTIFS('All Papers'!$D:$D,"*"&amp;$A1227&amp;"*",'All Papers'!$G:$G,"*"&amp;Table1[[#Headers],[Selection]]&amp;"*")</f>
        <v>0</v>
      </c>
      <c r="F1227" s="8">
        <f>COUNTIFS('All Papers'!$D:$D,"*"&amp;$A1227&amp;"*",'All Papers'!$G:$G,"*"&amp;Table1[[#Headers],[Recommendation]]&amp;"*")</f>
        <v>0</v>
      </c>
      <c r="G1227" s="8">
        <f>COUNTIFS('All Papers'!$D:$D,"*"&amp;$A1227&amp;"*",'All Papers'!$G:$G,"*"&amp;Table1[[#Headers],[Resource Management-CS]]&amp;"*")</f>
        <v>0</v>
      </c>
      <c r="H1227" s="8">
        <f>COUNTIFS('All Papers'!$D:$D,"*"&amp;$A1227&amp;"*",'All Papers'!$G:$G,"*"&amp;Table1[[#Headers],[Resource Management-PS]]&amp;"*")</f>
        <v>1</v>
      </c>
      <c r="I1227" s="8">
        <f>COUNTIFS('All Papers'!$D:$D,"*"&amp;$A1227&amp;"*",'All Papers'!$G:$G,"*"&amp;Table1[[#Headers],[SLA Management]]&amp;"*")</f>
        <v>0</v>
      </c>
      <c r="J1227" s="8">
        <f>COUNTIFS('All Papers'!$D:$D,"*"&amp;$A1227&amp;"*",'All Papers'!$G:$G,"*"&amp;Table1[[#Headers],[Big Data]]&amp;"*")</f>
        <v>0</v>
      </c>
      <c r="K1227" s="8">
        <f>COUNTIFS('All Papers'!$D:$D,"*"&amp;$A1227&amp;"*",'All Papers'!$G:$G,"*"&amp;Table1[[#Headers],[Energy Management]]&amp;"*")</f>
        <v>0</v>
      </c>
      <c r="L1227" s="8">
        <f>COUNTIFS('All Papers'!$D:$D,"*"&amp;$A1227&amp;"*",'All Papers'!$G:$G,"*"&amp;Table1[[#Headers],[Monitoring]]&amp;"*")</f>
        <v>0</v>
      </c>
      <c r="M1227" s="8">
        <f>COUNTIFS('All Papers'!$D:$D,"*"&amp;$A1227&amp;"*",'All Papers'!$G:$G,"*"&amp;Table1[[#Headers],[Pricing]]&amp;"*")</f>
        <v>0</v>
      </c>
    </row>
    <row r="1228" spans="1:13" x14ac:dyDescent="0.25">
      <c r="A1228" s="8" t="s">
        <v>3661</v>
      </c>
      <c r="B1228" s="8">
        <f>COUNTIF('All Papers'!D:D,"*"&amp;Table1[[#This Row],[Name]]&amp;"*")</f>
        <v>1</v>
      </c>
      <c r="C1228" s="8">
        <f>COUNTIFS('All Papers'!$D:$D,"*"&amp;$A1228&amp;"*",'All Papers'!$G:$G,"*"&amp;Table1[[#Headers],[Composition]]&amp;"*")</f>
        <v>0</v>
      </c>
      <c r="D1228" s="8">
        <f>COUNTIFS('All Papers'!$D:$D,"*"&amp;$A1228&amp;"*",'All Papers'!$G:$G,"*"&amp;Table1[[#Headers],[Discovery]]&amp;"*")</f>
        <v>0</v>
      </c>
      <c r="E1228" s="8">
        <f>COUNTIFS('All Papers'!$D:$D,"*"&amp;$A1228&amp;"*",'All Papers'!$G:$G,"*"&amp;Table1[[#Headers],[Selection]]&amp;"*")</f>
        <v>0</v>
      </c>
      <c r="F1228" s="8">
        <f>COUNTIFS('All Papers'!$D:$D,"*"&amp;$A1228&amp;"*",'All Papers'!$G:$G,"*"&amp;Table1[[#Headers],[Recommendation]]&amp;"*")</f>
        <v>0</v>
      </c>
      <c r="G1228" s="8">
        <f>COUNTIFS('All Papers'!$D:$D,"*"&amp;$A1228&amp;"*",'All Papers'!$G:$G,"*"&amp;Table1[[#Headers],[Resource Management-CS]]&amp;"*")</f>
        <v>0</v>
      </c>
      <c r="H1228" s="8">
        <f>COUNTIFS('All Papers'!$D:$D,"*"&amp;$A1228&amp;"*",'All Papers'!$G:$G,"*"&amp;Table1[[#Headers],[Resource Management-PS]]&amp;"*")</f>
        <v>1</v>
      </c>
      <c r="I1228" s="8">
        <f>COUNTIFS('All Papers'!$D:$D,"*"&amp;$A1228&amp;"*",'All Papers'!$G:$G,"*"&amp;Table1[[#Headers],[SLA Management]]&amp;"*")</f>
        <v>0</v>
      </c>
      <c r="J1228" s="8">
        <f>COUNTIFS('All Papers'!$D:$D,"*"&amp;$A1228&amp;"*",'All Papers'!$G:$G,"*"&amp;Table1[[#Headers],[Big Data]]&amp;"*")</f>
        <v>0</v>
      </c>
      <c r="K1228" s="8">
        <f>COUNTIFS('All Papers'!$D:$D,"*"&amp;$A1228&amp;"*",'All Papers'!$G:$G,"*"&amp;Table1[[#Headers],[Energy Management]]&amp;"*")</f>
        <v>0</v>
      </c>
      <c r="L1228" s="8">
        <f>COUNTIFS('All Papers'!$D:$D,"*"&amp;$A1228&amp;"*",'All Papers'!$G:$G,"*"&amp;Table1[[#Headers],[Monitoring]]&amp;"*")</f>
        <v>0</v>
      </c>
      <c r="M1228" s="8">
        <f>COUNTIFS('All Papers'!$D:$D,"*"&amp;$A1228&amp;"*",'All Papers'!$G:$G,"*"&amp;Table1[[#Headers],[Pricing]]&amp;"*")</f>
        <v>0</v>
      </c>
    </row>
    <row r="1229" spans="1:13" x14ac:dyDescent="0.25">
      <c r="A1229" s="8" t="s">
        <v>3662</v>
      </c>
      <c r="B1229" s="8">
        <f>COUNTIF('All Papers'!D:D,"*"&amp;Table1[[#This Row],[Name]]&amp;"*")</f>
        <v>1</v>
      </c>
      <c r="C1229" s="8">
        <f>COUNTIFS('All Papers'!$D:$D,"*"&amp;$A1229&amp;"*",'All Papers'!$G:$G,"*"&amp;Table1[[#Headers],[Composition]]&amp;"*")</f>
        <v>0</v>
      </c>
      <c r="D1229" s="8">
        <f>COUNTIFS('All Papers'!$D:$D,"*"&amp;$A1229&amp;"*",'All Papers'!$G:$G,"*"&amp;Table1[[#Headers],[Discovery]]&amp;"*")</f>
        <v>0</v>
      </c>
      <c r="E1229" s="8">
        <f>COUNTIFS('All Papers'!$D:$D,"*"&amp;$A1229&amp;"*",'All Papers'!$G:$G,"*"&amp;Table1[[#Headers],[Selection]]&amp;"*")</f>
        <v>0</v>
      </c>
      <c r="F1229" s="8">
        <f>COUNTIFS('All Papers'!$D:$D,"*"&amp;$A1229&amp;"*",'All Papers'!$G:$G,"*"&amp;Table1[[#Headers],[Recommendation]]&amp;"*")</f>
        <v>0</v>
      </c>
      <c r="G1229" s="8">
        <f>COUNTIFS('All Papers'!$D:$D,"*"&amp;$A1229&amp;"*",'All Papers'!$G:$G,"*"&amp;Table1[[#Headers],[Resource Management-CS]]&amp;"*")</f>
        <v>0</v>
      </c>
      <c r="H1229" s="8">
        <f>COUNTIFS('All Papers'!$D:$D,"*"&amp;$A1229&amp;"*",'All Papers'!$G:$G,"*"&amp;Table1[[#Headers],[Resource Management-PS]]&amp;"*")</f>
        <v>1</v>
      </c>
      <c r="I1229" s="8">
        <f>COUNTIFS('All Papers'!$D:$D,"*"&amp;$A1229&amp;"*",'All Papers'!$G:$G,"*"&amp;Table1[[#Headers],[SLA Management]]&amp;"*")</f>
        <v>0</v>
      </c>
      <c r="J1229" s="8">
        <f>COUNTIFS('All Papers'!$D:$D,"*"&amp;$A1229&amp;"*",'All Papers'!$G:$G,"*"&amp;Table1[[#Headers],[Big Data]]&amp;"*")</f>
        <v>0</v>
      </c>
      <c r="K1229" s="8">
        <f>COUNTIFS('All Papers'!$D:$D,"*"&amp;$A1229&amp;"*",'All Papers'!$G:$G,"*"&amp;Table1[[#Headers],[Energy Management]]&amp;"*")</f>
        <v>0</v>
      </c>
      <c r="L1229" s="8">
        <f>COUNTIFS('All Papers'!$D:$D,"*"&amp;$A1229&amp;"*",'All Papers'!$G:$G,"*"&amp;Table1[[#Headers],[Monitoring]]&amp;"*")</f>
        <v>0</v>
      </c>
      <c r="M1229" s="8">
        <f>COUNTIFS('All Papers'!$D:$D,"*"&amp;$A1229&amp;"*",'All Papers'!$G:$G,"*"&amp;Table1[[#Headers],[Pricing]]&amp;"*")</f>
        <v>0</v>
      </c>
    </row>
    <row r="1230" spans="1:13" x14ac:dyDescent="0.25">
      <c r="A1230" s="8" t="s">
        <v>3663</v>
      </c>
      <c r="B1230" s="8">
        <f>COUNTIF('All Papers'!D:D,"*"&amp;Table1[[#This Row],[Name]]&amp;"*")</f>
        <v>1</v>
      </c>
      <c r="C1230" s="8">
        <f>COUNTIFS('All Papers'!$D:$D,"*"&amp;$A1230&amp;"*",'All Papers'!$G:$G,"*"&amp;Table1[[#Headers],[Composition]]&amp;"*")</f>
        <v>0</v>
      </c>
      <c r="D1230" s="8">
        <f>COUNTIFS('All Papers'!$D:$D,"*"&amp;$A1230&amp;"*",'All Papers'!$G:$G,"*"&amp;Table1[[#Headers],[Discovery]]&amp;"*")</f>
        <v>0</v>
      </c>
      <c r="E1230" s="8">
        <f>COUNTIFS('All Papers'!$D:$D,"*"&amp;$A1230&amp;"*",'All Papers'!$G:$G,"*"&amp;Table1[[#Headers],[Selection]]&amp;"*")</f>
        <v>0</v>
      </c>
      <c r="F1230" s="8">
        <f>COUNTIFS('All Papers'!$D:$D,"*"&amp;$A1230&amp;"*",'All Papers'!$G:$G,"*"&amp;Table1[[#Headers],[Recommendation]]&amp;"*")</f>
        <v>0</v>
      </c>
      <c r="G1230" s="8">
        <f>COUNTIFS('All Papers'!$D:$D,"*"&amp;$A1230&amp;"*",'All Papers'!$G:$G,"*"&amp;Table1[[#Headers],[Resource Management-CS]]&amp;"*")</f>
        <v>0</v>
      </c>
      <c r="H1230" s="8">
        <f>COUNTIFS('All Papers'!$D:$D,"*"&amp;$A1230&amp;"*",'All Papers'!$G:$G,"*"&amp;Table1[[#Headers],[Resource Management-PS]]&amp;"*")</f>
        <v>1</v>
      </c>
      <c r="I1230" s="8">
        <f>COUNTIFS('All Papers'!$D:$D,"*"&amp;$A1230&amp;"*",'All Papers'!$G:$G,"*"&amp;Table1[[#Headers],[SLA Management]]&amp;"*")</f>
        <v>0</v>
      </c>
      <c r="J1230" s="8">
        <f>COUNTIFS('All Papers'!$D:$D,"*"&amp;$A1230&amp;"*",'All Papers'!$G:$G,"*"&amp;Table1[[#Headers],[Big Data]]&amp;"*")</f>
        <v>0</v>
      </c>
      <c r="K1230" s="8">
        <f>COUNTIFS('All Papers'!$D:$D,"*"&amp;$A1230&amp;"*",'All Papers'!$G:$G,"*"&amp;Table1[[#Headers],[Energy Management]]&amp;"*")</f>
        <v>0</v>
      </c>
      <c r="L1230" s="8">
        <f>COUNTIFS('All Papers'!$D:$D,"*"&amp;$A1230&amp;"*",'All Papers'!$G:$G,"*"&amp;Table1[[#Headers],[Monitoring]]&amp;"*")</f>
        <v>0</v>
      </c>
      <c r="M1230" s="8">
        <f>COUNTIFS('All Papers'!$D:$D,"*"&amp;$A1230&amp;"*",'All Papers'!$G:$G,"*"&amp;Table1[[#Headers],[Pricing]]&amp;"*")</f>
        <v>0</v>
      </c>
    </row>
    <row r="1231" spans="1:13" x14ac:dyDescent="0.25">
      <c r="A1231" s="8" t="s">
        <v>3664</v>
      </c>
      <c r="B1231" s="8">
        <f>COUNTIF('All Papers'!D:D,"*"&amp;Table1[[#This Row],[Name]]&amp;"*")</f>
        <v>1</v>
      </c>
      <c r="C1231" s="8">
        <f>COUNTIFS('All Papers'!$D:$D,"*"&amp;$A1231&amp;"*",'All Papers'!$G:$G,"*"&amp;Table1[[#Headers],[Composition]]&amp;"*")</f>
        <v>0</v>
      </c>
      <c r="D1231" s="8">
        <f>COUNTIFS('All Papers'!$D:$D,"*"&amp;$A1231&amp;"*",'All Papers'!$G:$G,"*"&amp;Table1[[#Headers],[Discovery]]&amp;"*")</f>
        <v>0</v>
      </c>
      <c r="E1231" s="8">
        <f>COUNTIFS('All Papers'!$D:$D,"*"&amp;$A1231&amp;"*",'All Papers'!$G:$G,"*"&amp;Table1[[#Headers],[Selection]]&amp;"*")</f>
        <v>0</v>
      </c>
      <c r="F1231" s="8">
        <f>COUNTIFS('All Papers'!$D:$D,"*"&amp;$A1231&amp;"*",'All Papers'!$G:$G,"*"&amp;Table1[[#Headers],[Recommendation]]&amp;"*")</f>
        <v>0</v>
      </c>
      <c r="G1231" s="8">
        <f>COUNTIFS('All Papers'!$D:$D,"*"&amp;$A1231&amp;"*",'All Papers'!$G:$G,"*"&amp;Table1[[#Headers],[Resource Management-CS]]&amp;"*")</f>
        <v>0</v>
      </c>
      <c r="H1231" s="8">
        <f>COUNTIFS('All Papers'!$D:$D,"*"&amp;$A1231&amp;"*",'All Papers'!$G:$G,"*"&amp;Table1[[#Headers],[Resource Management-PS]]&amp;"*")</f>
        <v>0</v>
      </c>
      <c r="I1231" s="8">
        <f>COUNTIFS('All Papers'!$D:$D,"*"&amp;$A1231&amp;"*",'All Papers'!$G:$G,"*"&amp;Table1[[#Headers],[SLA Management]]&amp;"*")</f>
        <v>0</v>
      </c>
      <c r="J1231" s="8">
        <f>COUNTIFS('All Papers'!$D:$D,"*"&amp;$A1231&amp;"*",'All Papers'!$G:$G,"*"&amp;Table1[[#Headers],[Big Data]]&amp;"*")</f>
        <v>0</v>
      </c>
      <c r="K1231" s="8">
        <f>COUNTIFS('All Papers'!$D:$D,"*"&amp;$A1231&amp;"*",'All Papers'!$G:$G,"*"&amp;Table1[[#Headers],[Energy Management]]&amp;"*")</f>
        <v>0</v>
      </c>
      <c r="L1231" s="8">
        <f>COUNTIFS('All Papers'!$D:$D,"*"&amp;$A1231&amp;"*",'All Papers'!$G:$G,"*"&amp;Table1[[#Headers],[Monitoring]]&amp;"*")</f>
        <v>0</v>
      </c>
      <c r="M1231" s="8">
        <f>COUNTIFS('All Papers'!$D:$D,"*"&amp;$A1231&amp;"*",'All Papers'!$G:$G,"*"&amp;Table1[[#Headers],[Pricing]]&amp;"*")</f>
        <v>1</v>
      </c>
    </row>
    <row r="1232" spans="1:13" x14ac:dyDescent="0.25">
      <c r="A1232" s="8" t="s">
        <v>3665</v>
      </c>
      <c r="B1232" s="8">
        <f>COUNTIF('All Papers'!D:D,"*"&amp;Table1[[#This Row],[Name]]&amp;"*")</f>
        <v>1</v>
      </c>
      <c r="C1232" s="8">
        <f>COUNTIFS('All Papers'!$D:$D,"*"&amp;$A1232&amp;"*",'All Papers'!$G:$G,"*"&amp;Table1[[#Headers],[Composition]]&amp;"*")</f>
        <v>0</v>
      </c>
      <c r="D1232" s="8">
        <f>COUNTIFS('All Papers'!$D:$D,"*"&amp;$A1232&amp;"*",'All Papers'!$G:$G,"*"&amp;Table1[[#Headers],[Discovery]]&amp;"*")</f>
        <v>0</v>
      </c>
      <c r="E1232" s="8">
        <f>COUNTIFS('All Papers'!$D:$D,"*"&amp;$A1232&amp;"*",'All Papers'!$G:$G,"*"&amp;Table1[[#Headers],[Selection]]&amp;"*")</f>
        <v>0</v>
      </c>
      <c r="F1232" s="8">
        <f>COUNTIFS('All Papers'!$D:$D,"*"&amp;$A1232&amp;"*",'All Papers'!$G:$G,"*"&amp;Table1[[#Headers],[Recommendation]]&amp;"*")</f>
        <v>0</v>
      </c>
      <c r="G1232" s="8">
        <f>COUNTIFS('All Papers'!$D:$D,"*"&amp;$A1232&amp;"*",'All Papers'!$G:$G,"*"&amp;Table1[[#Headers],[Resource Management-CS]]&amp;"*")</f>
        <v>0</v>
      </c>
      <c r="H1232" s="8">
        <f>COUNTIFS('All Papers'!$D:$D,"*"&amp;$A1232&amp;"*",'All Papers'!$G:$G,"*"&amp;Table1[[#Headers],[Resource Management-PS]]&amp;"*")</f>
        <v>0</v>
      </c>
      <c r="I1232" s="8">
        <f>COUNTIFS('All Papers'!$D:$D,"*"&amp;$A1232&amp;"*",'All Papers'!$G:$G,"*"&amp;Table1[[#Headers],[SLA Management]]&amp;"*")</f>
        <v>0</v>
      </c>
      <c r="J1232" s="8">
        <f>COUNTIFS('All Papers'!$D:$D,"*"&amp;$A1232&amp;"*",'All Papers'!$G:$G,"*"&amp;Table1[[#Headers],[Big Data]]&amp;"*")</f>
        <v>0</v>
      </c>
      <c r="K1232" s="8">
        <f>COUNTIFS('All Papers'!$D:$D,"*"&amp;$A1232&amp;"*",'All Papers'!$G:$G,"*"&amp;Table1[[#Headers],[Energy Management]]&amp;"*")</f>
        <v>0</v>
      </c>
      <c r="L1232" s="8">
        <f>COUNTIFS('All Papers'!$D:$D,"*"&amp;$A1232&amp;"*",'All Papers'!$G:$G,"*"&amp;Table1[[#Headers],[Monitoring]]&amp;"*")</f>
        <v>0</v>
      </c>
      <c r="M1232" s="8">
        <f>COUNTIFS('All Papers'!$D:$D,"*"&amp;$A1232&amp;"*",'All Papers'!$G:$G,"*"&amp;Table1[[#Headers],[Pricing]]&amp;"*")</f>
        <v>1</v>
      </c>
    </row>
    <row r="1233" spans="1:13" x14ac:dyDescent="0.25">
      <c r="A1233" s="8" t="s">
        <v>3666</v>
      </c>
      <c r="B1233" s="8">
        <f>COUNTIF('All Papers'!D:D,"*"&amp;Table1[[#This Row],[Name]]&amp;"*")</f>
        <v>1</v>
      </c>
      <c r="C1233" s="8">
        <f>COUNTIFS('All Papers'!$D:$D,"*"&amp;$A1233&amp;"*",'All Papers'!$G:$G,"*"&amp;Table1[[#Headers],[Composition]]&amp;"*")</f>
        <v>0</v>
      </c>
      <c r="D1233" s="8">
        <f>COUNTIFS('All Papers'!$D:$D,"*"&amp;$A1233&amp;"*",'All Papers'!$G:$G,"*"&amp;Table1[[#Headers],[Discovery]]&amp;"*")</f>
        <v>0</v>
      </c>
      <c r="E1233" s="8">
        <f>COUNTIFS('All Papers'!$D:$D,"*"&amp;$A1233&amp;"*",'All Papers'!$G:$G,"*"&amp;Table1[[#Headers],[Selection]]&amp;"*")</f>
        <v>0</v>
      </c>
      <c r="F1233" s="8">
        <f>COUNTIFS('All Papers'!$D:$D,"*"&amp;$A1233&amp;"*",'All Papers'!$G:$G,"*"&amp;Table1[[#Headers],[Recommendation]]&amp;"*")</f>
        <v>0</v>
      </c>
      <c r="G1233" s="8">
        <f>COUNTIFS('All Papers'!$D:$D,"*"&amp;$A1233&amp;"*",'All Papers'!$G:$G,"*"&amp;Table1[[#Headers],[Resource Management-CS]]&amp;"*")</f>
        <v>0</v>
      </c>
      <c r="H1233" s="8">
        <f>COUNTIFS('All Papers'!$D:$D,"*"&amp;$A1233&amp;"*",'All Papers'!$G:$G,"*"&amp;Table1[[#Headers],[Resource Management-PS]]&amp;"*")</f>
        <v>0</v>
      </c>
      <c r="I1233" s="8">
        <f>COUNTIFS('All Papers'!$D:$D,"*"&amp;$A1233&amp;"*",'All Papers'!$G:$G,"*"&amp;Table1[[#Headers],[SLA Management]]&amp;"*")</f>
        <v>0</v>
      </c>
      <c r="J1233" s="8">
        <f>COUNTIFS('All Papers'!$D:$D,"*"&amp;$A1233&amp;"*",'All Papers'!$G:$G,"*"&amp;Table1[[#Headers],[Big Data]]&amp;"*")</f>
        <v>0</v>
      </c>
      <c r="K1233" s="8">
        <f>COUNTIFS('All Papers'!$D:$D,"*"&amp;$A1233&amp;"*",'All Papers'!$G:$G,"*"&amp;Table1[[#Headers],[Energy Management]]&amp;"*")</f>
        <v>0</v>
      </c>
      <c r="L1233" s="8">
        <f>COUNTIFS('All Papers'!$D:$D,"*"&amp;$A1233&amp;"*",'All Papers'!$G:$G,"*"&amp;Table1[[#Headers],[Monitoring]]&amp;"*")</f>
        <v>0</v>
      </c>
      <c r="M1233" s="8">
        <f>COUNTIFS('All Papers'!$D:$D,"*"&amp;$A1233&amp;"*",'All Papers'!$G:$G,"*"&amp;Table1[[#Headers],[Pricing]]&amp;"*")</f>
        <v>1</v>
      </c>
    </row>
    <row r="1234" spans="1:13" x14ac:dyDescent="0.25">
      <c r="A1234" s="8" t="s">
        <v>3667</v>
      </c>
      <c r="B1234" s="8">
        <f>COUNTIF('All Papers'!D:D,"*"&amp;Table1[[#This Row],[Name]]&amp;"*")</f>
        <v>1</v>
      </c>
      <c r="C1234" s="8">
        <f>COUNTIFS('All Papers'!$D:$D,"*"&amp;$A1234&amp;"*",'All Papers'!$G:$G,"*"&amp;Table1[[#Headers],[Composition]]&amp;"*")</f>
        <v>0</v>
      </c>
      <c r="D1234" s="8">
        <f>COUNTIFS('All Papers'!$D:$D,"*"&amp;$A1234&amp;"*",'All Papers'!$G:$G,"*"&amp;Table1[[#Headers],[Discovery]]&amp;"*")</f>
        <v>0</v>
      </c>
      <c r="E1234" s="8">
        <f>COUNTIFS('All Papers'!$D:$D,"*"&amp;$A1234&amp;"*",'All Papers'!$G:$G,"*"&amp;Table1[[#Headers],[Selection]]&amp;"*")</f>
        <v>0</v>
      </c>
      <c r="F1234" s="8">
        <f>COUNTIFS('All Papers'!$D:$D,"*"&amp;$A1234&amp;"*",'All Papers'!$G:$G,"*"&amp;Table1[[#Headers],[Recommendation]]&amp;"*")</f>
        <v>0</v>
      </c>
      <c r="G1234" s="8">
        <f>COUNTIFS('All Papers'!$D:$D,"*"&amp;$A1234&amp;"*",'All Papers'!$G:$G,"*"&amp;Table1[[#Headers],[Resource Management-CS]]&amp;"*")</f>
        <v>0</v>
      </c>
      <c r="H1234" s="8">
        <f>COUNTIFS('All Papers'!$D:$D,"*"&amp;$A1234&amp;"*",'All Papers'!$G:$G,"*"&amp;Table1[[#Headers],[Resource Management-PS]]&amp;"*")</f>
        <v>0</v>
      </c>
      <c r="I1234" s="8">
        <f>COUNTIFS('All Papers'!$D:$D,"*"&amp;$A1234&amp;"*",'All Papers'!$G:$G,"*"&amp;Table1[[#Headers],[SLA Management]]&amp;"*")</f>
        <v>0</v>
      </c>
      <c r="J1234" s="8">
        <f>COUNTIFS('All Papers'!$D:$D,"*"&amp;$A1234&amp;"*",'All Papers'!$G:$G,"*"&amp;Table1[[#Headers],[Big Data]]&amp;"*")</f>
        <v>0</v>
      </c>
      <c r="K1234" s="8">
        <f>COUNTIFS('All Papers'!$D:$D,"*"&amp;$A1234&amp;"*",'All Papers'!$G:$G,"*"&amp;Table1[[#Headers],[Energy Management]]&amp;"*")</f>
        <v>0</v>
      </c>
      <c r="L1234" s="8">
        <f>COUNTIFS('All Papers'!$D:$D,"*"&amp;$A1234&amp;"*",'All Papers'!$G:$G,"*"&amp;Table1[[#Headers],[Monitoring]]&amp;"*")</f>
        <v>0</v>
      </c>
      <c r="M1234" s="8">
        <f>COUNTIFS('All Papers'!$D:$D,"*"&amp;$A1234&amp;"*",'All Papers'!$G:$G,"*"&amp;Table1[[#Headers],[Pricing]]&amp;"*")</f>
        <v>1</v>
      </c>
    </row>
    <row r="1235" spans="1:13" x14ac:dyDescent="0.25">
      <c r="A1235" s="8" t="s">
        <v>3668</v>
      </c>
      <c r="B1235" s="8">
        <f>COUNTIF('All Papers'!D:D,"*"&amp;Table1[[#This Row],[Name]]&amp;"*")</f>
        <v>1</v>
      </c>
      <c r="C1235" s="8">
        <f>COUNTIFS('All Papers'!$D:$D,"*"&amp;$A1235&amp;"*",'All Papers'!$G:$G,"*"&amp;Table1[[#Headers],[Composition]]&amp;"*")</f>
        <v>0</v>
      </c>
      <c r="D1235" s="8">
        <f>COUNTIFS('All Papers'!$D:$D,"*"&amp;$A1235&amp;"*",'All Papers'!$G:$G,"*"&amp;Table1[[#Headers],[Discovery]]&amp;"*")</f>
        <v>0</v>
      </c>
      <c r="E1235" s="8">
        <f>COUNTIFS('All Papers'!$D:$D,"*"&amp;$A1235&amp;"*",'All Papers'!$G:$G,"*"&amp;Table1[[#Headers],[Selection]]&amp;"*")</f>
        <v>0</v>
      </c>
      <c r="F1235" s="8">
        <f>COUNTIFS('All Papers'!$D:$D,"*"&amp;$A1235&amp;"*",'All Papers'!$G:$G,"*"&amp;Table1[[#Headers],[Recommendation]]&amp;"*")</f>
        <v>0</v>
      </c>
      <c r="G1235" s="8">
        <f>COUNTIFS('All Papers'!$D:$D,"*"&amp;$A1235&amp;"*",'All Papers'!$G:$G,"*"&amp;Table1[[#Headers],[Resource Management-CS]]&amp;"*")</f>
        <v>1</v>
      </c>
      <c r="H1235" s="8">
        <f>COUNTIFS('All Papers'!$D:$D,"*"&amp;$A1235&amp;"*",'All Papers'!$G:$G,"*"&amp;Table1[[#Headers],[Resource Management-PS]]&amp;"*")</f>
        <v>0</v>
      </c>
      <c r="I1235" s="8">
        <f>COUNTIFS('All Papers'!$D:$D,"*"&amp;$A1235&amp;"*",'All Papers'!$G:$G,"*"&amp;Table1[[#Headers],[SLA Management]]&amp;"*")</f>
        <v>0</v>
      </c>
      <c r="J1235" s="8">
        <f>COUNTIFS('All Papers'!$D:$D,"*"&amp;$A1235&amp;"*",'All Papers'!$G:$G,"*"&amp;Table1[[#Headers],[Big Data]]&amp;"*")</f>
        <v>0</v>
      </c>
      <c r="K1235" s="8">
        <f>COUNTIFS('All Papers'!$D:$D,"*"&amp;$A1235&amp;"*",'All Papers'!$G:$G,"*"&amp;Table1[[#Headers],[Energy Management]]&amp;"*")</f>
        <v>0</v>
      </c>
      <c r="L1235" s="8">
        <f>COUNTIFS('All Papers'!$D:$D,"*"&amp;$A1235&amp;"*",'All Papers'!$G:$G,"*"&amp;Table1[[#Headers],[Monitoring]]&amp;"*")</f>
        <v>0</v>
      </c>
      <c r="M1235" s="8">
        <f>COUNTIFS('All Papers'!$D:$D,"*"&amp;$A1235&amp;"*",'All Papers'!$G:$G,"*"&amp;Table1[[#Headers],[Pricing]]&amp;"*")</f>
        <v>0</v>
      </c>
    </row>
    <row r="1236" spans="1:13" x14ac:dyDescent="0.25">
      <c r="A1236" s="8" t="s">
        <v>3669</v>
      </c>
      <c r="B1236" s="8">
        <f>COUNTIF('All Papers'!D:D,"*"&amp;Table1[[#This Row],[Name]]&amp;"*")</f>
        <v>1</v>
      </c>
      <c r="C1236" s="8">
        <f>COUNTIFS('All Papers'!$D:$D,"*"&amp;$A1236&amp;"*",'All Papers'!$G:$G,"*"&amp;Table1[[#Headers],[Composition]]&amp;"*")</f>
        <v>0</v>
      </c>
      <c r="D1236" s="8">
        <f>COUNTIFS('All Papers'!$D:$D,"*"&amp;$A1236&amp;"*",'All Papers'!$G:$G,"*"&amp;Table1[[#Headers],[Discovery]]&amp;"*")</f>
        <v>0</v>
      </c>
      <c r="E1236" s="8">
        <f>COUNTIFS('All Papers'!$D:$D,"*"&amp;$A1236&amp;"*",'All Papers'!$G:$G,"*"&amp;Table1[[#Headers],[Selection]]&amp;"*")</f>
        <v>0</v>
      </c>
      <c r="F1236" s="8">
        <f>COUNTIFS('All Papers'!$D:$D,"*"&amp;$A1236&amp;"*",'All Papers'!$G:$G,"*"&amp;Table1[[#Headers],[Recommendation]]&amp;"*")</f>
        <v>0</v>
      </c>
      <c r="G1236" s="8">
        <f>COUNTIFS('All Papers'!$D:$D,"*"&amp;$A1236&amp;"*",'All Papers'!$G:$G,"*"&amp;Table1[[#Headers],[Resource Management-CS]]&amp;"*")</f>
        <v>1</v>
      </c>
      <c r="H1236" s="8">
        <f>COUNTIFS('All Papers'!$D:$D,"*"&amp;$A1236&amp;"*",'All Papers'!$G:$G,"*"&amp;Table1[[#Headers],[Resource Management-PS]]&amp;"*")</f>
        <v>0</v>
      </c>
      <c r="I1236" s="8">
        <f>COUNTIFS('All Papers'!$D:$D,"*"&amp;$A1236&amp;"*",'All Papers'!$G:$G,"*"&amp;Table1[[#Headers],[SLA Management]]&amp;"*")</f>
        <v>0</v>
      </c>
      <c r="J1236" s="8">
        <f>COUNTIFS('All Papers'!$D:$D,"*"&amp;$A1236&amp;"*",'All Papers'!$G:$G,"*"&amp;Table1[[#Headers],[Big Data]]&amp;"*")</f>
        <v>0</v>
      </c>
      <c r="K1236" s="8">
        <f>COUNTIFS('All Papers'!$D:$D,"*"&amp;$A1236&amp;"*",'All Papers'!$G:$G,"*"&amp;Table1[[#Headers],[Energy Management]]&amp;"*")</f>
        <v>0</v>
      </c>
      <c r="L1236" s="8">
        <f>COUNTIFS('All Papers'!$D:$D,"*"&amp;$A1236&amp;"*",'All Papers'!$G:$G,"*"&amp;Table1[[#Headers],[Monitoring]]&amp;"*")</f>
        <v>0</v>
      </c>
      <c r="M1236" s="8">
        <f>COUNTIFS('All Papers'!$D:$D,"*"&amp;$A1236&amp;"*",'All Papers'!$G:$G,"*"&amp;Table1[[#Headers],[Pricing]]&amp;"*")</f>
        <v>0</v>
      </c>
    </row>
    <row r="1237" spans="1:13" x14ac:dyDescent="0.25">
      <c r="A1237" s="8" t="s">
        <v>3670</v>
      </c>
      <c r="B1237" s="8">
        <f>COUNTIF('All Papers'!D:D,"*"&amp;Table1[[#This Row],[Name]]&amp;"*")</f>
        <v>1</v>
      </c>
      <c r="C1237" s="8">
        <f>COUNTIFS('All Papers'!$D:$D,"*"&amp;$A1237&amp;"*",'All Papers'!$G:$G,"*"&amp;Table1[[#Headers],[Composition]]&amp;"*")</f>
        <v>0</v>
      </c>
      <c r="D1237" s="8">
        <f>COUNTIFS('All Papers'!$D:$D,"*"&amp;$A1237&amp;"*",'All Papers'!$G:$G,"*"&amp;Table1[[#Headers],[Discovery]]&amp;"*")</f>
        <v>0</v>
      </c>
      <c r="E1237" s="8">
        <f>COUNTIFS('All Papers'!$D:$D,"*"&amp;$A1237&amp;"*",'All Papers'!$G:$G,"*"&amp;Table1[[#Headers],[Selection]]&amp;"*")</f>
        <v>0</v>
      </c>
      <c r="F1237" s="8">
        <f>COUNTIFS('All Papers'!$D:$D,"*"&amp;$A1237&amp;"*",'All Papers'!$G:$G,"*"&amp;Table1[[#Headers],[Recommendation]]&amp;"*")</f>
        <v>0</v>
      </c>
      <c r="G1237" s="8">
        <f>COUNTIFS('All Papers'!$D:$D,"*"&amp;$A1237&amp;"*",'All Papers'!$G:$G,"*"&amp;Table1[[#Headers],[Resource Management-CS]]&amp;"*")</f>
        <v>1</v>
      </c>
      <c r="H1237" s="8">
        <f>COUNTIFS('All Papers'!$D:$D,"*"&amp;$A1237&amp;"*",'All Papers'!$G:$G,"*"&amp;Table1[[#Headers],[Resource Management-PS]]&amp;"*")</f>
        <v>0</v>
      </c>
      <c r="I1237" s="8">
        <f>COUNTIFS('All Papers'!$D:$D,"*"&amp;$A1237&amp;"*",'All Papers'!$G:$G,"*"&amp;Table1[[#Headers],[SLA Management]]&amp;"*")</f>
        <v>0</v>
      </c>
      <c r="J1237" s="8">
        <f>COUNTIFS('All Papers'!$D:$D,"*"&amp;$A1237&amp;"*",'All Papers'!$G:$G,"*"&amp;Table1[[#Headers],[Big Data]]&amp;"*")</f>
        <v>0</v>
      </c>
      <c r="K1237" s="8">
        <f>COUNTIFS('All Papers'!$D:$D,"*"&amp;$A1237&amp;"*",'All Papers'!$G:$G,"*"&amp;Table1[[#Headers],[Energy Management]]&amp;"*")</f>
        <v>0</v>
      </c>
      <c r="L1237" s="8">
        <f>COUNTIFS('All Papers'!$D:$D,"*"&amp;$A1237&amp;"*",'All Papers'!$G:$G,"*"&amp;Table1[[#Headers],[Monitoring]]&amp;"*")</f>
        <v>0</v>
      </c>
      <c r="M1237" s="8">
        <f>COUNTIFS('All Papers'!$D:$D,"*"&amp;$A1237&amp;"*",'All Papers'!$G:$G,"*"&amp;Table1[[#Headers],[Pricing]]&amp;"*")</f>
        <v>0</v>
      </c>
    </row>
    <row r="1238" spans="1:13" x14ac:dyDescent="0.25">
      <c r="A1238" s="8" t="s">
        <v>3671</v>
      </c>
      <c r="B1238" s="8">
        <f>COUNTIF('All Papers'!D:D,"*"&amp;Table1[[#This Row],[Name]]&amp;"*")</f>
        <v>1</v>
      </c>
      <c r="C1238" s="8">
        <f>COUNTIFS('All Papers'!$D:$D,"*"&amp;$A1238&amp;"*",'All Papers'!$G:$G,"*"&amp;Table1[[#Headers],[Composition]]&amp;"*")</f>
        <v>0</v>
      </c>
      <c r="D1238" s="8">
        <f>COUNTIFS('All Papers'!$D:$D,"*"&amp;$A1238&amp;"*",'All Papers'!$G:$G,"*"&amp;Table1[[#Headers],[Discovery]]&amp;"*")</f>
        <v>0</v>
      </c>
      <c r="E1238" s="8">
        <f>COUNTIFS('All Papers'!$D:$D,"*"&amp;$A1238&amp;"*",'All Papers'!$G:$G,"*"&amp;Table1[[#Headers],[Selection]]&amp;"*")</f>
        <v>0</v>
      </c>
      <c r="F1238" s="8">
        <f>COUNTIFS('All Papers'!$D:$D,"*"&amp;$A1238&amp;"*",'All Papers'!$G:$G,"*"&amp;Table1[[#Headers],[Recommendation]]&amp;"*")</f>
        <v>0</v>
      </c>
      <c r="G1238" s="8">
        <f>COUNTIFS('All Papers'!$D:$D,"*"&amp;$A1238&amp;"*",'All Papers'!$G:$G,"*"&amp;Table1[[#Headers],[Resource Management-CS]]&amp;"*")</f>
        <v>1</v>
      </c>
      <c r="H1238" s="8">
        <f>COUNTIFS('All Papers'!$D:$D,"*"&amp;$A1238&amp;"*",'All Papers'!$G:$G,"*"&amp;Table1[[#Headers],[Resource Management-PS]]&amp;"*")</f>
        <v>0</v>
      </c>
      <c r="I1238" s="8">
        <f>COUNTIFS('All Papers'!$D:$D,"*"&amp;$A1238&amp;"*",'All Papers'!$G:$G,"*"&amp;Table1[[#Headers],[SLA Management]]&amp;"*")</f>
        <v>0</v>
      </c>
      <c r="J1238" s="8">
        <f>COUNTIFS('All Papers'!$D:$D,"*"&amp;$A1238&amp;"*",'All Papers'!$G:$G,"*"&amp;Table1[[#Headers],[Big Data]]&amp;"*")</f>
        <v>0</v>
      </c>
      <c r="K1238" s="8">
        <f>COUNTIFS('All Papers'!$D:$D,"*"&amp;$A1238&amp;"*",'All Papers'!$G:$G,"*"&amp;Table1[[#Headers],[Energy Management]]&amp;"*")</f>
        <v>0</v>
      </c>
      <c r="L1238" s="8">
        <f>COUNTIFS('All Papers'!$D:$D,"*"&amp;$A1238&amp;"*",'All Papers'!$G:$G,"*"&amp;Table1[[#Headers],[Monitoring]]&amp;"*")</f>
        <v>0</v>
      </c>
      <c r="M1238" s="8">
        <f>COUNTIFS('All Papers'!$D:$D,"*"&amp;$A1238&amp;"*",'All Papers'!$G:$G,"*"&amp;Table1[[#Headers],[Pricing]]&amp;"*")</f>
        <v>0</v>
      </c>
    </row>
    <row r="1239" spans="1:13" x14ac:dyDescent="0.25">
      <c r="A1239" s="8" t="s">
        <v>3672</v>
      </c>
      <c r="B1239" s="8">
        <f>COUNTIF('All Papers'!D:D,"*"&amp;Table1[[#This Row],[Name]]&amp;"*")</f>
        <v>1</v>
      </c>
      <c r="C1239" s="8">
        <f>COUNTIFS('All Papers'!$D:$D,"*"&amp;$A1239&amp;"*",'All Papers'!$G:$G,"*"&amp;Table1[[#Headers],[Composition]]&amp;"*")</f>
        <v>0</v>
      </c>
      <c r="D1239" s="8">
        <f>COUNTIFS('All Papers'!$D:$D,"*"&amp;$A1239&amp;"*",'All Papers'!$G:$G,"*"&amp;Table1[[#Headers],[Discovery]]&amp;"*")</f>
        <v>0</v>
      </c>
      <c r="E1239" s="8">
        <f>COUNTIFS('All Papers'!$D:$D,"*"&amp;$A1239&amp;"*",'All Papers'!$G:$G,"*"&amp;Table1[[#Headers],[Selection]]&amp;"*")</f>
        <v>0</v>
      </c>
      <c r="F1239" s="8">
        <f>COUNTIFS('All Papers'!$D:$D,"*"&amp;$A1239&amp;"*",'All Papers'!$G:$G,"*"&amp;Table1[[#Headers],[Recommendation]]&amp;"*")</f>
        <v>0</v>
      </c>
      <c r="G1239" s="8">
        <f>COUNTIFS('All Papers'!$D:$D,"*"&amp;$A1239&amp;"*",'All Papers'!$G:$G,"*"&amp;Table1[[#Headers],[Resource Management-CS]]&amp;"*")</f>
        <v>1</v>
      </c>
      <c r="H1239" s="8">
        <f>COUNTIFS('All Papers'!$D:$D,"*"&amp;$A1239&amp;"*",'All Papers'!$G:$G,"*"&amp;Table1[[#Headers],[Resource Management-PS]]&amp;"*")</f>
        <v>0</v>
      </c>
      <c r="I1239" s="8">
        <f>COUNTIFS('All Papers'!$D:$D,"*"&amp;$A1239&amp;"*",'All Papers'!$G:$G,"*"&amp;Table1[[#Headers],[SLA Management]]&amp;"*")</f>
        <v>0</v>
      </c>
      <c r="J1239" s="8">
        <f>COUNTIFS('All Papers'!$D:$D,"*"&amp;$A1239&amp;"*",'All Papers'!$G:$G,"*"&amp;Table1[[#Headers],[Big Data]]&amp;"*")</f>
        <v>0</v>
      </c>
      <c r="K1239" s="8">
        <f>COUNTIFS('All Papers'!$D:$D,"*"&amp;$A1239&amp;"*",'All Papers'!$G:$G,"*"&amp;Table1[[#Headers],[Energy Management]]&amp;"*")</f>
        <v>0</v>
      </c>
      <c r="L1239" s="8">
        <f>COUNTIFS('All Papers'!$D:$D,"*"&amp;$A1239&amp;"*",'All Papers'!$G:$G,"*"&amp;Table1[[#Headers],[Monitoring]]&amp;"*")</f>
        <v>0</v>
      </c>
      <c r="M1239" s="8">
        <f>COUNTIFS('All Papers'!$D:$D,"*"&amp;$A1239&amp;"*",'All Papers'!$G:$G,"*"&amp;Table1[[#Headers],[Pricing]]&amp;"*")</f>
        <v>0</v>
      </c>
    </row>
    <row r="1240" spans="1:13" x14ac:dyDescent="0.25">
      <c r="A1240" s="8" t="s">
        <v>3673</v>
      </c>
      <c r="B1240" s="8">
        <f>COUNTIF('All Papers'!D:D,"*"&amp;Table1[[#This Row],[Name]]&amp;"*")</f>
        <v>1</v>
      </c>
      <c r="C1240" s="8">
        <f>COUNTIFS('All Papers'!$D:$D,"*"&amp;$A1240&amp;"*",'All Papers'!$G:$G,"*"&amp;Table1[[#Headers],[Composition]]&amp;"*")</f>
        <v>0</v>
      </c>
      <c r="D1240" s="8">
        <f>COUNTIFS('All Papers'!$D:$D,"*"&amp;$A1240&amp;"*",'All Papers'!$G:$G,"*"&amp;Table1[[#Headers],[Discovery]]&amp;"*")</f>
        <v>0</v>
      </c>
      <c r="E1240" s="8">
        <f>COUNTIFS('All Papers'!$D:$D,"*"&amp;$A1240&amp;"*",'All Papers'!$G:$G,"*"&amp;Table1[[#Headers],[Selection]]&amp;"*")</f>
        <v>0</v>
      </c>
      <c r="F1240" s="8">
        <f>COUNTIFS('All Papers'!$D:$D,"*"&amp;$A1240&amp;"*",'All Papers'!$G:$G,"*"&amp;Table1[[#Headers],[Recommendation]]&amp;"*")</f>
        <v>0</v>
      </c>
      <c r="G1240" s="8">
        <f>COUNTIFS('All Papers'!$D:$D,"*"&amp;$A1240&amp;"*",'All Papers'!$G:$G,"*"&amp;Table1[[#Headers],[Resource Management-CS]]&amp;"*")</f>
        <v>1</v>
      </c>
      <c r="H1240" s="8">
        <f>COUNTIFS('All Papers'!$D:$D,"*"&amp;$A1240&amp;"*",'All Papers'!$G:$G,"*"&amp;Table1[[#Headers],[Resource Management-PS]]&amp;"*")</f>
        <v>0</v>
      </c>
      <c r="I1240" s="8">
        <f>COUNTIFS('All Papers'!$D:$D,"*"&amp;$A1240&amp;"*",'All Papers'!$G:$G,"*"&amp;Table1[[#Headers],[SLA Management]]&amp;"*")</f>
        <v>0</v>
      </c>
      <c r="J1240" s="8">
        <f>COUNTIFS('All Papers'!$D:$D,"*"&amp;$A1240&amp;"*",'All Papers'!$G:$G,"*"&amp;Table1[[#Headers],[Big Data]]&amp;"*")</f>
        <v>0</v>
      </c>
      <c r="K1240" s="8">
        <f>COUNTIFS('All Papers'!$D:$D,"*"&amp;$A1240&amp;"*",'All Papers'!$G:$G,"*"&amp;Table1[[#Headers],[Energy Management]]&amp;"*")</f>
        <v>0</v>
      </c>
      <c r="L1240" s="8">
        <f>COUNTIFS('All Papers'!$D:$D,"*"&amp;$A1240&amp;"*",'All Papers'!$G:$G,"*"&amp;Table1[[#Headers],[Monitoring]]&amp;"*")</f>
        <v>0</v>
      </c>
      <c r="M1240" s="8">
        <f>COUNTIFS('All Papers'!$D:$D,"*"&amp;$A1240&amp;"*",'All Papers'!$G:$G,"*"&amp;Table1[[#Headers],[Pricing]]&amp;"*")</f>
        <v>0</v>
      </c>
    </row>
    <row r="1241" spans="1:13" x14ac:dyDescent="0.25">
      <c r="A1241" s="8" t="s">
        <v>3674</v>
      </c>
      <c r="B1241" s="8">
        <f>COUNTIF('All Papers'!D:D,"*"&amp;Table1[[#This Row],[Name]]&amp;"*")</f>
        <v>1</v>
      </c>
      <c r="C1241" s="8">
        <f>COUNTIFS('All Papers'!$D:$D,"*"&amp;$A1241&amp;"*",'All Papers'!$G:$G,"*"&amp;Table1[[#Headers],[Composition]]&amp;"*")</f>
        <v>0</v>
      </c>
      <c r="D1241" s="8">
        <f>COUNTIFS('All Papers'!$D:$D,"*"&amp;$A1241&amp;"*",'All Papers'!$G:$G,"*"&amp;Table1[[#Headers],[Discovery]]&amp;"*")</f>
        <v>0</v>
      </c>
      <c r="E1241" s="8">
        <f>COUNTIFS('All Papers'!$D:$D,"*"&amp;$A1241&amp;"*",'All Papers'!$G:$G,"*"&amp;Table1[[#Headers],[Selection]]&amp;"*")</f>
        <v>0</v>
      </c>
      <c r="F1241" s="8">
        <f>COUNTIFS('All Papers'!$D:$D,"*"&amp;$A1241&amp;"*",'All Papers'!$G:$G,"*"&amp;Table1[[#Headers],[Recommendation]]&amp;"*")</f>
        <v>0</v>
      </c>
      <c r="G1241" s="8">
        <f>COUNTIFS('All Papers'!$D:$D,"*"&amp;$A1241&amp;"*",'All Papers'!$G:$G,"*"&amp;Table1[[#Headers],[Resource Management-CS]]&amp;"*")</f>
        <v>0</v>
      </c>
      <c r="H1241" s="8">
        <f>COUNTIFS('All Papers'!$D:$D,"*"&amp;$A1241&amp;"*",'All Papers'!$G:$G,"*"&amp;Table1[[#Headers],[Resource Management-PS]]&amp;"*")</f>
        <v>1</v>
      </c>
      <c r="I1241" s="8">
        <f>COUNTIFS('All Papers'!$D:$D,"*"&amp;$A1241&amp;"*",'All Papers'!$G:$G,"*"&amp;Table1[[#Headers],[SLA Management]]&amp;"*")</f>
        <v>0</v>
      </c>
      <c r="J1241" s="8">
        <f>COUNTIFS('All Papers'!$D:$D,"*"&amp;$A1241&amp;"*",'All Papers'!$G:$G,"*"&amp;Table1[[#Headers],[Big Data]]&amp;"*")</f>
        <v>0</v>
      </c>
      <c r="K1241" s="8">
        <f>COUNTIFS('All Papers'!$D:$D,"*"&amp;$A1241&amp;"*",'All Papers'!$G:$G,"*"&amp;Table1[[#Headers],[Energy Management]]&amp;"*")</f>
        <v>0</v>
      </c>
      <c r="L1241" s="8">
        <f>COUNTIFS('All Papers'!$D:$D,"*"&amp;$A1241&amp;"*",'All Papers'!$G:$G,"*"&amp;Table1[[#Headers],[Monitoring]]&amp;"*")</f>
        <v>0</v>
      </c>
      <c r="M1241" s="8">
        <f>COUNTIFS('All Papers'!$D:$D,"*"&amp;$A1241&amp;"*",'All Papers'!$G:$G,"*"&amp;Table1[[#Headers],[Pricing]]&amp;"*")</f>
        <v>0</v>
      </c>
    </row>
    <row r="1242" spans="1:13" x14ac:dyDescent="0.25">
      <c r="A1242" s="8" t="s">
        <v>3675</v>
      </c>
      <c r="B1242" s="8">
        <f>COUNTIF('All Papers'!D:D,"*"&amp;Table1[[#This Row],[Name]]&amp;"*")</f>
        <v>1</v>
      </c>
      <c r="C1242" s="8">
        <f>COUNTIFS('All Papers'!$D:$D,"*"&amp;$A1242&amp;"*",'All Papers'!$G:$G,"*"&amp;Table1[[#Headers],[Composition]]&amp;"*")</f>
        <v>0</v>
      </c>
      <c r="D1242" s="8">
        <f>COUNTIFS('All Papers'!$D:$D,"*"&amp;$A1242&amp;"*",'All Papers'!$G:$G,"*"&amp;Table1[[#Headers],[Discovery]]&amp;"*")</f>
        <v>0</v>
      </c>
      <c r="E1242" s="8">
        <f>COUNTIFS('All Papers'!$D:$D,"*"&amp;$A1242&amp;"*",'All Papers'!$G:$G,"*"&amp;Table1[[#Headers],[Selection]]&amp;"*")</f>
        <v>0</v>
      </c>
      <c r="F1242" s="8">
        <f>COUNTIFS('All Papers'!$D:$D,"*"&amp;$A1242&amp;"*",'All Papers'!$G:$G,"*"&amp;Table1[[#Headers],[Recommendation]]&amp;"*")</f>
        <v>0</v>
      </c>
      <c r="G1242" s="8">
        <f>COUNTIFS('All Papers'!$D:$D,"*"&amp;$A1242&amp;"*",'All Papers'!$G:$G,"*"&amp;Table1[[#Headers],[Resource Management-CS]]&amp;"*")</f>
        <v>0</v>
      </c>
      <c r="H1242" s="8">
        <f>COUNTIFS('All Papers'!$D:$D,"*"&amp;$A1242&amp;"*",'All Papers'!$G:$G,"*"&amp;Table1[[#Headers],[Resource Management-PS]]&amp;"*")</f>
        <v>0</v>
      </c>
      <c r="I1242" s="8">
        <f>COUNTIFS('All Papers'!$D:$D,"*"&amp;$A1242&amp;"*",'All Papers'!$G:$G,"*"&amp;Table1[[#Headers],[SLA Management]]&amp;"*")</f>
        <v>0</v>
      </c>
      <c r="J1242" s="8">
        <f>COUNTIFS('All Papers'!$D:$D,"*"&amp;$A1242&amp;"*",'All Papers'!$G:$G,"*"&amp;Table1[[#Headers],[Big Data]]&amp;"*")</f>
        <v>0</v>
      </c>
      <c r="K1242" s="8">
        <f>COUNTIFS('All Papers'!$D:$D,"*"&amp;$A1242&amp;"*",'All Papers'!$G:$G,"*"&amp;Table1[[#Headers],[Energy Management]]&amp;"*")</f>
        <v>0</v>
      </c>
      <c r="L1242" s="8">
        <f>COUNTIFS('All Papers'!$D:$D,"*"&amp;$A1242&amp;"*",'All Papers'!$G:$G,"*"&amp;Table1[[#Headers],[Monitoring]]&amp;"*")</f>
        <v>0</v>
      </c>
      <c r="M1242" s="8">
        <f>COUNTIFS('All Papers'!$D:$D,"*"&amp;$A1242&amp;"*",'All Papers'!$G:$G,"*"&amp;Table1[[#Headers],[Pricing]]&amp;"*")</f>
        <v>1</v>
      </c>
    </row>
    <row r="1243" spans="1:13" x14ac:dyDescent="0.25">
      <c r="A1243" s="8" t="s">
        <v>3676</v>
      </c>
      <c r="B1243" s="8">
        <f>COUNTIF('All Papers'!D:D,"*"&amp;Table1[[#This Row],[Name]]&amp;"*")</f>
        <v>1</v>
      </c>
      <c r="C1243" s="8">
        <f>COUNTIFS('All Papers'!$D:$D,"*"&amp;$A1243&amp;"*",'All Papers'!$G:$G,"*"&amp;Table1[[#Headers],[Composition]]&amp;"*")</f>
        <v>0</v>
      </c>
      <c r="D1243" s="8">
        <f>COUNTIFS('All Papers'!$D:$D,"*"&amp;$A1243&amp;"*",'All Papers'!$G:$G,"*"&amp;Table1[[#Headers],[Discovery]]&amp;"*")</f>
        <v>0</v>
      </c>
      <c r="E1243" s="8">
        <f>COUNTIFS('All Papers'!$D:$D,"*"&amp;$A1243&amp;"*",'All Papers'!$G:$G,"*"&amp;Table1[[#Headers],[Selection]]&amp;"*")</f>
        <v>0</v>
      </c>
      <c r="F1243" s="8">
        <f>COUNTIFS('All Papers'!$D:$D,"*"&amp;$A1243&amp;"*",'All Papers'!$G:$G,"*"&amp;Table1[[#Headers],[Recommendation]]&amp;"*")</f>
        <v>0</v>
      </c>
      <c r="G1243" s="8">
        <f>COUNTIFS('All Papers'!$D:$D,"*"&amp;$A1243&amp;"*",'All Papers'!$G:$G,"*"&amp;Table1[[#Headers],[Resource Management-CS]]&amp;"*")</f>
        <v>0</v>
      </c>
      <c r="H1243" s="8">
        <f>COUNTIFS('All Papers'!$D:$D,"*"&amp;$A1243&amp;"*",'All Papers'!$G:$G,"*"&amp;Table1[[#Headers],[Resource Management-PS]]&amp;"*")</f>
        <v>0</v>
      </c>
      <c r="I1243" s="8">
        <f>COUNTIFS('All Papers'!$D:$D,"*"&amp;$A1243&amp;"*",'All Papers'!$G:$G,"*"&amp;Table1[[#Headers],[SLA Management]]&amp;"*")</f>
        <v>0</v>
      </c>
      <c r="J1243" s="8">
        <f>COUNTIFS('All Papers'!$D:$D,"*"&amp;$A1243&amp;"*",'All Papers'!$G:$G,"*"&amp;Table1[[#Headers],[Big Data]]&amp;"*")</f>
        <v>0</v>
      </c>
      <c r="K1243" s="8">
        <f>COUNTIFS('All Papers'!$D:$D,"*"&amp;$A1243&amp;"*",'All Papers'!$G:$G,"*"&amp;Table1[[#Headers],[Energy Management]]&amp;"*")</f>
        <v>0</v>
      </c>
      <c r="L1243" s="8">
        <f>COUNTIFS('All Papers'!$D:$D,"*"&amp;$A1243&amp;"*",'All Papers'!$G:$G,"*"&amp;Table1[[#Headers],[Monitoring]]&amp;"*")</f>
        <v>0</v>
      </c>
      <c r="M1243" s="8">
        <f>COUNTIFS('All Papers'!$D:$D,"*"&amp;$A1243&amp;"*",'All Papers'!$G:$G,"*"&amp;Table1[[#Headers],[Pricing]]&amp;"*")</f>
        <v>1</v>
      </c>
    </row>
    <row r="1244" spans="1:13" x14ac:dyDescent="0.25">
      <c r="A1244" s="8" t="s">
        <v>3677</v>
      </c>
      <c r="B1244" s="8">
        <f>COUNTIF('All Papers'!D:D,"*"&amp;Table1[[#This Row],[Name]]&amp;"*")</f>
        <v>1</v>
      </c>
      <c r="C1244" s="8">
        <f>COUNTIFS('All Papers'!$D:$D,"*"&amp;$A1244&amp;"*",'All Papers'!$G:$G,"*"&amp;Table1[[#Headers],[Composition]]&amp;"*")</f>
        <v>0</v>
      </c>
      <c r="D1244" s="8">
        <f>COUNTIFS('All Papers'!$D:$D,"*"&amp;$A1244&amp;"*",'All Papers'!$G:$G,"*"&amp;Table1[[#Headers],[Discovery]]&amp;"*")</f>
        <v>0</v>
      </c>
      <c r="E1244" s="8">
        <f>COUNTIFS('All Papers'!$D:$D,"*"&amp;$A1244&amp;"*",'All Papers'!$G:$G,"*"&amp;Table1[[#Headers],[Selection]]&amp;"*")</f>
        <v>0</v>
      </c>
      <c r="F1244" s="8">
        <f>COUNTIFS('All Papers'!$D:$D,"*"&amp;$A1244&amp;"*",'All Papers'!$G:$G,"*"&amp;Table1[[#Headers],[Recommendation]]&amp;"*")</f>
        <v>0</v>
      </c>
      <c r="G1244" s="8">
        <f>COUNTIFS('All Papers'!$D:$D,"*"&amp;$A1244&amp;"*",'All Papers'!$G:$G,"*"&amp;Table1[[#Headers],[Resource Management-CS]]&amp;"*")</f>
        <v>0</v>
      </c>
      <c r="H1244" s="8">
        <f>COUNTIFS('All Papers'!$D:$D,"*"&amp;$A1244&amp;"*",'All Papers'!$G:$G,"*"&amp;Table1[[#Headers],[Resource Management-PS]]&amp;"*")</f>
        <v>1</v>
      </c>
      <c r="I1244" s="8">
        <f>COUNTIFS('All Papers'!$D:$D,"*"&amp;$A1244&amp;"*",'All Papers'!$G:$G,"*"&amp;Table1[[#Headers],[SLA Management]]&amp;"*")</f>
        <v>0</v>
      </c>
      <c r="J1244" s="8">
        <f>COUNTIFS('All Papers'!$D:$D,"*"&amp;$A1244&amp;"*",'All Papers'!$G:$G,"*"&amp;Table1[[#Headers],[Big Data]]&amp;"*")</f>
        <v>0</v>
      </c>
      <c r="K1244" s="8">
        <f>COUNTIFS('All Papers'!$D:$D,"*"&amp;$A1244&amp;"*",'All Papers'!$G:$G,"*"&amp;Table1[[#Headers],[Energy Management]]&amp;"*")</f>
        <v>0</v>
      </c>
      <c r="L1244" s="8">
        <f>COUNTIFS('All Papers'!$D:$D,"*"&amp;$A1244&amp;"*",'All Papers'!$G:$G,"*"&amp;Table1[[#Headers],[Monitoring]]&amp;"*")</f>
        <v>0</v>
      </c>
      <c r="M1244" s="8">
        <f>COUNTIFS('All Papers'!$D:$D,"*"&amp;$A1244&amp;"*",'All Papers'!$G:$G,"*"&amp;Table1[[#Headers],[Pricing]]&amp;"*")</f>
        <v>0</v>
      </c>
    </row>
    <row r="1245" spans="1:13" x14ac:dyDescent="0.25">
      <c r="A1245" s="8" t="s">
        <v>3678</v>
      </c>
      <c r="B1245" s="8">
        <f>COUNTIF('All Papers'!D:D,"*"&amp;Table1[[#This Row],[Name]]&amp;"*")</f>
        <v>1</v>
      </c>
      <c r="C1245" s="8">
        <f>COUNTIFS('All Papers'!$D:$D,"*"&amp;$A1245&amp;"*",'All Papers'!$G:$G,"*"&amp;Table1[[#Headers],[Composition]]&amp;"*")</f>
        <v>0</v>
      </c>
      <c r="D1245" s="8">
        <f>COUNTIFS('All Papers'!$D:$D,"*"&amp;$A1245&amp;"*",'All Papers'!$G:$G,"*"&amp;Table1[[#Headers],[Discovery]]&amp;"*")</f>
        <v>0</v>
      </c>
      <c r="E1245" s="8">
        <f>COUNTIFS('All Papers'!$D:$D,"*"&amp;$A1245&amp;"*",'All Papers'!$G:$G,"*"&amp;Table1[[#Headers],[Selection]]&amp;"*")</f>
        <v>0</v>
      </c>
      <c r="F1245" s="8">
        <f>COUNTIFS('All Papers'!$D:$D,"*"&amp;$A1245&amp;"*",'All Papers'!$G:$G,"*"&amp;Table1[[#Headers],[Recommendation]]&amp;"*")</f>
        <v>0</v>
      </c>
      <c r="G1245" s="8">
        <f>COUNTIFS('All Papers'!$D:$D,"*"&amp;$A1245&amp;"*",'All Papers'!$G:$G,"*"&amp;Table1[[#Headers],[Resource Management-CS]]&amp;"*")</f>
        <v>0</v>
      </c>
      <c r="H1245" s="8">
        <f>COUNTIFS('All Papers'!$D:$D,"*"&amp;$A1245&amp;"*",'All Papers'!$G:$G,"*"&amp;Table1[[#Headers],[Resource Management-PS]]&amp;"*")</f>
        <v>1</v>
      </c>
      <c r="I1245" s="8">
        <f>COUNTIFS('All Papers'!$D:$D,"*"&amp;$A1245&amp;"*",'All Papers'!$G:$G,"*"&amp;Table1[[#Headers],[SLA Management]]&amp;"*")</f>
        <v>0</v>
      </c>
      <c r="J1245" s="8">
        <f>COUNTIFS('All Papers'!$D:$D,"*"&amp;$A1245&amp;"*",'All Papers'!$G:$G,"*"&amp;Table1[[#Headers],[Big Data]]&amp;"*")</f>
        <v>0</v>
      </c>
      <c r="K1245" s="8">
        <f>COUNTIFS('All Papers'!$D:$D,"*"&amp;$A1245&amp;"*",'All Papers'!$G:$G,"*"&amp;Table1[[#Headers],[Energy Management]]&amp;"*")</f>
        <v>0</v>
      </c>
      <c r="L1245" s="8">
        <f>COUNTIFS('All Papers'!$D:$D,"*"&amp;$A1245&amp;"*",'All Papers'!$G:$G,"*"&amp;Table1[[#Headers],[Monitoring]]&amp;"*")</f>
        <v>0</v>
      </c>
      <c r="M1245" s="8">
        <f>COUNTIFS('All Papers'!$D:$D,"*"&amp;$A1245&amp;"*",'All Papers'!$G:$G,"*"&amp;Table1[[#Headers],[Pricing]]&amp;"*")</f>
        <v>0</v>
      </c>
    </row>
    <row r="1246" spans="1:13" x14ac:dyDescent="0.25">
      <c r="A1246" s="8" t="s">
        <v>3679</v>
      </c>
      <c r="B1246" s="8">
        <f>COUNTIF('All Papers'!D:D,"*"&amp;Table1[[#This Row],[Name]]&amp;"*")</f>
        <v>1</v>
      </c>
      <c r="C1246" s="8">
        <f>COUNTIFS('All Papers'!$D:$D,"*"&amp;$A1246&amp;"*",'All Papers'!$G:$G,"*"&amp;Table1[[#Headers],[Composition]]&amp;"*")</f>
        <v>0</v>
      </c>
      <c r="D1246" s="8">
        <f>COUNTIFS('All Papers'!$D:$D,"*"&amp;$A1246&amp;"*",'All Papers'!$G:$G,"*"&amp;Table1[[#Headers],[Discovery]]&amp;"*")</f>
        <v>0</v>
      </c>
      <c r="E1246" s="8">
        <f>COUNTIFS('All Papers'!$D:$D,"*"&amp;$A1246&amp;"*",'All Papers'!$G:$G,"*"&amp;Table1[[#Headers],[Selection]]&amp;"*")</f>
        <v>0</v>
      </c>
      <c r="F1246" s="8">
        <f>COUNTIFS('All Papers'!$D:$D,"*"&amp;$A1246&amp;"*",'All Papers'!$G:$G,"*"&amp;Table1[[#Headers],[Recommendation]]&amp;"*")</f>
        <v>0</v>
      </c>
      <c r="G1246" s="8">
        <f>COUNTIFS('All Papers'!$D:$D,"*"&amp;$A1246&amp;"*",'All Papers'!$G:$G,"*"&amp;Table1[[#Headers],[Resource Management-CS]]&amp;"*")</f>
        <v>0</v>
      </c>
      <c r="H1246" s="8">
        <f>COUNTIFS('All Papers'!$D:$D,"*"&amp;$A1246&amp;"*",'All Papers'!$G:$G,"*"&amp;Table1[[#Headers],[Resource Management-PS]]&amp;"*")</f>
        <v>1</v>
      </c>
      <c r="I1246" s="8">
        <f>COUNTIFS('All Papers'!$D:$D,"*"&amp;$A1246&amp;"*",'All Papers'!$G:$G,"*"&amp;Table1[[#Headers],[SLA Management]]&amp;"*")</f>
        <v>0</v>
      </c>
      <c r="J1246" s="8">
        <f>COUNTIFS('All Papers'!$D:$D,"*"&amp;$A1246&amp;"*",'All Papers'!$G:$G,"*"&amp;Table1[[#Headers],[Big Data]]&amp;"*")</f>
        <v>0</v>
      </c>
      <c r="K1246" s="8">
        <f>COUNTIFS('All Papers'!$D:$D,"*"&amp;$A1246&amp;"*",'All Papers'!$G:$G,"*"&amp;Table1[[#Headers],[Energy Management]]&amp;"*")</f>
        <v>0</v>
      </c>
      <c r="L1246" s="8">
        <f>COUNTIFS('All Papers'!$D:$D,"*"&amp;$A1246&amp;"*",'All Papers'!$G:$G,"*"&amp;Table1[[#Headers],[Monitoring]]&amp;"*")</f>
        <v>0</v>
      </c>
      <c r="M1246" s="8">
        <f>COUNTIFS('All Papers'!$D:$D,"*"&amp;$A1246&amp;"*",'All Papers'!$G:$G,"*"&amp;Table1[[#Headers],[Pricing]]&amp;"*")</f>
        <v>0</v>
      </c>
    </row>
    <row r="1247" spans="1:13" x14ac:dyDescent="0.25">
      <c r="A1247" s="8" t="s">
        <v>3680</v>
      </c>
      <c r="B1247" s="8">
        <f>COUNTIF('All Papers'!D:D,"*"&amp;Table1[[#This Row],[Name]]&amp;"*")</f>
        <v>1</v>
      </c>
      <c r="C1247" s="8">
        <f>COUNTIFS('All Papers'!$D:$D,"*"&amp;$A1247&amp;"*",'All Papers'!$G:$G,"*"&amp;Table1[[#Headers],[Composition]]&amp;"*")</f>
        <v>0</v>
      </c>
      <c r="D1247" s="8">
        <f>COUNTIFS('All Papers'!$D:$D,"*"&amp;$A1247&amp;"*",'All Papers'!$G:$G,"*"&amp;Table1[[#Headers],[Discovery]]&amp;"*")</f>
        <v>0</v>
      </c>
      <c r="E1247" s="8">
        <f>COUNTIFS('All Papers'!$D:$D,"*"&amp;$A1247&amp;"*",'All Papers'!$G:$G,"*"&amp;Table1[[#Headers],[Selection]]&amp;"*")</f>
        <v>0</v>
      </c>
      <c r="F1247" s="8">
        <f>COUNTIFS('All Papers'!$D:$D,"*"&amp;$A1247&amp;"*",'All Papers'!$G:$G,"*"&amp;Table1[[#Headers],[Recommendation]]&amp;"*")</f>
        <v>0</v>
      </c>
      <c r="G1247" s="8">
        <f>COUNTIFS('All Papers'!$D:$D,"*"&amp;$A1247&amp;"*",'All Papers'!$G:$G,"*"&amp;Table1[[#Headers],[Resource Management-CS]]&amp;"*")</f>
        <v>0</v>
      </c>
      <c r="H1247" s="8">
        <f>COUNTIFS('All Papers'!$D:$D,"*"&amp;$A1247&amp;"*",'All Papers'!$G:$G,"*"&amp;Table1[[#Headers],[Resource Management-PS]]&amp;"*")</f>
        <v>1</v>
      </c>
      <c r="I1247" s="8">
        <f>COUNTIFS('All Papers'!$D:$D,"*"&amp;$A1247&amp;"*",'All Papers'!$G:$G,"*"&amp;Table1[[#Headers],[SLA Management]]&amp;"*")</f>
        <v>0</v>
      </c>
      <c r="J1247" s="8">
        <f>COUNTIFS('All Papers'!$D:$D,"*"&amp;$A1247&amp;"*",'All Papers'!$G:$G,"*"&amp;Table1[[#Headers],[Big Data]]&amp;"*")</f>
        <v>0</v>
      </c>
      <c r="K1247" s="8">
        <f>COUNTIFS('All Papers'!$D:$D,"*"&amp;$A1247&amp;"*",'All Papers'!$G:$G,"*"&amp;Table1[[#Headers],[Energy Management]]&amp;"*")</f>
        <v>0</v>
      </c>
      <c r="L1247" s="8">
        <f>COUNTIFS('All Papers'!$D:$D,"*"&amp;$A1247&amp;"*",'All Papers'!$G:$G,"*"&amp;Table1[[#Headers],[Monitoring]]&amp;"*")</f>
        <v>0</v>
      </c>
      <c r="M1247" s="8">
        <f>COUNTIFS('All Papers'!$D:$D,"*"&amp;$A1247&amp;"*",'All Papers'!$G:$G,"*"&amp;Table1[[#Headers],[Pricing]]&amp;"*")</f>
        <v>0</v>
      </c>
    </row>
    <row r="1248" spans="1:13" x14ac:dyDescent="0.25">
      <c r="A1248" s="8" t="s">
        <v>3681</v>
      </c>
      <c r="B1248" s="8">
        <f>COUNTIF('All Papers'!D:D,"*"&amp;Table1[[#This Row],[Name]]&amp;"*")</f>
        <v>1</v>
      </c>
      <c r="C1248" s="8">
        <f>COUNTIFS('All Papers'!$D:$D,"*"&amp;$A1248&amp;"*",'All Papers'!$G:$G,"*"&amp;Table1[[#Headers],[Composition]]&amp;"*")</f>
        <v>0</v>
      </c>
      <c r="D1248" s="8">
        <f>COUNTIFS('All Papers'!$D:$D,"*"&amp;$A1248&amp;"*",'All Papers'!$G:$G,"*"&amp;Table1[[#Headers],[Discovery]]&amp;"*")</f>
        <v>0</v>
      </c>
      <c r="E1248" s="8">
        <f>COUNTIFS('All Papers'!$D:$D,"*"&amp;$A1248&amp;"*",'All Papers'!$G:$G,"*"&amp;Table1[[#Headers],[Selection]]&amp;"*")</f>
        <v>0</v>
      </c>
      <c r="F1248" s="8">
        <f>COUNTIFS('All Papers'!$D:$D,"*"&amp;$A1248&amp;"*",'All Papers'!$G:$G,"*"&amp;Table1[[#Headers],[Recommendation]]&amp;"*")</f>
        <v>0</v>
      </c>
      <c r="G1248" s="8">
        <f>COUNTIFS('All Papers'!$D:$D,"*"&amp;$A1248&amp;"*",'All Papers'!$G:$G,"*"&amp;Table1[[#Headers],[Resource Management-CS]]&amp;"*")</f>
        <v>0</v>
      </c>
      <c r="H1248" s="8">
        <f>COUNTIFS('All Papers'!$D:$D,"*"&amp;$A1248&amp;"*",'All Papers'!$G:$G,"*"&amp;Table1[[#Headers],[Resource Management-PS]]&amp;"*")</f>
        <v>0</v>
      </c>
      <c r="I1248" s="8">
        <f>COUNTIFS('All Papers'!$D:$D,"*"&amp;$A1248&amp;"*",'All Papers'!$G:$G,"*"&amp;Table1[[#Headers],[SLA Management]]&amp;"*")</f>
        <v>1</v>
      </c>
      <c r="J1248" s="8">
        <f>COUNTIFS('All Papers'!$D:$D,"*"&amp;$A1248&amp;"*",'All Papers'!$G:$G,"*"&amp;Table1[[#Headers],[Big Data]]&amp;"*")</f>
        <v>0</v>
      </c>
      <c r="K1248" s="8">
        <f>COUNTIFS('All Papers'!$D:$D,"*"&amp;$A1248&amp;"*",'All Papers'!$G:$G,"*"&amp;Table1[[#Headers],[Energy Management]]&amp;"*")</f>
        <v>0</v>
      </c>
      <c r="L1248" s="8">
        <f>COUNTIFS('All Papers'!$D:$D,"*"&amp;$A1248&amp;"*",'All Papers'!$G:$G,"*"&amp;Table1[[#Headers],[Monitoring]]&amp;"*")</f>
        <v>0</v>
      </c>
      <c r="M1248" s="8">
        <f>COUNTIFS('All Papers'!$D:$D,"*"&amp;$A1248&amp;"*",'All Papers'!$G:$G,"*"&amp;Table1[[#Headers],[Pricing]]&amp;"*")</f>
        <v>0</v>
      </c>
    </row>
    <row r="1249" spans="1:13" x14ac:dyDescent="0.25">
      <c r="A1249" s="8" t="s">
        <v>3682</v>
      </c>
      <c r="B1249" s="8">
        <f>COUNTIF('All Papers'!D:D,"*"&amp;Table1[[#This Row],[Name]]&amp;"*")</f>
        <v>1</v>
      </c>
      <c r="C1249" s="8">
        <f>COUNTIFS('All Papers'!$D:$D,"*"&amp;$A1249&amp;"*",'All Papers'!$G:$G,"*"&amp;Table1[[#Headers],[Composition]]&amp;"*")</f>
        <v>0</v>
      </c>
      <c r="D1249" s="8">
        <f>COUNTIFS('All Papers'!$D:$D,"*"&amp;$A1249&amp;"*",'All Papers'!$G:$G,"*"&amp;Table1[[#Headers],[Discovery]]&amp;"*")</f>
        <v>0</v>
      </c>
      <c r="E1249" s="8">
        <f>COUNTIFS('All Papers'!$D:$D,"*"&amp;$A1249&amp;"*",'All Papers'!$G:$G,"*"&amp;Table1[[#Headers],[Selection]]&amp;"*")</f>
        <v>0</v>
      </c>
      <c r="F1249" s="8">
        <f>COUNTIFS('All Papers'!$D:$D,"*"&amp;$A1249&amp;"*",'All Papers'!$G:$G,"*"&amp;Table1[[#Headers],[Recommendation]]&amp;"*")</f>
        <v>0</v>
      </c>
      <c r="G1249" s="8">
        <f>COUNTIFS('All Papers'!$D:$D,"*"&amp;$A1249&amp;"*",'All Papers'!$G:$G,"*"&amp;Table1[[#Headers],[Resource Management-CS]]&amp;"*")</f>
        <v>0</v>
      </c>
      <c r="H1249" s="8">
        <f>COUNTIFS('All Papers'!$D:$D,"*"&amp;$A1249&amp;"*",'All Papers'!$G:$G,"*"&amp;Table1[[#Headers],[Resource Management-PS]]&amp;"*")</f>
        <v>0</v>
      </c>
      <c r="I1249" s="8">
        <f>COUNTIFS('All Papers'!$D:$D,"*"&amp;$A1249&amp;"*",'All Papers'!$G:$G,"*"&amp;Table1[[#Headers],[SLA Management]]&amp;"*")</f>
        <v>1</v>
      </c>
      <c r="J1249" s="8">
        <f>COUNTIFS('All Papers'!$D:$D,"*"&amp;$A1249&amp;"*",'All Papers'!$G:$G,"*"&amp;Table1[[#Headers],[Big Data]]&amp;"*")</f>
        <v>0</v>
      </c>
      <c r="K1249" s="8">
        <f>COUNTIFS('All Papers'!$D:$D,"*"&amp;$A1249&amp;"*",'All Papers'!$G:$G,"*"&amp;Table1[[#Headers],[Energy Management]]&amp;"*")</f>
        <v>0</v>
      </c>
      <c r="L1249" s="8">
        <f>COUNTIFS('All Papers'!$D:$D,"*"&amp;$A1249&amp;"*",'All Papers'!$G:$G,"*"&amp;Table1[[#Headers],[Monitoring]]&amp;"*")</f>
        <v>0</v>
      </c>
      <c r="M1249" s="8">
        <f>COUNTIFS('All Papers'!$D:$D,"*"&amp;$A1249&amp;"*",'All Papers'!$G:$G,"*"&amp;Table1[[#Headers],[Pricing]]&amp;"*")</f>
        <v>0</v>
      </c>
    </row>
    <row r="1250" spans="1:13" x14ac:dyDescent="0.25">
      <c r="A1250" s="8" t="s">
        <v>3683</v>
      </c>
      <c r="B1250" s="8">
        <f>COUNTIF('All Papers'!D:D,"*"&amp;Table1[[#This Row],[Name]]&amp;"*")</f>
        <v>1</v>
      </c>
      <c r="C1250" s="8">
        <f>COUNTIFS('All Papers'!$D:$D,"*"&amp;$A1250&amp;"*",'All Papers'!$G:$G,"*"&amp;Table1[[#Headers],[Composition]]&amp;"*")</f>
        <v>0</v>
      </c>
      <c r="D1250" s="8">
        <f>COUNTIFS('All Papers'!$D:$D,"*"&amp;$A1250&amp;"*",'All Papers'!$G:$G,"*"&amp;Table1[[#Headers],[Discovery]]&amp;"*")</f>
        <v>0</v>
      </c>
      <c r="E1250" s="8">
        <f>COUNTIFS('All Papers'!$D:$D,"*"&amp;$A1250&amp;"*",'All Papers'!$G:$G,"*"&amp;Table1[[#Headers],[Selection]]&amp;"*")</f>
        <v>0</v>
      </c>
      <c r="F1250" s="8">
        <f>COUNTIFS('All Papers'!$D:$D,"*"&amp;$A1250&amp;"*",'All Papers'!$G:$G,"*"&amp;Table1[[#Headers],[Recommendation]]&amp;"*")</f>
        <v>0</v>
      </c>
      <c r="G1250" s="8">
        <f>COUNTIFS('All Papers'!$D:$D,"*"&amp;$A1250&amp;"*",'All Papers'!$G:$G,"*"&amp;Table1[[#Headers],[Resource Management-CS]]&amp;"*")</f>
        <v>0</v>
      </c>
      <c r="H1250" s="8">
        <f>COUNTIFS('All Papers'!$D:$D,"*"&amp;$A1250&amp;"*",'All Papers'!$G:$G,"*"&amp;Table1[[#Headers],[Resource Management-PS]]&amp;"*")</f>
        <v>0</v>
      </c>
      <c r="I1250" s="8">
        <f>COUNTIFS('All Papers'!$D:$D,"*"&amp;$A1250&amp;"*",'All Papers'!$G:$G,"*"&amp;Table1[[#Headers],[SLA Management]]&amp;"*")</f>
        <v>1</v>
      </c>
      <c r="J1250" s="8">
        <f>COUNTIFS('All Papers'!$D:$D,"*"&amp;$A1250&amp;"*",'All Papers'!$G:$G,"*"&amp;Table1[[#Headers],[Big Data]]&amp;"*")</f>
        <v>0</v>
      </c>
      <c r="K1250" s="8">
        <f>COUNTIFS('All Papers'!$D:$D,"*"&amp;$A1250&amp;"*",'All Papers'!$G:$G,"*"&amp;Table1[[#Headers],[Energy Management]]&amp;"*")</f>
        <v>0</v>
      </c>
      <c r="L1250" s="8">
        <f>COUNTIFS('All Papers'!$D:$D,"*"&amp;$A1250&amp;"*",'All Papers'!$G:$G,"*"&amp;Table1[[#Headers],[Monitoring]]&amp;"*")</f>
        <v>0</v>
      </c>
      <c r="M1250" s="8">
        <f>COUNTIFS('All Papers'!$D:$D,"*"&amp;$A1250&amp;"*",'All Papers'!$G:$G,"*"&amp;Table1[[#Headers],[Pricing]]&amp;"*")</f>
        <v>0</v>
      </c>
    </row>
    <row r="1251" spans="1:13" x14ac:dyDescent="0.25">
      <c r="A1251" s="8" t="s">
        <v>3684</v>
      </c>
      <c r="B1251" s="8">
        <f>COUNTIF('All Papers'!D:D,"*"&amp;Table1[[#This Row],[Name]]&amp;"*")</f>
        <v>1</v>
      </c>
      <c r="C1251" s="8">
        <f>COUNTIFS('All Papers'!$D:$D,"*"&amp;$A1251&amp;"*",'All Papers'!$G:$G,"*"&amp;Table1[[#Headers],[Composition]]&amp;"*")</f>
        <v>0</v>
      </c>
      <c r="D1251" s="8">
        <f>COUNTIFS('All Papers'!$D:$D,"*"&amp;$A1251&amp;"*",'All Papers'!$G:$G,"*"&amp;Table1[[#Headers],[Discovery]]&amp;"*")</f>
        <v>0</v>
      </c>
      <c r="E1251" s="8">
        <f>COUNTIFS('All Papers'!$D:$D,"*"&amp;$A1251&amp;"*",'All Papers'!$G:$G,"*"&amp;Table1[[#Headers],[Selection]]&amp;"*")</f>
        <v>0</v>
      </c>
      <c r="F1251" s="8">
        <f>COUNTIFS('All Papers'!$D:$D,"*"&amp;$A1251&amp;"*",'All Papers'!$G:$G,"*"&amp;Table1[[#Headers],[Recommendation]]&amp;"*")</f>
        <v>0</v>
      </c>
      <c r="G1251" s="8">
        <f>COUNTIFS('All Papers'!$D:$D,"*"&amp;$A1251&amp;"*",'All Papers'!$G:$G,"*"&amp;Table1[[#Headers],[Resource Management-CS]]&amp;"*")</f>
        <v>0</v>
      </c>
      <c r="H1251" s="8">
        <f>COUNTIFS('All Papers'!$D:$D,"*"&amp;$A1251&amp;"*",'All Papers'!$G:$G,"*"&amp;Table1[[#Headers],[Resource Management-PS]]&amp;"*")</f>
        <v>0</v>
      </c>
      <c r="I1251" s="8">
        <f>COUNTIFS('All Papers'!$D:$D,"*"&amp;$A1251&amp;"*",'All Papers'!$G:$G,"*"&amp;Table1[[#Headers],[SLA Management]]&amp;"*")</f>
        <v>1</v>
      </c>
      <c r="J1251" s="8">
        <f>COUNTIFS('All Papers'!$D:$D,"*"&amp;$A1251&amp;"*",'All Papers'!$G:$G,"*"&amp;Table1[[#Headers],[Big Data]]&amp;"*")</f>
        <v>0</v>
      </c>
      <c r="K1251" s="8">
        <f>COUNTIFS('All Papers'!$D:$D,"*"&amp;$A1251&amp;"*",'All Papers'!$G:$G,"*"&amp;Table1[[#Headers],[Energy Management]]&amp;"*")</f>
        <v>0</v>
      </c>
      <c r="L1251" s="8">
        <f>COUNTIFS('All Papers'!$D:$D,"*"&amp;$A1251&amp;"*",'All Papers'!$G:$G,"*"&amp;Table1[[#Headers],[Monitoring]]&amp;"*")</f>
        <v>0</v>
      </c>
      <c r="M1251" s="8">
        <f>COUNTIFS('All Papers'!$D:$D,"*"&amp;$A1251&amp;"*",'All Papers'!$G:$G,"*"&amp;Table1[[#Headers],[Pricing]]&amp;"*")</f>
        <v>0</v>
      </c>
    </row>
    <row r="1252" spans="1:13" x14ac:dyDescent="0.25">
      <c r="A1252" s="8" t="s">
        <v>3685</v>
      </c>
      <c r="B1252" s="8">
        <f>COUNTIF('All Papers'!D:D,"*"&amp;Table1[[#This Row],[Name]]&amp;"*")</f>
        <v>1</v>
      </c>
      <c r="C1252" s="8">
        <f>COUNTIFS('All Papers'!$D:$D,"*"&amp;$A1252&amp;"*",'All Papers'!$G:$G,"*"&amp;Table1[[#Headers],[Composition]]&amp;"*")</f>
        <v>0</v>
      </c>
      <c r="D1252" s="8">
        <f>COUNTIFS('All Papers'!$D:$D,"*"&amp;$A1252&amp;"*",'All Papers'!$G:$G,"*"&amp;Table1[[#Headers],[Discovery]]&amp;"*")</f>
        <v>0</v>
      </c>
      <c r="E1252" s="8">
        <f>COUNTIFS('All Papers'!$D:$D,"*"&amp;$A1252&amp;"*",'All Papers'!$G:$G,"*"&amp;Table1[[#Headers],[Selection]]&amp;"*")</f>
        <v>0</v>
      </c>
      <c r="F1252" s="8">
        <f>COUNTIFS('All Papers'!$D:$D,"*"&amp;$A1252&amp;"*",'All Papers'!$G:$G,"*"&amp;Table1[[#Headers],[Recommendation]]&amp;"*")</f>
        <v>0</v>
      </c>
      <c r="G1252" s="8">
        <f>COUNTIFS('All Papers'!$D:$D,"*"&amp;$A1252&amp;"*",'All Papers'!$G:$G,"*"&amp;Table1[[#Headers],[Resource Management-CS]]&amp;"*")</f>
        <v>1</v>
      </c>
      <c r="H1252" s="8">
        <f>COUNTIFS('All Papers'!$D:$D,"*"&amp;$A1252&amp;"*",'All Papers'!$G:$G,"*"&amp;Table1[[#Headers],[Resource Management-PS]]&amp;"*")</f>
        <v>0</v>
      </c>
      <c r="I1252" s="8">
        <f>COUNTIFS('All Papers'!$D:$D,"*"&amp;$A1252&amp;"*",'All Papers'!$G:$G,"*"&amp;Table1[[#Headers],[SLA Management]]&amp;"*")</f>
        <v>0</v>
      </c>
      <c r="J1252" s="8">
        <f>COUNTIFS('All Papers'!$D:$D,"*"&amp;$A1252&amp;"*",'All Papers'!$G:$G,"*"&amp;Table1[[#Headers],[Big Data]]&amp;"*")</f>
        <v>0</v>
      </c>
      <c r="K1252" s="8">
        <f>COUNTIFS('All Papers'!$D:$D,"*"&amp;$A1252&amp;"*",'All Papers'!$G:$G,"*"&amp;Table1[[#Headers],[Energy Management]]&amp;"*")</f>
        <v>0</v>
      </c>
      <c r="L1252" s="8">
        <f>COUNTIFS('All Papers'!$D:$D,"*"&amp;$A1252&amp;"*",'All Papers'!$G:$G,"*"&amp;Table1[[#Headers],[Monitoring]]&amp;"*")</f>
        <v>0</v>
      </c>
      <c r="M1252" s="8">
        <f>COUNTIFS('All Papers'!$D:$D,"*"&amp;$A1252&amp;"*",'All Papers'!$G:$G,"*"&amp;Table1[[#Headers],[Pricing]]&amp;"*")</f>
        <v>0</v>
      </c>
    </row>
    <row r="1253" spans="1:13" x14ac:dyDescent="0.25">
      <c r="A1253" s="8" t="s">
        <v>3686</v>
      </c>
      <c r="B1253" s="8">
        <f>COUNTIF('All Papers'!D:D,"*"&amp;Table1[[#This Row],[Name]]&amp;"*")</f>
        <v>1</v>
      </c>
      <c r="C1253" s="8">
        <f>COUNTIFS('All Papers'!$D:$D,"*"&amp;$A1253&amp;"*",'All Papers'!$G:$G,"*"&amp;Table1[[#Headers],[Composition]]&amp;"*")</f>
        <v>0</v>
      </c>
      <c r="D1253" s="8">
        <f>COUNTIFS('All Papers'!$D:$D,"*"&amp;$A1253&amp;"*",'All Papers'!$G:$G,"*"&amp;Table1[[#Headers],[Discovery]]&amp;"*")</f>
        <v>0</v>
      </c>
      <c r="E1253" s="8">
        <f>COUNTIFS('All Papers'!$D:$D,"*"&amp;$A1253&amp;"*",'All Papers'!$G:$G,"*"&amp;Table1[[#Headers],[Selection]]&amp;"*")</f>
        <v>0</v>
      </c>
      <c r="F1253" s="8">
        <f>COUNTIFS('All Papers'!$D:$D,"*"&amp;$A1253&amp;"*",'All Papers'!$G:$G,"*"&amp;Table1[[#Headers],[Recommendation]]&amp;"*")</f>
        <v>0</v>
      </c>
      <c r="G1253" s="8">
        <f>COUNTIFS('All Papers'!$D:$D,"*"&amp;$A1253&amp;"*",'All Papers'!$G:$G,"*"&amp;Table1[[#Headers],[Resource Management-CS]]&amp;"*")</f>
        <v>1</v>
      </c>
      <c r="H1253" s="8">
        <f>COUNTIFS('All Papers'!$D:$D,"*"&amp;$A1253&amp;"*",'All Papers'!$G:$G,"*"&amp;Table1[[#Headers],[Resource Management-PS]]&amp;"*")</f>
        <v>0</v>
      </c>
      <c r="I1253" s="8">
        <f>COUNTIFS('All Papers'!$D:$D,"*"&amp;$A1253&amp;"*",'All Papers'!$G:$G,"*"&amp;Table1[[#Headers],[SLA Management]]&amp;"*")</f>
        <v>0</v>
      </c>
      <c r="J1253" s="8">
        <f>COUNTIFS('All Papers'!$D:$D,"*"&amp;$A1253&amp;"*",'All Papers'!$G:$G,"*"&amp;Table1[[#Headers],[Big Data]]&amp;"*")</f>
        <v>0</v>
      </c>
      <c r="K1253" s="8">
        <f>COUNTIFS('All Papers'!$D:$D,"*"&amp;$A1253&amp;"*",'All Papers'!$G:$G,"*"&amp;Table1[[#Headers],[Energy Management]]&amp;"*")</f>
        <v>0</v>
      </c>
      <c r="L1253" s="8">
        <f>COUNTIFS('All Papers'!$D:$D,"*"&amp;$A1253&amp;"*",'All Papers'!$G:$G,"*"&amp;Table1[[#Headers],[Monitoring]]&amp;"*")</f>
        <v>0</v>
      </c>
      <c r="M1253" s="8">
        <f>COUNTIFS('All Papers'!$D:$D,"*"&amp;$A1253&amp;"*",'All Papers'!$G:$G,"*"&amp;Table1[[#Headers],[Pricing]]&amp;"*")</f>
        <v>0</v>
      </c>
    </row>
    <row r="1254" spans="1:13" x14ac:dyDescent="0.25">
      <c r="A1254" s="8" t="s">
        <v>3687</v>
      </c>
      <c r="B1254" s="8">
        <f>COUNTIF('All Papers'!D:D,"*"&amp;Table1[[#This Row],[Name]]&amp;"*")</f>
        <v>1</v>
      </c>
      <c r="C1254" s="8">
        <f>COUNTIFS('All Papers'!$D:$D,"*"&amp;$A1254&amp;"*",'All Papers'!$G:$G,"*"&amp;Table1[[#Headers],[Composition]]&amp;"*")</f>
        <v>0</v>
      </c>
      <c r="D1254" s="8">
        <f>COUNTIFS('All Papers'!$D:$D,"*"&amp;$A1254&amp;"*",'All Papers'!$G:$G,"*"&amp;Table1[[#Headers],[Discovery]]&amp;"*")</f>
        <v>0</v>
      </c>
      <c r="E1254" s="8">
        <f>COUNTIFS('All Papers'!$D:$D,"*"&amp;$A1254&amp;"*",'All Papers'!$G:$G,"*"&amp;Table1[[#Headers],[Selection]]&amp;"*")</f>
        <v>0</v>
      </c>
      <c r="F1254" s="8">
        <f>COUNTIFS('All Papers'!$D:$D,"*"&amp;$A1254&amp;"*",'All Papers'!$G:$G,"*"&amp;Table1[[#Headers],[Recommendation]]&amp;"*")</f>
        <v>0</v>
      </c>
      <c r="G1254" s="8">
        <f>COUNTIFS('All Papers'!$D:$D,"*"&amp;$A1254&amp;"*",'All Papers'!$G:$G,"*"&amp;Table1[[#Headers],[Resource Management-CS]]&amp;"*")</f>
        <v>1</v>
      </c>
      <c r="H1254" s="8">
        <f>COUNTIFS('All Papers'!$D:$D,"*"&amp;$A1254&amp;"*",'All Papers'!$G:$G,"*"&amp;Table1[[#Headers],[Resource Management-PS]]&amp;"*")</f>
        <v>0</v>
      </c>
      <c r="I1254" s="8">
        <f>COUNTIFS('All Papers'!$D:$D,"*"&amp;$A1254&amp;"*",'All Papers'!$G:$G,"*"&amp;Table1[[#Headers],[SLA Management]]&amp;"*")</f>
        <v>0</v>
      </c>
      <c r="J1254" s="8">
        <f>COUNTIFS('All Papers'!$D:$D,"*"&amp;$A1254&amp;"*",'All Papers'!$G:$G,"*"&amp;Table1[[#Headers],[Big Data]]&amp;"*")</f>
        <v>0</v>
      </c>
      <c r="K1254" s="8">
        <f>COUNTIFS('All Papers'!$D:$D,"*"&amp;$A1254&amp;"*",'All Papers'!$G:$G,"*"&amp;Table1[[#Headers],[Energy Management]]&amp;"*")</f>
        <v>0</v>
      </c>
      <c r="L1254" s="8">
        <f>COUNTIFS('All Papers'!$D:$D,"*"&amp;$A1254&amp;"*",'All Papers'!$G:$G,"*"&amp;Table1[[#Headers],[Monitoring]]&amp;"*")</f>
        <v>0</v>
      </c>
      <c r="M1254" s="8">
        <f>COUNTIFS('All Papers'!$D:$D,"*"&amp;$A1254&amp;"*",'All Papers'!$G:$G,"*"&amp;Table1[[#Headers],[Pricing]]&amp;"*")</f>
        <v>1</v>
      </c>
    </row>
    <row r="1255" spans="1:13" x14ac:dyDescent="0.25">
      <c r="A1255" s="8" t="s">
        <v>3688</v>
      </c>
      <c r="B1255" s="8">
        <f>COUNTIF('All Papers'!D:D,"*"&amp;Table1[[#This Row],[Name]]&amp;"*")</f>
        <v>1</v>
      </c>
      <c r="C1255" s="8">
        <f>COUNTIFS('All Papers'!$D:$D,"*"&amp;$A1255&amp;"*",'All Papers'!$G:$G,"*"&amp;Table1[[#Headers],[Composition]]&amp;"*")</f>
        <v>0</v>
      </c>
      <c r="D1255" s="8">
        <f>COUNTIFS('All Papers'!$D:$D,"*"&amp;$A1255&amp;"*",'All Papers'!$G:$G,"*"&amp;Table1[[#Headers],[Discovery]]&amp;"*")</f>
        <v>0</v>
      </c>
      <c r="E1255" s="8">
        <f>COUNTIFS('All Papers'!$D:$D,"*"&amp;$A1255&amp;"*",'All Papers'!$G:$G,"*"&amp;Table1[[#Headers],[Selection]]&amp;"*")</f>
        <v>0</v>
      </c>
      <c r="F1255" s="8">
        <f>COUNTIFS('All Papers'!$D:$D,"*"&amp;$A1255&amp;"*",'All Papers'!$G:$G,"*"&amp;Table1[[#Headers],[Recommendation]]&amp;"*")</f>
        <v>0</v>
      </c>
      <c r="G1255" s="8">
        <f>COUNTIFS('All Papers'!$D:$D,"*"&amp;$A1255&amp;"*",'All Papers'!$G:$G,"*"&amp;Table1[[#Headers],[Resource Management-CS]]&amp;"*")</f>
        <v>1</v>
      </c>
      <c r="H1255" s="8">
        <f>COUNTIFS('All Papers'!$D:$D,"*"&amp;$A1255&amp;"*",'All Papers'!$G:$G,"*"&amp;Table1[[#Headers],[Resource Management-PS]]&amp;"*")</f>
        <v>0</v>
      </c>
      <c r="I1255" s="8">
        <f>COUNTIFS('All Papers'!$D:$D,"*"&amp;$A1255&amp;"*",'All Papers'!$G:$G,"*"&amp;Table1[[#Headers],[SLA Management]]&amp;"*")</f>
        <v>0</v>
      </c>
      <c r="J1255" s="8">
        <f>COUNTIFS('All Papers'!$D:$D,"*"&amp;$A1255&amp;"*",'All Papers'!$G:$G,"*"&amp;Table1[[#Headers],[Big Data]]&amp;"*")</f>
        <v>0</v>
      </c>
      <c r="K1255" s="8">
        <f>COUNTIFS('All Papers'!$D:$D,"*"&amp;$A1255&amp;"*",'All Papers'!$G:$G,"*"&amp;Table1[[#Headers],[Energy Management]]&amp;"*")</f>
        <v>0</v>
      </c>
      <c r="L1255" s="8">
        <f>COUNTIFS('All Papers'!$D:$D,"*"&amp;$A1255&amp;"*",'All Papers'!$G:$G,"*"&amp;Table1[[#Headers],[Monitoring]]&amp;"*")</f>
        <v>0</v>
      </c>
      <c r="M1255" s="8">
        <f>COUNTIFS('All Papers'!$D:$D,"*"&amp;$A1255&amp;"*",'All Papers'!$G:$G,"*"&amp;Table1[[#Headers],[Pricing]]&amp;"*")</f>
        <v>1</v>
      </c>
    </row>
    <row r="1256" spans="1:13" x14ac:dyDescent="0.25">
      <c r="A1256" s="8" t="s">
        <v>3689</v>
      </c>
      <c r="B1256" s="8">
        <f>COUNTIF('All Papers'!D:D,"*"&amp;Table1[[#This Row],[Name]]&amp;"*")</f>
        <v>1</v>
      </c>
      <c r="C1256" s="8">
        <f>COUNTIFS('All Papers'!$D:$D,"*"&amp;$A1256&amp;"*",'All Papers'!$G:$G,"*"&amp;Table1[[#Headers],[Composition]]&amp;"*")</f>
        <v>0</v>
      </c>
      <c r="D1256" s="8">
        <f>COUNTIFS('All Papers'!$D:$D,"*"&amp;$A1256&amp;"*",'All Papers'!$G:$G,"*"&amp;Table1[[#Headers],[Discovery]]&amp;"*")</f>
        <v>0</v>
      </c>
      <c r="E1256" s="8">
        <f>COUNTIFS('All Papers'!$D:$D,"*"&amp;$A1256&amp;"*",'All Papers'!$G:$G,"*"&amp;Table1[[#Headers],[Selection]]&amp;"*")</f>
        <v>0</v>
      </c>
      <c r="F1256" s="8">
        <f>COUNTIFS('All Papers'!$D:$D,"*"&amp;$A1256&amp;"*",'All Papers'!$G:$G,"*"&amp;Table1[[#Headers],[Recommendation]]&amp;"*")</f>
        <v>0</v>
      </c>
      <c r="G1256" s="8">
        <f>COUNTIFS('All Papers'!$D:$D,"*"&amp;$A1256&amp;"*",'All Papers'!$G:$G,"*"&amp;Table1[[#Headers],[Resource Management-CS]]&amp;"*")</f>
        <v>1</v>
      </c>
      <c r="H1256" s="8">
        <f>COUNTIFS('All Papers'!$D:$D,"*"&amp;$A1256&amp;"*",'All Papers'!$G:$G,"*"&amp;Table1[[#Headers],[Resource Management-PS]]&amp;"*")</f>
        <v>0</v>
      </c>
      <c r="I1256" s="8">
        <f>COUNTIFS('All Papers'!$D:$D,"*"&amp;$A1256&amp;"*",'All Papers'!$G:$G,"*"&amp;Table1[[#Headers],[SLA Management]]&amp;"*")</f>
        <v>0</v>
      </c>
      <c r="J1256" s="8">
        <f>COUNTIFS('All Papers'!$D:$D,"*"&amp;$A1256&amp;"*",'All Papers'!$G:$G,"*"&amp;Table1[[#Headers],[Big Data]]&amp;"*")</f>
        <v>0</v>
      </c>
      <c r="K1256" s="8">
        <f>COUNTIFS('All Papers'!$D:$D,"*"&amp;$A1256&amp;"*",'All Papers'!$G:$G,"*"&amp;Table1[[#Headers],[Energy Management]]&amp;"*")</f>
        <v>0</v>
      </c>
      <c r="L1256" s="8">
        <f>COUNTIFS('All Papers'!$D:$D,"*"&amp;$A1256&amp;"*",'All Papers'!$G:$G,"*"&amp;Table1[[#Headers],[Monitoring]]&amp;"*")</f>
        <v>0</v>
      </c>
      <c r="M1256" s="8">
        <f>COUNTIFS('All Papers'!$D:$D,"*"&amp;$A1256&amp;"*",'All Papers'!$G:$G,"*"&amp;Table1[[#Headers],[Pricing]]&amp;"*")</f>
        <v>0</v>
      </c>
    </row>
    <row r="1257" spans="1:13" x14ac:dyDescent="0.25">
      <c r="A1257" s="8" t="s">
        <v>3690</v>
      </c>
      <c r="B1257" s="8">
        <f>COUNTIF('All Papers'!D:D,"*"&amp;Table1[[#This Row],[Name]]&amp;"*")</f>
        <v>1</v>
      </c>
      <c r="C1257" s="8">
        <f>COUNTIFS('All Papers'!$D:$D,"*"&amp;$A1257&amp;"*",'All Papers'!$G:$G,"*"&amp;Table1[[#Headers],[Composition]]&amp;"*")</f>
        <v>0</v>
      </c>
      <c r="D1257" s="8">
        <f>COUNTIFS('All Papers'!$D:$D,"*"&amp;$A1257&amp;"*",'All Papers'!$G:$G,"*"&amp;Table1[[#Headers],[Discovery]]&amp;"*")</f>
        <v>0</v>
      </c>
      <c r="E1257" s="8">
        <f>COUNTIFS('All Papers'!$D:$D,"*"&amp;$A1257&amp;"*",'All Papers'!$G:$G,"*"&amp;Table1[[#Headers],[Selection]]&amp;"*")</f>
        <v>0</v>
      </c>
      <c r="F1257" s="8">
        <f>COUNTIFS('All Papers'!$D:$D,"*"&amp;$A1257&amp;"*",'All Papers'!$G:$G,"*"&amp;Table1[[#Headers],[Recommendation]]&amp;"*")</f>
        <v>0</v>
      </c>
      <c r="G1257" s="8">
        <f>COUNTIFS('All Papers'!$D:$D,"*"&amp;$A1257&amp;"*",'All Papers'!$G:$G,"*"&amp;Table1[[#Headers],[Resource Management-CS]]&amp;"*")</f>
        <v>0</v>
      </c>
      <c r="H1257" s="8">
        <f>COUNTIFS('All Papers'!$D:$D,"*"&amp;$A1257&amp;"*",'All Papers'!$G:$G,"*"&amp;Table1[[#Headers],[Resource Management-PS]]&amp;"*")</f>
        <v>1</v>
      </c>
      <c r="I1257" s="8">
        <f>COUNTIFS('All Papers'!$D:$D,"*"&amp;$A1257&amp;"*",'All Papers'!$G:$G,"*"&amp;Table1[[#Headers],[SLA Management]]&amp;"*")</f>
        <v>0</v>
      </c>
      <c r="J1257" s="8">
        <f>COUNTIFS('All Papers'!$D:$D,"*"&amp;$A1257&amp;"*",'All Papers'!$G:$G,"*"&amp;Table1[[#Headers],[Big Data]]&amp;"*")</f>
        <v>0</v>
      </c>
      <c r="K1257" s="8">
        <f>COUNTIFS('All Papers'!$D:$D,"*"&amp;$A1257&amp;"*",'All Papers'!$G:$G,"*"&amp;Table1[[#Headers],[Energy Management]]&amp;"*")</f>
        <v>1</v>
      </c>
      <c r="L1257" s="8">
        <f>COUNTIFS('All Papers'!$D:$D,"*"&amp;$A1257&amp;"*",'All Papers'!$G:$G,"*"&amp;Table1[[#Headers],[Monitoring]]&amp;"*")</f>
        <v>0</v>
      </c>
      <c r="M1257" s="8">
        <f>COUNTIFS('All Papers'!$D:$D,"*"&amp;$A1257&amp;"*",'All Papers'!$G:$G,"*"&amp;Table1[[#Headers],[Pricing]]&amp;"*")</f>
        <v>0</v>
      </c>
    </row>
    <row r="1258" spans="1:13" x14ac:dyDescent="0.25">
      <c r="A1258" s="8" t="s">
        <v>3691</v>
      </c>
      <c r="B1258" s="8">
        <f>COUNTIF('All Papers'!D:D,"*"&amp;Table1[[#This Row],[Name]]&amp;"*")</f>
        <v>1</v>
      </c>
      <c r="C1258" s="8">
        <f>COUNTIFS('All Papers'!$D:$D,"*"&amp;$A1258&amp;"*",'All Papers'!$G:$G,"*"&amp;Table1[[#Headers],[Composition]]&amp;"*")</f>
        <v>0</v>
      </c>
      <c r="D1258" s="8">
        <f>COUNTIFS('All Papers'!$D:$D,"*"&amp;$A1258&amp;"*",'All Papers'!$G:$G,"*"&amp;Table1[[#Headers],[Discovery]]&amp;"*")</f>
        <v>0</v>
      </c>
      <c r="E1258" s="8">
        <f>COUNTIFS('All Papers'!$D:$D,"*"&amp;$A1258&amp;"*",'All Papers'!$G:$G,"*"&amp;Table1[[#Headers],[Selection]]&amp;"*")</f>
        <v>0</v>
      </c>
      <c r="F1258" s="8">
        <f>COUNTIFS('All Papers'!$D:$D,"*"&amp;$A1258&amp;"*",'All Papers'!$G:$G,"*"&amp;Table1[[#Headers],[Recommendation]]&amp;"*")</f>
        <v>0</v>
      </c>
      <c r="G1258" s="8">
        <f>COUNTIFS('All Papers'!$D:$D,"*"&amp;$A1258&amp;"*",'All Papers'!$G:$G,"*"&amp;Table1[[#Headers],[Resource Management-CS]]&amp;"*")</f>
        <v>0</v>
      </c>
      <c r="H1258" s="8">
        <f>COUNTIFS('All Papers'!$D:$D,"*"&amp;$A1258&amp;"*",'All Papers'!$G:$G,"*"&amp;Table1[[#Headers],[Resource Management-PS]]&amp;"*")</f>
        <v>1</v>
      </c>
      <c r="I1258" s="8">
        <f>COUNTIFS('All Papers'!$D:$D,"*"&amp;$A1258&amp;"*",'All Papers'!$G:$G,"*"&amp;Table1[[#Headers],[SLA Management]]&amp;"*")</f>
        <v>0</v>
      </c>
      <c r="J1258" s="8">
        <f>COUNTIFS('All Papers'!$D:$D,"*"&amp;$A1258&amp;"*",'All Papers'!$G:$G,"*"&amp;Table1[[#Headers],[Big Data]]&amp;"*")</f>
        <v>0</v>
      </c>
      <c r="K1258" s="8">
        <f>COUNTIFS('All Papers'!$D:$D,"*"&amp;$A1258&amp;"*",'All Papers'!$G:$G,"*"&amp;Table1[[#Headers],[Energy Management]]&amp;"*")</f>
        <v>1</v>
      </c>
      <c r="L1258" s="8">
        <f>COUNTIFS('All Papers'!$D:$D,"*"&amp;$A1258&amp;"*",'All Papers'!$G:$G,"*"&amp;Table1[[#Headers],[Monitoring]]&amp;"*")</f>
        <v>0</v>
      </c>
      <c r="M1258" s="8">
        <f>COUNTIFS('All Papers'!$D:$D,"*"&amp;$A1258&amp;"*",'All Papers'!$G:$G,"*"&amp;Table1[[#Headers],[Pricing]]&amp;"*")</f>
        <v>0</v>
      </c>
    </row>
    <row r="1259" spans="1:13" x14ac:dyDescent="0.25">
      <c r="A1259" s="8" t="s">
        <v>3692</v>
      </c>
      <c r="B1259" s="8">
        <f>COUNTIF('All Papers'!D:D,"*"&amp;Table1[[#This Row],[Name]]&amp;"*")</f>
        <v>1</v>
      </c>
      <c r="C1259" s="8">
        <f>COUNTIFS('All Papers'!$D:$D,"*"&amp;$A1259&amp;"*",'All Papers'!$G:$G,"*"&amp;Table1[[#Headers],[Composition]]&amp;"*")</f>
        <v>0</v>
      </c>
      <c r="D1259" s="8">
        <f>COUNTIFS('All Papers'!$D:$D,"*"&amp;$A1259&amp;"*",'All Papers'!$G:$G,"*"&amp;Table1[[#Headers],[Discovery]]&amp;"*")</f>
        <v>0</v>
      </c>
      <c r="E1259" s="8">
        <f>COUNTIFS('All Papers'!$D:$D,"*"&amp;$A1259&amp;"*",'All Papers'!$G:$G,"*"&amp;Table1[[#Headers],[Selection]]&amp;"*")</f>
        <v>0</v>
      </c>
      <c r="F1259" s="8">
        <f>COUNTIFS('All Papers'!$D:$D,"*"&amp;$A1259&amp;"*",'All Papers'!$G:$G,"*"&amp;Table1[[#Headers],[Recommendation]]&amp;"*")</f>
        <v>0</v>
      </c>
      <c r="G1259" s="8">
        <f>COUNTIFS('All Papers'!$D:$D,"*"&amp;$A1259&amp;"*",'All Papers'!$G:$G,"*"&amp;Table1[[#Headers],[Resource Management-CS]]&amp;"*")</f>
        <v>1</v>
      </c>
      <c r="H1259" s="8">
        <f>COUNTIFS('All Papers'!$D:$D,"*"&amp;$A1259&amp;"*",'All Papers'!$G:$G,"*"&amp;Table1[[#Headers],[Resource Management-PS]]&amp;"*")</f>
        <v>0</v>
      </c>
      <c r="I1259" s="8">
        <f>COUNTIFS('All Papers'!$D:$D,"*"&amp;$A1259&amp;"*",'All Papers'!$G:$G,"*"&amp;Table1[[#Headers],[SLA Management]]&amp;"*")</f>
        <v>0</v>
      </c>
      <c r="J1259" s="8">
        <f>COUNTIFS('All Papers'!$D:$D,"*"&amp;$A1259&amp;"*",'All Papers'!$G:$G,"*"&amp;Table1[[#Headers],[Big Data]]&amp;"*")</f>
        <v>0</v>
      </c>
      <c r="K1259" s="8">
        <f>COUNTIFS('All Papers'!$D:$D,"*"&amp;$A1259&amp;"*",'All Papers'!$G:$G,"*"&amp;Table1[[#Headers],[Energy Management]]&amp;"*")</f>
        <v>0</v>
      </c>
      <c r="L1259" s="8">
        <f>COUNTIFS('All Papers'!$D:$D,"*"&amp;$A1259&amp;"*",'All Papers'!$G:$G,"*"&amp;Table1[[#Headers],[Monitoring]]&amp;"*")</f>
        <v>0</v>
      </c>
      <c r="M1259" s="8">
        <f>COUNTIFS('All Papers'!$D:$D,"*"&amp;$A1259&amp;"*",'All Papers'!$G:$G,"*"&amp;Table1[[#Headers],[Pricing]]&amp;"*")</f>
        <v>0</v>
      </c>
    </row>
    <row r="1260" spans="1:13" x14ac:dyDescent="0.25">
      <c r="A1260" s="8" t="s">
        <v>3693</v>
      </c>
      <c r="B1260" s="8">
        <f>COUNTIF('All Papers'!D:D,"*"&amp;Table1[[#This Row],[Name]]&amp;"*")</f>
        <v>1</v>
      </c>
      <c r="C1260" s="8">
        <f>COUNTIFS('All Papers'!$D:$D,"*"&amp;$A1260&amp;"*",'All Papers'!$G:$G,"*"&amp;Table1[[#Headers],[Composition]]&amp;"*")</f>
        <v>0</v>
      </c>
      <c r="D1260" s="8">
        <f>COUNTIFS('All Papers'!$D:$D,"*"&amp;$A1260&amp;"*",'All Papers'!$G:$G,"*"&amp;Table1[[#Headers],[Discovery]]&amp;"*")</f>
        <v>0</v>
      </c>
      <c r="E1260" s="8">
        <f>COUNTIFS('All Papers'!$D:$D,"*"&amp;$A1260&amp;"*",'All Papers'!$G:$G,"*"&amp;Table1[[#Headers],[Selection]]&amp;"*")</f>
        <v>0</v>
      </c>
      <c r="F1260" s="8">
        <f>COUNTIFS('All Papers'!$D:$D,"*"&amp;$A1260&amp;"*",'All Papers'!$G:$G,"*"&amp;Table1[[#Headers],[Recommendation]]&amp;"*")</f>
        <v>0</v>
      </c>
      <c r="G1260" s="8">
        <f>COUNTIFS('All Papers'!$D:$D,"*"&amp;$A1260&amp;"*",'All Papers'!$G:$G,"*"&amp;Table1[[#Headers],[Resource Management-CS]]&amp;"*")</f>
        <v>1</v>
      </c>
      <c r="H1260" s="8">
        <f>COUNTIFS('All Papers'!$D:$D,"*"&amp;$A1260&amp;"*",'All Papers'!$G:$G,"*"&amp;Table1[[#Headers],[Resource Management-PS]]&amp;"*")</f>
        <v>0</v>
      </c>
      <c r="I1260" s="8">
        <f>COUNTIFS('All Papers'!$D:$D,"*"&amp;$A1260&amp;"*",'All Papers'!$G:$G,"*"&amp;Table1[[#Headers],[SLA Management]]&amp;"*")</f>
        <v>0</v>
      </c>
      <c r="J1260" s="8">
        <f>COUNTIFS('All Papers'!$D:$D,"*"&amp;$A1260&amp;"*",'All Papers'!$G:$G,"*"&amp;Table1[[#Headers],[Big Data]]&amp;"*")</f>
        <v>0</v>
      </c>
      <c r="K1260" s="8">
        <f>COUNTIFS('All Papers'!$D:$D,"*"&amp;$A1260&amp;"*",'All Papers'!$G:$G,"*"&amp;Table1[[#Headers],[Energy Management]]&amp;"*")</f>
        <v>0</v>
      </c>
      <c r="L1260" s="8">
        <f>COUNTIFS('All Papers'!$D:$D,"*"&amp;$A1260&amp;"*",'All Papers'!$G:$G,"*"&amp;Table1[[#Headers],[Monitoring]]&amp;"*")</f>
        <v>0</v>
      </c>
      <c r="M1260" s="8">
        <f>COUNTIFS('All Papers'!$D:$D,"*"&amp;$A1260&amp;"*",'All Papers'!$G:$G,"*"&amp;Table1[[#Headers],[Pricing]]&amp;"*")</f>
        <v>0</v>
      </c>
    </row>
    <row r="1261" spans="1:13" x14ac:dyDescent="0.25">
      <c r="A1261" s="8" t="s">
        <v>3694</v>
      </c>
      <c r="B1261" s="8">
        <f>COUNTIF('All Papers'!D:D,"*"&amp;Table1[[#This Row],[Name]]&amp;"*")</f>
        <v>1</v>
      </c>
      <c r="C1261" s="8">
        <f>COUNTIFS('All Papers'!$D:$D,"*"&amp;$A1261&amp;"*",'All Papers'!$G:$G,"*"&amp;Table1[[#Headers],[Composition]]&amp;"*")</f>
        <v>0</v>
      </c>
      <c r="D1261" s="8">
        <f>COUNTIFS('All Papers'!$D:$D,"*"&amp;$A1261&amp;"*",'All Papers'!$G:$G,"*"&amp;Table1[[#Headers],[Discovery]]&amp;"*")</f>
        <v>0</v>
      </c>
      <c r="E1261" s="8">
        <f>COUNTIFS('All Papers'!$D:$D,"*"&amp;$A1261&amp;"*",'All Papers'!$G:$G,"*"&amp;Table1[[#Headers],[Selection]]&amp;"*")</f>
        <v>0</v>
      </c>
      <c r="F1261" s="8">
        <f>COUNTIFS('All Papers'!$D:$D,"*"&amp;$A1261&amp;"*",'All Papers'!$G:$G,"*"&amp;Table1[[#Headers],[Recommendation]]&amp;"*")</f>
        <v>0</v>
      </c>
      <c r="G1261" s="8">
        <f>COUNTIFS('All Papers'!$D:$D,"*"&amp;$A1261&amp;"*",'All Papers'!$G:$G,"*"&amp;Table1[[#Headers],[Resource Management-CS]]&amp;"*")</f>
        <v>1</v>
      </c>
      <c r="H1261" s="8">
        <f>COUNTIFS('All Papers'!$D:$D,"*"&amp;$A1261&amp;"*",'All Papers'!$G:$G,"*"&amp;Table1[[#Headers],[Resource Management-PS]]&amp;"*")</f>
        <v>0</v>
      </c>
      <c r="I1261" s="8">
        <f>COUNTIFS('All Papers'!$D:$D,"*"&amp;$A1261&amp;"*",'All Papers'!$G:$G,"*"&amp;Table1[[#Headers],[SLA Management]]&amp;"*")</f>
        <v>0</v>
      </c>
      <c r="J1261" s="8">
        <f>COUNTIFS('All Papers'!$D:$D,"*"&amp;$A1261&amp;"*",'All Papers'!$G:$G,"*"&amp;Table1[[#Headers],[Big Data]]&amp;"*")</f>
        <v>0</v>
      </c>
      <c r="K1261" s="8">
        <f>COUNTIFS('All Papers'!$D:$D,"*"&amp;$A1261&amp;"*",'All Papers'!$G:$G,"*"&amp;Table1[[#Headers],[Energy Management]]&amp;"*")</f>
        <v>0</v>
      </c>
      <c r="L1261" s="8">
        <f>COUNTIFS('All Papers'!$D:$D,"*"&amp;$A1261&amp;"*",'All Papers'!$G:$G,"*"&amp;Table1[[#Headers],[Monitoring]]&amp;"*")</f>
        <v>0</v>
      </c>
      <c r="M1261" s="8">
        <f>COUNTIFS('All Papers'!$D:$D,"*"&amp;$A1261&amp;"*",'All Papers'!$G:$G,"*"&amp;Table1[[#Headers],[Pricing]]&amp;"*")</f>
        <v>0</v>
      </c>
    </row>
    <row r="1262" spans="1:13" x14ac:dyDescent="0.25">
      <c r="A1262" s="8" t="s">
        <v>3695</v>
      </c>
      <c r="B1262" s="8">
        <f>COUNTIF('All Papers'!D:D,"*"&amp;Table1[[#This Row],[Name]]&amp;"*")</f>
        <v>1</v>
      </c>
      <c r="C1262" s="8">
        <f>COUNTIFS('All Papers'!$D:$D,"*"&amp;$A1262&amp;"*",'All Papers'!$G:$G,"*"&amp;Table1[[#Headers],[Composition]]&amp;"*")</f>
        <v>0</v>
      </c>
      <c r="D1262" s="8">
        <f>COUNTIFS('All Papers'!$D:$D,"*"&amp;$A1262&amp;"*",'All Papers'!$G:$G,"*"&amp;Table1[[#Headers],[Discovery]]&amp;"*")</f>
        <v>0</v>
      </c>
      <c r="E1262" s="8">
        <f>COUNTIFS('All Papers'!$D:$D,"*"&amp;$A1262&amp;"*",'All Papers'!$G:$G,"*"&amp;Table1[[#Headers],[Selection]]&amp;"*")</f>
        <v>0</v>
      </c>
      <c r="F1262" s="8">
        <f>COUNTIFS('All Papers'!$D:$D,"*"&amp;$A1262&amp;"*",'All Papers'!$G:$G,"*"&amp;Table1[[#Headers],[Recommendation]]&amp;"*")</f>
        <v>0</v>
      </c>
      <c r="G1262" s="8">
        <f>COUNTIFS('All Papers'!$D:$D,"*"&amp;$A1262&amp;"*",'All Papers'!$G:$G,"*"&amp;Table1[[#Headers],[Resource Management-CS]]&amp;"*")</f>
        <v>1</v>
      </c>
      <c r="H1262" s="8">
        <f>COUNTIFS('All Papers'!$D:$D,"*"&amp;$A1262&amp;"*",'All Papers'!$G:$G,"*"&amp;Table1[[#Headers],[Resource Management-PS]]&amp;"*")</f>
        <v>0</v>
      </c>
      <c r="I1262" s="8">
        <f>COUNTIFS('All Papers'!$D:$D,"*"&amp;$A1262&amp;"*",'All Papers'!$G:$G,"*"&amp;Table1[[#Headers],[SLA Management]]&amp;"*")</f>
        <v>0</v>
      </c>
      <c r="J1262" s="8">
        <f>COUNTIFS('All Papers'!$D:$D,"*"&amp;$A1262&amp;"*",'All Papers'!$G:$G,"*"&amp;Table1[[#Headers],[Big Data]]&amp;"*")</f>
        <v>0</v>
      </c>
      <c r="K1262" s="8">
        <f>COUNTIFS('All Papers'!$D:$D,"*"&amp;$A1262&amp;"*",'All Papers'!$G:$G,"*"&amp;Table1[[#Headers],[Energy Management]]&amp;"*")</f>
        <v>0</v>
      </c>
      <c r="L1262" s="8">
        <f>COUNTIFS('All Papers'!$D:$D,"*"&amp;$A1262&amp;"*",'All Papers'!$G:$G,"*"&amp;Table1[[#Headers],[Monitoring]]&amp;"*")</f>
        <v>0</v>
      </c>
      <c r="M1262" s="8">
        <f>COUNTIFS('All Papers'!$D:$D,"*"&amp;$A1262&amp;"*",'All Papers'!$G:$G,"*"&amp;Table1[[#Headers],[Pricing]]&amp;"*")</f>
        <v>0</v>
      </c>
    </row>
    <row r="1263" spans="1:13" x14ac:dyDescent="0.25">
      <c r="A1263" s="8" t="s">
        <v>3696</v>
      </c>
      <c r="B1263" s="8">
        <f>COUNTIF('All Papers'!D:D,"*"&amp;Table1[[#This Row],[Name]]&amp;"*")</f>
        <v>1</v>
      </c>
      <c r="C1263" s="8">
        <f>COUNTIFS('All Papers'!$D:$D,"*"&amp;$A1263&amp;"*",'All Papers'!$G:$G,"*"&amp;Table1[[#Headers],[Composition]]&amp;"*")</f>
        <v>0</v>
      </c>
      <c r="D1263" s="8">
        <f>COUNTIFS('All Papers'!$D:$D,"*"&amp;$A1263&amp;"*",'All Papers'!$G:$G,"*"&amp;Table1[[#Headers],[Discovery]]&amp;"*")</f>
        <v>0</v>
      </c>
      <c r="E1263" s="8">
        <f>COUNTIFS('All Papers'!$D:$D,"*"&amp;$A1263&amp;"*",'All Papers'!$G:$G,"*"&amp;Table1[[#Headers],[Selection]]&amp;"*")</f>
        <v>0</v>
      </c>
      <c r="F1263" s="8">
        <f>COUNTIFS('All Papers'!$D:$D,"*"&amp;$A1263&amp;"*",'All Papers'!$G:$G,"*"&amp;Table1[[#Headers],[Recommendation]]&amp;"*")</f>
        <v>0</v>
      </c>
      <c r="G1263" s="8">
        <f>COUNTIFS('All Papers'!$D:$D,"*"&amp;$A1263&amp;"*",'All Papers'!$G:$G,"*"&amp;Table1[[#Headers],[Resource Management-CS]]&amp;"*")</f>
        <v>1</v>
      </c>
      <c r="H1263" s="8">
        <f>COUNTIFS('All Papers'!$D:$D,"*"&amp;$A1263&amp;"*",'All Papers'!$G:$G,"*"&amp;Table1[[#Headers],[Resource Management-PS]]&amp;"*")</f>
        <v>0</v>
      </c>
      <c r="I1263" s="8">
        <f>COUNTIFS('All Papers'!$D:$D,"*"&amp;$A1263&amp;"*",'All Papers'!$G:$G,"*"&amp;Table1[[#Headers],[SLA Management]]&amp;"*")</f>
        <v>0</v>
      </c>
      <c r="J1263" s="8">
        <f>COUNTIFS('All Papers'!$D:$D,"*"&amp;$A1263&amp;"*",'All Papers'!$G:$G,"*"&amp;Table1[[#Headers],[Big Data]]&amp;"*")</f>
        <v>0</v>
      </c>
      <c r="K1263" s="8">
        <f>COUNTIFS('All Papers'!$D:$D,"*"&amp;$A1263&amp;"*",'All Papers'!$G:$G,"*"&amp;Table1[[#Headers],[Energy Management]]&amp;"*")</f>
        <v>0</v>
      </c>
      <c r="L1263" s="8">
        <f>COUNTIFS('All Papers'!$D:$D,"*"&amp;$A1263&amp;"*",'All Papers'!$G:$G,"*"&amp;Table1[[#Headers],[Monitoring]]&amp;"*")</f>
        <v>0</v>
      </c>
      <c r="M1263" s="8">
        <f>COUNTIFS('All Papers'!$D:$D,"*"&amp;$A1263&amp;"*",'All Papers'!$G:$G,"*"&amp;Table1[[#Headers],[Pricing]]&amp;"*")</f>
        <v>0</v>
      </c>
    </row>
    <row r="1264" spans="1:13" x14ac:dyDescent="0.25">
      <c r="A1264" s="8" t="s">
        <v>3697</v>
      </c>
      <c r="B1264" s="8">
        <f>COUNTIF('All Papers'!D:D,"*"&amp;Table1[[#This Row],[Name]]&amp;"*")</f>
        <v>1</v>
      </c>
      <c r="C1264" s="8">
        <f>COUNTIFS('All Papers'!$D:$D,"*"&amp;$A1264&amp;"*",'All Papers'!$G:$G,"*"&amp;Table1[[#Headers],[Composition]]&amp;"*")</f>
        <v>0</v>
      </c>
      <c r="D1264" s="8">
        <f>COUNTIFS('All Papers'!$D:$D,"*"&amp;$A1264&amp;"*",'All Papers'!$G:$G,"*"&amp;Table1[[#Headers],[Discovery]]&amp;"*")</f>
        <v>0</v>
      </c>
      <c r="E1264" s="8">
        <f>COUNTIFS('All Papers'!$D:$D,"*"&amp;$A1264&amp;"*",'All Papers'!$G:$G,"*"&amp;Table1[[#Headers],[Selection]]&amp;"*")</f>
        <v>0</v>
      </c>
      <c r="F1264" s="8">
        <f>COUNTIFS('All Papers'!$D:$D,"*"&amp;$A1264&amp;"*",'All Papers'!$G:$G,"*"&amp;Table1[[#Headers],[Recommendation]]&amp;"*")</f>
        <v>0</v>
      </c>
      <c r="G1264" s="8">
        <f>COUNTIFS('All Papers'!$D:$D,"*"&amp;$A1264&amp;"*",'All Papers'!$G:$G,"*"&amp;Table1[[#Headers],[Resource Management-CS]]&amp;"*")</f>
        <v>1</v>
      </c>
      <c r="H1264" s="8">
        <f>COUNTIFS('All Papers'!$D:$D,"*"&amp;$A1264&amp;"*",'All Papers'!$G:$G,"*"&amp;Table1[[#Headers],[Resource Management-PS]]&amp;"*")</f>
        <v>0</v>
      </c>
      <c r="I1264" s="8">
        <f>COUNTIFS('All Papers'!$D:$D,"*"&amp;$A1264&amp;"*",'All Papers'!$G:$G,"*"&amp;Table1[[#Headers],[SLA Management]]&amp;"*")</f>
        <v>0</v>
      </c>
      <c r="J1264" s="8">
        <f>COUNTIFS('All Papers'!$D:$D,"*"&amp;$A1264&amp;"*",'All Papers'!$G:$G,"*"&amp;Table1[[#Headers],[Big Data]]&amp;"*")</f>
        <v>0</v>
      </c>
      <c r="K1264" s="8">
        <f>COUNTIFS('All Papers'!$D:$D,"*"&amp;$A1264&amp;"*",'All Papers'!$G:$G,"*"&amp;Table1[[#Headers],[Energy Management]]&amp;"*")</f>
        <v>0</v>
      </c>
      <c r="L1264" s="8">
        <f>COUNTIFS('All Papers'!$D:$D,"*"&amp;$A1264&amp;"*",'All Papers'!$G:$G,"*"&amp;Table1[[#Headers],[Monitoring]]&amp;"*")</f>
        <v>0</v>
      </c>
      <c r="M1264" s="8">
        <f>COUNTIFS('All Papers'!$D:$D,"*"&amp;$A1264&amp;"*",'All Papers'!$G:$G,"*"&amp;Table1[[#Headers],[Pricing]]&amp;"*")</f>
        <v>0</v>
      </c>
    </row>
    <row r="1265" spans="1:13" x14ac:dyDescent="0.25">
      <c r="A1265" s="8" t="s">
        <v>3698</v>
      </c>
      <c r="B1265" s="8">
        <f>COUNTIF('All Papers'!D:D,"*"&amp;Table1[[#This Row],[Name]]&amp;"*")</f>
        <v>1</v>
      </c>
      <c r="C1265" s="8">
        <f>COUNTIFS('All Papers'!$D:$D,"*"&amp;$A1265&amp;"*",'All Papers'!$G:$G,"*"&amp;Table1[[#Headers],[Composition]]&amp;"*")</f>
        <v>0</v>
      </c>
      <c r="D1265" s="8">
        <f>COUNTIFS('All Papers'!$D:$D,"*"&amp;$A1265&amp;"*",'All Papers'!$G:$G,"*"&amp;Table1[[#Headers],[Discovery]]&amp;"*")</f>
        <v>0</v>
      </c>
      <c r="E1265" s="8">
        <f>COUNTIFS('All Papers'!$D:$D,"*"&amp;$A1265&amp;"*",'All Papers'!$G:$G,"*"&amp;Table1[[#Headers],[Selection]]&amp;"*")</f>
        <v>0</v>
      </c>
      <c r="F1265" s="8">
        <f>COUNTIFS('All Papers'!$D:$D,"*"&amp;$A1265&amp;"*",'All Papers'!$G:$G,"*"&amp;Table1[[#Headers],[Recommendation]]&amp;"*")</f>
        <v>0</v>
      </c>
      <c r="G1265" s="8">
        <f>COUNTIFS('All Papers'!$D:$D,"*"&amp;$A1265&amp;"*",'All Papers'!$G:$G,"*"&amp;Table1[[#Headers],[Resource Management-CS]]&amp;"*")</f>
        <v>1</v>
      </c>
      <c r="H1265" s="8">
        <f>COUNTIFS('All Papers'!$D:$D,"*"&amp;$A1265&amp;"*",'All Papers'!$G:$G,"*"&amp;Table1[[#Headers],[Resource Management-PS]]&amp;"*")</f>
        <v>0</v>
      </c>
      <c r="I1265" s="8">
        <f>COUNTIFS('All Papers'!$D:$D,"*"&amp;$A1265&amp;"*",'All Papers'!$G:$G,"*"&amp;Table1[[#Headers],[SLA Management]]&amp;"*")</f>
        <v>0</v>
      </c>
      <c r="J1265" s="8">
        <f>COUNTIFS('All Papers'!$D:$D,"*"&amp;$A1265&amp;"*",'All Papers'!$G:$G,"*"&amp;Table1[[#Headers],[Big Data]]&amp;"*")</f>
        <v>0</v>
      </c>
      <c r="K1265" s="8">
        <f>COUNTIFS('All Papers'!$D:$D,"*"&amp;$A1265&amp;"*",'All Papers'!$G:$G,"*"&amp;Table1[[#Headers],[Energy Management]]&amp;"*")</f>
        <v>0</v>
      </c>
      <c r="L1265" s="8">
        <f>COUNTIFS('All Papers'!$D:$D,"*"&amp;$A1265&amp;"*",'All Papers'!$G:$G,"*"&amp;Table1[[#Headers],[Monitoring]]&amp;"*")</f>
        <v>0</v>
      </c>
      <c r="M1265" s="8">
        <f>COUNTIFS('All Papers'!$D:$D,"*"&amp;$A1265&amp;"*",'All Papers'!$G:$G,"*"&amp;Table1[[#Headers],[Pricing]]&amp;"*")</f>
        <v>0</v>
      </c>
    </row>
    <row r="1266" spans="1:13" x14ac:dyDescent="0.25">
      <c r="A1266" s="8" t="s">
        <v>3699</v>
      </c>
      <c r="B1266" s="8">
        <f>COUNTIF('All Papers'!D:D,"*"&amp;Table1[[#This Row],[Name]]&amp;"*")</f>
        <v>1</v>
      </c>
      <c r="C1266" s="8">
        <f>COUNTIFS('All Papers'!$D:$D,"*"&amp;$A1266&amp;"*",'All Papers'!$G:$G,"*"&amp;Table1[[#Headers],[Composition]]&amp;"*")</f>
        <v>0</v>
      </c>
      <c r="D1266" s="8">
        <f>COUNTIFS('All Papers'!$D:$D,"*"&amp;$A1266&amp;"*",'All Papers'!$G:$G,"*"&amp;Table1[[#Headers],[Discovery]]&amp;"*")</f>
        <v>0</v>
      </c>
      <c r="E1266" s="8">
        <f>COUNTIFS('All Papers'!$D:$D,"*"&amp;$A1266&amp;"*",'All Papers'!$G:$G,"*"&amp;Table1[[#Headers],[Selection]]&amp;"*")</f>
        <v>0</v>
      </c>
      <c r="F1266" s="8">
        <f>COUNTIFS('All Papers'!$D:$D,"*"&amp;$A1266&amp;"*",'All Papers'!$G:$G,"*"&amp;Table1[[#Headers],[Recommendation]]&amp;"*")</f>
        <v>0</v>
      </c>
      <c r="G1266" s="8">
        <f>COUNTIFS('All Papers'!$D:$D,"*"&amp;$A1266&amp;"*",'All Papers'!$G:$G,"*"&amp;Table1[[#Headers],[Resource Management-CS]]&amp;"*")</f>
        <v>1</v>
      </c>
      <c r="H1266" s="8">
        <f>COUNTIFS('All Papers'!$D:$D,"*"&amp;$A1266&amp;"*",'All Papers'!$G:$G,"*"&amp;Table1[[#Headers],[Resource Management-PS]]&amp;"*")</f>
        <v>0</v>
      </c>
      <c r="I1266" s="8">
        <f>COUNTIFS('All Papers'!$D:$D,"*"&amp;$A1266&amp;"*",'All Papers'!$G:$G,"*"&amp;Table1[[#Headers],[SLA Management]]&amp;"*")</f>
        <v>0</v>
      </c>
      <c r="J1266" s="8">
        <f>COUNTIFS('All Papers'!$D:$D,"*"&amp;$A1266&amp;"*",'All Papers'!$G:$G,"*"&amp;Table1[[#Headers],[Big Data]]&amp;"*")</f>
        <v>0</v>
      </c>
      <c r="K1266" s="8">
        <f>COUNTIFS('All Papers'!$D:$D,"*"&amp;$A1266&amp;"*",'All Papers'!$G:$G,"*"&amp;Table1[[#Headers],[Energy Management]]&amp;"*")</f>
        <v>0</v>
      </c>
      <c r="L1266" s="8">
        <f>COUNTIFS('All Papers'!$D:$D,"*"&amp;$A1266&amp;"*",'All Papers'!$G:$G,"*"&amp;Table1[[#Headers],[Monitoring]]&amp;"*")</f>
        <v>0</v>
      </c>
      <c r="M1266" s="8">
        <f>COUNTIFS('All Papers'!$D:$D,"*"&amp;$A1266&amp;"*",'All Papers'!$G:$G,"*"&amp;Table1[[#Headers],[Pricing]]&amp;"*")</f>
        <v>0</v>
      </c>
    </row>
    <row r="1267" spans="1:13" x14ac:dyDescent="0.25">
      <c r="A1267" s="8" t="s">
        <v>3700</v>
      </c>
      <c r="B1267" s="8">
        <f>COUNTIF('All Papers'!D:D,"*"&amp;Table1[[#This Row],[Name]]&amp;"*")</f>
        <v>1</v>
      </c>
      <c r="C1267" s="8">
        <f>COUNTIFS('All Papers'!$D:$D,"*"&amp;$A1267&amp;"*",'All Papers'!$G:$G,"*"&amp;Table1[[#Headers],[Composition]]&amp;"*")</f>
        <v>0</v>
      </c>
      <c r="D1267" s="8">
        <f>COUNTIFS('All Papers'!$D:$D,"*"&amp;$A1267&amp;"*",'All Papers'!$G:$G,"*"&amp;Table1[[#Headers],[Discovery]]&amp;"*")</f>
        <v>0</v>
      </c>
      <c r="E1267" s="8">
        <f>COUNTIFS('All Papers'!$D:$D,"*"&amp;$A1267&amp;"*",'All Papers'!$G:$G,"*"&amp;Table1[[#Headers],[Selection]]&amp;"*")</f>
        <v>0</v>
      </c>
      <c r="F1267" s="8">
        <f>COUNTIFS('All Papers'!$D:$D,"*"&amp;$A1267&amp;"*",'All Papers'!$G:$G,"*"&amp;Table1[[#Headers],[Recommendation]]&amp;"*")</f>
        <v>0</v>
      </c>
      <c r="G1267" s="8">
        <f>COUNTIFS('All Papers'!$D:$D,"*"&amp;$A1267&amp;"*",'All Papers'!$G:$G,"*"&amp;Table1[[#Headers],[Resource Management-CS]]&amp;"*")</f>
        <v>1</v>
      </c>
      <c r="H1267" s="8">
        <f>COUNTIFS('All Papers'!$D:$D,"*"&amp;$A1267&amp;"*",'All Papers'!$G:$G,"*"&amp;Table1[[#Headers],[Resource Management-PS]]&amp;"*")</f>
        <v>0</v>
      </c>
      <c r="I1267" s="8">
        <f>COUNTIFS('All Papers'!$D:$D,"*"&amp;$A1267&amp;"*",'All Papers'!$G:$G,"*"&amp;Table1[[#Headers],[SLA Management]]&amp;"*")</f>
        <v>0</v>
      </c>
      <c r="J1267" s="8">
        <f>COUNTIFS('All Papers'!$D:$D,"*"&amp;$A1267&amp;"*",'All Papers'!$G:$G,"*"&amp;Table1[[#Headers],[Big Data]]&amp;"*")</f>
        <v>0</v>
      </c>
      <c r="K1267" s="8">
        <f>COUNTIFS('All Papers'!$D:$D,"*"&amp;$A1267&amp;"*",'All Papers'!$G:$G,"*"&amp;Table1[[#Headers],[Energy Management]]&amp;"*")</f>
        <v>0</v>
      </c>
      <c r="L1267" s="8">
        <f>COUNTIFS('All Papers'!$D:$D,"*"&amp;$A1267&amp;"*",'All Papers'!$G:$G,"*"&amp;Table1[[#Headers],[Monitoring]]&amp;"*")</f>
        <v>0</v>
      </c>
      <c r="M1267" s="8">
        <f>COUNTIFS('All Papers'!$D:$D,"*"&amp;$A1267&amp;"*",'All Papers'!$G:$G,"*"&amp;Table1[[#Headers],[Pricing]]&amp;"*")</f>
        <v>0</v>
      </c>
    </row>
    <row r="1268" spans="1:13" x14ac:dyDescent="0.25">
      <c r="A1268" s="8" t="s">
        <v>3701</v>
      </c>
      <c r="B1268" s="8">
        <f>COUNTIF('All Papers'!D:D,"*"&amp;Table1[[#This Row],[Name]]&amp;"*")</f>
        <v>1</v>
      </c>
      <c r="C1268" s="8">
        <f>COUNTIFS('All Papers'!$D:$D,"*"&amp;$A1268&amp;"*",'All Papers'!$G:$G,"*"&amp;Table1[[#Headers],[Composition]]&amp;"*")</f>
        <v>0</v>
      </c>
      <c r="D1268" s="8">
        <f>COUNTIFS('All Papers'!$D:$D,"*"&amp;$A1268&amp;"*",'All Papers'!$G:$G,"*"&amp;Table1[[#Headers],[Discovery]]&amp;"*")</f>
        <v>0</v>
      </c>
      <c r="E1268" s="8">
        <f>COUNTIFS('All Papers'!$D:$D,"*"&amp;$A1268&amp;"*",'All Papers'!$G:$G,"*"&amp;Table1[[#Headers],[Selection]]&amp;"*")</f>
        <v>0</v>
      </c>
      <c r="F1268" s="8">
        <f>COUNTIFS('All Papers'!$D:$D,"*"&amp;$A1268&amp;"*",'All Papers'!$G:$G,"*"&amp;Table1[[#Headers],[Recommendation]]&amp;"*")</f>
        <v>0</v>
      </c>
      <c r="G1268" s="8">
        <f>COUNTIFS('All Papers'!$D:$D,"*"&amp;$A1268&amp;"*",'All Papers'!$G:$G,"*"&amp;Table1[[#Headers],[Resource Management-CS]]&amp;"*")</f>
        <v>1</v>
      </c>
      <c r="H1268" s="8">
        <f>COUNTIFS('All Papers'!$D:$D,"*"&amp;$A1268&amp;"*",'All Papers'!$G:$G,"*"&amp;Table1[[#Headers],[Resource Management-PS]]&amp;"*")</f>
        <v>0</v>
      </c>
      <c r="I1268" s="8">
        <f>COUNTIFS('All Papers'!$D:$D,"*"&amp;$A1268&amp;"*",'All Papers'!$G:$G,"*"&amp;Table1[[#Headers],[SLA Management]]&amp;"*")</f>
        <v>0</v>
      </c>
      <c r="J1268" s="8">
        <f>COUNTIFS('All Papers'!$D:$D,"*"&amp;$A1268&amp;"*",'All Papers'!$G:$G,"*"&amp;Table1[[#Headers],[Big Data]]&amp;"*")</f>
        <v>0</v>
      </c>
      <c r="K1268" s="8">
        <f>COUNTIFS('All Papers'!$D:$D,"*"&amp;$A1268&amp;"*",'All Papers'!$G:$G,"*"&amp;Table1[[#Headers],[Energy Management]]&amp;"*")</f>
        <v>0</v>
      </c>
      <c r="L1268" s="8">
        <f>COUNTIFS('All Papers'!$D:$D,"*"&amp;$A1268&amp;"*",'All Papers'!$G:$G,"*"&amp;Table1[[#Headers],[Monitoring]]&amp;"*")</f>
        <v>0</v>
      </c>
      <c r="M1268" s="8">
        <f>COUNTIFS('All Papers'!$D:$D,"*"&amp;$A1268&amp;"*",'All Papers'!$G:$G,"*"&amp;Table1[[#Headers],[Pricing]]&amp;"*")</f>
        <v>0</v>
      </c>
    </row>
    <row r="1269" spans="1:13" x14ac:dyDescent="0.25">
      <c r="A1269" s="8" t="s">
        <v>3702</v>
      </c>
      <c r="B1269" s="8">
        <f>COUNTIF('All Papers'!D:D,"*"&amp;Table1[[#This Row],[Name]]&amp;"*")</f>
        <v>1</v>
      </c>
      <c r="C1269" s="8">
        <f>COUNTIFS('All Papers'!$D:$D,"*"&amp;$A1269&amp;"*",'All Papers'!$G:$G,"*"&amp;Table1[[#Headers],[Composition]]&amp;"*")</f>
        <v>0</v>
      </c>
      <c r="D1269" s="8">
        <f>COUNTIFS('All Papers'!$D:$D,"*"&amp;$A1269&amp;"*",'All Papers'!$G:$G,"*"&amp;Table1[[#Headers],[Discovery]]&amp;"*")</f>
        <v>0</v>
      </c>
      <c r="E1269" s="8">
        <f>COUNTIFS('All Papers'!$D:$D,"*"&amp;$A1269&amp;"*",'All Papers'!$G:$G,"*"&amp;Table1[[#Headers],[Selection]]&amp;"*")</f>
        <v>0</v>
      </c>
      <c r="F1269" s="8">
        <f>COUNTIFS('All Papers'!$D:$D,"*"&amp;$A1269&amp;"*",'All Papers'!$G:$G,"*"&amp;Table1[[#Headers],[Recommendation]]&amp;"*")</f>
        <v>0</v>
      </c>
      <c r="G1269" s="8">
        <f>COUNTIFS('All Papers'!$D:$D,"*"&amp;$A1269&amp;"*",'All Papers'!$G:$G,"*"&amp;Table1[[#Headers],[Resource Management-CS]]&amp;"*")</f>
        <v>0</v>
      </c>
      <c r="H1269" s="8">
        <f>COUNTIFS('All Papers'!$D:$D,"*"&amp;$A1269&amp;"*",'All Papers'!$G:$G,"*"&amp;Table1[[#Headers],[Resource Management-PS]]&amp;"*")</f>
        <v>0</v>
      </c>
      <c r="I1269" s="8">
        <f>COUNTIFS('All Papers'!$D:$D,"*"&amp;$A1269&amp;"*",'All Papers'!$G:$G,"*"&amp;Table1[[#Headers],[SLA Management]]&amp;"*")</f>
        <v>1</v>
      </c>
      <c r="J1269" s="8">
        <f>COUNTIFS('All Papers'!$D:$D,"*"&amp;$A1269&amp;"*",'All Papers'!$G:$G,"*"&amp;Table1[[#Headers],[Big Data]]&amp;"*")</f>
        <v>0</v>
      </c>
      <c r="K1269" s="8">
        <f>COUNTIFS('All Papers'!$D:$D,"*"&amp;$A1269&amp;"*",'All Papers'!$G:$G,"*"&amp;Table1[[#Headers],[Energy Management]]&amp;"*")</f>
        <v>0</v>
      </c>
      <c r="L1269" s="8">
        <f>COUNTIFS('All Papers'!$D:$D,"*"&amp;$A1269&amp;"*",'All Papers'!$G:$G,"*"&amp;Table1[[#Headers],[Monitoring]]&amp;"*")</f>
        <v>0</v>
      </c>
      <c r="M1269" s="8">
        <f>COUNTIFS('All Papers'!$D:$D,"*"&amp;$A1269&amp;"*",'All Papers'!$G:$G,"*"&amp;Table1[[#Headers],[Pricing]]&amp;"*")</f>
        <v>0</v>
      </c>
    </row>
    <row r="1270" spans="1:13" x14ac:dyDescent="0.25">
      <c r="A1270" s="8" t="s">
        <v>3703</v>
      </c>
      <c r="B1270" s="8">
        <f>COUNTIF('All Papers'!D:D,"*"&amp;Table1[[#This Row],[Name]]&amp;"*")</f>
        <v>1</v>
      </c>
      <c r="C1270" s="8">
        <f>COUNTIFS('All Papers'!$D:$D,"*"&amp;$A1270&amp;"*",'All Papers'!$G:$G,"*"&amp;Table1[[#Headers],[Composition]]&amp;"*")</f>
        <v>0</v>
      </c>
      <c r="D1270" s="8">
        <f>COUNTIFS('All Papers'!$D:$D,"*"&amp;$A1270&amp;"*",'All Papers'!$G:$G,"*"&amp;Table1[[#Headers],[Discovery]]&amp;"*")</f>
        <v>0</v>
      </c>
      <c r="E1270" s="8">
        <f>COUNTIFS('All Papers'!$D:$D,"*"&amp;$A1270&amp;"*",'All Papers'!$G:$G,"*"&amp;Table1[[#Headers],[Selection]]&amp;"*")</f>
        <v>0</v>
      </c>
      <c r="F1270" s="8">
        <f>COUNTIFS('All Papers'!$D:$D,"*"&amp;$A1270&amp;"*",'All Papers'!$G:$G,"*"&amp;Table1[[#Headers],[Recommendation]]&amp;"*")</f>
        <v>0</v>
      </c>
      <c r="G1270" s="8">
        <f>COUNTIFS('All Papers'!$D:$D,"*"&amp;$A1270&amp;"*",'All Papers'!$G:$G,"*"&amp;Table1[[#Headers],[Resource Management-CS]]&amp;"*")</f>
        <v>0</v>
      </c>
      <c r="H1270" s="8">
        <f>COUNTIFS('All Papers'!$D:$D,"*"&amp;$A1270&amp;"*",'All Papers'!$G:$G,"*"&amp;Table1[[#Headers],[Resource Management-PS]]&amp;"*")</f>
        <v>0</v>
      </c>
      <c r="I1270" s="8">
        <f>COUNTIFS('All Papers'!$D:$D,"*"&amp;$A1270&amp;"*",'All Papers'!$G:$G,"*"&amp;Table1[[#Headers],[SLA Management]]&amp;"*")</f>
        <v>1</v>
      </c>
      <c r="J1270" s="8">
        <f>COUNTIFS('All Papers'!$D:$D,"*"&amp;$A1270&amp;"*",'All Papers'!$G:$G,"*"&amp;Table1[[#Headers],[Big Data]]&amp;"*")</f>
        <v>0</v>
      </c>
      <c r="K1270" s="8">
        <f>COUNTIFS('All Papers'!$D:$D,"*"&amp;$A1270&amp;"*",'All Papers'!$G:$G,"*"&amp;Table1[[#Headers],[Energy Management]]&amp;"*")</f>
        <v>0</v>
      </c>
      <c r="L1270" s="8">
        <f>COUNTIFS('All Papers'!$D:$D,"*"&amp;$A1270&amp;"*",'All Papers'!$G:$G,"*"&amp;Table1[[#Headers],[Monitoring]]&amp;"*")</f>
        <v>0</v>
      </c>
      <c r="M1270" s="8">
        <f>COUNTIFS('All Papers'!$D:$D,"*"&amp;$A1270&amp;"*",'All Papers'!$G:$G,"*"&amp;Table1[[#Headers],[Pricing]]&amp;"*")</f>
        <v>0</v>
      </c>
    </row>
    <row r="1271" spans="1:13" x14ac:dyDescent="0.25">
      <c r="A1271" s="8" t="s">
        <v>3704</v>
      </c>
      <c r="B1271" s="8">
        <f>COUNTIF('All Papers'!D:D,"*"&amp;Table1[[#This Row],[Name]]&amp;"*")</f>
        <v>1</v>
      </c>
      <c r="C1271" s="8">
        <f>COUNTIFS('All Papers'!$D:$D,"*"&amp;$A1271&amp;"*",'All Papers'!$G:$G,"*"&amp;Table1[[#Headers],[Composition]]&amp;"*")</f>
        <v>0</v>
      </c>
      <c r="D1271" s="8">
        <f>COUNTIFS('All Papers'!$D:$D,"*"&amp;$A1271&amp;"*",'All Papers'!$G:$G,"*"&amp;Table1[[#Headers],[Discovery]]&amp;"*")</f>
        <v>0</v>
      </c>
      <c r="E1271" s="8">
        <f>COUNTIFS('All Papers'!$D:$D,"*"&amp;$A1271&amp;"*",'All Papers'!$G:$G,"*"&amp;Table1[[#Headers],[Selection]]&amp;"*")</f>
        <v>0</v>
      </c>
      <c r="F1271" s="8">
        <f>COUNTIFS('All Papers'!$D:$D,"*"&amp;$A1271&amp;"*",'All Papers'!$G:$G,"*"&amp;Table1[[#Headers],[Recommendation]]&amp;"*")</f>
        <v>0</v>
      </c>
      <c r="G1271" s="8">
        <f>COUNTIFS('All Papers'!$D:$D,"*"&amp;$A1271&amp;"*",'All Papers'!$G:$G,"*"&amp;Table1[[#Headers],[Resource Management-CS]]&amp;"*")</f>
        <v>0</v>
      </c>
      <c r="H1271" s="8">
        <f>COUNTIFS('All Papers'!$D:$D,"*"&amp;$A1271&amp;"*",'All Papers'!$G:$G,"*"&amp;Table1[[#Headers],[Resource Management-PS]]&amp;"*")</f>
        <v>0</v>
      </c>
      <c r="I1271" s="8">
        <f>COUNTIFS('All Papers'!$D:$D,"*"&amp;$A1271&amp;"*",'All Papers'!$G:$G,"*"&amp;Table1[[#Headers],[SLA Management]]&amp;"*")</f>
        <v>1</v>
      </c>
      <c r="J1271" s="8">
        <f>COUNTIFS('All Papers'!$D:$D,"*"&amp;$A1271&amp;"*",'All Papers'!$G:$G,"*"&amp;Table1[[#Headers],[Big Data]]&amp;"*")</f>
        <v>0</v>
      </c>
      <c r="K1271" s="8">
        <f>COUNTIFS('All Papers'!$D:$D,"*"&amp;$A1271&amp;"*",'All Papers'!$G:$G,"*"&amp;Table1[[#Headers],[Energy Management]]&amp;"*")</f>
        <v>0</v>
      </c>
      <c r="L1271" s="8">
        <f>COUNTIFS('All Papers'!$D:$D,"*"&amp;$A1271&amp;"*",'All Papers'!$G:$G,"*"&amp;Table1[[#Headers],[Monitoring]]&amp;"*")</f>
        <v>0</v>
      </c>
      <c r="M1271" s="8">
        <f>COUNTIFS('All Papers'!$D:$D,"*"&amp;$A1271&amp;"*",'All Papers'!$G:$G,"*"&amp;Table1[[#Headers],[Pricing]]&amp;"*")</f>
        <v>0</v>
      </c>
    </row>
    <row r="1272" spans="1:13" x14ac:dyDescent="0.25">
      <c r="A1272" s="8" t="s">
        <v>3705</v>
      </c>
      <c r="B1272" s="8">
        <f>COUNTIF('All Papers'!D:D,"*"&amp;Table1[[#This Row],[Name]]&amp;"*")</f>
        <v>1</v>
      </c>
      <c r="C1272" s="8">
        <f>COUNTIFS('All Papers'!$D:$D,"*"&amp;$A1272&amp;"*",'All Papers'!$G:$G,"*"&amp;Table1[[#Headers],[Composition]]&amp;"*")</f>
        <v>0</v>
      </c>
      <c r="D1272" s="8">
        <f>COUNTIFS('All Papers'!$D:$D,"*"&amp;$A1272&amp;"*",'All Papers'!$G:$G,"*"&amp;Table1[[#Headers],[Discovery]]&amp;"*")</f>
        <v>1</v>
      </c>
      <c r="E1272" s="8">
        <f>COUNTIFS('All Papers'!$D:$D,"*"&amp;$A1272&amp;"*",'All Papers'!$G:$G,"*"&amp;Table1[[#Headers],[Selection]]&amp;"*")</f>
        <v>1</v>
      </c>
      <c r="F1272" s="8">
        <f>COUNTIFS('All Papers'!$D:$D,"*"&amp;$A1272&amp;"*",'All Papers'!$G:$G,"*"&amp;Table1[[#Headers],[Recommendation]]&amp;"*")</f>
        <v>0</v>
      </c>
      <c r="G1272" s="8">
        <f>COUNTIFS('All Papers'!$D:$D,"*"&amp;$A1272&amp;"*",'All Papers'!$G:$G,"*"&amp;Table1[[#Headers],[Resource Management-CS]]&amp;"*")</f>
        <v>0</v>
      </c>
      <c r="H1272" s="8">
        <f>COUNTIFS('All Papers'!$D:$D,"*"&amp;$A1272&amp;"*",'All Papers'!$G:$G,"*"&amp;Table1[[#Headers],[Resource Management-PS]]&amp;"*")</f>
        <v>0</v>
      </c>
      <c r="I1272" s="8">
        <f>COUNTIFS('All Papers'!$D:$D,"*"&amp;$A1272&amp;"*",'All Papers'!$G:$G,"*"&amp;Table1[[#Headers],[SLA Management]]&amp;"*")</f>
        <v>0</v>
      </c>
      <c r="J1272" s="8">
        <f>COUNTIFS('All Papers'!$D:$D,"*"&amp;$A1272&amp;"*",'All Papers'!$G:$G,"*"&amp;Table1[[#Headers],[Big Data]]&amp;"*")</f>
        <v>0</v>
      </c>
      <c r="K1272" s="8">
        <f>COUNTIFS('All Papers'!$D:$D,"*"&amp;$A1272&amp;"*",'All Papers'!$G:$G,"*"&amp;Table1[[#Headers],[Energy Management]]&amp;"*")</f>
        <v>0</v>
      </c>
      <c r="L1272" s="8">
        <f>COUNTIFS('All Papers'!$D:$D,"*"&amp;$A1272&amp;"*",'All Papers'!$G:$G,"*"&amp;Table1[[#Headers],[Monitoring]]&amp;"*")</f>
        <v>0</v>
      </c>
      <c r="M1272" s="8">
        <f>COUNTIFS('All Papers'!$D:$D,"*"&amp;$A1272&amp;"*",'All Papers'!$G:$G,"*"&amp;Table1[[#Headers],[Pricing]]&amp;"*")</f>
        <v>0</v>
      </c>
    </row>
    <row r="1273" spans="1:13" x14ac:dyDescent="0.25">
      <c r="A1273" s="8" t="s">
        <v>3706</v>
      </c>
      <c r="B1273" s="8">
        <f>COUNTIF('All Papers'!D:D,"*"&amp;Table1[[#This Row],[Name]]&amp;"*")</f>
        <v>1</v>
      </c>
      <c r="C1273" s="8">
        <f>COUNTIFS('All Papers'!$D:$D,"*"&amp;$A1273&amp;"*",'All Papers'!$G:$G,"*"&amp;Table1[[#Headers],[Composition]]&amp;"*")</f>
        <v>0</v>
      </c>
      <c r="D1273" s="8">
        <f>COUNTIFS('All Papers'!$D:$D,"*"&amp;$A1273&amp;"*",'All Papers'!$G:$G,"*"&amp;Table1[[#Headers],[Discovery]]&amp;"*")</f>
        <v>1</v>
      </c>
      <c r="E1273" s="8">
        <f>COUNTIFS('All Papers'!$D:$D,"*"&amp;$A1273&amp;"*",'All Papers'!$G:$G,"*"&amp;Table1[[#Headers],[Selection]]&amp;"*")</f>
        <v>1</v>
      </c>
      <c r="F1273" s="8">
        <f>COUNTIFS('All Papers'!$D:$D,"*"&amp;$A1273&amp;"*",'All Papers'!$G:$G,"*"&amp;Table1[[#Headers],[Recommendation]]&amp;"*")</f>
        <v>0</v>
      </c>
      <c r="G1273" s="8">
        <f>COUNTIFS('All Papers'!$D:$D,"*"&amp;$A1273&amp;"*",'All Papers'!$G:$G,"*"&amp;Table1[[#Headers],[Resource Management-CS]]&amp;"*")</f>
        <v>0</v>
      </c>
      <c r="H1273" s="8">
        <f>COUNTIFS('All Papers'!$D:$D,"*"&amp;$A1273&amp;"*",'All Papers'!$G:$G,"*"&amp;Table1[[#Headers],[Resource Management-PS]]&amp;"*")</f>
        <v>0</v>
      </c>
      <c r="I1273" s="8">
        <f>COUNTIFS('All Papers'!$D:$D,"*"&amp;$A1273&amp;"*",'All Papers'!$G:$G,"*"&amp;Table1[[#Headers],[SLA Management]]&amp;"*")</f>
        <v>0</v>
      </c>
      <c r="J1273" s="8">
        <f>COUNTIFS('All Papers'!$D:$D,"*"&amp;$A1273&amp;"*",'All Papers'!$G:$G,"*"&amp;Table1[[#Headers],[Big Data]]&amp;"*")</f>
        <v>0</v>
      </c>
      <c r="K1273" s="8">
        <f>COUNTIFS('All Papers'!$D:$D,"*"&amp;$A1273&amp;"*",'All Papers'!$G:$G,"*"&amp;Table1[[#Headers],[Energy Management]]&amp;"*")</f>
        <v>0</v>
      </c>
      <c r="L1273" s="8">
        <f>COUNTIFS('All Papers'!$D:$D,"*"&amp;$A1273&amp;"*",'All Papers'!$G:$G,"*"&amp;Table1[[#Headers],[Monitoring]]&amp;"*")</f>
        <v>0</v>
      </c>
      <c r="M1273" s="8">
        <f>COUNTIFS('All Papers'!$D:$D,"*"&amp;$A1273&amp;"*",'All Papers'!$G:$G,"*"&amp;Table1[[#Headers],[Pricing]]&amp;"*")</f>
        <v>0</v>
      </c>
    </row>
    <row r="1274" spans="1:13" x14ac:dyDescent="0.25">
      <c r="A1274" s="8" t="s">
        <v>3707</v>
      </c>
      <c r="B1274" s="8">
        <f>COUNTIF('All Papers'!D:D,"*"&amp;Table1[[#This Row],[Name]]&amp;"*")</f>
        <v>1</v>
      </c>
      <c r="C1274" s="8">
        <f>COUNTIFS('All Papers'!$D:$D,"*"&amp;$A1274&amp;"*",'All Papers'!$G:$G,"*"&amp;Table1[[#Headers],[Composition]]&amp;"*")</f>
        <v>0</v>
      </c>
      <c r="D1274" s="8">
        <f>COUNTIFS('All Papers'!$D:$D,"*"&amp;$A1274&amp;"*",'All Papers'!$G:$G,"*"&amp;Table1[[#Headers],[Discovery]]&amp;"*")</f>
        <v>0</v>
      </c>
      <c r="E1274" s="8">
        <f>COUNTIFS('All Papers'!$D:$D,"*"&amp;$A1274&amp;"*",'All Papers'!$G:$G,"*"&amp;Table1[[#Headers],[Selection]]&amp;"*")</f>
        <v>0</v>
      </c>
      <c r="F1274" s="8">
        <f>COUNTIFS('All Papers'!$D:$D,"*"&amp;$A1274&amp;"*",'All Papers'!$G:$G,"*"&amp;Table1[[#Headers],[Recommendation]]&amp;"*")</f>
        <v>0</v>
      </c>
      <c r="G1274" s="8">
        <f>COUNTIFS('All Papers'!$D:$D,"*"&amp;$A1274&amp;"*",'All Papers'!$G:$G,"*"&amp;Table1[[#Headers],[Resource Management-CS]]&amp;"*")</f>
        <v>0</v>
      </c>
      <c r="H1274" s="8">
        <f>COUNTIFS('All Papers'!$D:$D,"*"&amp;$A1274&amp;"*",'All Papers'!$G:$G,"*"&amp;Table1[[#Headers],[Resource Management-PS]]&amp;"*")</f>
        <v>0</v>
      </c>
      <c r="I1274" s="8">
        <f>COUNTIFS('All Papers'!$D:$D,"*"&amp;$A1274&amp;"*",'All Papers'!$G:$G,"*"&amp;Table1[[#Headers],[SLA Management]]&amp;"*")</f>
        <v>1</v>
      </c>
      <c r="J1274" s="8">
        <f>COUNTIFS('All Papers'!$D:$D,"*"&amp;$A1274&amp;"*",'All Papers'!$G:$G,"*"&amp;Table1[[#Headers],[Big Data]]&amp;"*")</f>
        <v>0</v>
      </c>
      <c r="K1274" s="8">
        <f>COUNTIFS('All Papers'!$D:$D,"*"&amp;$A1274&amp;"*",'All Papers'!$G:$G,"*"&amp;Table1[[#Headers],[Energy Management]]&amp;"*")</f>
        <v>0</v>
      </c>
      <c r="L1274" s="8">
        <f>COUNTIFS('All Papers'!$D:$D,"*"&amp;$A1274&amp;"*",'All Papers'!$G:$G,"*"&amp;Table1[[#Headers],[Monitoring]]&amp;"*")</f>
        <v>0</v>
      </c>
      <c r="M1274" s="8">
        <f>COUNTIFS('All Papers'!$D:$D,"*"&amp;$A1274&amp;"*",'All Papers'!$G:$G,"*"&amp;Table1[[#Headers],[Pricing]]&amp;"*")</f>
        <v>0</v>
      </c>
    </row>
    <row r="1275" spans="1:13" x14ac:dyDescent="0.25">
      <c r="A1275" s="8" t="s">
        <v>3708</v>
      </c>
      <c r="B1275" s="8">
        <f>COUNTIF('All Papers'!D:D,"*"&amp;Table1[[#This Row],[Name]]&amp;"*")</f>
        <v>1</v>
      </c>
      <c r="C1275" s="8">
        <f>COUNTIFS('All Papers'!$D:$D,"*"&amp;$A1275&amp;"*",'All Papers'!$G:$G,"*"&amp;Table1[[#Headers],[Composition]]&amp;"*")</f>
        <v>0</v>
      </c>
      <c r="D1275" s="8">
        <f>COUNTIFS('All Papers'!$D:$D,"*"&amp;$A1275&amp;"*",'All Papers'!$G:$G,"*"&amp;Table1[[#Headers],[Discovery]]&amp;"*")</f>
        <v>0</v>
      </c>
      <c r="E1275" s="8">
        <f>COUNTIFS('All Papers'!$D:$D,"*"&amp;$A1275&amp;"*",'All Papers'!$G:$G,"*"&amp;Table1[[#Headers],[Selection]]&amp;"*")</f>
        <v>0</v>
      </c>
      <c r="F1275" s="8">
        <f>COUNTIFS('All Papers'!$D:$D,"*"&amp;$A1275&amp;"*",'All Papers'!$G:$G,"*"&amp;Table1[[#Headers],[Recommendation]]&amp;"*")</f>
        <v>0</v>
      </c>
      <c r="G1275" s="8">
        <f>COUNTIFS('All Papers'!$D:$D,"*"&amp;$A1275&amp;"*",'All Papers'!$G:$G,"*"&amp;Table1[[#Headers],[Resource Management-CS]]&amp;"*")</f>
        <v>0</v>
      </c>
      <c r="H1275" s="8">
        <f>COUNTIFS('All Papers'!$D:$D,"*"&amp;$A1275&amp;"*",'All Papers'!$G:$G,"*"&amp;Table1[[#Headers],[Resource Management-PS]]&amp;"*")</f>
        <v>0</v>
      </c>
      <c r="I1275" s="8">
        <f>COUNTIFS('All Papers'!$D:$D,"*"&amp;$A1275&amp;"*",'All Papers'!$G:$G,"*"&amp;Table1[[#Headers],[SLA Management]]&amp;"*")</f>
        <v>1</v>
      </c>
      <c r="J1275" s="8">
        <f>COUNTIFS('All Papers'!$D:$D,"*"&amp;$A1275&amp;"*",'All Papers'!$G:$G,"*"&amp;Table1[[#Headers],[Big Data]]&amp;"*")</f>
        <v>0</v>
      </c>
      <c r="K1275" s="8">
        <f>COUNTIFS('All Papers'!$D:$D,"*"&amp;$A1275&amp;"*",'All Papers'!$G:$G,"*"&amp;Table1[[#Headers],[Energy Management]]&amp;"*")</f>
        <v>0</v>
      </c>
      <c r="L1275" s="8">
        <f>COUNTIFS('All Papers'!$D:$D,"*"&amp;$A1275&amp;"*",'All Papers'!$G:$G,"*"&amp;Table1[[#Headers],[Monitoring]]&amp;"*")</f>
        <v>0</v>
      </c>
      <c r="M1275" s="8">
        <f>COUNTIFS('All Papers'!$D:$D,"*"&amp;$A1275&amp;"*",'All Papers'!$G:$G,"*"&amp;Table1[[#Headers],[Pricing]]&amp;"*")</f>
        <v>0</v>
      </c>
    </row>
    <row r="1276" spans="1:13" x14ac:dyDescent="0.25">
      <c r="A1276" s="8" t="s">
        <v>3709</v>
      </c>
      <c r="B1276" s="8">
        <f>COUNTIF('All Papers'!D:D,"*"&amp;Table1[[#This Row],[Name]]&amp;"*")</f>
        <v>1</v>
      </c>
      <c r="C1276" s="8">
        <f>COUNTIFS('All Papers'!$D:$D,"*"&amp;$A1276&amp;"*",'All Papers'!$G:$G,"*"&amp;Table1[[#Headers],[Composition]]&amp;"*")</f>
        <v>0</v>
      </c>
      <c r="D1276" s="8">
        <f>COUNTIFS('All Papers'!$D:$D,"*"&amp;$A1276&amp;"*",'All Papers'!$G:$G,"*"&amp;Table1[[#Headers],[Discovery]]&amp;"*")</f>
        <v>0</v>
      </c>
      <c r="E1276" s="8">
        <f>COUNTIFS('All Papers'!$D:$D,"*"&amp;$A1276&amp;"*",'All Papers'!$G:$G,"*"&amp;Table1[[#Headers],[Selection]]&amp;"*")</f>
        <v>0</v>
      </c>
      <c r="F1276" s="8">
        <f>COUNTIFS('All Papers'!$D:$D,"*"&amp;$A1276&amp;"*",'All Papers'!$G:$G,"*"&amp;Table1[[#Headers],[Recommendation]]&amp;"*")</f>
        <v>0</v>
      </c>
      <c r="G1276" s="8">
        <f>COUNTIFS('All Papers'!$D:$D,"*"&amp;$A1276&amp;"*",'All Papers'!$G:$G,"*"&amp;Table1[[#Headers],[Resource Management-CS]]&amp;"*")</f>
        <v>0</v>
      </c>
      <c r="H1276" s="8">
        <f>COUNTIFS('All Papers'!$D:$D,"*"&amp;$A1276&amp;"*",'All Papers'!$G:$G,"*"&amp;Table1[[#Headers],[Resource Management-PS]]&amp;"*")</f>
        <v>0</v>
      </c>
      <c r="I1276" s="8">
        <f>COUNTIFS('All Papers'!$D:$D,"*"&amp;$A1276&amp;"*",'All Papers'!$G:$G,"*"&amp;Table1[[#Headers],[SLA Management]]&amp;"*")</f>
        <v>1</v>
      </c>
      <c r="J1276" s="8">
        <f>COUNTIFS('All Papers'!$D:$D,"*"&amp;$A1276&amp;"*",'All Papers'!$G:$G,"*"&amp;Table1[[#Headers],[Big Data]]&amp;"*")</f>
        <v>0</v>
      </c>
      <c r="K1276" s="8">
        <f>COUNTIFS('All Papers'!$D:$D,"*"&amp;$A1276&amp;"*",'All Papers'!$G:$G,"*"&amp;Table1[[#Headers],[Energy Management]]&amp;"*")</f>
        <v>0</v>
      </c>
      <c r="L1276" s="8">
        <f>COUNTIFS('All Papers'!$D:$D,"*"&amp;$A1276&amp;"*",'All Papers'!$G:$G,"*"&amp;Table1[[#Headers],[Monitoring]]&amp;"*")</f>
        <v>0</v>
      </c>
      <c r="M1276" s="8">
        <f>COUNTIFS('All Papers'!$D:$D,"*"&amp;$A1276&amp;"*",'All Papers'!$G:$G,"*"&amp;Table1[[#Headers],[Pricing]]&amp;"*")</f>
        <v>0</v>
      </c>
    </row>
    <row r="1277" spans="1:13" x14ac:dyDescent="0.25">
      <c r="A1277" s="8" t="s">
        <v>3710</v>
      </c>
      <c r="B1277" s="8">
        <f>COUNTIF('All Papers'!D:D,"*"&amp;Table1[[#This Row],[Name]]&amp;"*")</f>
        <v>1</v>
      </c>
      <c r="C1277" s="8">
        <f>COUNTIFS('All Papers'!$D:$D,"*"&amp;$A1277&amp;"*",'All Papers'!$G:$G,"*"&amp;Table1[[#Headers],[Composition]]&amp;"*")</f>
        <v>1</v>
      </c>
      <c r="D1277" s="8">
        <f>COUNTIFS('All Papers'!$D:$D,"*"&amp;$A1277&amp;"*",'All Papers'!$G:$G,"*"&amp;Table1[[#Headers],[Discovery]]&amp;"*")</f>
        <v>0</v>
      </c>
      <c r="E1277" s="8">
        <f>COUNTIFS('All Papers'!$D:$D,"*"&amp;$A1277&amp;"*",'All Papers'!$G:$G,"*"&amp;Table1[[#Headers],[Selection]]&amp;"*")</f>
        <v>0</v>
      </c>
      <c r="F1277" s="8">
        <f>COUNTIFS('All Papers'!$D:$D,"*"&amp;$A1277&amp;"*",'All Papers'!$G:$G,"*"&amp;Table1[[#Headers],[Recommendation]]&amp;"*")</f>
        <v>0</v>
      </c>
      <c r="G1277" s="8">
        <f>COUNTIFS('All Papers'!$D:$D,"*"&amp;$A1277&amp;"*",'All Papers'!$G:$G,"*"&amp;Table1[[#Headers],[Resource Management-CS]]&amp;"*")</f>
        <v>0</v>
      </c>
      <c r="H1277" s="8">
        <f>COUNTIFS('All Papers'!$D:$D,"*"&amp;$A1277&amp;"*",'All Papers'!$G:$G,"*"&amp;Table1[[#Headers],[Resource Management-PS]]&amp;"*")</f>
        <v>0</v>
      </c>
      <c r="I1277" s="8">
        <f>COUNTIFS('All Papers'!$D:$D,"*"&amp;$A1277&amp;"*",'All Papers'!$G:$G,"*"&amp;Table1[[#Headers],[SLA Management]]&amp;"*")</f>
        <v>0</v>
      </c>
      <c r="J1277" s="8">
        <f>COUNTIFS('All Papers'!$D:$D,"*"&amp;$A1277&amp;"*",'All Papers'!$G:$G,"*"&amp;Table1[[#Headers],[Big Data]]&amp;"*")</f>
        <v>0</v>
      </c>
      <c r="K1277" s="8">
        <f>COUNTIFS('All Papers'!$D:$D,"*"&amp;$A1277&amp;"*",'All Papers'!$G:$G,"*"&amp;Table1[[#Headers],[Energy Management]]&amp;"*")</f>
        <v>0</v>
      </c>
      <c r="L1277" s="8">
        <f>COUNTIFS('All Papers'!$D:$D,"*"&amp;$A1277&amp;"*",'All Papers'!$G:$G,"*"&amp;Table1[[#Headers],[Monitoring]]&amp;"*")</f>
        <v>0</v>
      </c>
      <c r="M1277" s="8">
        <f>COUNTIFS('All Papers'!$D:$D,"*"&amp;$A1277&amp;"*",'All Papers'!$G:$G,"*"&amp;Table1[[#Headers],[Pricing]]&amp;"*")</f>
        <v>0</v>
      </c>
    </row>
    <row r="1278" spans="1:13" x14ac:dyDescent="0.25">
      <c r="A1278" s="8" t="s">
        <v>3711</v>
      </c>
      <c r="B1278" s="8">
        <f>COUNTIF('All Papers'!D:D,"*"&amp;Table1[[#This Row],[Name]]&amp;"*")</f>
        <v>1</v>
      </c>
      <c r="C1278" s="8">
        <f>COUNTIFS('All Papers'!$D:$D,"*"&amp;$A1278&amp;"*",'All Papers'!$G:$G,"*"&amp;Table1[[#Headers],[Composition]]&amp;"*")</f>
        <v>1</v>
      </c>
      <c r="D1278" s="8">
        <f>COUNTIFS('All Papers'!$D:$D,"*"&amp;$A1278&amp;"*",'All Papers'!$G:$G,"*"&amp;Table1[[#Headers],[Discovery]]&amp;"*")</f>
        <v>0</v>
      </c>
      <c r="E1278" s="8">
        <f>COUNTIFS('All Papers'!$D:$D,"*"&amp;$A1278&amp;"*",'All Papers'!$G:$G,"*"&amp;Table1[[#Headers],[Selection]]&amp;"*")</f>
        <v>0</v>
      </c>
      <c r="F1278" s="8">
        <f>COUNTIFS('All Papers'!$D:$D,"*"&amp;$A1278&amp;"*",'All Papers'!$G:$G,"*"&amp;Table1[[#Headers],[Recommendation]]&amp;"*")</f>
        <v>0</v>
      </c>
      <c r="G1278" s="8">
        <f>COUNTIFS('All Papers'!$D:$D,"*"&amp;$A1278&amp;"*",'All Papers'!$G:$G,"*"&amp;Table1[[#Headers],[Resource Management-CS]]&amp;"*")</f>
        <v>0</v>
      </c>
      <c r="H1278" s="8">
        <f>COUNTIFS('All Papers'!$D:$D,"*"&amp;$A1278&amp;"*",'All Papers'!$G:$G,"*"&amp;Table1[[#Headers],[Resource Management-PS]]&amp;"*")</f>
        <v>0</v>
      </c>
      <c r="I1278" s="8">
        <f>COUNTIFS('All Papers'!$D:$D,"*"&amp;$A1278&amp;"*",'All Papers'!$G:$G,"*"&amp;Table1[[#Headers],[SLA Management]]&amp;"*")</f>
        <v>0</v>
      </c>
      <c r="J1278" s="8">
        <f>COUNTIFS('All Papers'!$D:$D,"*"&amp;$A1278&amp;"*",'All Papers'!$G:$G,"*"&amp;Table1[[#Headers],[Big Data]]&amp;"*")</f>
        <v>0</v>
      </c>
      <c r="K1278" s="8">
        <f>COUNTIFS('All Papers'!$D:$D,"*"&amp;$A1278&amp;"*",'All Papers'!$G:$G,"*"&amp;Table1[[#Headers],[Energy Management]]&amp;"*")</f>
        <v>0</v>
      </c>
      <c r="L1278" s="8">
        <f>COUNTIFS('All Papers'!$D:$D,"*"&amp;$A1278&amp;"*",'All Papers'!$G:$G,"*"&amp;Table1[[#Headers],[Monitoring]]&amp;"*")</f>
        <v>0</v>
      </c>
      <c r="M1278" s="8">
        <f>COUNTIFS('All Papers'!$D:$D,"*"&amp;$A1278&amp;"*",'All Papers'!$G:$G,"*"&amp;Table1[[#Headers],[Pricing]]&amp;"*")</f>
        <v>0</v>
      </c>
    </row>
    <row r="1279" spans="1:13" x14ac:dyDescent="0.25">
      <c r="A1279" s="8" t="s">
        <v>3712</v>
      </c>
      <c r="B1279" s="8">
        <f>COUNTIF('All Papers'!D:D,"*"&amp;Table1[[#This Row],[Name]]&amp;"*")</f>
        <v>1</v>
      </c>
      <c r="C1279" s="8">
        <f>COUNTIFS('All Papers'!$D:$D,"*"&amp;$A1279&amp;"*",'All Papers'!$G:$G,"*"&amp;Table1[[#Headers],[Composition]]&amp;"*")</f>
        <v>1</v>
      </c>
      <c r="D1279" s="8">
        <f>COUNTIFS('All Papers'!$D:$D,"*"&amp;$A1279&amp;"*",'All Papers'!$G:$G,"*"&amp;Table1[[#Headers],[Discovery]]&amp;"*")</f>
        <v>0</v>
      </c>
      <c r="E1279" s="8">
        <f>COUNTIFS('All Papers'!$D:$D,"*"&amp;$A1279&amp;"*",'All Papers'!$G:$G,"*"&amp;Table1[[#Headers],[Selection]]&amp;"*")</f>
        <v>0</v>
      </c>
      <c r="F1279" s="8">
        <f>COUNTIFS('All Papers'!$D:$D,"*"&amp;$A1279&amp;"*",'All Papers'!$G:$G,"*"&amp;Table1[[#Headers],[Recommendation]]&amp;"*")</f>
        <v>0</v>
      </c>
      <c r="G1279" s="8">
        <f>COUNTIFS('All Papers'!$D:$D,"*"&amp;$A1279&amp;"*",'All Papers'!$G:$G,"*"&amp;Table1[[#Headers],[Resource Management-CS]]&amp;"*")</f>
        <v>0</v>
      </c>
      <c r="H1279" s="8">
        <f>COUNTIFS('All Papers'!$D:$D,"*"&amp;$A1279&amp;"*",'All Papers'!$G:$G,"*"&amp;Table1[[#Headers],[Resource Management-PS]]&amp;"*")</f>
        <v>0</v>
      </c>
      <c r="I1279" s="8">
        <f>COUNTIFS('All Papers'!$D:$D,"*"&amp;$A1279&amp;"*",'All Papers'!$G:$G,"*"&amp;Table1[[#Headers],[SLA Management]]&amp;"*")</f>
        <v>0</v>
      </c>
      <c r="J1279" s="8">
        <f>COUNTIFS('All Papers'!$D:$D,"*"&amp;$A1279&amp;"*",'All Papers'!$G:$G,"*"&amp;Table1[[#Headers],[Big Data]]&amp;"*")</f>
        <v>0</v>
      </c>
      <c r="K1279" s="8">
        <f>COUNTIFS('All Papers'!$D:$D,"*"&amp;$A1279&amp;"*",'All Papers'!$G:$G,"*"&amp;Table1[[#Headers],[Energy Management]]&amp;"*")</f>
        <v>0</v>
      </c>
      <c r="L1279" s="8">
        <f>COUNTIFS('All Papers'!$D:$D,"*"&amp;$A1279&amp;"*",'All Papers'!$G:$G,"*"&amp;Table1[[#Headers],[Monitoring]]&amp;"*")</f>
        <v>0</v>
      </c>
      <c r="M1279" s="8">
        <f>COUNTIFS('All Papers'!$D:$D,"*"&amp;$A1279&amp;"*",'All Papers'!$G:$G,"*"&amp;Table1[[#Headers],[Pricing]]&amp;"*")</f>
        <v>0</v>
      </c>
    </row>
    <row r="1280" spans="1:13" x14ac:dyDescent="0.25">
      <c r="A1280" s="8" t="s">
        <v>3713</v>
      </c>
      <c r="B1280" s="8">
        <f>COUNTIF('All Papers'!D:D,"*"&amp;Table1[[#This Row],[Name]]&amp;"*")</f>
        <v>1</v>
      </c>
      <c r="C1280" s="8">
        <f>COUNTIFS('All Papers'!$D:$D,"*"&amp;$A1280&amp;"*",'All Papers'!$G:$G,"*"&amp;Table1[[#Headers],[Composition]]&amp;"*")</f>
        <v>1</v>
      </c>
      <c r="D1280" s="8">
        <f>COUNTIFS('All Papers'!$D:$D,"*"&amp;$A1280&amp;"*",'All Papers'!$G:$G,"*"&amp;Table1[[#Headers],[Discovery]]&amp;"*")</f>
        <v>0</v>
      </c>
      <c r="E1280" s="8">
        <f>COUNTIFS('All Papers'!$D:$D,"*"&amp;$A1280&amp;"*",'All Papers'!$G:$G,"*"&amp;Table1[[#Headers],[Selection]]&amp;"*")</f>
        <v>0</v>
      </c>
      <c r="F1280" s="8">
        <f>COUNTIFS('All Papers'!$D:$D,"*"&amp;$A1280&amp;"*",'All Papers'!$G:$G,"*"&amp;Table1[[#Headers],[Recommendation]]&amp;"*")</f>
        <v>0</v>
      </c>
      <c r="G1280" s="8">
        <f>COUNTIFS('All Papers'!$D:$D,"*"&amp;$A1280&amp;"*",'All Papers'!$G:$G,"*"&amp;Table1[[#Headers],[Resource Management-CS]]&amp;"*")</f>
        <v>0</v>
      </c>
      <c r="H1280" s="8">
        <f>COUNTIFS('All Papers'!$D:$D,"*"&amp;$A1280&amp;"*",'All Papers'!$G:$G,"*"&amp;Table1[[#Headers],[Resource Management-PS]]&amp;"*")</f>
        <v>0</v>
      </c>
      <c r="I1280" s="8">
        <f>COUNTIFS('All Papers'!$D:$D,"*"&amp;$A1280&amp;"*",'All Papers'!$G:$G,"*"&amp;Table1[[#Headers],[SLA Management]]&amp;"*")</f>
        <v>0</v>
      </c>
      <c r="J1280" s="8">
        <f>COUNTIFS('All Papers'!$D:$D,"*"&amp;$A1280&amp;"*",'All Papers'!$G:$G,"*"&amp;Table1[[#Headers],[Big Data]]&amp;"*")</f>
        <v>0</v>
      </c>
      <c r="K1280" s="8">
        <f>COUNTIFS('All Papers'!$D:$D,"*"&amp;$A1280&amp;"*",'All Papers'!$G:$G,"*"&amp;Table1[[#Headers],[Energy Management]]&amp;"*")</f>
        <v>0</v>
      </c>
      <c r="L1280" s="8">
        <f>COUNTIFS('All Papers'!$D:$D,"*"&amp;$A1280&amp;"*",'All Papers'!$G:$G,"*"&amp;Table1[[#Headers],[Monitoring]]&amp;"*")</f>
        <v>0</v>
      </c>
      <c r="M1280" s="8">
        <f>COUNTIFS('All Papers'!$D:$D,"*"&amp;$A1280&amp;"*",'All Papers'!$G:$G,"*"&amp;Table1[[#Headers],[Pricing]]&amp;"*")</f>
        <v>0</v>
      </c>
    </row>
    <row r="1281" spans="1:13" x14ac:dyDescent="0.25">
      <c r="A1281" s="8" t="s">
        <v>3714</v>
      </c>
      <c r="B1281" s="8">
        <f>COUNTIF('All Papers'!D:D,"*"&amp;Table1[[#This Row],[Name]]&amp;"*")</f>
        <v>1</v>
      </c>
      <c r="C1281" s="8">
        <f>COUNTIFS('All Papers'!$D:$D,"*"&amp;$A1281&amp;"*",'All Papers'!$G:$G,"*"&amp;Table1[[#Headers],[Composition]]&amp;"*")</f>
        <v>0</v>
      </c>
      <c r="D1281" s="8">
        <f>COUNTIFS('All Papers'!$D:$D,"*"&amp;$A1281&amp;"*",'All Papers'!$G:$G,"*"&amp;Table1[[#Headers],[Discovery]]&amp;"*")</f>
        <v>0</v>
      </c>
      <c r="E1281" s="8">
        <f>COUNTIFS('All Papers'!$D:$D,"*"&amp;$A1281&amp;"*",'All Papers'!$G:$G,"*"&amp;Table1[[#Headers],[Selection]]&amp;"*")</f>
        <v>0</v>
      </c>
      <c r="F1281" s="8">
        <f>COUNTIFS('All Papers'!$D:$D,"*"&amp;$A1281&amp;"*",'All Papers'!$G:$G,"*"&amp;Table1[[#Headers],[Recommendation]]&amp;"*")</f>
        <v>0</v>
      </c>
      <c r="G1281" s="8">
        <f>COUNTIFS('All Papers'!$D:$D,"*"&amp;$A1281&amp;"*",'All Papers'!$G:$G,"*"&amp;Table1[[#Headers],[Resource Management-CS]]&amp;"*")</f>
        <v>0</v>
      </c>
      <c r="H1281" s="8">
        <f>COUNTIFS('All Papers'!$D:$D,"*"&amp;$A1281&amp;"*",'All Papers'!$G:$G,"*"&amp;Table1[[#Headers],[Resource Management-PS]]&amp;"*")</f>
        <v>1</v>
      </c>
      <c r="I1281" s="8">
        <f>COUNTIFS('All Papers'!$D:$D,"*"&amp;$A1281&amp;"*",'All Papers'!$G:$G,"*"&amp;Table1[[#Headers],[SLA Management]]&amp;"*")</f>
        <v>0</v>
      </c>
      <c r="J1281" s="8">
        <f>COUNTIFS('All Papers'!$D:$D,"*"&amp;$A1281&amp;"*",'All Papers'!$G:$G,"*"&amp;Table1[[#Headers],[Big Data]]&amp;"*")</f>
        <v>0</v>
      </c>
      <c r="K1281" s="8">
        <f>COUNTIFS('All Papers'!$D:$D,"*"&amp;$A1281&amp;"*",'All Papers'!$G:$G,"*"&amp;Table1[[#Headers],[Energy Management]]&amp;"*")</f>
        <v>0</v>
      </c>
      <c r="L1281" s="8">
        <f>COUNTIFS('All Papers'!$D:$D,"*"&amp;$A1281&amp;"*",'All Papers'!$G:$G,"*"&amp;Table1[[#Headers],[Monitoring]]&amp;"*")</f>
        <v>0</v>
      </c>
      <c r="M1281" s="8">
        <f>COUNTIFS('All Papers'!$D:$D,"*"&amp;$A1281&amp;"*",'All Papers'!$G:$G,"*"&amp;Table1[[#Headers],[Pricing]]&amp;"*")</f>
        <v>0</v>
      </c>
    </row>
    <row r="1282" spans="1:13" x14ac:dyDescent="0.25">
      <c r="A1282" s="8" t="s">
        <v>3715</v>
      </c>
      <c r="B1282" s="8">
        <f>COUNTIF('All Papers'!D:D,"*"&amp;Table1[[#This Row],[Name]]&amp;"*")</f>
        <v>1</v>
      </c>
      <c r="C1282" s="8">
        <f>COUNTIFS('All Papers'!$D:$D,"*"&amp;$A1282&amp;"*",'All Papers'!$G:$G,"*"&amp;Table1[[#Headers],[Composition]]&amp;"*")</f>
        <v>0</v>
      </c>
      <c r="D1282" s="8">
        <f>COUNTIFS('All Papers'!$D:$D,"*"&amp;$A1282&amp;"*",'All Papers'!$G:$G,"*"&amp;Table1[[#Headers],[Discovery]]&amp;"*")</f>
        <v>0</v>
      </c>
      <c r="E1282" s="8">
        <f>COUNTIFS('All Papers'!$D:$D,"*"&amp;$A1282&amp;"*",'All Papers'!$G:$G,"*"&amp;Table1[[#Headers],[Selection]]&amp;"*")</f>
        <v>0</v>
      </c>
      <c r="F1282" s="8">
        <f>COUNTIFS('All Papers'!$D:$D,"*"&amp;$A1282&amp;"*",'All Papers'!$G:$G,"*"&amp;Table1[[#Headers],[Recommendation]]&amp;"*")</f>
        <v>0</v>
      </c>
      <c r="G1282" s="8">
        <f>COUNTIFS('All Papers'!$D:$D,"*"&amp;$A1282&amp;"*",'All Papers'!$G:$G,"*"&amp;Table1[[#Headers],[Resource Management-CS]]&amp;"*")</f>
        <v>0</v>
      </c>
      <c r="H1282" s="8">
        <f>COUNTIFS('All Papers'!$D:$D,"*"&amp;$A1282&amp;"*",'All Papers'!$G:$G,"*"&amp;Table1[[#Headers],[Resource Management-PS]]&amp;"*")</f>
        <v>1</v>
      </c>
      <c r="I1282" s="8">
        <f>COUNTIFS('All Papers'!$D:$D,"*"&amp;$A1282&amp;"*",'All Papers'!$G:$G,"*"&amp;Table1[[#Headers],[SLA Management]]&amp;"*")</f>
        <v>0</v>
      </c>
      <c r="J1282" s="8">
        <f>COUNTIFS('All Papers'!$D:$D,"*"&amp;$A1282&amp;"*",'All Papers'!$G:$G,"*"&amp;Table1[[#Headers],[Big Data]]&amp;"*")</f>
        <v>0</v>
      </c>
      <c r="K1282" s="8">
        <f>COUNTIFS('All Papers'!$D:$D,"*"&amp;$A1282&amp;"*",'All Papers'!$G:$G,"*"&amp;Table1[[#Headers],[Energy Management]]&amp;"*")</f>
        <v>0</v>
      </c>
      <c r="L1282" s="8">
        <f>COUNTIFS('All Papers'!$D:$D,"*"&amp;$A1282&amp;"*",'All Papers'!$G:$G,"*"&amp;Table1[[#Headers],[Monitoring]]&amp;"*")</f>
        <v>0</v>
      </c>
      <c r="M1282" s="8">
        <f>COUNTIFS('All Papers'!$D:$D,"*"&amp;$A1282&amp;"*",'All Papers'!$G:$G,"*"&amp;Table1[[#Headers],[Pricing]]&amp;"*")</f>
        <v>0</v>
      </c>
    </row>
    <row r="1283" spans="1:13" x14ac:dyDescent="0.25">
      <c r="A1283" s="8" t="s">
        <v>3716</v>
      </c>
      <c r="B1283" s="8">
        <f>COUNTIF('All Papers'!D:D,"*"&amp;Table1[[#This Row],[Name]]&amp;"*")</f>
        <v>1</v>
      </c>
      <c r="C1283" s="8">
        <f>COUNTIFS('All Papers'!$D:$D,"*"&amp;$A1283&amp;"*",'All Papers'!$G:$G,"*"&amp;Table1[[#Headers],[Composition]]&amp;"*")</f>
        <v>0</v>
      </c>
      <c r="D1283" s="8">
        <f>COUNTIFS('All Papers'!$D:$D,"*"&amp;$A1283&amp;"*",'All Papers'!$G:$G,"*"&amp;Table1[[#Headers],[Discovery]]&amp;"*")</f>
        <v>0</v>
      </c>
      <c r="E1283" s="8">
        <f>COUNTIFS('All Papers'!$D:$D,"*"&amp;$A1283&amp;"*",'All Papers'!$G:$G,"*"&amp;Table1[[#Headers],[Selection]]&amp;"*")</f>
        <v>0</v>
      </c>
      <c r="F1283" s="8">
        <f>COUNTIFS('All Papers'!$D:$D,"*"&amp;$A1283&amp;"*",'All Papers'!$G:$G,"*"&amp;Table1[[#Headers],[Recommendation]]&amp;"*")</f>
        <v>0</v>
      </c>
      <c r="G1283" s="8">
        <f>COUNTIFS('All Papers'!$D:$D,"*"&amp;$A1283&amp;"*",'All Papers'!$G:$G,"*"&amp;Table1[[#Headers],[Resource Management-CS]]&amp;"*")</f>
        <v>0</v>
      </c>
      <c r="H1283" s="8">
        <f>COUNTIFS('All Papers'!$D:$D,"*"&amp;$A1283&amp;"*",'All Papers'!$G:$G,"*"&amp;Table1[[#Headers],[Resource Management-PS]]&amp;"*")</f>
        <v>1</v>
      </c>
      <c r="I1283" s="8">
        <f>COUNTIFS('All Papers'!$D:$D,"*"&amp;$A1283&amp;"*",'All Papers'!$G:$G,"*"&amp;Table1[[#Headers],[SLA Management]]&amp;"*")</f>
        <v>0</v>
      </c>
      <c r="J1283" s="8">
        <f>COUNTIFS('All Papers'!$D:$D,"*"&amp;$A1283&amp;"*",'All Papers'!$G:$G,"*"&amp;Table1[[#Headers],[Big Data]]&amp;"*")</f>
        <v>0</v>
      </c>
      <c r="K1283" s="8">
        <f>COUNTIFS('All Papers'!$D:$D,"*"&amp;$A1283&amp;"*",'All Papers'!$G:$G,"*"&amp;Table1[[#Headers],[Energy Management]]&amp;"*")</f>
        <v>0</v>
      </c>
      <c r="L1283" s="8">
        <f>COUNTIFS('All Papers'!$D:$D,"*"&amp;$A1283&amp;"*",'All Papers'!$G:$G,"*"&amp;Table1[[#Headers],[Monitoring]]&amp;"*")</f>
        <v>0</v>
      </c>
      <c r="M1283" s="8">
        <f>COUNTIFS('All Papers'!$D:$D,"*"&amp;$A1283&amp;"*",'All Papers'!$G:$G,"*"&amp;Table1[[#Headers],[Pricing]]&amp;"*")</f>
        <v>0</v>
      </c>
    </row>
    <row r="1284" spans="1:13" x14ac:dyDescent="0.25">
      <c r="A1284" s="8" t="s">
        <v>3717</v>
      </c>
      <c r="B1284" s="8">
        <f>COUNTIF('All Papers'!D:D,"*"&amp;Table1[[#This Row],[Name]]&amp;"*")</f>
        <v>1</v>
      </c>
      <c r="C1284" s="8">
        <f>COUNTIFS('All Papers'!$D:$D,"*"&amp;$A1284&amp;"*",'All Papers'!$G:$G,"*"&amp;Table1[[#Headers],[Composition]]&amp;"*")</f>
        <v>0</v>
      </c>
      <c r="D1284" s="8">
        <f>COUNTIFS('All Papers'!$D:$D,"*"&amp;$A1284&amp;"*",'All Papers'!$G:$G,"*"&amp;Table1[[#Headers],[Discovery]]&amp;"*")</f>
        <v>0</v>
      </c>
      <c r="E1284" s="8">
        <f>COUNTIFS('All Papers'!$D:$D,"*"&amp;$A1284&amp;"*",'All Papers'!$G:$G,"*"&amp;Table1[[#Headers],[Selection]]&amp;"*")</f>
        <v>0</v>
      </c>
      <c r="F1284" s="8">
        <f>COUNTIFS('All Papers'!$D:$D,"*"&amp;$A1284&amp;"*",'All Papers'!$G:$G,"*"&amp;Table1[[#Headers],[Recommendation]]&amp;"*")</f>
        <v>0</v>
      </c>
      <c r="G1284" s="8">
        <f>COUNTIFS('All Papers'!$D:$D,"*"&amp;$A1284&amp;"*",'All Papers'!$G:$G,"*"&amp;Table1[[#Headers],[Resource Management-CS]]&amp;"*")</f>
        <v>1</v>
      </c>
      <c r="H1284" s="8">
        <f>COUNTIFS('All Papers'!$D:$D,"*"&amp;$A1284&amp;"*",'All Papers'!$G:$G,"*"&amp;Table1[[#Headers],[Resource Management-PS]]&amp;"*")</f>
        <v>0</v>
      </c>
      <c r="I1284" s="8">
        <f>COUNTIFS('All Papers'!$D:$D,"*"&amp;$A1284&amp;"*",'All Papers'!$G:$G,"*"&amp;Table1[[#Headers],[SLA Management]]&amp;"*")</f>
        <v>0</v>
      </c>
      <c r="J1284" s="8">
        <f>COUNTIFS('All Papers'!$D:$D,"*"&amp;$A1284&amp;"*",'All Papers'!$G:$G,"*"&amp;Table1[[#Headers],[Big Data]]&amp;"*")</f>
        <v>0</v>
      </c>
      <c r="K1284" s="8">
        <f>COUNTIFS('All Papers'!$D:$D,"*"&amp;$A1284&amp;"*",'All Papers'!$G:$G,"*"&amp;Table1[[#Headers],[Energy Management]]&amp;"*")</f>
        <v>0</v>
      </c>
      <c r="L1284" s="8">
        <f>COUNTIFS('All Papers'!$D:$D,"*"&amp;$A1284&amp;"*",'All Papers'!$G:$G,"*"&amp;Table1[[#Headers],[Monitoring]]&amp;"*")</f>
        <v>0</v>
      </c>
      <c r="M1284" s="8">
        <f>COUNTIFS('All Papers'!$D:$D,"*"&amp;$A1284&amp;"*",'All Papers'!$G:$G,"*"&amp;Table1[[#Headers],[Pricing]]&amp;"*")</f>
        <v>0</v>
      </c>
    </row>
    <row r="1285" spans="1:13" x14ac:dyDescent="0.25">
      <c r="A1285" s="8" t="s">
        <v>3718</v>
      </c>
      <c r="B1285" s="8">
        <f>COUNTIF('All Papers'!D:D,"*"&amp;Table1[[#This Row],[Name]]&amp;"*")</f>
        <v>1</v>
      </c>
      <c r="C1285" s="8">
        <f>COUNTIFS('All Papers'!$D:$D,"*"&amp;$A1285&amp;"*",'All Papers'!$G:$G,"*"&amp;Table1[[#Headers],[Composition]]&amp;"*")</f>
        <v>0</v>
      </c>
      <c r="D1285" s="8">
        <f>COUNTIFS('All Papers'!$D:$D,"*"&amp;$A1285&amp;"*",'All Papers'!$G:$G,"*"&amp;Table1[[#Headers],[Discovery]]&amp;"*")</f>
        <v>0</v>
      </c>
      <c r="E1285" s="8">
        <f>COUNTIFS('All Papers'!$D:$D,"*"&amp;$A1285&amp;"*",'All Papers'!$G:$G,"*"&amp;Table1[[#Headers],[Selection]]&amp;"*")</f>
        <v>0</v>
      </c>
      <c r="F1285" s="8">
        <f>COUNTIFS('All Papers'!$D:$D,"*"&amp;$A1285&amp;"*",'All Papers'!$G:$G,"*"&amp;Table1[[#Headers],[Recommendation]]&amp;"*")</f>
        <v>0</v>
      </c>
      <c r="G1285" s="8">
        <f>COUNTIFS('All Papers'!$D:$D,"*"&amp;$A1285&amp;"*",'All Papers'!$G:$G,"*"&amp;Table1[[#Headers],[Resource Management-CS]]&amp;"*")</f>
        <v>1</v>
      </c>
      <c r="H1285" s="8">
        <f>COUNTIFS('All Papers'!$D:$D,"*"&amp;$A1285&amp;"*",'All Papers'!$G:$G,"*"&amp;Table1[[#Headers],[Resource Management-PS]]&amp;"*")</f>
        <v>0</v>
      </c>
      <c r="I1285" s="8">
        <f>COUNTIFS('All Papers'!$D:$D,"*"&amp;$A1285&amp;"*",'All Papers'!$G:$G,"*"&amp;Table1[[#Headers],[SLA Management]]&amp;"*")</f>
        <v>0</v>
      </c>
      <c r="J1285" s="8">
        <f>COUNTIFS('All Papers'!$D:$D,"*"&amp;$A1285&amp;"*",'All Papers'!$G:$G,"*"&amp;Table1[[#Headers],[Big Data]]&amp;"*")</f>
        <v>0</v>
      </c>
      <c r="K1285" s="8">
        <f>COUNTIFS('All Papers'!$D:$D,"*"&amp;$A1285&amp;"*",'All Papers'!$G:$G,"*"&amp;Table1[[#Headers],[Energy Management]]&amp;"*")</f>
        <v>0</v>
      </c>
      <c r="L1285" s="8">
        <f>COUNTIFS('All Papers'!$D:$D,"*"&amp;$A1285&amp;"*",'All Papers'!$G:$G,"*"&amp;Table1[[#Headers],[Monitoring]]&amp;"*")</f>
        <v>0</v>
      </c>
      <c r="M1285" s="8">
        <f>COUNTIFS('All Papers'!$D:$D,"*"&amp;$A1285&amp;"*",'All Papers'!$G:$G,"*"&amp;Table1[[#Headers],[Pricing]]&amp;"*")</f>
        <v>0</v>
      </c>
    </row>
    <row r="1286" spans="1:13" x14ac:dyDescent="0.25">
      <c r="A1286" s="8" t="s">
        <v>3719</v>
      </c>
      <c r="B1286" s="8">
        <f>COUNTIF('All Papers'!D:D,"*"&amp;Table1[[#This Row],[Name]]&amp;"*")</f>
        <v>1</v>
      </c>
      <c r="C1286" s="8">
        <f>COUNTIFS('All Papers'!$D:$D,"*"&amp;$A1286&amp;"*",'All Papers'!$G:$G,"*"&amp;Table1[[#Headers],[Composition]]&amp;"*")</f>
        <v>0</v>
      </c>
      <c r="D1286" s="8">
        <f>COUNTIFS('All Papers'!$D:$D,"*"&amp;$A1286&amp;"*",'All Papers'!$G:$G,"*"&amp;Table1[[#Headers],[Discovery]]&amp;"*")</f>
        <v>0</v>
      </c>
      <c r="E1286" s="8">
        <f>COUNTIFS('All Papers'!$D:$D,"*"&amp;$A1286&amp;"*",'All Papers'!$G:$G,"*"&amp;Table1[[#Headers],[Selection]]&amp;"*")</f>
        <v>0</v>
      </c>
      <c r="F1286" s="8">
        <f>COUNTIFS('All Papers'!$D:$D,"*"&amp;$A1286&amp;"*",'All Papers'!$G:$G,"*"&amp;Table1[[#Headers],[Recommendation]]&amp;"*")</f>
        <v>0</v>
      </c>
      <c r="G1286" s="8">
        <f>COUNTIFS('All Papers'!$D:$D,"*"&amp;$A1286&amp;"*",'All Papers'!$G:$G,"*"&amp;Table1[[#Headers],[Resource Management-CS]]&amp;"*")</f>
        <v>1</v>
      </c>
      <c r="H1286" s="8">
        <f>COUNTIFS('All Papers'!$D:$D,"*"&amp;$A1286&amp;"*",'All Papers'!$G:$G,"*"&amp;Table1[[#Headers],[Resource Management-PS]]&amp;"*")</f>
        <v>0</v>
      </c>
      <c r="I1286" s="8">
        <f>COUNTIFS('All Papers'!$D:$D,"*"&amp;$A1286&amp;"*",'All Papers'!$G:$G,"*"&amp;Table1[[#Headers],[SLA Management]]&amp;"*")</f>
        <v>0</v>
      </c>
      <c r="J1286" s="8">
        <f>COUNTIFS('All Papers'!$D:$D,"*"&amp;$A1286&amp;"*",'All Papers'!$G:$G,"*"&amp;Table1[[#Headers],[Big Data]]&amp;"*")</f>
        <v>0</v>
      </c>
      <c r="K1286" s="8">
        <f>COUNTIFS('All Papers'!$D:$D,"*"&amp;$A1286&amp;"*",'All Papers'!$G:$G,"*"&amp;Table1[[#Headers],[Energy Management]]&amp;"*")</f>
        <v>0</v>
      </c>
      <c r="L1286" s="8">
        <f>COUNTIFS('All Papers'!$D:$D,"*"&amp;$A1286&amp;"*",'All Papers'!$G:$G,"*"&amp;Table1[[#Headers],[Monitoring]]&amp;"*")</f>
        <v>0</v>
      </c>
      <c r="M1286" s="8">
        <f>COUNTIFS('All Papers'!$D:$D,"*"&amp;$A1286&amp;"*",'All Papers'!$G:$G,"*"&amp;Table1[[#Headers],[Pricing]]&amp;"*")</f>
        <v>0</v>
      </c>
    </row>
    <row r="1287" spans="1:13" x14ac:dyDescent="0.25">
      <c r="A1287" s="8" t="s">
        <v>3720</v>
      </c>
      <c r="B1287" s="8">
        <f>COUNTIF('All Papers'!D:D,"*"&amp;Table1[[#This Row],[Name]]&amp;"*")</f>
        <v>1</v>
      </c>
      <c r="C1287" s="8">
        <f>COUNTIFS('All Papers'!$D:$D,"*"&amp;$A1287&amp;"*",'All Papers'!$G:$G,"*"&amp;Table1[[#Headers],[Composition]]&amp;"*")</f>
        <v>0</v>
      </c>
      <c r="D1287" s="8">
        <f>COUNTIFS('All Papers'!$D:$D,"*"&amp;$A1287&amp;"*",'All Papers'!$G:$G,"*"&amp;Table1[[#Headers],[Discovery]]&amp;"*")</f>
        <v>0</v>
      </c>
      <c r="E1287" s="8">
        <f>COUNTIFS('All Papers'!$D:$D,"*"&amp;$A1287&amp;"*",'All Papers'!$G:$G,"*"&amp;Table1[[#Headers],[Selection]]&amp;"*")</f>
        <v>1</v>
      </c>
      <c r="F1287" s="8">
        <f>COUNTIFS('All Papers'!$D:$D,"*"&amp;$A1287&amp;"*",'All Papers'!$G:$G,"*"&amp;Table1[[#Headers],[Recommendation]]&amp;"*")</f>
        <v>0</v>
      </c>
      <c r="G1287" s="8">
        <f>COUNTIFS('All Papers'!$D:$D,"*"&amp;$A1287&amp;"*",'All Papers'!$G:$G,"*"&amp;Table1[[#Headers],[Resource Management-CS]]&amp;"*")</f>
        <v>0</v>
      </c>
      <c r="H1287" s="8">
        <f>COUNTIFS('All Papers'!$D:$D,"*"&amp;$A1287&amp;"*",'All Papers'!$G:$G,"*"&amp;Table1[[#Headers],[Resource Management-PS]]&amp;"*")</f>
        <v>0</v>
      </c>
      <c r="I1287" s="8">
        <f>COUNTIFS('All Papers'!$D:$D,"*"&amp;$A1287&amp;"*",'All Papers'!$G:$G,"*"&amp;Table1[[#Headers],[SLA Management]]&amp;"*")</f>
        <v>0</v>
      </c>
      <c r="J1287" s="8">
        <f>COUNTIFS('All Papers'!$D:$D,"*"&amp;$A1287&amp;"*",'All Papers'!$G:$G,"*"&amp;Table1[[#Headers],[Big Data]]&amp;"*")</f>
        <v>0</v>
      </c>
      <c r="K1287" s="8">
        <f>COUNTIFS('All Papers'!$D:$D,"*"&amp;$A1287&amp;"*",'All Papers'!$G:$G,"*"&amp;Table1[[#Headers],[Energy Management]]&amp;"*")</f>
        <v>0</v>
      </c>
      <c r="L1287" s="8">
        <f>COUNTIFS('All Papers'!$D:$D,"*"&amp;$A1287&amp;"*",'All Papers'!$G:$G,"*"&amp;Table1[[#Headers],[Monitoring]]&amp;"*")</f>
        <v>0</v>
      </c>
      <c r="M1287" s="8">
        <f>COUNTIFS('All Papers'!$D:$D,"*"&amp;$A1287&amp;"*",'All Papers'!$G:$G,"*"&amp;Table1[[#Headers],[Pricing]]&amp;"*")</f>
        <v>0</v>
      </c>
    </row>
    <row r="1288" spans="1:13" x14ac:dyDescent="0.25">
      <c r="A1288" s="8" t="s">
        <v>3721</v>
      </c>
      <c r="B1288" s="8">
        <f>COUNTIF('All Papers'!D:D,"*"&amp;Table1[[#This Row],[Name]]&amp;"*")</f>
        <v>1</v>
      </c>
      <c r="C1288" s="8">
        <f>COUNTIFS('All Papers'!$D:$D,"*"&amp;$A1288&amp;"*",'All Papers'!$G:$G,"*"&amp;Table1[[#Headers],[Composition]]&amp;"*")</f>
        <v>0</v>
      </c>
      <c r="D1288" s="8">
        <f>COUNTIFS('All Papers'!$D:$D,"*"&amp;$A1288&amp;"*",'All Papers'!$G:$G,"*"&amp;Table1[[#Headers],[Discovery]]&amp;"*")</f>
        <v>0</v>
      </c>
      <c r="E1288" s="8">
        <f>COUNTIFS('All Papers'!$D:$D,"*"&amp;$A1288&amp;"*",'All Papers'!$G:$G,"*"&amp;Table1[[#Headers],[Selection]]&amp;"*")</f>
        <v>1</v>
      </c>
      <c r="F1288" s="8">
        <f>COUNTIFS('All Papers'!$D:$D,"*"&amp;$A1288&amp;"*",'All Papers'!$G:$G,"*"&amp;Table1[[#Headers],[Recommendation]]&amp;"*")</f>
        <v>0</v>
      </c>
      <c r="G1288" s="8">
        <f>COUNTIFS('All Papers'!$D:$D,"*"&amp;$A1288&amp;"*",'All Papers'!$G:$G,"*"&amp;Table1[[#Headers],[Resource Management-CS]]&amp;"*")</f>
        <v>0</v>
      </c>
      <c r="H1288" s="8">
        <f>COUNTIFS('All Papers'!$D:$D,"*"&amp;$A1288&amp;"*",'All Papers'!$G:$G,"*"&amp;Table1[[#Headers],[Resource Management-PS]]&amp;"*")</f>
        <v>0</v>
      </c>
      <c r="I1288" s="8">
        <f>COUNTIFS('All Papers'!$D:$D,"*"&amp;$A1288&amp;"*",'All Papers'!$G:$G,"*"&amp;Table1[[#Headers],[SLA Management]]&amp;"*")</f>
        <v>0</v>
      </c>
      <c r="J1288" s="8">
        <f>COUNTIFS('All Papers'!$D:$D,"*"&amp;$A1288&amp;"*",'All Papers'!$G:$G,"*"&amp;Table1[[#Headers],[Big Data]]&amp;"*")</f>
        <v>0</v>
      </c>
      <c r="K1288" s="8">
        <f>COUNTIFS('All Papers'!$D:$D,"*"&amp;$A1288&amp;"*",'All Papers'!$G:$G,"*"&amp;Table1[[#Headers],[Energy Management]]&amp;"*")</f>
        <v>0</v>
      </c>
      <c r="L1288" s="8">
        <f>COUNTIFS('All Papers'!$D:$D,"*"&amp;$A1288&amp;"*",'All Papers'!$G:$G,"*"&amp;Table1[[#Headers],[Monitoring]]&amp;"*")</f>
        <v>0</v>
      </c>
      <c r="M1288" s="8">
        <f>COUNTIFS('All Papers'!$D:$D,"*"&amp;$A1288&amp;"*",'All Papers'!$G:$G,"*"&amp;Table1[[#Headers],[Pricing]]&amp;"*")</f>
        <v>0</v>
      </c>
    </row>
    <row r="1289" spans="1:13" x14ac:dyDescent="0.25">
      <c r="A1289" s="8" t="s">
        <v>3722</v>
      </c>
      <c r="B1289" s="8">
        <f>COUNTIF('All Papers'!D:D,"*"&amp;Table1[[#This Row],[Name]]&amp;"*")</f>
        <v>1</v>
      </c>
      <c r="C1289" s="8">
        <f>COUNTIFS('All Papers'!$D:$D,"*"&amp;$A1289&amp;"*",'All Papers'!$G:$G,"*"&amp;Table1[[#Headers],[Composition]]&amp;"*")</f>
        <v>0</v>
      </c>
      <c r="D1289" s="8">
        <f>COUNTIFS('All Papers'!$D:$D,"*"&amp;$A1289&amp;"*",'All Papers'!$G:$G,"*"&amp;Table1[[#Headers],[Discovery]]&amp;"*")</f>
        <v>0</v>
      </c>
      <c r="E1289" s="8">
        <f>COUNTIFS('All Papers'!$D:$D,"*"&amp;$A1289&amp;"*",'All Papers'!$G:$G,"*"&amp;Table1[[#Headers],[Selection]]&amp;"*")</f>
        <v>1</v>
      </c>
      <c r="F1289" s="8">
        <f>COUNTIFS('All Papers'!$D:$D,"*"&amp;$A1289&amp;"*",'All Papers'!$G:$G,"*"&amp;Table1[[#Headers],[Recommendation]]&amp;"*")</f>
        <v>0</v>
      </c>
      <c r="G1289" s="8">
        <f>COUNTIFS('All Papers'!$D:$D,"*"&amp;$A1289&amp;"*",'All Papers'!$G:$G,"*"&amp;Table1[[#Headers],[Resource Management-CS]]&amp;"*")</f>
        <v>0</v>
      </c>
      <c r="H1289" s="8">
        <f>COUNTIFS('All Papers'!$D:$D,"*"&amp;$A1289&amp;"*",'All Papers'!$G:$G,"*"&amp;Table1[[#Headers],[Resource Management-PS]]&amp;"*")</f>
        <v>0</v>
      </c>
      <c r="I1289" s="8">
        <f>COUNTIFS('All Papers'!$D:$D,"*"&amp;$A1289&amp;"*",'All Papers'!$G:$G,"*"&amp;Table1[[#Headers],[SLA Management]]&amp;"*")</f>
        <v>0</v>
      </c>
      <c r="J1289" s="8">
        <f>COUNTIFS('All Papers'!$D:$D,"*"&amp;$A1289&amp;"*",'All Papers'!$G:$G,"*"&amp;Table1[[#Headers],[Big Data]]&amp;"*")</f>
        <v>0</v>
      </c>
      <c r="K1289" s="8">
        <f>COUNTIFS('All Papers'!$D:$D,"*"&amp;$A1289&amp;"*",'All Papers'!$G:$G,"*"&amp;Table1[[#Headers],[Energy Management]]&amp;"*")</f>
        <v>0</v>
      </c>
      <c r="L1289" s="8">
        <f>COUNTIFS('All Papers'!$D:$D,"*"&amp;$A1289&amp;"*",'All Papers'!$G:$G,"*"&amp;Table1[[#Headers],[Monitoring]]&amp;"*")</f>
        <v>0</v>
      </c>
      <c r="M1289" s="8">
        <f>COUNTIFS('All Papers'!$D:$D,"*"&amp;$A1289&amp;"*",'All Papers'!$G:$G,"*"&amp;Table1[[#Headers],[Pricing]]&amp;"*")</f>
        <v>0</v>
      </c>
    </row>
    <row r="1290" spans="1:13" x14ac:dyDescent="0.25">
      <c r="A1290" s="8" t="s">
        <v>3723</v>
      </c>
      <c r="B1290" s="8">
        <f>COUNTIF('All Papers'!D:D,"*"&amp;Table1[[#This Row],[Name]]&amp;"*")</f>
        <v>1</v>
      </c>
      <c r="C1290" s="8">
        <f>COUNTIFS('All Papers'!$D:$D,"*"&amp;$A1290&amp;"*",'All Papers'!$G:$G,"*"&amp;Table1[[#Headers],[Composition]]&amp;"*")</f>
        <v>0</v>
      </c>
      <c r="D1290" s="8">
        <f>COUNTIFS('All Papers'!$D:$D,"*"&amp;$A1290&amp;"*",'All Papers'!$G:$G,"*"&amp;Table1[[#Headers],[Discovery]]&amp;"*")</f>
        <v>0</v>
      </c>
      <c r="E1290" s="8">
        <f>COUNTIFS('All Papers'!$D:$D,"*"&amp;$A1290&amp;"*",'All Papers'!$G:$G,"*"&amp;Table1[[#Headers],[Selection]]&amp;"*")</f>
        <v>1</v>
      </c>
      <c r="F1290" s="8">
        <f>COUNTIFS('All Papers'!$D:$D,"*"&amp;$A1290&amp;"*",'All Papers'!$G:$G,"*"&amp;Table1[[#Headers],[Recommendation]]&amp;"*")</f>
        <v>0</v>
      </c>
      <c r="G1290" s="8">
        <f>COUNTIFS('All Papers'!$D:$D,"*"&amp;$A1290&amp;"*",'All Papers'!$G:$G,"*"&amp;Table1[[#Headers],[Resource Management-CS]]&amp;"*")</f>
        <v>0</v>
      </c>
      <c r="H1290" s="8">
        <f>COUNTIFS('All Papers'!$D:$D,"*"&amp;$A1290&amp;"*",'All Papers'!$G:$G,"*"&amp;Table1[[#Headers],[Resource Management-PS]]&amp;"*")</f>
        <v>0</v>
      </c>
      <c r="I1290" s="8">
        <f>COUNTIFS('All Papers'!$D:$D,"*"&amp;$A1290&amp;"*",'All Papers'!$G:$G,"*"&amp;Table1[[#Headers],[SLA Management]]&amp;"*")</f>
        <v>0</v>
      </c>
      <c r="J1290" s="8">
        <f>COUNTIFS('All Papers'!$D:$D,"*"&amp;$A1290&amp;"*",'All Papers'!$G:$G,"*"&amp;Table1[[#Headers],[Big Data]]&amp;"*")</f>
        <v>0</v>
      </c>
      <c r="K1290" s="8">
        <f>COUNTIFS('All Papers'!$D:$D,"*"&amp;$A1290&amp;"*",'All Papers'!$G:$G,"*"&amp;Table1[[#Headers],[Energy Management]]&amp;"*")</f>
        <v>0</v>
      </c>
      <c r="L1290" s="8">
        <f>COUNTIFS('All Papers'!$D:$D,"*"&amp;$A1290&amp;"*",'All Papers'!$G:$G,"*"&amp;Table1[[#Headers],[Monitoring]]&amp;"*")</f>
        <v>0</v>
      </c>
      <c r="M1290" s="8">
        <f>COUNTIFS('All Papers'!$D:$D,"*"&amp;$A1290&amp;"*",'All Papers'!$G:$G,"*"&amp;Table1[[#Headers],[Pricing]]&amp;"*")</f>
        <v>0</v>
      </c>
    </row>
    <row r="1291" spans="1:13" x14ac:dyDescent="0.25">
      <c r="A1291" s="8" t="s">
        <v>3724</v>
      </c>
      <c r="B1291" s="8">
        <f>COUNTIF('All Papers'!D:D,"*"&amp;Table1[[#This Row],[Name]]&amp;"*")</f>
        <v>1</v>
      </c>
      <c r="C1291" s="8">
        <f>COUNTIFS('All Papers'!$D:$D,"*"&amp;$A1291&amp;"*",'All Papers'!$G:$G,"*"&amp;Table1[[#Headers],[Composition]]&amp;"*")</f>
        <v>0</v>
      </c>
      <c r="D1291" s="8">
        <f>COUNTIFS('All Papers'!$D:$D,"*"&amp;$A1291&amp;"*",'All Papers'!$G:$G,"*"&amp;Table1[[#Headers],[Discovery]]&amp;"*")</f>
        <v>0</v>
      </c>
      <c r="E1291" s="8">
        <f>COUNTIFS('All Papers'!$D:$D,"*"&amp;$A1291&amp;"*",'All Papers'!$G:$G,"*"&amp;Table1[[#Headers],[Selection]]&amp;"*")</f>
        <v>1</v>
      </c>
      <c r="F1291" s="8">
        <f>COUNTIFS('All Papers'!$D:$D,"*"&amp;$A1291&amp;"*",'All Papers'!$G:$G,"*"&amp;Table1[[#Headers],[Recommendation]]&amp;"*")</f>
        <v>0</v>
      </c>
      <c r="G1291" s="8">
        <f>COUNTIFS('All Papers'!$D:$D,"*"&amp;$A1291&amp;"*",'All Papers'!$G:$G,"*"&amp;Table1[[#Headers],[Resource Management-CS]]&amp;"*")</f>
        <v>0</v>
      </c>
      <c r="H1291" s="8">
        <f>COUNTIFS('All Papers'!$D:$D,"*"&amp;$A1291&amp;"*",'All Papers'!$G:$G,"*"&amp;Table1[[#Headers],[Resource Management-PS]]&amp;"*")</f>
        <v>0</v>
      </c>
      <c r="I1291" s="8">
        <f>COUNTIFS('All Papers'!$D:$D,"*"&amp;$A1291&amp;"*",'All Papers'!$G:$G,"*"&amp;Table1[[#Headers],[SLA Management]]&amp;"*")</f>
        <v>0</v>
      </c>
      <c r="J1291" s="8">
        <f>COUNTIFS('All Papers'!$D:$D,"*"&amp;$A1291&amp;"*",'All Papers'!$G:$G,"*"&amp;Table1[[#Headers],[Big Data]]&amp;"*")</f>
        <v>0</v>
      </c>
      <c r="K1291" s="8">
        <f>COUNTIFS('All Papers'!$D:$D,"*"&amp;$A1291&amp;"*",'All Papers'!$G:$G,"*"&amp;Table1[[#Headers],[Energy Management]]&amp;"*")</f>
        <v>0</v>
      </c>
      <c r="L1291" s="8">
        <f>COUNTIFS('All Papers'!$D:$D,"*"&amp;$A1291&amp;"*",'All Papers'!$G:$G,"*"&amp;Table1[[#Headers],[Monitoring]]&amp;"*")</f>
        <v>0</v>
      </c>
      <c r="M1291" s="8">
        <f>COUNTIFS('All Papers'!$D:$D,"*"&amp;$A1291&amp;"*",'All Papers'!$G:$G,"*"&amp;Table1[[#Headers],[Pricing]]&amp;"*")</f>
        <v>0</v>
      </c>
    </row>
    <row r="1292" spans="1:13" x14ac:dyDescent="0.25">
      <c r="A1292" s="8" t="s">
        <v>3725</v>
      </c>
      <c r="B1292" s="8">
        <f>COUNTIF('All Papers'!D:D,"*"&amp;Table1[[#This Row],[Name]]&amp;"*")</f>
        <v>1</v>
      </c>
      <c r="C1292" s="8">
        <f>COUNTIFS('All Papers'!$D:$D,"*"&amp;$A1292&amp;"*",'All Papers'!$G:$G,"*"&amp;Table1[[#Headers],[Composition]]&amp;"*")</f>
        <v>0</v>
      </c>
      <c r="D1292" s="8">
        <f>COUNTIFS('All Papers'!$D:$D,"*"&amp;$A1292&amp;"*",'All Papers'!$G:$G,"*"&amp;Table1[[#Headers],[Discovery]]&amp;"*")</f>
        <v>0</v>
      </c>
      <c r="E1292" s="8">
        <f>COUNTIFS('All Papers'!$D:$D,"*"&amp;$A1292&amp;"*",'All Papers'!$G:$G,"*"&amp;Table1[[#Headers],[Selection]]&amp;"*")</f>
        <v>0</v>
      </c>
      <c r="F1292" s="8">
        <f>COUNTIFS('All Papers'!$D:$D,"*"&amp;$A1292&amp;"*",'All Papers'!$G:$G,"*"&amp;Table1[[#Headers],[Recommendation]]&amp;"*")</f>
        <v>0</v>
      </c>
      <c r="G1292" s="8">
        <f>COUNTIFS('All Papers'!$D:$D,"*"&amp;$A1292&amp;"*",'All Papers'!$G:$G,"*"&amp;Table1[[#Headers],[Resource Management-CS]]&amp;"*")</f>
        <v>0</v>
      </c>
      <c r="H1292" s="8">
        <f>COUNTIFS('All Papers'!$D:$D,"*"&amp;$A1292&amp;"*",'All Papers'!$G:$G,"*"&amp;Table1[[#Headers],[Resource Management-PS]]&amp;"*")</f>
        <v>1</v>
      </c>
      <c r="I1292" s="8">
        <f>COUNTIFS('All Papers'!$D:$D,"*"&amp;$A1292&amp;"*",'All Papers'!$G:$G,"*"&amp;Table1[[#Headers],[SLA Management]]&amp;"*")</f>
        <v>0</v>
      </c>
      <c r="J1292" s="8">
        <f>COUNTIFS('All Papers'!$D:$D,"*"&amp;$A1292&amp;"*",'All Papers'!$G:$G,"*"&amp;Table1[[#Headers],[Big Data]]&amp;"*")</f>
        <v>0</v>
      </c>
      <c r="K1292" s="8">
        <f>COUNTIFS('All Papers'!$D:$D,"*"&amp;$A1292&amp;"*",'All Papers'!$G:$G,"*"&amp;Table1[[#Headers],[Energy Management]]&amp;"*")</f>
        <v>0</v>
      </c>
      <c r="L1292" s="8">
        <f>COUNTIFS('All Papers'!$D:$D,"*"&amp;$A1292&amp;"*",'All Papers'!$G:$G,"*"&amp;Table1[[#Headers],[Monitoring]]&amp;"*")</f>
        <v>0</v>
      </c>
      <c r="M1292" s="8">
        <f>COUNTIFS('All Papers'!$D:$D,"*"&amp;$A1292&amp;"*",'All Papers'!$G:$G,"*"&amp;Table1[[#Headers],[Pricing]]&amp;"*")</f>
        <v>0</v>
      </c>
    </row>
    <row r="1293" spans="1:13" x14ac:dyDescent="0.25">
      <c r="A1293" s="8" t="s">
        <v>3726</v>
      </c>
      <c r="B1293" s="8">
        <f>COUNTIF('All Papers'!D:D,"*"&amp;Table1[[#This Row],[Name]]&amp;"*")</f>
        <v>1</v>
      </c>
      <c r="C1293" s="8">
        <f>COUNTIFS('All Papers'!$D:$D,"*"&amp;$A1293&amp;"*",'All Papers'!$G:$G,"*"&amp;Table1[[#Headers],[Composition]]&amp;"*")</f>
        <v>0</v>
      </c>
      <c r="D1293" s="8">
        <f>COUNTIFS('All Papers'!$D:$D,"*"&amp;$A1293&amp;"*",'All Papers'!$G:$G,"*"&amp;Table1[[#Headers],[Discovery]]&amp;"*")</f>
        <v>0</v>
      </c>
      <c r="E1293" s="8">
        <f>COUNTIFS('All Papers'!$D:$D,"*"&amp;$A1293&amp;"*",'All Papers'!$G:$G,"*"&amp;Table1[[#Headers],[Selection]]&amp;"*")</f>
        <v>0</v>
      </c>
      <c r="F1293" s="8">
        <f>COUNTIFS('All Papers'!$D:$D,"*"&amp;$A1293&amp;"*",'All Papers'!$G:$G,"*"&amp;Table1[[#Headers],[Recommendation]]&amp;"*")</f>
        <v>0</v>
      </c>
      <c r="G1293" s="8">
        <f>COUNTIFS('All Papers'!$D:$D,"*"&amp;$A1293&amp;"*",'All Papers'!$G:$G,"*"&amp;Table1[[#Headers],[Resource Management-CS]]&amp;"*")</f>
        <v>0</v>
      </c>
      <c r="H1293" s="8">
        <f>COUNTIFS('All Papers'!$D:$D,"*"&amp;$A1293&amp;"*",'All Papers'!$G:$G,"*"&amp;Table1[[#Headers],[Resource Management-PS]]&amp;"*")</f>
        <v>1</v>
      </c>
      <c r="I1293" s="8">
        <f>COUNTIFS('All Papers'!$D:$D,"*"&amp;$A1293&amp;"*",'All Papers'!$G:$G,"*"&amp;Table1[[#Headers],[SLA Management]]&amp;"*")</f>
        <v>0</v>
      </c>
      <c r="J1293" s="8">
        <f>COUNTIFS('All Papers'!$D:$D,"*"&amp;$A1293&amp;"*",'All Papers'!$G:$G,"*"&amp;Table1[[#Headers],[Big Data]]&amp;"*")</f>
        <v>0</v>
      </c>
      <c r="K1293" s="8">
        <f>COUNTIFS('All Papers'!$D:$D,"*"&amp;$A1293&amp;"*",'All Papers'!$G:$G,"*"&amp;Table1[[#Headers],[Energy Management]]&amp;"*")</f>
        <v>0</v>
      </c>
      <c r="L1293" s="8">
        <f>COUNTIFS('All Papers'!$D:$D,"*"&amp;$A1293&amp;"*",'All Papers'!$G:$G,"*"&amp;Table1[[#Headers],[Monitoring]]&amp;"*")</f>
        <v>0</v>
      </c>
      <c r="M1293" s="8">
        <f>COUNTIFS('All Papers'!$D:$D,"*"&amp;$A1293&amp;"*",'All Papers'!$G:$G,"*"&amp;Table1[[#Headers],[Pricing]]&amp;"*")</f>
        <v>0</v>
      </c>
    </row>
    <row r="1294" spans="1:13" x14ac:dyDescent="0.25">
      <c r="A1294" s="8" t="s">
        <v>3727</v>
      </c>
      <c r="B1294" s="8">
        <f>COUNTIF('All Papers'!D:D,"*"&amp;Table1[[#This Row],[Name]]&amp;"*")</f>
        <v>1</v>
      </c>
      <c r="C1294" s="8">
        <f>COUNTIFS('All Papers'!$D:$D,"*"&amp;$A1294&amp;"*",'All Papers'!$G:$G,"*"&amp;Table1[[#Headers],[Composition]]&amp;"*")</f>
        <v>0</v>
      </c>
      <c r="D1294" s="8">
        <f>COUNTIFS('All Papers'!$D:$D,"*"&amp;$A1294&amp;"*",'All Papers'!$G:$G,"*"&amp;Table1[[#Headers],[Discovery]]&amp;"*")</f>
        <v>0</v>
      </c>
      <c r="E1294" s="8">
        <f>COUNTIFS('All Papers'!$D:$D,"*"&amp;$A1294&amp;"*",'All Papers'!$G:$G,"*"&amp;Table1[[#Headers],[Selection]]&amp;"*")</f>
        <v>0</v>
      </c>
      <c r="F1294" s="8">
        <f>COUNTIFS('All Papers'!$D:$D,"*"&amp;$A1294&amp;"*",'All Papers'!$G:$G,"*"&amp;Table1[[#Headers],[Recommendation]]&amp;"*")</f>
        <v>0</v>
      </c>
      <c r="G1294" s="8">
        <f>COUNTIFS('All Papers'!$D:$D,"*"&amp;$A1294&amp;"*",'All Papers'!$G:$G,"*"&amp;Table1[[#Headers],[Resource Management-CS]]&amp;"*")</f>
        <v>0</v>
      </c>
      <c r="H1294" s="8">
        <f>COUNTIFS('All Papers'!$D:$D,"*"&amp;$A1294&amp;"*",'All Papers'!$G:$G,"*"&amp;Table1[[#Headers],[Resource Management-PS]]&amp;"*")</f>
        <v>1</v>
      </c>
      <c r="I1294" s="8">
        <f>COUNTIFS('All Papers'!$D:$D,"*"&amp;$A1294&amp;"*",'All Papers'!$G:$G,"*"&amp;Table1[[#Headers],[SLA Management]]&amp;"*")</f>
        <v>0</v>
      </c>
      <c r="J1294" s="8">
        <f>COUNTIFS('All Papers'!$D:$D,"*"&amp;$A1294&amp;"*",'All Papers'!$G:$G,"*"&amp;Table1[[#Headers],[Big Data]]&amp;"*")</f>
        <v>0</v>
      </c>
      <c r="K1294" s="8">
        <f>COUNTIFS('All Papers'!$D:$D,"*"&amp;$A1294&amp;"*",'All Papers'!$G:$G,"*"&amp;Table1[[#Headers],[Energy Management]]&amp;"*")</f>
        <v>0</v>
      </c>
      <c r="L1294" s="8">
        <f>COUNTIFS('All Papers'!$D:$D,"*"&amp;$A1294&amp;"*",'All Papers'!$G:$G,"*"&amp;Table1[[#Headers],[Monitoring]]&amp;"*")</f>
        <v>0</v>
      </c>
      <c r="M1294" s="8">
        <f>COUNTIFS('All Papers'!$D:$D,"*"&amp;$A1294&amp;"*",'All Papers'!$G:$G,"*"&amp;Table1[[#Headers],[Pricing]]&amp;"*")</f>
        <v>0</v>
      </c>
    </row>
    <row r="1295" spans="1:13" x14ac:dyDescent="0.25">
      <c r="A1295" s="8" t="s">
        <v>3728</v>
      </c>
      <c r="B1295" s="8">
        <f>COUNTIF('All Papers'!D:D,"*"&amp;Table1[[#This Row],[Name]]&amp;"*")</f>
        <v>1</v>
      </c>
      <c r="C1295" s="8">
        <f>COUNTIFS('All Papers'!$D:$D,"*"&amp;$A1295&amp;"*",'All Papers'!$G:$G,"*"&amp;Table1[[#Headers],[Composition]]&amp;"*")</f>
        <v>0</v>
      </c>
      <c r="D1295" s="8">
        <f>COUNTIFS('All Papers'!$D:$D,"*"&amp;$A1295&amp;"*",'All Papers'!$G:$G,"*"&amp;Table1[[#Headers],[Discovery]]&amp;"*")</f>
        <v>0</v>
      </c>
      <c r="E1295" s="8">
        <f>COUNTIFS('All Papers'!$D:$D,"*"&amp;$A1295&amp;"*",'All Papers'!$G:$G,"*"&amp;Table1[[#Headers],[Selection]]&amp;"*")</f>
        <v>0</v>
      </c>
      <c r="F1295" s="8">
        <f>COUNTIFS('All Papers'!$D:$D,"*"&amp;$A1295&amp;"*",'All Papers'!$G:$G,"*"&amp;Table1[[#Headers],[Recommendation]]&amp;"*")</f>
        <v>0</v>
      </c>
      <c r="G1295" s="8">
        <f>COUNTIFS('All Papers'!$D:$D,"*"&amp;$A1295&amp;"*",'All Papers'!$G:$G,"*"&amp;Table1[[#Headers],[Resource Management-CS]]&amp;"*")</f>
        <v>0</v>
      </c>
      <c r="H1295" s="8">
        <f>COUNTIFS('All Papers'!$D:$D,"*"&amp;$A1295&amp;"*",'All Papers'!$G:$G,"*"&amp;Table1[[#Headers],[Resource Management-PS]]&amp;"*")</f>
        <v>1</v>
      </c>
      <c r="I1295" s="8">
        <f>COUNTIFS('All Papers'!$D:$D,"*"&amp;$A1295&amp;"*",'All Papers'!$G:$G,"*"&amp;Table1[[#Headers],[SLA Management]]&amp;"*")</f>
        <v>0</v>
      </c>
      <c r="J1295" s="8">
        <f>COUNTIFS('All Papers'!$D:$D,"*"&amp;$A1295&amp;"*",'All Papers'!$G:$G,"*"&amp;Table1[[#Headers],[Big Data]]&amp;"*")</f>
        <v>0</v>
      </c>
      <c r="K1295" s="8">
        <f>COUNTIFS('All Papers'!$D:$D,"*"&amp;$A1295&amp;"*",'All Papers'!$G:$G,"*"&amp;Table1[[#Headers],[Energy Management]]&amp;"*")</f>
        <v>0</v>
      </c>
      <c r="L1295" s="8">
        <f>COUNTIFS('All Papers'!$D:$D,"*"&amp;$A1295&amp;"*",'All Papers'!$G:$G,"*"&amp;Table1[[#Headers],[Monitoring]]&amp;"*")</f>
        <v>0</v>
      </c>
      <c r="M1295" s="8">
        <f>COUNTIFS('All Papers'!$D:$D,"*"&amp;$A1295&amp;"*",'All Papers'!$G:$G,"*"&amp;Table1[[#Headers],[Pricing]]&amp;"*")</f>
        <v>0</v>
      </c>
    </row>
    <row r="1296" spans="1:13" x14ac:dyDescent="0.25">
      <c r="A1296" s="8" t="s">
        <v>3729</v>
      </c>
      <c r="B1296" s="8">
        <f>COUNTIF('All Papers'!D:D,"*"&amp;Table1[[#This Row],[Name]]&amp;"*")</f>
        <v>1</v>
      </c>
      <c r="C1296" s="8">
        <f>COUNTIFS('All Papers'!$D:$D,"*"&amp;$A1296&amp;"*",'All Papers'!$G:$G,"*"&amp;Table1[[#Headers],[Composition]]&amp;"*")</f>
        <v>0</v>
      </c>
      <c r="D1296" s="8">
        <f>COUNTIFS('All Papers'!$D:$D,"*"&amp;$A1296&amp;"*",'All Papers'!$G:$G,"*"&amp;Table1[[#Headers],[Discovery]]&amp;"*")</f>
        <v>0</v>
      </c>
      <c r="E1296" s="8">
        <f>COUNTIFS('All Papers'!$D:$D,"*"&amp;$A1296&amp;"*",'All Papers'!$G:$G,"*"&amp;Table1[[#Headers],[Selection]]&amp;"*")</f>
        <v>0</v>
      </c>
      <c r="F1296" s="8">
        <f>COUNTIFS('All Papers'!$D:$D,"*"&amp;$A1296&amp;"*",'All Papers'!$G:$G,"*"&amp;Table1[[#Headers],[Recommendation]]&amp;"*")</f>
        <v>0</v>
      </c>
      <c r="G1296" s="8">
        <f>COUNTIFS('All Papers'!$D:$D,"*"&amp;$A1296&amp;"*",'All Papers'!$G:$G,"*"&amp;Table1[[#Headers],[Resource Management-CS]]&amp;"*")</f>
        <v>0</v>
      </c>
      <c r="H1296" s="8">
        <f>COUNTIFS('All Papers'!$D:$D,"*"&amp;$A1296&amp;"*",'All Papers'!$G:$G,"*"&amp;Table1[[#Headers],[Resource Management-PS]]&amp;"*")</f>
        <v>1</v>
      </c>
      <c r="I1296" s="8">
        <f>COUNTIFS('All Papers'!$D:$D,"*"&amp;$A1296&amp;"*",'All Papers'!$G:$G,"*"&amp;Table1[[#Headers],[SLA Management]]&amp;"*")</f>
        <v>0</v>
      </c>
      <c r="J1296" s="8">
        <f>COUNTIFS('All Papers'!$D:$D,"*"&amp;$A1296&amp;"*",'All Papers'!$G:$G,"*"&amp;Table1[[#Headers],[Big Data]]&amp;"*")</f>
        <v>0</v>
      </c>
      <c r="K1296" s="8">
        <f>COUNTIFS('All Papers'!$D:$D,"*"&amp;$A1296&amp;"*",'All Papers'!$G:$G,"*"&amp;Table1[[#Headers],[Energy Management]]&amp;"*")</f>
        <v>0</v>
      </c>
      <c r="L1296" s="8">
        <f>COUNTIFS('All Papers'!$D:$D,"*"&amp;$A1296&amp;"*",'All Papers'!$G:$G,"*"&amp;Table1[[#Headers],[Monitoring]]&amp;"*")</f>
        <v>0</v>
      </c>
      <c r="M1296" s="8">
        <f>COUNTIFS('All Papers'!$D:$D,"*"&amp;$A1296&amp;"*",'All Papers'!$G:$G,"*"&amp;Table1[[#Headers],[Pricing]]&amp;"*")</f>
        <v>0</v>
      </c>
    </row>
    <row r="1297" spans="1:13" x14ac:dyDescent="0.25">
      <c r="A1297" s="8" t="s">
        <v>3730</v>
      </c>
      <c r="B1297" s="8">
        <f>COUNTIF('All Papers'!D:D,"*"&amp;Table1[[#This Row],[Name]]&amp;"*")</f>
        <v>1</v>
      </c>
      <c r="C1297" s="8">
        <f>COUNTIFS('All Papers'!$D:$D,"*"&amp;$A1297&amp;"*",'All Papers'!$G:$G,"*"&amp;Table1[[#Headers],[Composition]]&amp;"*")</f>
        <v>0</v>
      </c>
      <c r="D1297" s="8">
        <f>COUNTIFS('All Papers'!$D:$D,"*"&amp;$A1297&amp;"*",'All Papers'!$G:$G,"*"&amp;Table1[[#Headers],[Discovery]]&amp;"*")</f>
        <v>0</v>
      </c>
      <c r="E1297" s="8">
        <f>COUNTIFS('All Papers'!$D:$D,"*"&amp;$A1297&amp;"*",'All Papers'!$G:$G,"*"&amp;Table1[[#Headers],[Selection]]&amp;"*")</f>
        <v>0</v>
      </c>
      <c r="F1297" s="8">
        <f>COUNTIFS('All Papers'!$D:$D,"*"&amp;$A1297&amp;"*",'All Papers'!$G:$G,"*"&amp;Table1[[#Headers],[Recommendation]]&amp;"*")</f>
        <v>0</v>
      </c>
      <c r="G1297" s="8">
        <f>COUNTIFS('All Papers'!$D:$D,"*"&amp;$A1297&amp;"*",'All Papers'!$G:$G,"*"&amp;Table1[[#Headers],[Resource Management-CS]]&amp;"*")</f>
        <v>0</v>
      </c>
      <c r="H1297" s="8">
        <f>COUNTIFS('All Papers'!$D:$D,"*"&amp;$A1297&amp;"*",'All Papers'!$G:$G,"*"&amp;Table1[[#Headers],[Resource Management-PS]]&amp;"*")</f>
        <v>1</v>
      </c>
      <c r="I1297" s="8">
        <f>COUNTIFS('All Papers'!$D:$D,"*"&amp;$A1297&amp;"*",'All Papers'!$G:$G,"*"&amp;Table1[[#Headers],[SLA Management]]&amp;"*")</f>
        <v>0</v>
      </c>
      <c r="J1297" s="8">
        <f>COUNTIFS('All Papers'!$D:$D,"*"&amp;$A1297&amp;"*",'All Papers'!$G:$G,"*"&amp;Table1[[#Headers],[Big Data]]&amp;"*")</f>
        <v>0</v>
      </c>
      <c r="K1297" s="8">
        <f>COUNTIFS('All Papers'!$D:$D,"*"&amp;$A1297&amp;"*",'All Papers'!$G:$G,"*"&amp;Table1[[#Headers],[Energy Management]]&amp;"*")</f>
        <v>0</v>
      </c>
      <c r="L1297" s="8">
        <f>COUNTIFS('All Papers'!$D:$D,"*"&amp;$A1297&amp;"*",'All Papers'!$G:$G,"*"&amp;Table1[[#Headers],[Monitoring]]&amp;"*")</f>
        <v>0</v>
      </c>
      <c r="M1297" s="8">
        <f>COUNTIFS('All Papers'!$D:$D,"*"&amp;$A1297&amp;"*",'All Papers'!$G:$G,"*"&amp;Table1[[#Headers],[Pricing]]&amp;"*")</f>
        <v>0</v>
      </c>
    </row>
    <row r="1298" spans="1:13" x14ac:dyDescent="0.25">
      <c r="A1298" s="8" t="s">
        <v>3731</v>
      </c>
      <c r="B1298" s="8">
        <f>COUNTIF('All Papers'!D:D,"*"&amp;Table1[[#This Row],[Name]]&amp;"*")</f>
        <v>1</v>
      </c>
      <c r="C1298" s="8">
        <f>COUNTIFS('All Papers'!$D:$D,"*"&amp;$A1298&amp;"*",'All Papers'!$G:$G,"*"&amp;Table1[[#Headers],[Composition]]&amp;"*")</f>
        <v>0</v>
      </c>
      <c r="D1298" s="8">
        <f>COUNTIFS('All Papers'!$D:$D,"*"&amp;$A1298&amp;"*",'All Papers'!$G:$G,"*"&amp;Table1[[#Headers],[Discovery]]&amp;"*")</f>
        <v>1</v>
      </c>
      <c r="E1298" s="8">
        <f>COUNTIFS('All Papers'!$D:$D,"*"&amp;$A1298&amp;"*",'All Papers'!$G:$G,"*"&amp;Table1[[#Headers],[Selection]]&amp;"*")</f>
        <v>1</v>
      </c>
      <c r="F1298" s="8">
        <f>COUNTIFS('All Papers'!$D:$D,"*"&amp;$A1298&amp;"*",'All Papers'!$G:$G,"*"&amp;Table1[[#Headers],[Recommendation]]&amp;"*")</f>
        <v>0</v>
      </c>
      <c r="G1298" s="8">
        <f>COUNTIFS('All Papers'!$D:$D,"*"&amp;$A1298&amp;"*",'All Papers'!$G:$G,"*"&amp;Table1[[#Headers],[Resource Management-CS]]&amp;"*")</f>
        <v>0</v>
      </c>
      <c r="H1298" s="8">
        <f>COUNTIFS('All Papers'!$D:$D,"*"&amp;$A1298&amp;"*",'All Papers'!$G:$G,"*"&amp;Table1[[#Headers],[Resource Management-PS]]&amp;"*")</f>
        <v>0</v>
      </c>
      <c r="I1298" s="8">
        <f>COUNTIFS('All Papers'!$D:$D,"*"&amp;$A1298&amp;"*",'All Papers'!$G:$G,"*"&amp;Table1[[#Headers],[SLA Management]]&amp;"*")</f>
        <v>0</v>
      </c>
      <c r="J1298" s="8">
        <f>COUNTIFS('All Papers'!$D:$D,"*"&amp;$A1298&amp;"*",'All Papers'!$G:$G,"*"&amp;Table1[[#Headers],[Big Data]]&amp;"*")</f>
        <v>0</v>
      </c>
      <c r="K1298" s="8">
        <f>COUNTIFS('All Papers'!$D:$D,"*"&amp;$A1298&amp;"*",'All Papers'!$G:$G,"*"&amp;Table1[[#Headers],[Energy Management]]&amp;"*")</f>
        <v>0</v>
      </c>
      <c r="L1298" s="8">
        <f>COUNTIFS('All Papers'!$D:$D,"*"&amp;$A1298&amp;"*",'All Papers'!$G:$G,"*"&amp;Table1[[#Headers],[Monitoring]]&amp;"*")</f>
        <v>0</v>
      </c>
      <c r="M1298" s="8">
        <f>COUNTIFS('All Papers'!$D:$D,"*"&amp;$A1298&amp;"*",'All Papers'!$G:$G,"*"&amp;Table1[[#Headers],[Pricing]]&amp;"*")</f>
        <v>0</v>
      </c>
    </row>
    <row r="1299" spans="1:13" x14ac:dyDescent="0.25">
      <c r="A1299" s="8" t="s">
        <v>3732</v>
      </c>
      <c r="B1299" s="8">
        <f>COUNTIF('All Papers'!D:D,"*"&amp;Table1[[#This Row],[Name]]&amp;"*")</f>
        <v>1</v>
      </c>
      <c r="C1299" s="8">
        <f>COUNTIFS('All Papers'!$D:$D,"*"&amp;$A1299&amp;"*",'All Papers'!$G:$G,"*"&amp;Table1[[#Headers],[Composition]]&amp;"*")</f>
        <v>0</v>
      </c>
      <c r="D1299" s="8">
        <f>COUNTIFS('All Papers'!$D:$D,"*"&amp;$A1299&amp;"*",'All Papers'!$G:$G,"*"&amp;Table1[[#Headers],[Discovery]]&amp;"*")</f>
        <v>1</v>
      </c>
      <c r="E1299" s="8">
        <f>COUNTIFS('All Papers'!$D:$D,"*"&amp;$A1299&amp;"*",'All Papers'!$G:$G,"*"&amp;Table1[[#Headers],[Selection]]&amp;"*")</f>
        <v>1</v>
      </c>
      <c r="F1299" s="8">
        <f>COUNTIFS('All Papers'!$D:$D,"*"&amp;$A1299&amp;"*",'All Papers'!$G:$G,"*"&amp;Table1[[#Headers],[Recommendation]]&amp;"*")</f>
        <v>0</v>
      </c>
      <c r="G1299" s="8">
        <f>COUNTIFS('All Papers'!$D:$D,"*"&amp;$A1299&amp;"*",'All Papers'!$G:$G,"*"&amp;Table1[[#Headers],[Resource Management-CS]]&amp;"*")</f>
        <v>0</v>
      </c>
      <c r="H1299" s="8">
        <f>COUNTIFS('All Papers'!$D:$D,"*"&amp;$A1299&amp;"*",'All Papers'!$G:$G,"*"&amp;Table1[[#Headers],[Resource Management-PS]]&amp;"*")</f>
        <v>0</v>
      </c>
      <c r="I1299" s="8">
        <f>COUNTIFS('All Papers'!$D:$D,"*"&amp;$A1299&amp;"*",'All Papers'!$G:$G,"*"&amp;Table1[[#Headers],[SLA Management]]&amp;"*")</f>
        <v>0</v>
      </c>
      <c r="J1299" s="8">
        <f>COUNTIFS('All Papers'!$D:$D,"*"&amp;$A1299&amp;"*",'All Papers'!$G:$G,"*"&amp;Table1[[#Headers],[Big Data]]&amp;"*")</f>
        <v>0</v>
      </c>
      <c r="K1299" s="8">
        <f>COUNTIFS('All Papers'!$D:$D,"*"&amp;$A1299&amp;"*",'All Papers'!$G:$G,"*"&amp;Table1[[#Headers],[Energy Management]]&amp;"*")</f>
        <v>0</v>
      </c>
      <c r="L1299" s="8">
        <f>COUNTIFS('All Papers'!$D:$D,"*"&amp;$A1299&amp;"*",'All Papers'!$G:$G,"*"&amp;Table1[[#Headers],[Monitoring]]&amp;"*")</f>
        <v>0</v>
      </c>
      <c r="M1299" s="8">
        <f>COUNTIFS('All Papers'!$D:$D,"*"&amp;$A1299&amp;"*",'All Papers'!$G:$G,"*"&amp;Table1[[#Headers],[Pricing]]&amp;"*")</f>
        <v>0</v>
      </c>
    </row>
    <row r="1300" spans="1:13" x14ac:dyDescent="0.25">
      <c r="A1300" s="8" t="s">
        <v>3733</v>
      </c>
      <c r="B1300" s="8">
        <f>COUNTIF('All Papers'!D:D,"*"&amp;Table1[[#This Row],[Name]]&amp;"*")</f>
        <v>1</v>
      </c>
      <c r="C1300" s="8">
        <f>COUNTIFS('All Papers'!$D:$D,"*"&amp;$A1300&amp;"*",'All Papers'!$G:$G,"*"&amp;Table1[[#Headers],[Composition]]&amp;"*")</f>
        <v>0</v>
      </c>
      <c r="D1300" s="8">
        <f>COUNTIFS('All Papers'!$D:$D,"*"&amp;$A1300&amp;"*",'All Papers'!$G:$G,"*"&amp;Table1[[#Headers],[Discovery]]&amp;"*")</f>
        <v>0</v>
      </c>
      <c r="E1300" s="8">
        <f>COUNTIFS('All Papers'!$D:$D,"*"&amp;$A1300&amp;"*",'All Papers'!$G:$G,"*"&amp;Table1[[#Headers],[Selection]]&amp;"*")</f>
        <v>0</v>
      </c>
      <c r="F1300" s="8">
        <f>COUNTIFS('All Papers'!$D:$D,"*"&amp;$A1300&amp;"*",'All Papers'!$G:$G,"*"&amp;Table1[[#Headers],[Recommendation]]&amp;"*")</f>
        <v>0</v>
      </c>
      <c r="G1300" s="8">
        <f>COUNTIFS('All Papers'!$D:$D,"*"&amp;$A1300&amp;"*",'All Papers'!$G:$G,"*"&amp;Table1[[#Headers],[Resource Management-CS]]&amp;"*")</f>
        <v>1</v>
      </c>
      <c r="H1300" s="8">
        <f>COUNTIFS('All Papers'!$D:$D,"*"&amp;$A1300&amp;"*",'All Papers'!$G:$G,"*"&amp;Table1[[#Headers],[Resource Management-PS]]&amp;"*")</f>
        <v>0</v>
      </c>
      <c r="I1300" s="8">
        <f>COUNTIFS('All Papers'!$D:$D,"*"&amp;$A1300&amp;"*",'All Papers'!$G:$G,"*"&amp;Table1[[#Headers],[SLA Management]]&amp;"*")</f>
        <v>0</v>
      </c>
      <c r="J1300" s="8">
        <f>COUNTIFS('All Papers'!$D:$D,"*"&amp;$A1300&amp;"*",'All Papers'!$G:$G,"*"&amp;Table1[[#Headers],[Big Data]]&amp;"*")</f>
        <v>0</v>
      </c>
      <c r="K1300" s="8">
        <f>COUNTIFS('All Papers'!$D:$D,"*"&amp;$A1300&amp;"*",'All Papers'!$G:$G,"*"&amp;Table1[[#Headers],[Energy Management]]&amp;"*")</f>
        <v>0</v>
      </c>
      <c r="L1300" s="8">
        <f>COUNTIFS('All Papers'!$D:$D,"*"&amp;$A1300&amp;"*",'All Papers'!$G:$G,"*"&amp;Table1[[#Headers],[Monitoring]]&amp;"*")</f>
        <v>0</v>
      </c>
      <c r="M1300" s="8">
        <f>COUNTIFS('All Papers'!$D:$D,"*"&amp;$A1300&amp;"*",'All Papers'!$G:$G,"*"&amp;Table1[[#Headers],[Pricing]]&amp;"*")</f>
        <v>0</v>
      </c>
    </row>
    <row r="1301" spans="1:13" x14ac:dyDescent="0.25">
      <c r="A1301" s="8" t="s">
        <v>3734</v>
      </c>
      <c r="B1301" s="8">
        <f>COUNTIF('All Papers'!D:D,"*"&amp;Table1[[#This Row],[Name]]&amp;"*")</f>
        <v>1</v>
      </c>
      <c r="C1301" s="8">
        <f>COUNTIFS('All Papers'!$D:$D,"*"&amp;$A1301&amp;"*",'All Papers'!$G:$G,"*"&amp;Table1[[#Headers],[Composition]]&amp;"*")</f>
        <v>0</v>
      </c>
      <c r="D1301" s="8">
        <f>COUNTIFS('All Papers'!$D:$D,"*"&amp;$A1301&amp;"*",'All Papers'!$G:$G,"*"&amp;Table1[[#Headers],[Discovery]]&amp;"*")</f>
        <v>0</v>
      </c>
      <c r="E1301" s="8">
        <f>COUNTIFS('All Papers'!$D:$D,"*"&amp;$A1301&amp;"*",'All Papers'!$G:$G,"*"&amp;Table1[[#Headers],[Selection]]&amp;"*")</f>
        <v>0</v>
      </c>
      <c r="F1301" s="8">
        <f>COUNTIFS('All Papers'!$D:$D,"*"&amp;$A1301&amp;"*",'All Papers'!$G:$G,"*"&amp;Table1[[#Headers],[Recommendation]]&amp;"*")</f>
        <v>0</v>
      </c>
      <c r="G1301" s="8">
        <f>COUNTIFS('All Papers'!$D:$D,"*"&amp;$A1301&amp;"*",'All Papers'!$G:$G,"*"&amp;Table1[[#Headers],[Resource Management-CS]]&amp;"*")</f>
        <v>1</v>
      </c>
      <c r="H1301" s="8">
        <f>COUNTIFS('All Papers'!$D:$D,"*"&amp;$A1301&amp;"*",'All Papers'!$G:$G,"*"&amp;Table1[[#Headers],[Resource Management-PS]]&amp;"*")</f>
        <v>0</v>
      </c>
      <c r="I1301" s="8">
        <f>COUNTIFS('All Papers'!$D:$D,"*"&amp;$A1301&amp;"*",'All Papers'!$G:$G,"*"&amp;Table1[[#Headers],[SLA Management]]&amp;"*")</f>
        <v>0</v>
      </c>
      <c r="J1301" s="8">
        <f>COUNTIFS('All Papers'!$D:$D,"*"&amp;$A1301&amp;"*",'All Papers'!$G:$G,"*"&amp;Table1[[#Headers],[Big Data]]&amp;"*")</f>
        <v>0</v>
      </c>
      <c r="K1301" s="8">
        <f>COUNTIFS('All Papers'!$D:$D,"*"&amp;$A1301&amp;"*",'All Papers'!$G:$G,"*"&amp;Table1[[#Headers],[Energy Management]]&amp;"*")</f>
        <v>0</v>
      </c>
      <c r="L1301" s="8">
        <f>COUNTIFS('All Papers'!$D:$D,"*"&amp;$A1301&amp;"*",'All Papers'!$G:$G,"*"&amp;Table1[[#Headers],[Monitoring]]&amp;"*")</f>
        <v>0</v>
      </c>
      <c r="M1301" s="8">
        <f>COUNTIFS('All Papers'!$D:$D,"*"&amp;$A1301&amp;"*",'All Papers'!$G:$G,"*"&amp;Table1[[#Headers],[Pricing]]&amp;"*")</f>
        <v>0</v>
      </c>
    </row>
    <row r="1302" spans="1:13" x14ac:dyDescent="0.25">
      <c r="A1302" s="8" t="s">
        <v>3735</v>
      </c>
      <c r="B1302" s="8">
        <f>COUNTIF('All Papers'!D:D,"*"&amp;Table1[[#This Row],[Name]]&amp;"*")</f>
        <v>1</v>
      </c>
      <c r="C1302" s="8">
        <f>COUNTIFS('All Papers'!$D:$D,"*"&amp;$A1302&amp;"*",'All Papers'!$G:$G,"*"&amp;Table1[[#Headers],[Composition]]&amp;"*")</f>
        <v>0</v>
      </c>
      <c r="D1302" s="8">
        <f>COUNTIFS('All Papers'!$D:$D,"*"&amp;$A1302&amp;"*",'All Papers'!$G:$G,"*"&amp;Table1[[#Headers],[Discovery]]&amp;"*")</f>
        <v>0</v>
      </c>
      <c r="E1302" s="8">
        <f>COUNTIFS('All Papers'!$D:$D,"*"&amp;$A1302&amp;"*",'All Papers'!$G:$G,"*"&amp;Table1[[#Headers],[Selection]]&amp;"*")</f>
        <v>0</v>
      </c>
      <c r="F1302" s="8">
        <f>COUNTIFS('All Papers'!$D:$D,"*"&amp;$A1302&amp;"*",'All Papers'!$G:$G,"*"&amp;Table1[[#Headers],[Recommendation]]&amp;"*")</f>
        <v>0</v>
      </c>
      <c r="G1302" s="8">
        <f>COUNTIFS('All Papers'!$D:$D,"*"&amp;$A1302&amp;"*",'All Papers'!$G:$G,"*"&amp;Table1[[#Headers],[Resource Management-CS]]&amp;"*")</f>
        <v>1</v>
      </c>
      <c r="H1302" s="8">
        <f>COUNTIFS('All Papers'!$D:$D,"*"&amp;$A1302&amp;"*",'All Papers'!$G:$G,"*"&amp;Table1[[#Headers],[Resource Management-PS]]&amp;"*")</f>
        <v>0</v>
      </c>
      <c r="I1302" s="8">
        <f>COUNTIFS('All Papers'!$D:$D,"*"&amp;$A1302&amp;"*",'All Papers'!$G:$G,"*"&amp;Table1[[#Headers],[SLA Management]]&amp;"*")</f>
        <v>0</v>
      </c>
      <c r="J1302" s="8">
        <f>COUNTIFS('All Papers'!$D:$D,"*"&amp;$A1302&amp;"*",'All Papers'!$G:$G,"*"&amp;Table1[[#Headers],[Big Data]]&amp;"*")</f>
        <v>0</v>
      </c>
      <c r="K1302" s="8">
        <f>COUNTIFS('All Papers'!$D:$D,"*"&amp;$A1302&amp;"*",'All Papers'!$G:$G,"*"&amp;Table1[[#Headers],[Energy Management]]&amp;"*")</f>
        <v>0</v>
      </c>
      <c r="L1302" s="8">
        <f>COUNTIFS('All Papers'!$D:$D,"*"&amp;$A1302&amp;"*",'All Papers'!$G:$G,"*"&amp;Table1[[#Headers],[Monitoring]]&amp;"*")</f>
        <v>0</v>
      </c>
      <c r="M1302" s="8">
        <f>COUNTIFS('All Papers'!$D:$D,"*"&amp;$A1302&amp;"*",'All Papers'!$G:$G,"*"&amp;Table1[[#Headers],[Pricing]]&amp;"*")</f>
        <v>0</v>
      </c>
    </row>
    <row r="1303" spans="1:13" x14ac:dyDescent="0.25">
      <c r="A1303" s="8" t="s">
        <v>3736</v>
      </c>
      <c r="B1303" s="8">
        <f>COUNTIF('All Papers'!D:D,"*"&amp;Table1[[#This Row],[Name]]&amp;"*")</f>
        <v>1</v>
      </c>
      <c r="C1303" s="8">
        <f>COUNTIFS('All Papers'!$D:$D,"*"&amp;$A1303&amp;"*",'All Papers'!$G:$G,"*"&amp;Table1[[#Headers],[Composition]]&amp;"*")</f>
        <v>0</v>
      </c>
      <c r="D1303" s="8">
        <f>COUNTIFS('All Papers'!$D:$D,"*"&amp;$A1303&amp;"*",'All Papers'!$G:$G,"*"&amp;Table1[[#Headers],[Discovery]]&amp;"*")</f>
        <v>0</v>
      </c>
      <c r="E1303" s="8">
        <f>COUNTIFS('All Papers'!$D:$D,"*"&amp;$A1303&amp;"*",'All Papers'!$G:$G,"*"&amp;Table1[[#Headers],[Selection]]&amp;"*")</f>
        <v>0</v>
      </c>
      <c r="F1303" s="8">
        <f>COUNTIFS('All Papers'!$D:$D,"*"&amp;$A1303&amp;"*",'All Papers'!$G:$G,"*"&amp;Table1[[#Headers],[Recommendation]]&amp;"*")</f>
        <v>0</v>
      </c>
      <c r="G1303" s="8">
        <f>COUNTIFS('All Papers'!$D:$D,"*"&amp;$A1303&amp;"*",'All Papers'!$G:$G,"*"&amp;Table1[[#Headers],[Resource Management-CS]]&amp;"*")</f>
        <v>1</v>
      </c>
      <c r="H1303" s="8">
        <f>COUNTIFS('All Papers'!$D:$D,"*"&amp;$A1303&amp;"*",'All Papers'!$G:$G,"*"&amp;Table1[[#Headers],[Resource Management-PS]]&amp;"*")</f>
        <v>0</v>
      </c>
      <c r="I1303" s="8">
        <f>COUNTIFS('All Papers'!$D:$D,"*"&amp;$A1303&amp;"*",'All Papers'!$G:$G,"*"&amp;Table1[[#Headers],[SLA Management]]&amp;"*")</f>
        <v>0</v>
      </c>
      <c r="J1303" s="8">
        <f>COUNTIFS('All Papers'!$D:$D,"*"&amp;$A1303&amp;"*",'All Papers'!$G:$G,"*"&amp;Table1[[#Headers],[Big Data]]&amp;"*")</f>
        <v>0</v>
      </c>
      <c r="K1303" s="8">
        <f>COUNTIFS('All Papers'!$D:$D,"*"&amp;$A1303&amp;"*",'All Papers'!$G:$G,"*"&amp;Table1[[#Headers],[Energy Management]]&amp;"*")</f>
        <v>0</v>
      </c>
      <c r="L1303" s="8">
        <f>COUNTIFS('All Papers'!$D:$D,"*"&amp;$A1303&amp;"*",'All Papers'!$G:$G,"*"&amp;Table1[[#Headers],[Monitoring]]&amp;"*")</f>
        <v>0</v>
      </c>
      <c r="M1303" s="8">
        <f>COUNTIFS('All Papers'!$D:$D,"*"&amp;$A1303&amp;"*",'All Papers'!$G:$G,"*"&amp;Table1[[#Headers],[Pricing]]&amp;"*")</f>
        <v>0</v>
      </c>
    </row>
    <row r="1304" spans="1:13" x14ac:dyDescent="0.25">
      <c r="A1304" s="8" t="s">
        <v>3737</v>
      </c>
      <c r="B1304" s="8">
        <f>COUNTIF('All Papers'!D:D,"*"&amp;Table1[[#This Row],[Name]]&amp;"*")</f>
        <v>1</v>
      </c>
      <c r="C1304" s="8">
        <f>COUNTIFS('All Papers'!$D:$D,"*"&amp;$A1304&amp;"*",'All Papers'!$G:$G,"*"&amp;Table1[[#Headers],[Composition]]&amp;"*")</f>
        <v>0</v>
      </c>
      <c r="D1304" s="8">
        <f>COUNTIFS('All Papers'!$D:$D,"*"&amp;$A1304&amp;"*",'All Papers'!$G:$G,"*"&amp;Table1[[#Headers],[Discovery]]&amp;"*")</f>
        <v>0</v>
      </c>
      <c r="E1304" s="8">
        <f>COUNTIFS('All Papers'!$D:$D,"*"&amp;$A1304&amp;"*",'All Papers'!$G:$G,"*"&amp;Table1[[#Headers],[Selection]]&amp;"*")</f>
        <v>0</v>
      </c>
      <c r="F1304" s="8">
        <f>COUNTIFS('All Papers'!$D:$D,"*"&amp;$A1304&amp;"*",'All Papers'!$G:$G,"*"&amp;Table1[[#Headers],[Recommendation]]&amp;"*")</f>
        <v>0</v>
      </c>
      <c r="G1304" s="8">
        <f>COUNTIFS('All Papers'!$D:$D,"*"&amp;$A1304&amp;"*",'All Papers'!$G:$G,"*"&amp;Table1[[#Headers],[Resource Management-CS]]&amp;"*")</f>
        <v>1</v>
      </c>
      <c r="H1304" s="8">
        <f>COUNTIFS('All Papers'!$D:$D,"*"&amp;$A1304&amp;"*",'All Papers'!$G:$G,"*"&amp;Table1[[#Headers],[Resource Management-PS]]&amp;"*")</f>
        <v>0</v>
      </c>
      <c r="I1304" s="8">
        <f>COUNTIFS('All Papers'!$D:$D,"*"&amp;$A1304&amp;"*",'All Papers'!$G:$G,"*"&amp;Table1[[#Headers],[SLA Management]]&amp;"*")</f>
        <v>0</v>
      </c>
      <c r="J1304" s="8">
        <f>COUNTIFS('All Papers'!$D:$D,"*"&amp;$A1304&amp;"*",'All Papers'!$G:$G,"*"&amp;Table1[[#Headers],[Big Data]]&amp;"*")</f>
        <v>0</v>
      </c>
      <c r="K1304" s="8">
        <f>COUNTIFS('All Papers'!$D:$D,"*"&amp;$A1304&amp;"*",'All Papers'!$G:$G,"*"&amp;Table1[[#Headers],[Energy Management]]&amp;"*")</f>
        <v>0</v>
      </c>
      <c r="L1304" s="8">
        <f>COUNTIFS('All Papers'!$D:$D,"*"&amp;$A1304&amp;"*",'All Papers'!$G:$G,"*"&amp;Table1[[#Headers],[Monitoring]]&amp;"*")</f>
        <v>0</v>
      </c>
      <c r="M1304" s="8">
        <f>COUNTIFS('All Papers'!$D:$D,"*"&amp;$A1304&amp;"*",'All Papers'!$G:$G,"*"&amp;Table1[[#Headers],[Pricing]]&amp;"*")</f>
        <v>0</v>
      </c>
    </row>
    <row r="1305" spans="1:13" x14ac:dyDescent="0.25">
      <c r="A1305" s="8" t="s">
        <v>3738</v>
      </c>
      <c r="B1305" s="8">
        <f>COUNTIF('All Papers'!D:D,"*"&amp;Table1[[#This Row],[Name]]&amp;"*")</f>
        <v>1</v>
      </c>
      <c r="C1305" s="8">
        <f>COUNTIFS('All Papers'!$D:$D,"*"&amp;$A1305&amp;"*",'All Papers'!$G:$G,"*"&amp;Table1[[#Headers],[Composition]]&amp;"*")</f>
        <v>0</v>
      </c>
      <c r="D1305" s="8">
        <f>COUNTIFS('All Papers'!$D:$D,"*"&amp;$A1305&amp;"*",'All Papers'!$G:$G,"*"&amp;Table1[[#Headers],[Discovery]]&amp;"*")</f>
        <v>0</v>
      </c>
      <c r="E1305" s="8">
        <f>COUNTIFS('All Papers'!$D:$D,"*"&amp;$A1305&amp;"*",'All Papers'!$G:$G,"*"&amp;Table1[[#Headers],[Selection]]&amp;"*")</f>
        <v>0</v>
      </c>
      <c r="F1305" s="8">
        <f>COUNTIFS('All Papers'!$D:$D,"*"&amp;$A1305&amp;"*",'All Papers'!$G:$G,"*"&amp;Table1[[#Headers],[Recommendation]]&amp;"*")</f>
        <v>0</v>
      </c>
      <c r="G1305" s="8">
        <f>COUNTIFS('All Papers'!$D:$D,"*"&amp;$A1305&amp;"*",'All Papers'!$G:$G,"*"&amp;Table1[[#Headers],[Resource Management-CS]]&amp;"*")</f>
        <v>1</v>
      </c>
      <c r="H1305" s="8">
        <f>COUNTIFS('All Papers'!$D:$D,"*"&amp;$A1305&amp;"*",'All Papers'!$G:$G,"*"&amp;Table1[[#Headers],[Resource Management-PS]]&amp;"*")</f>
        <v>0</v>
      </c>
      <c r="I1305" s="8">
        <f>COUNTIFS('All Papers'!$D:$D,"*"&amp;$A1305&amp;"*",'All Papers'!$G:$G,"*"&amp;Table1[[#Headers],[SLA Management]]&amp;"*")</f>
        <v>0</v>
      </c>
      <c r="J1305" s="8">
        <f>COUNTIFS('All Papers'!$D:$D,"*"&amp;$A1305&amp;"*",'All Papers'!$G:$G,"*"&amp;Table1[[#Headers],[Big Data]]&amp;"*")</f>
        <v>0</v>
      </c>
      <c r="K1305" s="8">
        <f>COUNTIFS('All Papers'!$D:$D,"*"&amp;$A1305&amp;"*",'All Papers'!$G:$G,"*"&amp;Table1[[#Headers],[Energy Management]]&amp;"*")</f>
        <v>0</v>
      </c>
      <c r="L1305" s="8">
        <f>COUNTIFS('All Papers'!$D:$D,"*"&amp;$A1305&amp;"*",'All Papers'!$G:$G,"*"&amp;Table1[[#Headers],[Monitoring]]&amp;"*")</f>
        <v>0</v>
      </c>
      <c r="M1305" s="8">
        <f>COUNTIFS('All Papers'!$D:$D,"*"&amp;$A1305&amp;"*",'All Papers'!$G:$G,"*"&amp;Table1[[#Headers],[Pricing]]&amp;"*")</f>
        <v>0</v>
      </c>
    </row>
    <row r="1306" spans="1:13" x14ac:dyDescent="0.25">
      <c r="A1306" s="8" t="s">
        <v>3739</v>
      </c>
      <c r="B1306" s="8">
        <f>COUNTIF('All Papers'!D:D,"*"&amp;Table1[[#This Row],[Name]]&amp;"*")</f>
        <v>1</v>
      </c>
      <c r="C1306" s="8">
        <f>COUNTIFS('All Papers'!$D:$D,"*"&amp;$A1306&amp;"*",'All Papers'!$G:$G,"*"&amp;Table1[[#Headers],[Composition]]&amp;"*")</f>
        <v>0</v>
      </c>
      <c r="D1306" s="8">
        <f>COUNTIFS('All Papers'!$D:$D,"*"&amp;$A1306&amp;"*",'All Papers'!$G:$G,"*"&amp;Table1[[#Headers],[Discovery]]&amp;"*")</f>
        <v>0</v>
      </c>
      <c r="E1306" s="8">
        <f>COUNTIFS('All Papers'!$D:$D,"*"&amp;$A1306&amp;"*",'All Papers'!$G:$G,"*"&amp;Table1[[#Headers],[Selection]]&amp;"*")</f>
        <v>0</v>
      </c>
      <c r="F1306" s="8">
        <f>COUNTIFS('All Papers'!$D:$D,"*"&amp;$A1306&amp;"*",'All Papers'!$G:$G,"*"&amp;Table1[[#Headers],[Recommendation]]&amp;"*")</f>
        <v>0</v>
      </c>
      <c r="G1306" s="8">
        <f>COUNTIFS('All Papers'!$D:$D,"*"&amp;$A1306&amp;"*",'All Papers'!$G:$G,"*"&amp;Table1[[#Headers],[Resource Management-CS]]&amp;"*")</f>
        <v>1</v>
      </c>
      <c r="H1306" s="8">
        <f>COUNTIFS('All Papers'!$D:$D,"*"&amp;$A1306&amp;"*",'All Papers'!$G:$G,"*"&amp;Table1[[#Headers],[Resource Management-PS]]&amp;"*")</f>
        <v>0</v>
      </c>
      <c r="I1306" s="8">
        <f>COUNTIFS('All Papers'!$D:$D,"*"&amp;$A1306&amp;"*",'All Papers'!$G:$G,"*"&amp;Table1[[#Headers],[SLA Management]]&amp;"*")</f>
        <v>0</v>
      </c>
      <c r="J1306" s="8">
        <f>COUNTIFS('All Papers'!$D:$D,"*"&amp;$A1306&amp;"*",'All Papers'!$G:$G,"*"&amp;Table1[[#Headers],[Big Data]]&amp;"*")</f>
        <v>0</v>
      </c>
      <c r="K1306" s="8">
        <f>COUNTIFS('All Papers'!$D:$D,"*"&amp;$A1306&amp;"*",'All Papers'!$G:$G,"*"&amp;Table1[[#Headers],[Energy Management]]&amp;"*")</f>
        <v>0</v>
      </c>
      <c r="L1306" s="8">
        <f>COUNTIFS('All Papers'!$D:$D,"*"&amp;$A1306&amp;"*",'All Papers'!$G:$G,"*"&amp;Table1[[#Headers],[Monitoring]]&amp;"*")</f>
        <v>0</v>
      </c>
      <c r="M1306" s="8">
        <f>COUNTIFS('All Papers'!$D:$D,"*"&amp;$A1306&amp;"*",'All Papers'!$G:$G,"*"&amp;Table1[[#Headers],[Pricing]]&amp;"*")</f>
        <v>0</v>
      </c>
    </row>
    <row r="1307" spans="1:13" x14ac:dyDescent="0.25">
      <c r="A1307" s="8" t="s">
        <v>3740</v>
      </c>
      <c r="B1307" s="8">
        <f>COUNTIF('All Papers'!D:D,"*"&amp;Table1[[#This Row],[Name]]&amp;"*")</f>
        <v>1</v>
      </c>
      <c r="C1307" s="8">
        <f>COUNTIFS('All Papers'!$D:$D,"*"&amp;$A1307&amp;"*",'All Papers'!$G:$G,"*"&amp;Table1[[#Headers],[Composition]]&amp;"*")</f>
        <v>1</v>
      </c>
      <c r="D1307" s="8">
        <f>COUNTIFS('All Papers'!$D:$D,"*"&amp;$A1307&amp;"*",'All Papers'!$G:$G,"*"&amp;Table1[[#Headers],[Discovery]]&amp;"*")</f>
        <v>1</v>
      </c>
      <c r="E1307" s="8">
        <f>COUNTIFS('All Papers'!$D:$D,"*"&amp;$A1307&amp;"*",'All Papers'!$G:$G,"*"&amp;Table1[[#Headers],[Selection]]&amp;"*")</f>
        <v>0</v>
      </c>
      <c r="F1307" s="8">
        <f>COUNTIFS('All Papers'!$D:$D,"*"&amp;$A1307&amp;"*",'All Papers'!$G:$G,"*"&amp;Table1[[#Headers],[Recommendation]]&amp;"*")</f>
        <v>0</v>
      </c>
      <c r="G1307" s="8">
        <f>COUNTIFS('All Papers'!$D:$D,"*"&amp;$A1307&amp;"*",'All Papers'!$G:$G,"*"&amp;Table1[[#Headers],[Resource Management-CS]]&amp;"*")</f>
        <v>0</v>
      </c>
      <c r="H1307" s="8">
        <f>COUNTIFS('All Papers'!$D:$D,"*"&amp;$A1307&amp;"*",'All Papers'!$G:$G,"*"&amp;Table1[[#Headers],[Resource Management-PS]]&amp;"*")</f>
        <v>0</v>
      </c>
      <c r="I1307" s="8">
        <f>COUNTIFS('All Papers'!$D:$D,"*"&amp;$A1307&amp;"*",'All Papers'!$G:$G,"*"&amp;Table1[[#Headers],[SLA Management]]&amp;"*")</f>
        <v>0</v>
      </c>
      <c r="J1307" s="8">
        <f>COUNTIFS('All Papers'!$D:$D,"*"&amp;$A1307&amp;"*",'All Papers'!$G:$G,"*"&amp;Table1[[#Headers],[Big Data]]&amp;"*")</f>
        <v>0</v>
      </c>
      <c r="K1307" s="8">
        <f>COUNTIFS('All Papers'!$D:$D,"*"&amp;$A1307&amp;"*",'All Papers'!$G:$G,"*"&amp;Table1[[#Headers],[Energy Management]]&amp;"*")</f>
        <v>0</v>
      </c>
      <c r="L1307" s="8">
        <f>COUNTIFS('All Papers'!$D:$D,"*"&amp;$A1307&amp;"*",'All Papers'!$G:$G,"*"&amp;Table1[[#Headers],[Monitoring]]&amp;"*")</f>
        <v>0</v>
      </c>
      <c r="M1307" s="8">
        <f>COUNTIFS('All Papers'!$D:$D,"*"&amp;$A1307&amp;"*",'All Papers'!$G:$G,"*"&amp;Table1[[#Headers],[Pricing]]&amp;"*")</f>
        <v>0</v>
      </c>
    </row>
    <row r="1308" spans="1:13" x14ac:dyDescent="0.25">
      <c r="A1308" s="8" t="s">
        <v>3741</v>
      </c>
      <c r="B1308" s="8">
        <f>COUNTIF('All Papers'!D:D,"*"&amp;Table1[[#This Row],[Name]]&amp;"*")</f>
        <v>1</v>
      </c>
      <c r="C1308" s="8">
        <f>COUNTIFS('All Papers'!$D:$D,"*"&amp;$A1308&amp;"*",'All Papers'!$G:$G,"*"&amp;Table1[[#Headers],[Composition]]&amp;"*")</f>
        <v>1</v>
      </c>
      <c r="D1308" s="8">
        <f>COUNTIFS('All Papers'!$D:$D,"*"&amp;$A1308&amp;"*",'All Papers'!$G:$G,"*"&amp;Table1[[#Headers],[Discovery]]&amp;"*")</f>
        <v>0</v>
      </c>
      <c r="E1308" s="8">
        <f>COUNTIFS('All Papers'!$D:$D,"*"&amp;$A1308&amp;"*",'All Papers'!$G:$G,"*"&amp;Table1[[#Headers],[Selection]]&amp;"*")</f>
        <v>0</v>
      </c>
      <c r="F1308" s="8">
        <f>COUNTIFS('All Papers'!$D:$D,"*"&amp;$A1308&amp;"*",'All Papers'!$G:$G,"*"&amp;Table1[[#Headers],[Recommendation]]&amp;"*")</f>
        <v>0</v>
      </c>
      <c r="G1308" s="8">
        <f>COUNTIFS('All Papers'!$D:$D,"*"&amp;$A1308&amp;"*",'All Papers'!$G:$G,"*"&amp;Table1[[#Headers],[Resource Management-CS]]&amp;"*")</f>
        <v>0</v>
      </c>
      <c r="H1308" s="8">
        <f>COUNTIFS('All Papers'!$D:$D,"*"&amp;$A1308&amp;"*",'All Papers'!$G:$G,"*"&amp;Table1[[#Headers],[Resource Management-PS]]&amp;"*")</f>
        <v>0</v>
      </c>
      <c r="I1308" s="8">
        <f>COUNTIFS('All Papers'!$D:$D,"*"&amp;$A1308&amp;"*",'All Papers'!$G:$G,"*"&amp;Table1[[#Headers],[SLA Management]]&amp;"*")</f>
        <v>0</v>
      </c>
      <c r="J1308" s="8">
        <f>COUNTIFS('All Papers'!$D:$D,"*"&amp;$A1308&amp;"*",'All Papers'!$G:$G,"*"&amp;Table1[[#Headers],[Big Data]]&amp;"*")</f>
        <v>0</v>
      </c>
      <c r="K1308" s="8">
        <f>COUNTIFS('All Papers'!$D:$D,"*"&amp;$A1308&amp;"*",'All Papers'!$G:$G,"*"&amp;Table1[[#Headers],[Energy Management]]&amp;"*")</f>
        <v>0</v>
      </c>
      <c r="L1308" s="8">
        <f>COUNTIFS('All Papers'!$D:$D,"*"&amp;$A1308&amp;"*",'All Papers'!$G:$G,"*"&amp;Table1[[#Headers],[Monitoring]]&amp;"*")</f>
        <v>0</v>
      </c>
      <c r="M1308" s="8">
        <f>COUNTIFS('All Papers'!$D:$D,"*"&amp;$A1308&amp;"*",'All Papers'!$G:$G,"*"&amp;Table1[[#Headers],[Pricing]]&amp;"*")</f>
        <v>0</v>
      </c>
    </row>
    <row r="1309" spans="1:13" x14ac:dyDescent="0.25">
      <c r="A1309" s="8" t="s">
        <v>3742</v>
      </c>
      <c r="B1309" s="8">
        <f>COUNTIF('All Papers'!D:D,"*"&amp;Table1[[#This Row],[Name]]&amp;"*")</f>
        <v>1</v>
      </c>
      <c r="C1309" s="8">
        <f>COUNTIFS('All Papers'!$D:$D,"*"&amp;$A1309&amp;"*",'All Papers'!$G:$G,"*"&amp;Table1[[#Headers],[Composition]]&amp;"*")</f>
        <v>1</v>
      </c>
      <c r="D1309" s="8">
        <f>COUNTIFS('All Papers'!$D:$D,"*"&amp;$A1309&amp;"*",'All Papers'!$G:$G,"*"&amp;Table1[[#Headers],[Discovery]]&amp;"*")</f>
        <v>0</v>
      </c>
      <c r="E1309" s="8">
        <f>COUNTIFS('All Papers'!$D:$D,"*"&amp;$A1309&amp;"*",'All Papers'!$G:$G,"*"&amp;Table1[[#Headers],[Selection]]&amp;"*")</f>
        <v>0</v>
      </c>
      <c r="F1309" s="8">
        <f>COUNTIFS('All Papers'!$D:$D,"*"&amp;$A1309&amp;"*",'All Papers'!$G:$G,"*"&amp;Table1[[#Headers],[Recommendation]]&amp;"*")</f>
        <v>0</v>
      </c>
      <c r="G1309" s="8">
        <f>COUNTIFS('All Papers'!$D:$D,"*"&amp;$A1309&amp;"*",'All Papers'!$G:$G,"*"&amp;Table1[[#Headers],[Resource Management-CS]]&amp;"*")</f>
        <v>0</v>
      </c>
      <c r="H1309" s="8">
        <f>COUNTIFS('All Papers'!$D:$D,"*"&amp;$A1309&amp;"*",'All Papers'!$G:$G,"*"&amp;Table1[[#Headers],[Resource Management-PS]]&amp;"*")</f>
        <v>0</v>
      </c>
      <c r="I1309" s="8">
        <f>COUNTIFS('All Papers'!$D:$D,"*"&amp;$A1309&amp;"*",'All Papers'!$G:$G,"*"&amp;Table1[[#Headers],[SLA Management]]&amp;"*")</f>
        <v>0</v>
      </c>
      <c r="J1309" s="8">
        <f>COUNTIFS('All Papers'!$D:$D,"*"&amp;$A1309&amp;"*",'All Papers'!$G:$G,"*"&amp;Table1[[#Headers],[Big Data]]&amp;"*")</f>
        <v>0</v>
      </c>
      <c r="K1309" s="8">
        <f>COUNTIFS('All Papers'!$D:$D,"*"&amp;$A1309&amp;"*",'All Papers'!$G:$G,"*"&amp;Table1[[#Headers],[Energy Management]]&amp;"*")</f>
        <v>0</v>
      </c>
      <c r="L1309" s="8">
        <f>COUNTIFS('All Papers'!$D:$D,"*"&amp;$A1309&amp;"*",'All Papers'!$G:$G,"*"&amp;Table1[[#Headers],[Monitoring]]&amp;"*")</f>
        <v>0</v>
      </c>
      <c r="M1309" s="8">
        <f>COUNTIFS('All Papers'!$D:$D,"*"&amp;$A1309&amp;"*",'All Papers'!$G:$G,"*"&amp;Table1[[#Headers],[Pricing]]&amp;"*")</f>
        <v>0</v>
      </c>
    </row>
    <row r="1310" spans="1:13" x14ac:dyDescent="0.25">
      <c r="A1310" s="8" t="s">
        <v>3743</v>
      </c>
      <c r="B1310" s="8">
        <f>COUNTIF('All Papers'!D:D,"*"&amp;Table1[[#This Row],[Name]]&amp;"*")</f>
        <v>1</v>
      </c>
      <c r="C1310" s="8">
        <f>COUNTIFS('All Papers'!$D:$D,"*"&amp;$A1310&amp;"*",'All Papers'!$G:$G,"*"&amp;Table1[[#Headers],[Composition]]&amp;"*")</f>
        <v>1</v>
      </c>
      <c r="D1310" s="8">
        <f>COUNTIFS('All Papers'!$D:$D,"*"&amp;$A1310&amp;"*",'All Papers'!$G:$G,"*"&amp;Table1[[#Headers],[Discovery]]&amp;"*")</f>
        <v>0</v>
      </c>
      <c r="E1310" s="8">
        <f>COUNTIFS('All Papers'!$D:$D,"*"&amp;$A1310&amp;"*",'All Papers'!$G:$G,"*"&amp;Table1[[#Headers],[Selection]]&amp;"*")</f>
        <v>0</v>
      </c>
      <c r="F1310" s="8">
        <f>COUNTIFS('All Papers'!$D:$D,"*"&amp;$A1310&amp;"*",'All Papers'!$G:$G,"*"&amp;Table1[[#Headers],[Recommendation]]&amp;"*")</f>
        <v>0</v>
      </c>
      <c r="G1310" s="8">
        <f>COUNTIFS('All Papers'!$D:$D,"*"&amp;$A1310&amp;"*",'All Papers'!$G:$G,"*"&amp;Table1[[#Headers],[Resource Management-CS]]&amp;"*")</f>
        <v>0</v>
      </c>
      <c r="H1310" s="8">
        <f>COUNTIFS('All Papers'!$D:$D,"*"&amp;$A1310&amp;"*",'All Papers'!$G:$G,"*"&amp;Table1[[#Headers],[Resource Management-PS]]&amp;"*")</f>
        <v>0</v>
      </c>
      <c r="I1310" s="8">
        <f>COUNTIFS('All Papers'!$D:$D,"*"&amp;$A1310&amp;"*",'All Papers'!$G:$G,"*"&amp;Table1[[#Headers],[SLA Management]]&amp;"*")</f>
        <v>0</v>
      </c>
      <c r="J1310" s="8">
        <f>COUNTIFS('All Papers'!$D:$D,"*"&amp;$A1310&amp;"*",'All Papers'!$G:$G,"*"&amp;Table1[[#Headers],[Big Data]]&amp;"*")</f>
        <v>0</v>
      </c>
      <c r="K1310" s="8">
        <f>COUNTIFS('All Papers'!$D:$D,"*"&amp;$A1310&amp;"*",'All Papers'!$G:$G,"*"&amp;Table1[[#Headers],[Energy Management]]&amp;"*")</f>
        <v>0</v>
      </c>
      <c r="L1310" s="8">
        <f>COUNTIFS('All Papers'!$D:$D,"*"&amp;$A1310&amp;"*",'All Papers'!$G:$G,"*"&amp;Table1[[#Headers],[Monitoring]]&amp;"*")</f>
        <v>0</v>
      </c>
      <c r="M1310" s="8">
        <f>COUNTIFS('All Papers'!$D:$D,"*"&amp;$A1310&amp;"*",'All Papers'!$G:$G,"*"&amp;Table1[[#Headers],[Pricing]]&amp;"*")</f>
        <v>0</v>
      </c>
    </row>
    <row r="1311" spans="1:13" x14ac:dyDescent="0.25">
      <c r="A1311" s="8" t="s">
        <v>3744</v>
      </c>
      <c r="B1311" s="8">
        <f>COUNTIF('All Papers'!D:D,"*"&amp;Table1[[#This Row],[Name]]&amp;"*")</f>
        <v>1</v>
      </c>
      <c r="C1311" s="8">
        <f>COUNTIFS('All Papers'!$D:$D,"*"&amp;$A1311&amp;"*",'All Papers'!$G:$G,"*"&amp;Table1[[#Headers],[Composition]]&amp;"*")</f>
        <v>1</v>
      </c>
      <c r="D1311" s="8">
        <f>COUNTIFS('All Papers'!$D:$D,"*"&amp;$A1311&amp;"*",'All Papers'!$G:$G,"*"&amp;Table1[[#Headers],[Discovery]]&amp;"*")</f>
        <v>0</v>
      </c>
      <c r="E1311" s="8">
        <f>COUNTIFS('All Papers'!$D:$D,"*"&amp;$A1311&amp;"*",'All Papers'!$G:$G,"*"&amp;Table1[[#Headers],[Selection]]&amp;"*")</f>
        <v>0</v>
      </c>
      <c r="F1311" s="8">
        <f>COUNTIFS('All Papers'!$D:$D,"*"&amp;$A1311&amp;"*",'All Papers'!$G:$G,"*"&amp;Table1[[#Headers],[Recommendation]]&amp;"*")</f>
        <v>0</v>
      </c>
      <c r="G1311" s="8">
        <f>COUNTIFS('All Papers'!$D:$D,"*"&amp;$A1311&amp;"*",'All Papers'!$G:$G,"*"&amp;Table1[[#Headers],[Resource Management-CS]]&amp;"*")</f>
        <v>0</v>
      </c>
      <c r="H1311" s="8">
        <f>COUNTIFS('All Papers'!$D:$D,"*"&amp;$A1311&amp;"*",'All Papers'!$G:$G,"*"&amp;Table1[[#Headers],[Resource Management-PS]]&amp;"*")</f>
        <v>0</v>
      </c>
      <c r="I1311" s="8">
        <f>COUNTIFS('All Papers'!$D:$D,"*"&amp;$A1311&amp;"*",'All Papers'!$G:$G,"*"&amp;Table1[[#Headers],[SLA Management]]&amp;"*")</f>
        <v>0</v>
      </c>
      <c r="J1311" s="8">
        <f>COUNTIFS('All Papers'!$D:$D,"*"&amp;$A1311&amp;"*",'All Papers'!$G:$G,"*"&amp;Table1[[#Headers],[Big Data]]&amp;"*")</f>
        <v>0</v>
      </c>
      <c r="K1311" s="8">
        <f>COUNTIFS('All Papers'!$D:$D,"*"&amp;$A1311&amp;"*",'All Papers'!$G:$G,"*"&amp;Table1[[#Headers],[Energy Management]]&amp;"*")</f>
        <v>0</v>
      </c>
      <c r="L1311" s="8">
        <f>COUNTIFS('All Papers'!$D:$D,"*"&amp;$A1311&amp;"*",'All Papers'!$G:$G,"*"&amp;Table1[[#Headers],[Monitoring]]&amp;"*")</f>
        <v>0</v>
      </c>
      <c r="M1311" s="8">
        <f>COUNTIFS('All Papers'!$D:$D,"*"&amp;$A1311&amp;"*",'All Papers'!$G:$G,"*"&amp;Table1[[#Headers],[Pricing]]&amp;"*")</f>
        <v>0</v>
      </c>
    </row>
    <row r="1312" spans="1:13" x14ac:dyDescent="0.25">
      <c r="A1312" s="8" t="s">
        <v>3745</v>
      </c>
      <c r="B1312" s="8">
        <f>COUNTIF('All Papers'!D:D,"*"&amp;Table1[[#This Row],[Name]]&amp;"*")</f>
        <v>1</v>
      </c>
      <c r="C1312" s="8">
        <f>COUNTIFS('All Papers'!$D:$D,"*"&amp;$A1312&amp;"*",'All Papers'!$G:$G,"*"&amp;Table1[[#Headers],[Composition]]&amp;"*")</f>
        <v>1</v>
      </c>
      <c r="D1312" s="8">
        <f>COUNTIFS('All Papers'!$D:$D,"*"&amp;$A1312&amp;"*",'All Papers'!$G:$G,"*"&amp;Table1[[#Headers],[Discovery]]&amp;"*")</f>
        <v>0</v>
      </c>
      <c r="E1312" s="8">
        <f>COUNTIFS('All Papers'!$D:$D,"*"&amp;$A1312&amp;"*",'All Papers'!$G:$G,"*"&amp;Table1[[#Headers],[Selection]]&amp;"*")</f>
        <v>0</v>
      </c>
      <c r="F1312" s="8">
        <f>COUNTIFS('All Papers'!$D:$D,"*"&amp;$A1312&amp;"*",'All Papers'!$G:$G,"*"&amp;Table1[[#Headers],[Recommendation]]&amp;"*")</f>
        <v>0</v>
      </c>
      <c r="G1312" s="8">
        <f>COUNTIFS('All Papers'!$D:$D,"*"&amp;$A1312&amp;"*",'All Papers'!$G:$G,"*"&amp;Table1[[#Headers],[Resource Management-CS]]&amp;"*")</f>
        <v>0</v>
      </c>
      <c r="H1312" s="8">
        <f>COUNTIFS('All Papers'!$D:$D,"*"&amp;$A1312&amp;"*",'All Papers'!$G:$G,"*"&amp;Table1[[#Headers],[Resource Management-PS]]&amp;"*")</f>
        <v>0</v>
      </c>
      <c r="I1312" s="8">
        <f>COUNTIFS('All Papers'!$D:$D,"*"&amp;$A1312&amp;"*",'All Papers'!$G:$G,"*"&amp;Table1[[#Headers],[SLA Management]]&amp;"*")</f>
        <v>0</v>
      </c>
      <c r="J1312" s="8">
        <f>COUNTIFS('All Papers'!$D:$D,"*"&amp;$A1312&amp;"*",'All Papers'!$G:$G,"*"&amp;Table1[[#Headers],[Big Data]]&amp;"*")</f>
        <v>0</v>
      </c>
      <c r="K1312" s="8">
        <f>COUNTIFS('All Papers'!$D:$D,"*"&amp;$A1312&amp;"*",'All Papers'!$G:$G,"*"&amp;Table1[[#Headers],[Energy Management]]&amp;"*")</f>
        <v>0</v>
      </c>
      <c r="L1312" s="8">
        <f>COUNTIFS('All Papers'!$D:$D,"*"&amp;$A1312&amp;"*",'All Papers'!$G:$G,"*"&amp;Table1[[#Headers],[Monitoring]]&amp;"*")</f>
        <v>0</v>
      </c>
      <c r="M1312" s="8">
        <f>COUNTIFS('All Papers'!$D:$D,"*"&amp;$A1312&amp;"*",'All Papers'!$G:$G,"*"&amp;Table1[[#Headers],[Pricing]]&amp;"*")</f>
        <v>0</v>
      </c>
    </row>
    <row r="1313" spans="1:13" x14ac:dyDescent="0.25">
      <c r="A1313" s="8" t="s">
        <v>3746</v>
      </c>
      <c r="B1313" s="8">
        <f>COUNTIF('All Papers'!D:D,"*"&amp;Table1[[#This Row],[Name]]&amp;"*")</f>
        <v>1</v>
      </c>
      <c r="C1313" s="8">
        <f>COUNTIFS('All Papers'!$D:$D,"*"&amp;$A1313&amp;"*",'All Papers'!$G:$G,"*"&amp;Table1[[#Headers],[Composition]]&amp;"*")</f>
        <v>1</v>
      </c>
      <c r="D1313" s="8">
        <f>COUNTIFS('All Papers'!$D:$D,"*"&amp;$A1313&amp;"*",'All Papers'!$G:$G,"*"&amp;Table1[[#Headers],[Discovery]]&amp;"*")</f>
        <v>0</v>
      </c>
      <c r="E1313" s="8">
        <f>COUNTIFS('All Papers'!$D:$D,"*"&amp;$A1313&amp;"*",'All Papers'!$G:$G,"*"&amp;Table1[[#Headers],[Selection]]&amp;"*")</f>
        <v>0</v>
      </c>
      <c r="F1313" s="8">
        <f>COUNTIFS('All Papers'!$D:$D,"*"&amp;$A1313&amp;"*",'All Papers'!$G:$G,"*"&amp;Table1[[#Headers],[Recommendation]]&amp;"*")</f>
        <v>0</v>
      </c>
      <c r="G1313" s="8">
        <f>COUNTIFS('All Papers'!$D:$D,"*"&amp;$A1313&amp;"*",'All Papers'!$G:$G,"*"&amp;Table1[[#Headers],[Resource Management-CS]]&amp;"*")</f>
        <v>0</v>
      </c>
      <c r="H1313" s="8">
        <f>COUNTIFS('All Papers'!$D:$D,"*"&amp;$A1313&amp;"*",'All Papers'!$G:$G,"*"&amp;Table1[[#Headers],[Resource Management-PS]]&amp;"*")</f>
        <v>0</v>
      </c>
      <c r="I1313" s="8">
        <f>COUNTIFS('All Papers'!$D:$D,"*"&amp;$A1313&amp;"*",'All Papers'!$G:$G,"*"&amp;Table1[[#Headers],[SLA Management]]&amp;"*")</f>
        <v>0</v>
      </c>
      <c r="J1313" s="8">
        <f>COUNTIFS('All Papers'!$D:$D,"*"&amp;$A1313&amp;"*",'All Papers'!$G:$G,"*"&amp;Table1[[#Headers],[Big Data]]&amp;"*")</f>
        <v>0</v>
      </c>
      <c r="K1313" s="8">
        <f>COUNTIFS('All Papers'!$D:$D,"*"&amp;$A1313&amp;"*",'All Papers'!$G:$G,"*"&amp;Table1[[#Headers],[Energy Management]]&amp;"*")</f>
        <v>0</v>
      </c>
      <c r="L1313" s="8">
        <f>COUNTIFS('All Papers'!$D:$D,"*"&amp;$A1313&amp;"*",'All Papers'!$G:$G,"*"&amp;Table1[[#Headers],[Monitoring]]&amp;"*")</f>
        <v>0</v>
      </c>
      <c r="M1313" s="8">
        <f>COUNTIFS('All Papers'!$D:$D,"*"&amp;$A1313&amp;"*",'All Papers'!$G:$G,"*"&amp;Table1[[#Headers],[Pricing]]&amp;"*")</f>
        <v>0</v>
      </c>
    </row>
    <row r="1314" spans="1:13" x14ac:dyDescent="0.25">
      <c r="A1314" s="8" t="s">
        <v>3747</v>
      </c>
      <c r="B1314" s="8">
        <f>COUNTIF('All Papers'!D:D,"*"&amp;Table1[[#This Row],[Name]]&amp;"*")</f>
        <v>1</v>
      </c>
      <c r="C1314" s="8">
        <f>COUNTIFS('All Papers'!$D:$D,"*"&amp;$A1314&amp;"*",'All Papers'!$G:$G,"*"&amp;Table1[[#Headers],[Composition]]&amp;"*")</f>
        <v>0</v>
      </c>
      <c r="D1314" s="8">
        <f>COUNTIFS('All Papers'!$D:$D,"*"&amp;$A1314&amp;"*",'All Papers'!$G:$G,"*"&amp;Table1[[#Headers],[Discovery]]&amp;"*")</f>
        <v>0</v>
      </c>
      <c r="E1314" s="8">
        <f>COUNTIFS('All Papers'!$D:$D,"*"&amp;$A1314&amp;"*",'All Papers'!$G:$G,"*"&amp;Table1[[#Headers],[Selection]]&amp;"*")</f>
        <v>1</v>
      </c>
      <c r="F1314" s="8">
        <f>COUNTIFS('All Papers'!$D:$D,"*"&amp;$A1314&amp;"*",'All Papers'!$G:$G,"*"&amp;Table1[[#Headers],[Recommendation]]&amp;"*")</f>
        <v>0</v>
      </c>
      <c r="G1314" s="8">
        <f>COUNTIFS('All Papers'!$D:$D,"*"&amp;$A1314&amp;"*",'All Papers'!$G:$G,"*"&amp;Table1[[#Headers],[Resource Management-CS]]&amp;"*")</f>
        <v>0</v>
      </c>
      <c r="H1314" s="8">
        <f>COUNTIFS('All Papers'!$D:$D,"*"&amp;$A1314&amp;"*",'All Papers'!$G:$G,"*"&amp;Table1[[#Headers],[Resource Management-PS]]&amp;"*")</f>
        <v>0</v>
      </c>
      <c r="I1314" s="8">
        <f>COUNTIFS('All Papers'!$D:$D,"*"&amp;$A1314&amp;"*",'All Papers'!$G:$G,"*"&amp;Table1[[#Headers],[SLA Management]]&amp;"*")</f>
        <v>0</v>
      </c>
      <c r="J1314" s="8">
        <f>COUNTIFS('All Papers'!$D:$D,"*"&amp;$A1314&amp;"*",'All Papers'!$G:$G,"*"&amp;Table1[[#Headers],[Big Data]]&amp;"*")</f>
        <v>0</v>
      </c>
      <c r="K1314" s="8">
        <f>COUNTIFS('All Papers'!$D:$D,"*"&amp;$A1314&amp;"*",'All Papers'!$G:$G,"*"&amp;Table1[[#Headers],[Energy Management]]&amp;"*")</f>
        <v>0</v>
      </c>
      <c r="L1314" s="8">
        <f>COUNTIFS('All Papers'!$D:$D,"*"&amp;$A1314&amp;"*",'All Papers'!$G:$G,"*"&amp;Table1[[#Headers],[Monitoring]]&amp;"*")</f>
        <v>0</v>
      </c>
      <c r="M1314" s="8">
        <f>COUNTIFS('All Papers'!$D:$D,"*"&amp;$A1314&amp;"*",'All Papers'!$G:$G,"*"&amp;Table1[[#Headers],[Pricing]]&amp;"*")</f>
        <v>0</v>
      </c>
    </row>
    <row r="1315" spans="1:13" x14ac:dyDescent="0.25">
      <c r="A1315" s="8" t="s">
        <v>3748</v>
      </c>
      <c r="B1315" s="8">
        <f>COUNTIF('All Papers'!D:D,"*"&amp;Table1[[#This Row],[Name]]&amp;"*")</f>
        <v>1</v>
      </c>
      <c r="C1315" s="8">
        <f>COUNTIFS('All Papers'!$D:$D,"*"&amp;$A1315&amp;"*",'All Papers'!$G:$G,"*"&amp;Table1[[#Headers],[Composition]]&amp;"*")</f>
        <v>0</v>
      </c>
      <c r="D1315" s="8">
        <f>COUNTIFS('All Papers'!$D:$D,"*"&amp;$A1315&amp;"*",'All Papers'!$G:$G,"*"&amp;Table1[[#Headers],[Discovery]]&amp;"*")</f>
        <v>0</v>
      </c>
      <c r="E1315" s="8">
        <f>COUNTIFS('All Papers'!$D:$D,"*"&amp;$A1315&amp;"*",'All Papers'!$G:$G,"*"&amp;Table1[[#Headers],[Selection]]&amp;"*")</f>
        <v>1</v>
      </c>
      <c r="F1315" s="8">
        <f>COUNTIFS('All Papers'!$D:$D,"*"&amp;$A1315&amp;"*",'All Papers'!$G:$G,"*"&amp;Table1[[#Headers],[Recommendation]]&amp;"*")</f>
        <v>0</v>
      </c>
      <c r="G1315" s="8">
        <f>COUNTIFS('All Papers'!$D:$D,"*"&amp;$A1315&amp;"*",'All Papers'!$G:$G,"*"&amp;Table1[[#Headers],[Resource Management-CS]]&amp;"*")</f>
        <v>0</v>
      </c>
      <c r="H1315" s="8">
        <f>COUNTIFS('All Papers'!$D:$D,"*"&amp;$A1315&amp;"*",'All Papers'!$G:$G,"*"&amp;Table1[[#Headers],[Resource Management-PS]]&amp;"*")</f>
        <v>0</v>
      </c>
      <c r="I1315" s="8">
        <f>COUNTIFS('All Papers'!$D:$D,"*"&amp;$A1315&amp;"*",'All Papers'!$G:$G,"*"&amp;Table1[[#Headers],[SLA Management]]&amp;"*")</f>
        <v>0</v>
      </c>
      <c r="J1315" s="8">
        <f>COUNTIFS('All Papers'!$D:$D,"*"&amp;$A1315&amp;"*",'All Papers'!$G:$G,"*"&amp;Table1[[#Headers],[Big Data]]&amp;"*")</f>
        <v>0</v>
      </c>
      <c r="K1315" s="8">
        <f>COUNTIFS('All Papers'!$D:$D,"*"&amp;$A1315&amp;"*",'All Papers'!$G:$G,"*"&amp;Table1[[#Headers],[Energy Management]]&amp;"*")</f>
        <v>0</v>
      </c>
      <c r="L1315" s="8">
        <f>COUNTIFS('All Papers'!$D:$D,"*"&amp;$A1315&amp;"*",'All Papers'!$G:$G,"*"&amp;Table1[[#Headers],[Monitoring]]&amp;"*")</f>
        <v>0</v>
      </c>
      <c r="M1315" s="8">
        <f>COUNTIFS('All Papers'!$D:$D,"*"&amp;$A1315&amp;"*",'All Papers'!$G:$G,"*"&amp;Table1[[#Headers],[Pricing]]&amp;"*")</f>
        <v>0</v>
      </c>
    </row>
    <row r="1316" spans="1:13" x14ac:dyDescent="0.25">
      <c r="A1316" s="8" t="s">
        <v>3749</v>
      </c>
      <c r="B1316" s="8">
        <f>COUNTIF('All Papers'!D:D,"*"&amp;Table1[[#This Row],[Name]]&amp;"*")</f>
        <v>1</v>
      </c>
      <c r="C1316" s="8">
        <f>COUNTIFS('All Papers'!$D:$D,"*"&amp;$A1316&amp;"*",'All Papers'!$G:$G,"*"&amp;Table1[[#Headers],[Composition]]&amp;"*")</f>
        <v>0</v>
      </c>
      <c r="D1316" s="8">
        <f>COUNTIFS('All Papers'!$D:$D,"*"&amp;$A1316&amp;"*",'All Papers'!$G:$G,"*"&amp;Table1[[#Headers],[Discovery]]&amp;"*")</f>
        <v>0</v>
      </c>
      <c r="E1316" s="8">
        <f>COUNTIFS('All Papers'!$D:$D,"*"&amp;$A1316&amp;"*",'All Papers'!$G:$G,"*"&amp;Table1[[#Headers],[Selection]]&amp;"*")</f>
        <v>1</v>
      </c>
      <c r="F1316" s="8">
        <f>COUNTIFS('All Papers'!$D:$D,"*"&amp;$A1316&amp;"*",'All Papers'!$G:$G,"*"&amp;Table1[[#Headers],[Recommendation]]&amp;"*")</f>
        <v>0</v>
      </c>
      <c r="G1316" s="8">
        <f>COUNTIFS('All Papers'!$D:$D,"*"&amp;$A1316&amp;"*",'All Papers'!$G:$G,"*"&amp;Table1[[#Headers],[Resource Management-CS]]&amp;"*")</f>
        <v>0</v>
      </c>
      <c r="H1316" s="8">
        <f>COUNTIFS('All Papers'!$D:$D,"*"&amp;$A1316&amp;"*",'All Papers'!$G:$G,"*"&amp;Table1[[#Headers],[Resource Management-PS]]&amp;"*")</f>
        <v>0</v>
      </c>
      <c r="I1316" s="8">
        <f>COUNTIFS('All Papers'!$D:$D,"*"&amp;$A1316&amp;"*",'All Papers'!$G:$G,"*"&amp;Table1[[#Headers],[SLA Management]]&amp;"*")</f>
        <v>0</v>
      </c>
      <c r="J1316" s="8">
        <f>COUNTIFS('All Papers'!$D:$D,"*"&amp;$A1316&amp;"*",'All Papers'!$G:$G,"*"&amp;Table1[[#Headers],[Big Data]]&amp;"*")</f>
        <v>0</v>
      </c>
      <c r="K1316" s="8">
        <f>COUNTIFS('All Papers'!$D:$D,"*"&amp;$A1316&amp;"*",'All Papers'!$G:$G,"*"&amp;Table1[[#Headers],[Energy Management]]&amp;"*")</f>
        <v>0</v>
      </c>
      <c r="L1316" s="8">
        <f>COUNTIFS('All Papers'!$D:$D,"*"&amp;$A1316&amp;"*",'All Papers'!$G:$G,"*"&amp;Table1[[#Headers],[Monitoring]]&amp;"*")</f>
        <v>0</v>
      </c>
      <c r="M1316" s="8">
        <f>COUNTIFS('All Papers'!$D:$D,"*"&amp;$A1316&amp;"*",'All Papers'!$G:$G,"*"&amp;Table1[[#Headers],[Pricing]]&amp;"*")</f>
        <v>0</v>
      </c>
    </row>
    <row r="1317" spans="1:13" x14ac:dyDescent="0.25">
      <c r="A1317" s="8" t="s">
        <v>3750</v>
      </c>
      <c r="B1317" s="8">
        <f>COUNTIF('All Papers'!D:D,"*"&amp;Table1[[#This Row],[Name]]&amp;"*")</f>
        <v>1</v>
      </c>
      <c r="C1317" s="8">
        <f>COUNTIFS('All Papers'!$D:$D,"*"&amp;$A1317&amp;"*",'All Papers'!$G:$G,"*"&amp;Table1[[#Headers],[Composition]]&amp;"*")</f>
        <v>0</v>
      </c>
      <c r="D1317" s="8">
        <f>COUNTIFS('All Papers'!$D:$D,"*"&amp;$A1317&amp;"*",'All Papers'!$G:$G,"*"&amp;Table1[[#Headers],[Discovery]]&amp;"*")</f>
        <v>0</v>
      </c>
      <c r="E1317" s="8">
        <f>COUNTIFS('All Papers'!$D:$D,"*"&amp;$A1317&amp;"*",'All Papers'!$G:$G,"*"&amp;Table1[[#Headers],[Selection]]&amp;"*")</f>
        <v>1</v>
      </c>
      <c r="F1317" s="8">
        <f>COUNTIFS('All Papers'!$D:$D,"*"&amp;$A1317&amp;"*",'All Papers'!$G:$G,"*"&amp;Table1[[#Headers],[Recommendation]]&amp;"*")</f>
        <v>0</v>
      </c>
      <c r="G1317" s="8">
        <f>COUNTIFS('All Papers'!$D:$D,"*"&amp;$A1317&amp;"*",'All Papers'!$G:$G,"*"&amp;Table1[[#Headers],[Resource Management-CS]]&amp;"*")</f>
        <v>0</v>
      </c>
      <c r="H1317" s="8">
        <f>COUNTIFS('All Papers'!$D:$D,"*"&amp;$A1317&amp;"*",'All Papers'!$G:$G,"*"&amp;Table1[[#Headers],[Resource Management-PS]]&amp;"*")</f>
        <v>0</v>
      </c>
      <c r="I1317" s="8">
        <f>COUNTIFS('All Papers'!$D:$D,"*"&amp;$A1317&amp;"*",'All Papers'!$G:$G,"*"&amp;Table1[[#Headers],[SLA Management]]&amp;"*")</f>
        <v>0</v>
      </c>
      <c r="J1317" s="8">
        <f>COUNTIFS('All Papers'!$D:$D,"*"&amp;$A1317&amp;"*",'All Papers'!$G:$G,"*"&amp;Table1[[#Headers],[Big Data]]&amp;"*")</f>
        <v>0</v>
      </c>
      <c r="K1317" s="8">
        <f>COUNTIFS('All Papers'!$D:$D,"*"&amp;$A1317&amp;"*",'All Papers'!$G:$G,"*"&amp;Table1[[#Headers],[Energy Management]]&amp;"*")</f>
        <v>0</v>
      </c>
      <c r="L1317" s="8">
        <f>COUNTIFS('All Papers'!$D:$D,"*"&amp;$A1317&amp;"*",'All Papers'!$G:$G,"*"&amp;Table1[[#Headers],[Monitoring]]&amp;"*")</f>
        <v>0</v>
      </c>
      <c r="M1317" s="8">
        <f>COUNTIFS('All Papers'!$D:$D,"*"&amp;$A1317&amp;"*",'All Papers'!$G:$G,"*"&amp;Table1[[#Headers],[Pricing]]&amp;"*")</f>
        <v>0</v>
      </c>
    </row>
    <row r="1318" spans="1:13" x14ac:dyDescent="0.25">
      <c r="A1318" s="8" t="s">
        <v>3751</v>
      </c>
      <c r="B1318" s="8">
        <f>COUNTIF('All Papers'!D:D,"*"&amp;Table1[[#This Row],[Name]]&amp;"*")</f>
        <v>1</v>
      </c>
      <c r="C1318" s="8">
        <f>COUNTIFS('All Papers'!$D:$D,"*"&amp;$A1318&amp;"*",'All Papers'!$G:$G,"*"&amp;Table1[[#Headers],[Composition]]&amp;"*")</f>
        <v>1</v>
      </c>
      <c r="D1318" s="8">
        <f>COUNTIFS('All Papers'!$D:$D,"*"&amp;$A1318&amp;"*",'All Papers'!$G:$G,"*"&amp;Table1[[#Headers],[Discovery]]&amp;"*")</f>
        <v>0</v>
      </c>
      <c r="E1318" s="8">
        <f>COUNTIFS('All Papers'!$D:$D,"*"&amp;$A1318&amp;"*",'All Papers'!$G:$G,"*"&amp;Table1[[#Headers],[Selection]]&amp;"*")</f>
        <v>0</v>
      </c>
      <c r="F1318" s="8">
        <f>COUNTIFS('All Papers'!$D:$D,"*"&amp;$A1318&amp;"*",'All Papers'!$G:$G,"*"&amp;Table1[[#Headers],[Recommendation]]&amp;"*")</f>
        <v>0</v>
      </c>
      <c r="G1318" s="8">
        <f>COUNTIFS('All Papers'!$D:$D,"*"&amp;$A1318&amp;"*",'All Papers'!$G:$G,"*"&amp;Table1[[#Headers],[Resource Management-CS]]&amp;"*")</f>
        <v>0</v>
      </c>
      <c r="H1318" s="8">
        <f>COUNTIFS('All Papers'!$D:$D,"*"&amp;$A1318&amp;"*",'All Papers'!$G:$G,"*"&amp;Table1[[#Headers],[Resource Management-PS]]&amp;"*")</f>
        <v>0</v>
      </c>
      <c r="I1318" s="8">
        <f>COUNTIFS('All Papers'!$D:$D,"*"&amp;$A1318&amp;"*",'All Papers'!$G:$G,"*"&amp;Table1[[#Headers],[SLA Management]]&amp;"*")</f>
        <v>0</v>
      </c>
      <c r="J1318" s="8">
        <f>COUNTIFS('All Papers'!$D:$D,"*"&amp;$A1318&amp;"*",'All Papers'!$G:$G,"*"&amp;Table1[[#Headers],[Big Data]]&amp;"*")</f>
        <v>0</v>
      </c>
      <c r="K1318" s="8">
        <f>COUNTIFS('All Papers'!$D:$D,"*"&amp;$A1318&amp;"*",'All Papers'!$G:$G,"*"&amp;Table1[[#Headers],[Energy Management]]&amp;"*")</f>
        <v>0</v>
      </c>
      <c r="L1318" s="8">
        <f>COUNTIFS('All Papers'!$D:$D,"*"&amp;$A1318&amp;"*",'All Papers'!$G:$G,"*"&amp;Table1[[#Headers],[Monitoring]]&amp;"*")</f>
        <v>0</v>
      </c>
      <c r="M1318" s="8">
        <f>COUNTIFS('All Papers'!$D:$D,"*"&amp;$A1318&amp;"*",'All Papers'!$G:$G,"*"&amp;Table1[[#Headers],[Pricing]]&amp;"*")</f>
        <v>0</v>
      </c>
    </row>
    <row r="1319" spans="1:13" x14ac:dyDescent="0.25">
      <c r="A1319" s="8" t="s">
        <v>3752</v>
      </c>
      <c r="B1319" s="8">
        <f>COUNTIF('All Papers'!D:D,"*"&amp;Table1[[#This Row],[Name]]&amp;"*")</f>
        <v>1</v>
      </c>
      <c r="C1319" s="8">
        <f>COUNTIFS('All Papers'!$D:$D,"*"&amp;$A1319&amp;"*",'All Papers'!$G:$G,"*"&amp;Table1[[#Headers],[Composition]]&amp;"*")</f>
        <v>1</v>
      </c>
      <c r="D1319" s="8">
        <f>COUNTIFS('All Papers'!$D:$D,"*"&amp;$A1319&amp;"*",'All Papers'!$G:$G,"*"&amp;Table1[[#Headers],[Discovery]]&amp;"*")</f>
        <v>0</v>
      </c>
      <c r="E1319" s="8">
        <f>COUNTIFS('All Papers'!$D:$D,"*"&amp;$A1319&amp;"*",'All Papers'!$G:$G,"*"&amp;Table1[[#Headers],[Selection]]&amp;"*")</f>
        <v>0</v>
      </c>
      <c r="F1319" s="8">
        <f>COUNTIFS('All Papers'!$D:$D,"*"&amp;$A1319&amp;"*",'All Papers'!$G:$G,"*"&amp;Table1[[#Headers],[Recommendation]]&amp;"*")</f>
        <v>0</v>
      </c>
      <c r="G1319" s="8">
        <f>COUNTIFS('All Papers'!$D:$D,"*"&amp;$A1319&amp;"*",'All Papers'!$G:$G,"*"&amp;Table1[[#Headers],[Resource Management-CS]]&amp;"*")</f>
        <v>0</v>
      </c>
      <c r="H1319" s="8">
        <f>COUNTIFS('All Papers'!$D:$D,"*"&amp;$A1319&amp;"*",'All Papers'!$G:$G,"*"&amp;Table1[[#Headers],[Resource Management-PS]]&amp;"*")</f>
        <v>0</v>
      </c>
      <c r="I1319" s="8">
        <f>COUNTIFS('All Papers'!$D:$D,"*"&amp;$A1319&amp;"*",'All Papers'!$G:$G,"*"&amp;Table1[[#Headers],[SLA Management]]&amp;"*")</f>
        <v>0</v>
      </c>
      <c r="J1319" s="8">
        <f>COUNTIFS('All Papers'!$D:$D,"*"&amp;$A1319&amp;"*",'All Papers'!$G:$G,"*"&amp;Table1[[#Headers],[Big Data]]&amp;"*")</f>
        <v>0</v>
      </c>
      <c r="K1319" s="8">
        <f>COUNTIFS('All Papers'!$D:$D,"*"&amp;$A1319&amp;"*",'All Papers'!$G:$G,"*"&amp;Table1[[#Headers],[Energy Management]]&amp;"*")</f>
        <v>0</v>
      </c>
      <c r="L1319" s="8">
        <f>COUNTIFS('All Papers'!$D:$D,"*"&amp;$A1319&amp;"*",'All Papers'!$G:$G,"*"&amp;Table1[[#Headers],[Monitoring]]&amp;"*")</f>
        <v>0</v>
      </c>
      <c r="M1319" s="8">
        <f>COUNTIFS('All Papers'!$D:$D,"*"&amp;$A1319&amp;"*",'All Papers'!$G:$G,"*"&amp;Table1[[#Headers],[Pricing]]&amp;"*")</f>
        <v>0</v>
      </c>
    </row>
    <row r="1320" spans="1:13" x14ac:dyDescent="0.25">
      <c r="A1320" s="8" t="s">
        <v>3753</v>
      </c>
      <c r="B1320" s="8">
        <f>COUNTIF('All Papers'!D:D,"*"&amp;Table1[[#This Row],[Name]]&amp;"*")</f>
        <v>1</v>
      </c>
      <c r="C1320" s="8">
        <f>COUNTIFS('All Papers'!$D:$D,"*"&amp;$A1320&amp;"*",'All Papers'!$G:$G,"*"&amp;Table1[[#Headers],[Composition]]&amp;"*")</f>
        <v>0</v>
      </c>
      <c r="D1320" s="8">
        <f>COUNTIFS('All Papers'!$D:$D,"*"&amp;$A1320&amp;"*",'All Papers'!$G:$G,"*"&amp;Table1[[#Headers],[Discovery]]&amp;"*")</f>
        <v>1</v>
      </c>
      <c r="E1320" s="8">
        <f>COUNTIFS('All Papers'!$D:$D,"*"&amp;$A1320&amp;"*",'All Papers'!$G:$G,"*"&amp;Table1[[#Headers],[Selection]]&amp;"*")</f>
        <v>0</v>
      </c>
      <c r="F1320" s="8">
        <f>COUNTIFS('All Papers'!$D:$D,"*"&amp;$A1320&amp;"*",'All Papers'!$G:$G,"*"&amp;Table1[[#Headers],[Recommendation]]&amp;"*")</f>
        <v>0</v>
      </c>
      <c r="G1320" s="8">
        <f>COUNTIFS('All Papers'!$D:$D,"*"&amp;$A1320&amp;"*",'All Papers'!$G:$G,"*"&amp;Table1[[#Headers],[Resource Management-CS]]&amp;"*")</f>
        <v>0</v>
      </c>
      <c r="H1320" s="8">
        <f>COUNTIFS('All Papers'!$D:$D,"*"&amp;$A1320&amp;"*",'All Papers'!$G:$G,"*"&amp;Table1[[#Headers],[Resource Management-PS]]&amp;"*")</f>
        <v>0</v>
      </c>
      <c r="I1320" s="8">
        <f>COUNTIFS('All Papers'!$D:$D,"*"&amp;$A1320&amp;"*",'All Papers'!$G:$G,"*"&amp;Table1[[#Headers],[SLA Management]]&amp;"*")</f>
        <v>0</v>
      </c>
      <c r="J1320" s="8">
        <f>COUNTIFS('All Papers'!$D:$D,"*"&amp;$A1320&amp;"*",'All Papers'!$G:$G,"*"&amp;Table1[[#Headers],[Big Data]]&amp;"*")</f>
        <v>0</v>
      </c>
      <c r="K1320" s="8">
        <f>COUNTIFS('All Papers'!$D:$D,"*"&amp;$A1320&amp;"*",'All Papers'!$G:$G,"*"&amp;Table1[[#Headers],[Energy Management]]&amp;"*")</f>
        <v>0</v>
      </c>
      <c r="L1320" s="8">
        <f>COUNTIFS('All Papers'!$D:$D,"*"&amp;$A1320&amp;"*",'All Papers'!$G:$G,"*"&amp;Table1[[#Headers],[Monitoring]]&amp;"*")</f>
        <v>1</v>
      </c>
      <c r="M1320" s="8">
        <f>COUNTIFS('All Papers'!$D:$D,"*"&amp;$A1320&amp;"*",'All Papers'!$G:$G,"*"&amp;Table1[[#Headers],[Pricing]]&amp;"*")</f>
        <v>0</v>
      </c>
    </row>
    <row r="1321" spans="1:13" x14ac:dyDescent="0.25">
      <c r="A1321" s="8" t="s">
        <v>3754</v>
      </c>
      <c r="B1321" s="8">
        <f>COUNTIF('All Papers'!D:D,"*"&amp;Table1[[#This Row],[Name]]&amp;"*")</f>
        <v>1</v>
      </c>
      <c r="C1321" s="8">
        <f>COUNTIFS('All Papers'!$D:$D,"*"&amp;$A1321&amp;"*",'All Papers'!$G:$G,"*"&amp;Table1[[#Headers],[Composition]]&amp;"*")</f>
        <v>0</v>
      </c>
      <c r="D1321" s="8">
        <f>COUNTIFS('All Papers'!$D:$D,"*"&amp;$A1321&amp;"*",'All Papers'!$G:$G,"*"&amp;Table1[[#Headers],[Discovery]]&amp;"*")</f>
        <v>1</v>
      </c>
      <c r="E1321" s="8">
        <f>COUNTIFS('All Papers'!$D:$D,"*"&amp;$A1321&amp;"*",'All Papers'!$G:$G,"*"&amp;Table1[[#Headers],[Selection]]&amp;"*")</f>
        <v>0</v>
      </c>
      <c r="F1321" s="8">
        <f>COUNTIFS('All Papers'!$D:$D,"*"&amp;$A1321&amp;"*",'All Papers'!$G:$G,"*"&amp;Table1[[#Headers],[Recommendation]]&amp;"*")</f>
        <v>0</v>
      </c>
      <c r="G1321" s="8">
        <f>COUNTIFS('All Papers'!$D:$D,"*"&amp;$A1321&amp;"*",'All Papers'!$G:$G,"*"&amp;Table1[[#Headers],[Resource Management-CS]]&amp;"*")</f>
        <v>0</v>
      </c>
      <c r="H1321" s="8">
        <f>COUNTIFS('All Papers'!$D:$D,"*"&amp;$A1321&amp;"*",'All Papers'!$G:$G,"*"&amp;Table1[[#Headers],[Resource Management-PS]]&amp;"*")</f>
        <v>0</v>
      </c>
      <c r="I1321" s="8">
        <f>COUNTIFS('All Papers'!$D:$D,"*"&amp;$A1321&amp;"*",'All Papers'!$G:$G,"*"&amp;Table1[[#Headers],[SLA Management]]&amp;"*")</f>
        <v>0</v>
      </c>
      <c r="J1321" s="8">
        <f>COUNTIFS('All Papers'!$D:$D,"*"&amp;$A1321&amp;"*",'All Papers'!$G:$G,"*"&amp;Table1[[#Headers],[Big Data]]&amp;"*")</f>
        <v>0</v>
      </c>
      <c r="K1321" s="8">
        <f>COUNTIFS('All Papers'!$D:$D,"*"&amp;$A1321&amp;"*",'All Papers'!$G:$G,"*"&amp;Table1[[#Headers],[Energy Management]]&amp;"*")</f>
        <v>0</v>
      </c>
      <c r="L1321" s="8">
        <f>COUNTIFS('All Papers'!$D:$D,"*"&amp;$A1321&amp;"*",'All Papers'!$G:$G,"*"&amp;Table1[[#Headers],[Monitoring]]&amp;"*")</f>
        <v>1</v>
      </c>
      <c r="M1321" s="8">
        <f>COUNTIFS('All Papers'!$D:$D,"*"&amp;$A1321&amp;"*",'All Papers'!$G:$G,"*"&amp;Table1[[#Headers],[Pricing]]&amp;"*")</f>
        <v>0</v>
      </c>
    </row>
    <row r="1322" spans="1:13" x14ac:dyDescent="0.25">
      <c r="A1322" s="8" t="s">
        <v>3755</v>
      </c>
      <c r="B1322" s="8">
        <f>COUNTIF('All Papers'!D:D,"*"&amp;Table1[[#This Row],[Name]]&amp;"*")</f>
        <v>1</v>
      </c>
      <c r="C1322" s="8">
        <f>COUNTIFS('All Papers'!$D:$D,"*"&amp;$A1322&amp;"*",'All Papers'!$G:$G,"*"&amp;Table1[[#Headers],[Composition]]&amp;"*")</f>
        <v>0</v>
      </c>
      <c r="D1322" s="8">
        <f>COUNTIFS('All Papers'!$D:$D,"*"&amp;$A1322&amp;"*",'All Papers'!$G:$G,"*"&amp;Table1[[#Headers],[Discovery]]&amp;"*")</f>
        <v>1</v>
      </c>
      <c r="E1322" s="8">
        <f>COUNTIFS('All Papers'!$D:$D,"*"&amp;$A1322&amp;"*",'All Papers'!$G:$G,"*"&amp;Table1[[#Headers],[Selection]]&amp;"*")</f>
        <v>0</v>
      </c>
      <c r="F1322" s="8">
        <f>COUNTIFS('All Papers'!$D:$D,"*"&amp;$A1322&amp;"*",'All Papers'!$G:$G,"*"&amp;Table1[[#Headers],[Recommendation]]&amp;"*")</f>
        <v>0</v>
      </c>
      <c r="G1322" s="8">
        <f>COUNTIFS('All Papers'!$D:$D,"*"&amp;$A1322&amp;"*",'All Papers'!$G:$G,"*"&amp;Table1[[#Headers],[Resource Management-CS]]&amp;"*")</f>
        <v>0</v>
      </c>
      <c r="H1322" s="8">
        <f>COUNTIFS('All Papers'!$D:$D,"*"&amp;$A1322&amp;"*",'All Papers'!$G:$G,"*"&amp;Table1[[#Headers],[Resource Management-PS]]&amp;"*")</f>
        <v>0</v>
      </c>
      <c r="I1322" s="8">
        <f>COUNTIFS('All Papers'!$D:$D,"*"&amp;$A1322&amp;"*",'All Papers'!$G:$G,"*"&amp;Table1[[#Headers],[SLA Management]]&amp;"*")</f>
        <v>0</v>
      </c>
      <c r="J1322" s="8">
        <f>COUNTIFS('All Papers'!$D:$D,"*"&amp;$A1322&amp;"*",'All Papers'!$G:$G,"*"&amp;Table1[[#Headers],[Big Data]]&amp;"*")</f>
        <v>0</v>
      </c>
      <c r="K1322" s="8">
        <f>COUNTIFS('All Papers'!$D:$D,"*"&amp;$A1322&amp;"*",'All Papers'!$G:$G,"*"&amp;Table1[[#Headers],[Energy Management]]&amp;"*")</f>
        <v>0</v>
      </c>
      <c r="L1322" s="8">
        <f>COUNTIFS('All Papers'!$D:$D,"*"&amp;$A1322&amp;"*",'All Papers'!$G:$G,"*"&amp;Table1[[#Headers],[Monitoring]]&amp;"*")</f>
        <v>1</v>
      </c>
      <c r="M1322" s="8">
        <f>COUNTIFS('All Papers'!$D:$D,"*"&amp;$A1322&amp;"*",'All Papers'!$G:$G,"*"&amp;Table1[[#Headers],[Pricing]]&amp;"*")</f>
        <v>0</v>
      </c>
    </row>
    <row r="1323" spans="1:13" x14ac:dyDescent="0.25">
      <c r="A1323" s="8" t="s">
        <v>3756</v>
      </c>
      <c r="B1323" s="8">
        <f>COUNTIF('All Papers'!D:D,"*"&amp;Table1[[#This Row],[Name]]&amp;"*")</f>
        <v>1</v>
      </c>
      <c r="C1323" s="8">
        <f>COUNTIFS('All Papers'!$D:$D,"*"&amp;$A1323&amp;"*",'All Papers'!$G:$G,"*"&amp;Table1[[#Headers],[Composition]]&amp;"*")</f>
        <v>0</v>
      </c>
      <c r="D1323" s="8">
        <f>COUNTIFS('All Papers'!$D:$D,"*"&amp;$A1323&amp;"*",'All Papers'!$G:$G,"*"&amp;Table1[[#Headers],[Discovery]]&amp;"*")</f>
        <v>1</v>
      </c>
      <c r="E1323" s="8">
        <f>COUNTIFS('All Papers'!$D:$D,"*"&amp;$A1323&amp;"*",'All Papers'!$G:$G,"*"&amp;Table1[[#Headers],[Selection]]&amp;"*")</f>
        <v>0</v>
      </c>
      <c r="F1323" s="8">
        <f>COUNTIFS('All Papers'!$D:$D,"*"&amp;$A1323&amp;"*",'All Papers'!$G:$G,"*"&amp;Table1[[#Headers],[Recommendation]]&amp;"*")</f>
        <v>0</v>
      </c>
      <c r="G1323" s="8">
        <f>COUNTIFS('All Papers'!$D:$D,"*"&amp;$A1323&amp;"*",'All Papers'!$G:$G,"*"&amp;Table1[[#Headers],[Resource Management-CS]]&amp;"*")</f>
        <v>0</v>
      </c>
      <c r="H1323" s="8">
        <f>COUNTIFS('All Papers'!$D:$D,"*"&amp;$A1323&amp;"*",'All Papers'!$G:$G,"*"&amp;Table1[[#Headers],[Resource Management-PS]]&amp;"*")</f>
        <v>0</v>
      </c>
      <c r="I1323" s="8">
        <f>COUNTIFS('All Papers'!$D:$D,"*"&amp;$A1323&amp;"*",'All Papers'!$G:$G,"*"&amp;Table1[[#Headers],[SLA Management]]&amp;"*")</f>
        <v>0</v>
      </c>
      <c r="J1323" s="8">
        <f>COUNTIFS('All Papers'!$D:$D,"*"&amp;$A1323&amp;"*",'All Papers'!$G:$G,"*"&amp;Table1[[#Headers],[Big Data]]&amp;"*")</f>
        <v>0</v>
      </c>
      <c r="K1323" s="8">
        <f>COUNTIFS('All Papers'!$D:$D,"*"&amp;$A1323&amp;"*",'All Papers'!$G:$G,"*"&amp;Table1[[#Headers],[Energy Management]]&amp;"*")</f>
        <v>0</v>
      </c>
      <c r="L1323" s="8">
        <f>COUNTIFS('All Papers'!$D:$D,"*"&amp;$A1323&amp;"*",'All Papers'!$G:$G,"*"&amp;Table1[[#Headers],[Monitoring]]&amp;"*")</f>
        <v>1</v>
      </c>
      <c r="M1323" s="8">
        <f>COUNTIFS('All Papers'!$D:$D,"*"&amp;$A1323&amp;"*",'All Papers'!$G:$G,"*"&amp;Table1[[#Headers],[Pricing]]&amp;"*")</f>
        <v>0</v>
      </c>
    </row>
    <row r="1324" spans="1:13" x14ac:dyDescent="0.25">
      <c r="A1324" s="8" t="s">
        <v>3757</v>
      </c>
      <c r="B1324" s="8">
        <f>COUNTIF('All Papers'!D:D,"*"&amp;Table1[[#This Row],[Name]]&amp;"*")</f>
        <v>1</v>
      </c>
      <c r="C1324" s="8">
        <f>COUNTIFS('All Papers'!$D:$D,"*"&amp;$A1324&amp;"*",'All Papers'!$G:$G,"*"&amp;Table1[[#Headers],[Composition]]&amp;"*")</f>
        <v>0</v>
      </c>
      <c r="D1324" s="8">
        <f>COUNTIFS('All Papers'!$D:$D,"*"&amp;$A1324&amp;"*",'All Papers'!$G:$G,"*"&amp;Table1[[#Headers],[Discovery]]&amp;"*")</f>
        <v>1</v>
      </c>
      <c r="E1324" s="8">
        <f>COUNTIFS('All Papers'!$D:$D,"*"&amp;$A1324&amp;"*",'All Papers'!$G:$G,"*"&amp;Table1[[#Headers],[Selection]]&amp;"*")</f>
        <v>0</v>
      </c>
      <c r="F1324" s="8">
        <f>COUNTIFS('All Papers'!$D:$D,"*"&amp;$A1324&amp;"*",'All Papers'!$G:$G,"*"&amp;Table1[[#Headers],[Recommendation]]&amp;"*")</f>
        <v>0</v>
      </c>
      <c r="G1324" s="8">
        <f>COUNTIFS('All Papers'!$D:$D,"*"&amp;$A1324&amp;"*",'All Papers'!$G:$G,"*"&amp;Table1[[#Headers],[Resource Management-CS]]&amp;"*")</f>
        <v>0</v>
      </c>
      <c r="H1324" s="8">
        <f>COUNTIFS('All Papers'!$D:$D,"*"&amp;$A1324&amp;"*",'All Papers'!$G:$G,"*"&amp;Table1[[#Headers],[Resource Management-PS]]&amp;"*")</f>
        <v>0</v>
      </c>
      <c r="I1324" s="8">
        <f>COUNTIFS('All Papers'!$D:$D,"*"&amp;$A1324&amp;"*",'All Papers'!$G:$G,"*"&amp;Table1[[#Headers],[SLA Management]]&amp;"*")</f>
        <v>0</v>
      </c>
      <c r="J1324" s="8">
        <f>COUNTIFS('All Papers'!$D:$D,"*"&amp;$A1324&amp;"*",'All Papers'!$G:$G,"*"&amp;Table1[[#Headers],[Big Data]]&amp;"*")</f>
        <v>0</v>
      </c>
      <c r="K1324" s="8">
        <f>COUNTIFS('All Papers'!$D:$D,"*"&amp;$A1324&amp;"*",'All Papers'!$G:$G,"*"&amp;Table1[[#Headers],[Energy Management]]&amp;"*")</f>
        <v>0</v>
      </c>
      <c r="L1324" s="8">
        <f>COUNTIFS('All Papers'!$D:$D,"*"&amp;$A1324&amp;"*",'All Papers'!$G:$G,"*"&amp;Table1[[#Headers],[Monitoring]]&amp;"*")</f>
        <v>1</v>
      </c>
      <c r="M1324" s="8">
        <f>COUNTIFS('All Papers'!$D:$D,"*"&amp;$A1324&amp;"*",'All Papers'!$G:$G,"*"&amp;Table1[[#Headers],[Pricing]]&amp;"*")</f>
        <v>0</v>
      </c>
    </row>
    <row r="1325" spans="1:13" x14ac:dyDescent="0.25">
      <c r="A1325" s="8" t="s">
        <v>3758</v>
      </c>
      <c r="B1325" s="8">
        <f>COUNTIF('All Papers'!D:D,"*"&amp;Table1[[#This Row],[Name]]&amp;"*")</f>
        <v>1</v>
      </c>
      <c r="C1325" s="8">
        <f>COUNTIFS('All Papers'!$D:$D,"*"&amp;$A1325&amp;"*",'All Papers'!$G:$G,"*"&amp;Table1[[#Headers],[Composition]]&amp;"*")</f>
        <v>1</v>
      </c>
      <c r="D1325" s="8">
        <f>COUNTIFS('All Papers'!$D:$D,"*"&amp;$A1325&amp;"*",'All Papers'!$G:$G,"*"&amp;Table1[[#Headers],[Discovery]]&amp;"*")</f>
        <v>0</v>
      </c>
      <c r="E1325" s="8">
        <f>COUNTIFS('All Papers'!$D:$D,"*"&amp;$A1325&amp;"*",'All Papers'!$G:$G,"*"&amp;Table1[[#Headers],[Selection]]&amp;"*")</f>
        <v>0</v>
      </c>
      <c r="F1325" s="8">
        <f>COUNTIFS('All Papers'!$D:$D,"*"&amp;$A1325&amp;"*",'All Papers'!$G:$G,"*"&amp;Table1[[#Headers],[Recommendation]]&amp;"*")</f>
        <v>0</v>
      </c>
      <c r="G1325" s="8">
        <f>COUNTIFS('All Papers'!$D:$D,"*"&amp;$A1325&amp;"*",'All Papers'!$G:$G,"*"&amp;Table1[[#Headers],[Resource Management-CS]]&amp;"*")</f>
        <v>0</v>
      </c>
      <c r="H1325" s="8">
        <f>COUNTIFS('All Papers'!$D:$D,"*"&amp;$A1325&amp;"*",'All Papers'!$G:$G,"*"&amp;Table1[[#Headers],[Resource Management-PS]]&amp;"*")</f>
        <v>0</v>
      </c>
      <c r="I1325" s="8">
        <f>COUNTIFS('All Papers'!$D:$D,"*"&amp;$A1325&amp;"*",'All Papers'!$G:$G,"*"&amp;Table1[[#Headers],[SLA Management]]&amp;"*")</f>
        <v>0</v>
      </c>
      <c r="J1325" s="8">
        <f>COUNTIFS('All Papers'!$D:$D,"*"&amp;$A1325&amp;"*",'All Papers'!$G:$G,"*"&amp;Table1[[#Headers],[Big Data]]&amp;"*")</f>
        <v>0</v>
      </c>
      <c r="K1325" s="8">
        <f>COUNTIFS('All Papers'!$D:$D,"*"&amp;$A1325&amp;"*",'All Papers'!$G:$G,"*"&amp;Table1[[#Headers],[Energy Management]]&amp;"*")</f>
        <v>0</v>
      </c>
      <c r="L1325" s="8">
        <f>COUNTIFS('All Papers'!$D:$D,"*"&amp;$A1325&amp;"*",'All Papers'!$G:$G,"*"&amp;Table1[[#Headers],[Monitoring]]&amp;"*")</f>
        <v>0</v>
      </c>
      <c r="M1325" s="8">
        <f>COUNTIFS('All Papers'!$D:$D,"*"&amp;$A1325&amp;"*",'All Papers'!$G:$G,"*"&amp;Table1[[#Headers],[Pricing]]&amp;"*")</f>
        <v>0</v>
      </c>
    </row>
    <row r="1326" spans="1:13" x14ac:dyDescent="0.25">
      <c r="A1326" s="8" t="s">
        <v>3759</v>
      </c>
      <c r="B1326" s="8">
        <f>COUNTIF('All Papers'!D:D,"*"&amp;Table1[[#This Row],[Name]]&amp;"*")</f>
        <v>1</v>
      </c>
      <c r="C1326" s="8">
        <f>COUNTIFS('All Papers'!$D:$D,"*"&amp;$A1326&amp;"*",'All Papers'!$G:$G,"*"&amp;Table1[[#Headers],[Composition]]&amp;"*")</f>
        <v>1</v>
      </c>
      <c r="D1326" s="8">
        <f>COUNTIFS('All Papers'!$D:$D,"*"&amp;$A1326&amp;"*",'All Papers'!$G:$G,"*"&amp;Table1[[#Headers],[Discovery]]&amp;"*")</f>
        <v>0</v>
      </c>
      <c r="E1326" s="8">
        <f>COUNTIFS('All Papers'!$D:$D,"*"&amp;$A1326&amp;"*",'All Papers'!$G:$G,"*"&amp;Table1[[#Headers],[Selection]]&amp;"*")</f>
        <v>0</v>
      </c>
      <c r="F1326" s="8">
        <f>COUNTIFS('All Papers'!$D:$D,"*"&amp;$A1326&amp;"*",'All Papers'!$G:$G,"*"&amp;Table1[[#Headers],[Recommendation]]&amp;"*")</f>
        <v>0</v>
      </c>
      <c r="G1326" s="8">
        <f>COUNTIFS('All Papers'!$D:$D,"*"&amp;$A1326&amp;"*",'All Papers'!$G:$G,"*"&amp;Table1[[#Headers],[Resource Management-CS]]&amp;"*")</f>
        <v>0</v>
      </c>
      <c r="H1326" s="8">
        <f>COUNTIFS('All Papers'!$D:$D,"*"&amp;$A1326&amp;"*",'All Papers'!$G:$G,"*"&amp;Table1[[#Headers],[Resource Management-PS]]&amp;"*")</f>
        <v>0</v>
      </c>
      <c r="I1326" s="8">
        <f>COUNTIFS('All Papers'!$D:$D,"*"&amp;$A1326&amp;"*",'All Papers'!$G:$G,"*"&amp;Table1[[#Headers],[SLA Management]]&amp;"*")</f>
        <v>0</v>
      </c>
      <c r="J1326" s="8">
        <f>COUNTIFS('All Papers'!$D:$D,"*"&amp;$A1326&amp;"*",'All Papers'!$G:$G,"*"&amp;Table1[[#Headers],[Big Data]]&amp;"*")</f>
        <v>0</v>
      </c>
      <c r="K1326" s="8">
        <f>COUNTIFS('All Papers'!$D:$D,"*"&amp;$A1326&amp;"*",'All Papers'!$G:$G,"*"&amp;Table1[[#Headers],[Energy Management]]&amp;"*")</f>
        <v>0</v>
      </c>
      <c r="L1326" s="8">
        <f>COUNTIFS('All Papers'!$D:$D,"*"&amp;$A1326&amp;"*",'All Papers'!$G:$G,"*"&amp;Table1[[#Headers],[Monitoring]]&amp;"*")</f>
        <v>0</v>
      </c>
      <c r="M1326" s="8">
        <f>COUNTIFS('All Papers'!$D:$D,"*"&amp;$A1326&amp;"*",'All Papers'!$G:$G,"*"&amp;Table1[[#Headers],[Pricing]]&amp;"*")</f>
        <v>0</v>
      </c>
    </row>
    <row r="1327" spans="1:13" x14ac:dyDescent="0.25">
      <c r="A1327" s="8" t="s">
        <v>3760</v>
      </c>
      <c r="B1327" s="8">
        <f>COUNTIF('All Papers'!D:D,"*"&amp;Table1[[#This Row],[Name]]&amp;"*")</f>
        <v>1</v>
      </c>
      <c r="C1327" s="8">
        <f>COUNTIFS('All Papers'!$D:$D,"*"&amp;$A1327&amp;"*",'All Papers'!$G:$G,"*"&amp;Table1[[#Headers],[Composition]]&amp;"*")</f>
        <v>1</v>
      </c>
      <c r="D1327" s="8">
        <f>COUNTIFS('All Papers'!$D:$D,"*"&amp;$A1327&amp;"*",'All Papers'!$G:$G,"*"&amp;Table1[[#Headers],[Discovery]]&amp;"*")</f>
        <v>0</v>
      </c>
      <c r="E1327" s="8">
        <f>COUNTIFS('All Papers'!$D:$D,"*"&amp;$A1327&amp;"*",'All Papers'!$G:$G,"*"&amp;Table1[[#Headers],[Selection]]&amp;"*")</f>
        <v>0</v>
      </c>
      <c r="F1327" s="8">
        <f>COUNTIFS('All Papers'!$D:$D,"*"&amp;$A1327&amp;"*",'All Papers'!$G:$G,"*"&amp;Table1[[#Headers],[Recommendation]]&amp;"*")</f>
        <v>0</v>
      </c>
      <c r="G1327" s="8">
        <f>COUNTIFS('All Papers'!$D:$D,"*"&amp;$A1327&amp;"*",'All Papers'!$G:$G,"*"&amp;Table1[[#Headers],[Resource Management-CS]]&amp;"*")</f>
        <v>0</v>
      </c>
      <c r="H1327" s="8">
        <f>COUNTIFS('All Papers'!$D:$D,"*"&amp;$A1327&amp;"*",'All Papers'!$G:$G,"*"&amp;Table1[[#Headers],[Resource Management-PS]]&amp;"*")</f>
        <v>0</v>
      </c>
      <c r="I1327" s="8">
        <f>COUNTIFS('All Papers'!$D:$D,"*"&amp;$A1327&amp;"*",'All Papers'!$G:$G,"*"&amp;Table1[[#Headers],[SLA Management]]&amp;"*")</f>
        <v>0</v>
      </c>
      <c r="J1327" s="8">
        <f>COUNTIFS('All Papers'!$D:$D,"*"&amp;$A1327&amp;"*",'All Papers'!$G:$G,"*"&amp;Table1[[#Headers],[Big Data]]&amp;"*")</f>
        <v>0</v>
      </c>
      <c r="K1327" s="8">
        <f>COUNTIFS('All Papers'!$D:$D,"*"&amp;$A1327&amp;"*",'All Papers'!$G:$G,"*"&amp;Table1[[#Headers],[Energy Management]]&amp;"*")</f>
        <v>0</v>
      </c>
      <c r="L1327" s="8">
        <f>COUNTIFS('All Papers'!$D:$D,"*"&amp;$A1327&amp;"*",'All Papers'!$G:$G,"*"&amp;Table1[[#Headers],[Monitoring]]&amp;"*")</f>
        <v>0</v>
      </c>
      <c r="M1327" s="8">
        <f>COUNTIFS('All Papers'!$D:$D,"*"&amp;$A1327&amp;"*",'All Papers'!$G:$G,"*"&amp;Table1[[#Headers],[Pricing]]&amp;"*")</f>
        <v>0</v>
      </c>
    </row>
    <row r="1328" spans="1:13" x14ac:dyDescent="0.25">
      <c r="A1328" s="8" t="s">
        <v>3761</v>
      </c>
      <c r="B1328" s="8">
        <f>COUNTIF('All Papers'!D:D,"*"&amp;Table1[[#This Row],[Name]]&amp;"*")</f>
        <v>1</v>
      </c>
      <c r="C1328" s="8">
        <f>COUNTIFS('All Papers'!$D:$D,"*"&amp;$A1328&amp;"*",'All Papers'!$G:$G,"*"&amp;Table1[[#Headers],[Composition]]&amp;"*")</f>
        <v>1</v>
      </c>
      <c r="D1328" s="8">
        <f>COUNTIFS('All Papers'!$D:$D,"*"&amp;$A1328&amp;"*",'All Papers'!$G:$G,"*"&amp;Table1[[#Headers],[Discovery]]&amp;"*")</f>
        <v>0</v>
      </c>
      <c r="E1328" s="8">
        <f>COUNTIFS('All Papers'!$D:$D,"*"&amp;$A1328&amp;"*",'All Papers'!$G:$G,"*"&amp;Table1[[#Headers],[Selection]]&amp;"*")</f>
        <v>0</v>
      </c>
      <c r="F1328" s="8">
        <f>COUNTIFS('All Papers'!$D:$D,"*"&amp;$A1328&amp;"*",'All Papers'!$G:$G,"*"&amp;Table1[[#Headers],[Recommendation]]&amp;"*")</f>
        <v>0</v>
      </c>
      <c r="G1328" s="8">
        <f>COUNTIFS('All Papers'!$D:$D,"*"&amp;$A1328&amp;"*",'All Papers'!$G:$G,"*"&amp;Table1[[#Headers],[Resource Management-CS]]&amp;"*")</f>
        <v>0</v>
      </c>
      <c r="H1328" s="8">
        <f>COUNTIFS('All Papers'!$D:$D,"*"&amp;$A1328&amp;"*",'All Papers'!$G:$G,"*"&amp;Table1[[#Headers],[Resource Management-PS]]&amp;"*")</f>
        <v>0</v>
      </c>
      <c r="I1328" s="8">
        <f>COUNTIFS('All Papers'!$D:$D,"*"&amp;$A1328&amp;"*",'All Papers'!$G:$G,"*"&amp;Table1[[#Headers],[SLA Management]]&amp;"*")</f>
        <v>0</v>
      </c>
      <c r="J1328" s="8">
        <f>COUNTIFS('All Papers'!$D:$D,"*"&amp;$A1328&amp;"*",'All Papers'!$G:$G,"*"&amp;Table1[[#Headers],[Big Data]]&amp;"*")</f>
        <v>0</v>
      </c>
      <c r="K1328" s="8">
        <f>COUNTIFS('All Papers'!$D:$D,"*"&amp;$A1328&amp;"*",'All Papers'!$G:$G,"*"&amp;Table1[[#Headers],[Energy Management]]&amp;"*")</f>
        <v>0</v>
      </c>
      <c r="L1328" s="8">
        <f>COUNTIFS('All Papers'!$D:$D,"*"&amp;$A1328&amp;"*",'All Papers'!$G:$G,"*"&amp;Table1[[#Headers],[Monitoring]]&amp;"*")</f>
        <v>0</v>
      </c>
      <c r="M1328" s="8">
        <f>COUNTIFS('All Papers'!$D:$D,"*"&amp;$A1328&amp;"*",'All Papers'!$G:$G,"*"&amp;Table1[[#Headers],[Pricing]]&amp;"*")</f>
        <v>0</v>
      </c>
    </row>
    <row r="1329" spans="1:13" x14ac:dyDescent="0.25">
      <c r="A1329" s="8" t="s">
        <v>3762</v>
      </c>
      <c r="B1329" s="8">
        <f>COUNTIF('All Papers'!D:D,"*"&amp;Table1[[#This Row],[Name]]&amp;"*")</f>
        <v>1</v>
      </c>
      <c r="C1329" s="8">
        <f>COUNTIFS('All Papers'!$D:$D,"*"&amp;$A1329&amp;"*",'All Papers'!$G:$G,"*"&amp;Table1[[#Headers],[Composition]]&amp;"*")</f>
        <v>1</v>
      </c>
      <c r="D1329" s="8">
        <f>COUNTIFS('All Papers'!$D:$D,"*"&amp;$A1329&amp;"*",'All Papers'!$G:$G,"*"&amp;Table1[[#Headers],[Discovery]]&amp;"*")</f>
        <v>0</v>
      </c>
      <c r="E1329" s="8">
        <f>COUNTIFS('All Papers'!$D:$D,"*"&amp;$A1329&amp;"*",'All Papers'!$G:$G,"*"&amp;Table1[[#Headers],[Selection]]&amp;"*")</f>
        <v>0</v>
      </c>
      <c r="F1329" s="8">
        <f>COUNTIFS('All Papers'!$D:$D,"*"&amp;$A1329&amp;"*",'All Papers'!$G:$G,"*"&amp;Table1[[#Headers],[Recommendation]]&amp;"*")</f>
        <v>0</v>
      </c>
      <c r="G1329" s="8">
        <f>COUNTIFS('All Papers'!$D:$D,"*"&amp;$A1329&amp;"*",'All Papers'!$G:$G,"*"&amp;Table1[[#Headers],[Resource Management-CS]]&amp;"*")</f>
        <v>0</v>
      </c>
      <c r="H1329" s="8">
        <f>COUNTIFS('All Papers'!$D:$D,"*"&amp;$A1329&amp;"*",'All Papers'!$G:$G,"*"&amp;Table1[[#Headers],[Resource Management-PS]]&amp;"*")</f>
        <v>0</v>
      </c>
      <c r="I1329" s="8">
        <f>COUNTIFS('All Papers'!$D:$D,"*"&amp;$A1329&amp;"*",'All Papers'!$G:$G,"*"&amp;Table1[[#Headers],[SLA Management]]&amp;"*")</f>
        <v>0</v>
      </c>
      <c r="J1329" s="8">
        <f>COUNTIFS('All Papers'!$D:$D,"*"&amp;$A1329&amp;"*",'All Papers'!$G:$G,"*"&amp;Table1[[#Headers],[Big Data]]&amp;"*")</f>
        <v>0</v>
      </c>
      <c r="K1329" s="8">
        <f>COUNTIFS('All Papers'!$D:$D,"*"&amp;$A1329&amp;"*",'All Papers'!$G:$G,"*"&amp;Table1[[#Headers],[Energy Management]]&amp;"*")</f>
        <v>0</v>
      </c>
      <c r="L1329" s="8">
        <f>COUNTIFS('All Papers'!$D:$D,"*"&amp;$A1329&amp;"*",'All Papers'!$G:$G,"*"&amp;Table1[[#Headers],[Monitoring]]&amp;"*")</f>
        <v>0</v>
      </c>
      <c r="M1329" s="8">
        <f>COUNTIFS('All Papers'!$D:$D,"*"&amp;$A1329&amp;"*",'All Papers'!$G:$G,"*"&amp;Table1[[#Headers],[Pricing]]&amp;"*")</f>
        <v>0</v>
      </c>
    </row>
    <row r="1330" spans="1:13" x14ac:dyDescent="0.25">
      <c r="A1330" s="8" t="s">
        <v>3763</v>
      </c>
      <c r="B1330" s="8">
        <f>COUNTIF('All Papers'!D:D,"*"&amp;Table1[[#This Row],[Name]]&amp;"*")</f>
        <v>1</v>
      </c>
      <c r="C1330" s="8">
        <f>COUNTIFS('All Papers'!$D:$D,"*"&amp;$A1330&amp;"*",'All Papers'!$G:$G,"*"&amp;Table1[[#Headers],[Composition]]&amp;"*")</f>
        <v>1</v>
      </c>
      <c r="D1330" s="8">
        <f>COUNTIFS('All Papers'!$D:$D,"*"&amp;$A1330&amp;"*",'All Papers'!$G:$G,"*"&amp;Table1[[#Headers],[Discovery]]&amp;"*")</f>
        <v>0</v>
      </c>
      <c r="E1330" s="8">
        <f>COUNTIFS('All Papers'!$D:$D,"*"&amp;$A1330&amp;"*",'All Papers'!$G:$G,"*"&amp;Table1[[#Headers],[Selection]]&amp;"*")</f>
        <v>0</v>
      </c>
      <c r="F1330" s="8">
        <f>COUNTIFS('All Papers'!$D:$D,"*"&amp;$A1330&amp;"*",'All Papers'!$G:$G,"*"&amp;Table1[[#Headers],[Recommendation]]&amp;"*")</f>
        <v>0</v>
      </c>
      <c r="G1330" s="8">
        <f>COUNTIFS('All Papers'!$D:$D,"*"&amp;$A1330&amp;"*",'All Papers'!$G:$G,"*"&amp;Table1[[#Headers],[Resource Management-CS]]&amp;"*")</f>
        <v>0</v>
      </c>
      <c r="H1330" s="8">
        <f>COUNTIFS('All Papers'!$D:$D,"*"&amp;$A1330&amp;"*",'All Papers'!$G:$G,"*"&amp;Table1[[#Headers],[Resource Management-PS]]&amp;"*")</f>
        <v>0</v>
      </c>
      <c r="I1330" s="8">
        <f>COUNTIFS('All Papers'!$D:$D,"*"&amp;$A1330&amp;"*",'All Papers'!$G:$G,"*"&amp;Table1[[#Headers],[SLA Management]]&amp;"*")</f>
        <v>0</v>
      </c>
      <c r="J1330" s="8">
        <f>COUNTIFS('All Papers'!$D:$D,"*"&amp;$A1330&amp;"*",'All Papers'!$G:$G,"*"&amp;Table1[[#Headers],[Big Data]]&amp;"*")</f>
        <v>0</v>
      </c>
      <c r="K1330" s="8">
        <f>COUNTIFS('All Papers'!$D:$D,"*"&amp;$A1330&amp;"*",'All Papers'!$G:$G,"*"&amp;Table1[[#Headers],[Energy Management]]&amp;"*")</f>
        <v>0</v>
      </c>
      <c r="L1330" s="8">
        <f>COUNTIFS('All Papers'!$D:$D,"*"&amp;$A1330&amp;"*",'All Papers'!$G:$G,"*"&amp;Table1[[#Headers],[Monitoring]]&amp;"*")</f>
        <v>0</v>
      </c>
      <c r="M1330" s="8">
        <f>COUNTIFS('All Papers'!$D:$D,"*"&amp;$A1330&amp;"*",'All Papers'!$G:$G,"*"&amp;Table1[[#Headers],[Pricing]]&amp;"*")</f>
        <v>0</v>
      </c>
    </row>
    <row r="1331" spans="1:13" x14ac:dyDescent="0.25">
      <c r="A1331" s="8" t="s">
        <v>3764</v>
      </c>
      <c r="B1331" s="8">
        <f>COUNTIF('All Papers'!D:D,"*"&amp;Table1[[#This Row],[Name]]&amp;"*")</f>
        <v>1</v>
      </c>
      <c r="C1331" s="8">
        <f>COUNTIFS('All Papers'!$D:$D,"*"&amp;$A1331&amp;"*",'All Papers'!$G:$G,"*"&amp;Table1[[#Headers],[Composition]]&amp;"*")</f>
        <v>1</v>
      </c>
      <c r="D1331" s="8">
        <f>COUNTIFS('All Papers'!$D:$D,"*"&amp;$A1331&amp;"*",'All Papers'!$G:$G,"*"&amp;Table1[[#Headers],[Discovery]]&amp;"*")</f>
        <v>0</v>
      </c>
      <c r="E1331" s="8">
        <f>COUNTIFS('All Papers'!$D:$D,"*"&amp;$A1331&amp;"*",'All Papers'!$G:$G,"*"&amp;Table1[[#Headers],[Selection]]&amp;"*")</f>
        <v>0</v>
      </c>
      <c r="F1331" s="8">
        <f>COUNTIFS('All Papers'!$D:$D,"*"&amp;$A1331&amp;"*",'All Papers'!$G:$G,"*"&amp;Table1[[#Headers],[Recommendation]]&amp;"*")</f>
        <v>0</v>
      </c>
      <c r="G1331" s="8">
        <f>COUNTIFS('All Papers'!$D:$D,"*"&amp;$A1331&amp;"*",'All Papers'!$G:$G,"*"&amp;Table1[[#Headers],[Resource Management-CS]]&amp;"*")</f>
        <v>0</v>
      </c>
      <c r="H1331" s="8">
        <f>COUNTIFS('All Papers'!$D:$D,"*"&amp;$A1331&amp;"*",'All Papers'!$G:$G,"*"&amp;Table1[[#Headers],[Resource Management-PS]]&amp;"*")</f>
        <v>0</v>
      </c>
      <c r="I1331" s="8">
        <f>COUNTIFS('All Papers'!$D:$D,"*"&amp;$A1331&amp;"*",'All Papers'!$G:$G,"*"&amp;Table1[[#Headers],[SLA Management]]&amp;"*")</f>
        <v>0</v>
      </c>
      <c r="J1331" s="8">
        <f>COUNTIFS('All Papers'!$D:$D,"*"&amp;$A1331&amp;"*",'All Papers'!$G:$G,"*"&amp;Table1[[#Headers],[Big Data]]&amp;"*")</f>
        <v>0</v>
      </c>
      <c r="K1331" s="8">
        <f>COUNTIFS('All Papers'!$D:$D,"*"&amp;$A1331&amp;"*",'All Papers'!$G:$G,"*"&amp;Table1[[#Headers],[Energy Management]]&amp;"*")</f>
        <v>0</v>
      </c>
      <c r="L1331" s="8">
        <f>COUNTIFS('All Papers'!$D:$D,"*"&amp;$A1331&amp;"*",'All Papers'!$G:$G,"*"&amp;Table1[[#Headers],[Monitoring]]&amp;"*")</f>
        <v>0</v>
      </c>
      <c r="M1331" s="8">
        <f>COUNTIFS('All Papers'!$D:$D,"*"&amp;$A1331&amp;"*",'All Papers'!$G:$G,"*"&amp;Table1[[#Headers],[Pricing]]&amp;"*")</f>
        <v>0</v>
      </c>
    </row>
    <row r="1332" spans="1:13" x14ac:dyDescent="0.25">
      <c r="A1332" s="8" t="s">
        <v>3765</v>
      </c>
      <c r="B1332" s="8">
        <f>COUNTIF('All Papers'!D:D,"*"&amp;Table1[[#This Row],[Name]]&amp;"*")</f>
        <v>1</v>
      </c>
      <c r="C1332" s="8">
        <f>COUNTIFS('All Papers'!$D:$D,"*"&amp;$A1332&amp;"*",'All Papers'!$G:$G,"*"&amp;Table1[[#Headers],[Composition]]&amp;"*")</f>
        <v>1</v>
      </c>
      <c r="D1332" s="8">
        <f>COUNTIFS('All Papers'!$D:$D,"*"&amp;$A1332&amp;"*",'All Papers'!$G:$G,"*"&amp;Table1[[#Headers],[Discovery]]&amp;"*")</f>
        <v>0</v>
      </c>
      <c r="E1332" s="8">
        <f>COUNTIFS('All Papers'!$D:$D,"*"&amp;$A1332&amp;"*",'All Papers'!$G:$G,"*"&amp;Table1[[#Headers],[Selection]]&amp;"*")</f>
        <v>0</v>
      </c>
      <c r="F1332" s="8">
        <f>COUNTIFS('All Papers'!$D:$D,"*"&amp;$A1332&amp;"*",'All Papers'!$G:$G,"*"&amp;Table1[[#Headers],[Recommendation]]&amp;"*")</f>
        <v>0</v>
      </c>
      <c r="G1332" s="8">
        <f>COUNTIFS('All Papers'!$D:$D,"*"&amp;$A1332&amp;"*",'All Papers'!$G:$G,"*"&amp;Table1[[#Headers],[Resource Management-CS]]&amp;"*")</f>
        <v>0</v>
      </c>
      <c r="H1332" s="8">
        <f>COUNTIFS('All Papers'!$D:$D,"*"&amp;$A1332&amp;"*",'All Papers'!$G:$G,"*"&amp;Table1[[#Headers],[Resource Management-PS]]&amp;"*")</f>
        <v>0</v>
      </c>
      <c r="I1332" s="8">
        <f>COUNTIFS('All Papers'!$D:$D,"*"&amp;$A1332&amp;"*",'All Papers'!$G:$G,"*"&amp;Table1[[#Headers],[SLA Management]]&amp;"*")</f>
        <v>0</v>
      </c>
      <c r="J1332" s="8">
        <f>COUNTIFS('All Papers'!$D:$D,"*"&amp;$A1332&amp;"*",'All Papers'!$G:$G,"*"&amp;Table1[[#Headers],[Big Data]]&amp;"*")</f>
        <v>0</v>
      </c>
      <c r="K1332" s="8">
        <f>COUNTIFS('All Papers'!$D:$D,"*"&amp;$A1332&amp;"*",'All Papers'!$G:$G,"*"&amp;Table1[[#Headers],[Energy Management]]&amp;"*")</f>
        <v>0</v>
      </c>
      <c r="L1332" s="8">
        <f>COUNTIFS('All Papers'!$D:$D,"*"&amp;$A1332&amp;"*",'All Papers'!$G:$G,"*"&amp;Table1[[#Headers],[Monitoring]]&amp;"*")</f>
        <v>0</v>
      </c>
      <c r="M1332" s="8">
        <f>COUNTIFS('All Papers'!$D:$D,"*"&amp;$A1332&amp;"*",'All Papers'!$G:$G,"*"&amp;Table1[[#Headers],[Pricing]]&amp;"*")</f>
        <v>0</v>
      </c>
    </row>
    <row r="1333" spans="1:13" x14ac:dyDescent="0.25">
      <c r="A1333" s="8" t="s">
        <v>3766</v>
      </c>
      <c r="B1333" s="8">
        <f>COUNTIF('All Papers'!D:D,"*"&amp;Table1[[#This Row],[Name]]&amp;"*")</f>
        <v>1</v>
      </c>
      <c r="C1333" s="8">
        <f>COUNTIFS('All Papers'!$D:$D,"*"&amp;$A1333&amp;"*",'All Papers'!$G:$G,"*"&amp;Table1[[#Headers],[Composition]]&amp;"*")</f>
        <v>1</v>
      </c>
      <c r="D1333" s="8">
        <f>COUNTIFS('All Papers'!$D:$D,"*"&amp;$A1333&amp;"*",'All Papers'!$G:$G,"*"&amp;Table1[[#Headers],[Discovery]]&amp;"*")</f>
        <v>0</v>
      </c>
      <c r="E1333" s="8">
        <f>COUNTIFS('All Papers'!$D:$D,"*"&amp;$A1333&amp;"*",'All Papers'!$G:$G,"*"&amp;Table1[[#Headers],[Selection]]&amp;"*")</f>
        <v>0</v>
      </c>
      <c r="F1333" s="8">
        <f>COUNTIFS('All Papers'!$D:$D,"*"&amp;$A1333&amp;"*",'All Papers'!$G:$G,"*"&amp;Table1[[#Headers],[Recommendation]]&amp;"*")</f>
        <v>0</v>
      </c>
      <c r="G1333" s="8">
        <f>COUNTIFS('All Papers'!$D:$D,"*"&amp;$A1333&amp;"*",'All Papers'!$G:$G,"*"&amp;Table1[[#Headers],[Resource Management-CS]]&amp;"*")</f>
        <v>0</v>
      </c>
      <c r="H1333" s="8">
        <f>COUNTIFS('All Papers'!$D:$D,"*"&amp;$A1333&amp;"*",'All Papers'!$G:$G,"*"&amp;Table1[[#Headers],[Resource Management-PS]]&amp;"*")</f>
        <v>0</v>
      </c>
      <c r="I1333" s="8">
        <f>COUNTIFS('All Papers'!$D:$D,"*"&amp;$A1333&amp;"*",'All Papers'!$G:$G,"*"&amp;Table1[[#Headers],[SLA Management]]&amp;"*")</f>
        <v>0</v>
      </c>
      <c r="J1333" s="8">
        <f>COUNTIFS('All Papers'!$D:$D,"*"&amp;$A1333&amp;"*",'All Papers'!$G:$G,"*"&amp;Table1[[#Headers],[Big Data]]&amp;"*")</f>
        <v>0</v>
      </c>
      <c r="K1333" s="8">
        <f>COUNTIFS('All Papers'!$D:$D,"*"&amp;$A1333&amp;"*",'All Papers'!$G:$G,"*"&amp;Table1[[#Headers],[Energy Management]]&amp;"*")</f>
        <v>0</v>
      </c>
      <c r="L1333" s="8">
        <f>COUNTIFS('All Papers'!$D:$D,"*"&amp;$A1333&amp;"*",'All Papers'!$G:$G,"*"&amp;Table1[[#Headers],[Monitoring]]&amp;"*")</f>
        <v>0</v>
      </c>
      <c r="M1333" s="8">
        <f>COUNTIFS('All Papers'!$D:$D,"*"&amp;$A1333&amp;"*",'All Papers'!$G:$G,"*"&amp;Table1[[#Headers],[Pricing]]&amp;"*")</f>
        <v>0</v>
      </c>
    </row>
    <row r="1334" spans="1:13" x14ac:dyDescent="0.25">
      <c r="A1334" s="8" t="s">
        <v>3767</v>
      </c>
      <c r="B1334" s="8">
        <f>COUNTIF('All Papers'!D:D,"*"&amp;Table1[[#This Row],[Name]]&amp;"*")</f>
        <v>1</v>
      </c>
      <c r="C1334" s="8">
        <f>COUNTIFS('All Papers'!$D:$D,"*"&amp;$A1334&amp;"*",'All Papers'!$G:$G,"*"&amp;Table1[[#Headers],[Composition]]&amp;"*")</f>
        <v>1</v>
      </c>
      <c r="D1334" s="8">
        <f>COUNTIFS('All Papers'!$D:$D,"*"&amp;$A1334&amp;"*",'All Papers'!$G:$G,"*"&amp;Table1[[#Headers],[Discovery]]&amp;"*")</f>
        <v>0</v>
      </c>
      <c r="E1334" s="8">
        <f>COUNTIFS('All Papers'!$D:$D,"*"&amp;$A1334&amp;"*",'All Papers'!$G:$G,"*"&amp;Table1[[#Headers],[Selection]]&amp;"*")</f>
        <v>0</v>
      </c>
      <c r="F1334" s="8">
        <f>COUNTIFS('All Papers'!$D:$D,"*"&amp;$A1334&amp;"*",'All Papers'!$G:$G,"*"&amp;Table1[[#Headers],[Recommendation]]&amp;"*")</f>
        <v>0</v>
      </c>
      <c r="G1334" s="8">
        <f>COUNTIFS('All Papers'!$D:$D,"*"&amp;$A1334&amp;"*",'All Papers'!$G:$G,"*"&amp;Table1[[#Headers],[Resource Management-CS]]&amp;"*")</f>
        <v>0</v>
      </c>
      <c r="H1334" s="8">
        <f>COUNTIFS('All Papers'!$D:$D,"*"&amp;$A1334&amp;"*",'All Papers'!$G:$G,"*"&amp;Table1[[#Headers],[Resource Management-PS]]&amp;"*")</f>
        <v>0</v>
      </c>
      <c r="I1334" s="8">
        <f>COUNTIFS('All Papers'!$D:$D,"*"&amp;$A1334&amp;"*",'All Papers'!$G:$G,"*"&amp;Table1[[#Headers],[SLA Management]]&amp;"*")</f>
        <v>0</v>
      </c>
      <c r="J1334" s="8">
        <f>COUNTIFS('All Papers'!$D:$D,"*"&amp;$A1334&amp;"*",'All Papers'!$G:$G,"*"&amp;Table1[[#Headers],[Big Data]]&amp;"*")</f>
        <v>0</v>
      </c>
      <c r="K1334" s="8">
        <f>COUNTIFS('All Papers'!$D:$D,"*"&amp;$A1334&amp;"*",'All Papers'!$G:$G,"*"&amp;Table1[[#Headers],[Energy Management]]&amp;"*")</f>
        <v>0</v>
      </c>
      <c r="L1334" s="8">
        <f>COUNTIFS('All Papers'!$D:$D,"*"&amp;$A1334&amp;"*",'All Papers'!$G:$G,"*"&amp;Table1[[#Headers],[Monitoring]]&amp;"*")</f>
        <v>0</v>
      </c>
      <c r="M1334" s="8">
        <f>COUNTIFS('All Papers'!$D:$D,"*"&amp;$A1334&amp;"*",'All Papers'!$G:$G,"*"&amp;Table1[[#Headers],[Pricing]]&amp;"*")</f>
        <v>0</v>
      </c>
    </row>
    <row r="1335" spans="1:13" x14ac:dyDescent="0.25">
      <c r="A1335" s="8" t="s">
        <v>3768</v>
      </c>
      <c r="B1335" s="8">
        <f>COUNTIF('All Papers'!D:D,"*"&amp;Table1[[#This Row],[Name]]&amp;"*")</f>
        <v>1</v>
      </c>
      <c r="C1335" s="8">
        <f>COUNTIFS('All Papers'!$D:$D,"*"&amp;$A1335&amp;"*",'All Papers'!$G:$G,"*"&amp;Table1[[#Headers],[Composition]]&amp;"*")</f>
        <v>1</v>
      </c>
      <c r="D1335" s="8">
        <f>COUNTIFS('All Papers'!$D:$D,"*"&amp;$A1335&amp;"*",'All Papers'!$G:$G,"*"&amp;Table1[[#Headers],[Discovery]]&amp;"*")</f>
        <v>0</v>
      </c>
      <c r="E1335" s="8">
        <f>COUNTIFS('All Papers'!$D:$D,"*"&amp;$A1335&amp;"*",'All Papers'!$G:$G,"*"&amp;Table1[[#Headers],[Selection]]&amp;"*")</f>
        <v>0</v>
      </c>
      <c r="F1335" s="8">
        <f>COUNTIFS('All Papers'!$D:$D,"*"&amp;$A1335&amp;"*",'All Papers'!$G:$G,"*"&amp;Table1[[#Headers],[Recommendation]]&amp;"*")</f>
        <v>0</v>
      </c>
      <c r="G1335" s="8">
        <f>COUNTIFS('All Papers'!$D:$D,"*"&amp;$A1335&amp;"*",'All Papers'!$G:$G,"*"&amp;Table1[[#Headers],[Resource Management-CS]]&amp;"*")</f>
        <v>0</v>
      </c>
      <c r="H1335" s="8">
        <f>COUNTIFS('All Papers'!$D:$D,"*"&amp;$A1335&amp;"*",'All Papers'!$G:$G,"*"&amp;Table1[[#Headers],[Resource Management-PS]]&amp;"*")</f>
        <v>0</v>
      </c>
      <c r="I1335" s="8">
        <f>COUNTIFS('All Papers'!$D:$D,"*"&amp;$A1335&amp;"*",'All Papers'!$G:$G,"*"&amp;Table1[[#Headers],[SLA Management]]&amp;"*")</f>
        <v>0</v>
      </c>
      <c r="J1335" s="8">
        <f>COUNTIFS('All Papers'!$D:$D,"*"&amp;$A1335&amp;"*",'All Papers'!$G:$G,"*"&amp;Table1[[#Headers],[Big Data]]&amp;"*")</f>
        <v>0</v>
      </c>
      <c r="K1335" s="8">
        <f>COUNTIFS('All Papers'!$D:$D,"*"&amp;$A1335&amp;"*",'All Papers'!$G:$G,"*"&amp;Table1[[#Headers],[Energy Management]]&amp;"*")</f>
        <v>0</v>
      </c>
      <c r="L1335" s="8">
        <f>COUNTIFS('All Papers'!$D:$D,"*"&amp;$A1335&amp;"*",'All Papers'!$G:$G,"*"&amp;Table1[[#Headers],[Monitoring]]&amp;"*")</f>
        <v>0</v>
      </c>
      <c r="M1335" s="8">
        <f>COUNTIFS('All Papers'!$D:$D,"*"&amp;$A1335&amp;"*",'All Papers'!$G:$G,"*"&amp;Table1[[#Headers],[Pricing]]&amp;"*")</f>
        <v>0</v>
      </c>
    </row>
    <row r="1336" spans="1:13" x14ac:dyDescent="0.25">
      <c r="A1336" s="8" t="s">
        <v>3769</v>
      </c>
      <c r="B1336" s="8">
        <f>COUNTIF('All Papers'!D:D,"*"&amp;Table1[[#This Row],[Name]]&amp;"*")</f>
        <v>1</v>
      </c>
      <c r="C1336" s="8">
        <f>COUNTIFS('All Papers'!$D:$D,"*"&amp;$A1336&amp;"*",'All Papers'!$G:$G,"*"&amp;Table1[[#Headers],[Composition]]&amp;"*")</f>
        <v>1</v>
      </c>
      <c r="D1336" s="8">
        <f>COUNTIFS('All Papers'!$D:$D,"*"&amp;$A1336&amp;"*",'All Papers'!$G:$G,"*"&amp;Table1[[#Headers],[Discovery]]&amp;"*")</f>
        <v>0</v>
      </c>
      <c r="E1336" s="8">
        <f>COUNTIFS('All Papers'!$D:$D,"*"&amp;$A1336&amp;"*",'All Papers'!$G:$G,"*"&amp;Table1[[#Headers],[Selection]]&amp;"*")</f>
        <v>0</v>
      </c>
      <c r="F1336" s="8">
        <f>COUNTIFS('All Papers'!$D:$D,"*"&amp;$A1336&amp;"*",'All Papers'!$G:$G,"*"&amp;Table1[[#Headers],[Recommendation]]&amp;"*")</f>
        <v>0</v>
      </c>
      <c r="G1336" s="8">
        <f>COUNTIFS('All Papers'!$D:$D,"*"&amp;$A1336&amp;"*",'All Papers'!$G:$G,"*"&amp;Table1[[#Headers],[Resource Management-CS]]&amp;"*")</f>
        <v>0</v>
      </c>
      <c r="H1336" s="8">
        <f>COUNTIFS('All Papers'!$D:$D,"*"&amp;$A1336&amp;"*",'All Papers'!$G:$G,"*"&amp;Table1[[#Headers],[Resource Management-PS]]&amp;"*")</f>
        <v>0</v>
      </c>
      <c r="I1336" s="8">
        <f>COUNTIFS('All Papers'!$D:$D,"*"&amp;$A1336&amp;"*",'All Papers'!$G:$G,"*"&amp;Table1[[#Headers],[SLA Management]]&amp;"*")</f>
        <v>0</v>
      </c>
      <c r="J1336" s="8">
        <f>COUNTIFS('All Papers'!$D:$D,"*"&amp;$A1336&amp;"*",'All Papers'!$G:$G,"*"&amp;Table1[[#Headers],[Big Data]]&amp;"*")</f>
        <v>0</v>
      </c>
      <c r="K1336" s="8">
        <f>COUNTIFS('All Papers'!$D:$D,"*"&amp;$A1336&amp;"*",'All Papers'!$G:$G,"*"&amp;Table1[[#Headers],[Energy Management]]&amp;"*")</f>
        <v>0</v>
      </c>
      <c r="L1336" s="8">
        <f>COUNTIFS('All Papers'!$D:$D,"*"&amp;$A1336&amp;"*",'All Papers'!$G:$G,"*"&amp;Table1[[#Headers],[Monitoring]]&amp;"*")</f>
        <v>0</v>
      </c>
      <c r="M1336" s="8">
        <f>COUNTIFS('All Papers'!$D:$D,"*"&amp;$A1336&amp;"*",'All Papers'!$G:$G,"*"&amp;Table1[[#Headers],[Pricing]]&amp;"*")</f>
        <v>0</v>
      </c>
    </row>
    <row r="1337" spans="1:13" x14ac:dyDescent="0.25">
      <c r="A1337" s="8" t="s">
        <v>3770</v>
      </c>
      <c r="B1337" s="8">
        <f>COUNTIF('All Papers'!D:D,"*"&amp;Table1[[#This Row],[Name]]&amp;"*")</f>
        <v>1</v>
      </c>
      <c r="C1337" s="8">
        <f>COUNTIFS('All Papers'!$D:$D,"*"&amp;$A1337&amp;"*",'All Papers'!$G:$G,"*"&amp;Table1[[#Headers],[Composition]]&amp;"*")</f>
        <v>1</v>
      </c>
      <c r="D1337" s="8">
        <f>COUNTIFS('All Papers'!$D:$D,"*"&amp;$A1337&amp;"*",'All Papers'!$G:$G,"*"&amp;Table1[[#Headers],[Discovery]]&amp;"*")</f>
        <v>0</v>
      </c>
      <c r="E1337" s="8">
        <f>COUNTIFS('All Papers'!$D:$D,"*"&amp;$A1337&amp;"*",'All Papers'!$G:$G,"*"&amp;Table1[[#Headers],[Selection]]&amp;"*")</f>
        <v>0</v>
      </c>
      <c r="F1337" s="8">
        <f>COUNTIFS('All Papers'!$D:$D,"*"&amp;$A1337&amp;"*",'All Papers'!$G:$G,"*"&amp;Table1[[#Headers],[Recommendation]]&amp;"*")</f>
        <v>0</v>
      </c>
      <c r="G1337" s="8">
        <f>COUNTIFS('All Papers'!$D:$D,"*"&amp;$A1337&amp;"*",'All Papers'!$G:$G,"*"&amp;Table1[[#Headers],[Resource Management-CS]]&amp;"*")</f>
        <v>0</v>
      </c>
      <c r="H1337" s="8">
        <f>COUNTIFS('All Papers'!$D:$D,"*"&amp;$A1337&amp;"*",'All Papers'!$G:$G,"*"&amp;Table1[[#Headers],[Resource Management-PS]]&amp;"*")</f>
        <v>0</v>
      </c>
      <c r="I1337" s="8">
        <f>COUNTIFS('All Papers'!$D:$D,"*"&amp;$A1337&amp;"*",'All Papers'!$G:$G,"*"&amp;Table1[[#Headers],[SLA Management]]&amp;"*")</f>
        <v>0</v>
      </c>
      <c r="J1337" s="8">
        <f>COUNTIFS('All Papers'!$D:$D,"*"&amp;$A1337&amp;"*",'All Papers'!$G:$G,"*"&amp;Table1[[#Headers],[Big Data]]&amp;"*")</f>
        <v>0</v>
      </c>
      <c r="K1337" s="8">
        <f>COUNTIFS('All Papers'!$D:$D,"*"&amp;$A1337&amp;"*",'All Papers'!$G:$G,"*"&amp;Table1[[#Headers],[Energy Management]]&amp;"*")</f>
        <v>0</v>
      </c>
      <c r="L1337" s="8">
        <f>COUNTIFS('All Papers'!$D:$D,"*"&amp;$A1337&amp;"*",'All Papers'!$G:$G,"*"&amp;Table1[[#Headers],[Monitoring]]&amp;"*")</f>
        <v>0</v>
      </c>
      <c r="M1337" s="8">
        <f>COUNTIFS('All Papers'!$D:$D,"*"&amp;$A1337&amp;"*",'All Papers'!$G:$G,"*"&amp;Table1[[#Headers],[Pricing]]&amp;"*")</f>
        <v>0</v>
      </c>
    </row>
    <row r="1338" spans="1:13" x14ac:dyDescent="0.25">
      <c r="A1338" s="8" t="s">
        <v>3771</v>
      </c>
      <c r="B1338" s="8">
        <f>COUNTIF('All Papers'!D:D,"*"&amp;Table1[[#This Row],[Name]]&amp;"*")</f>
        <v>1</v>
      </c>
      <c r="C1338" s="8">
        <f>COUNTIFS('All Papers'!$D:$D,"*"&amp;$A1338&amp;"*",'All Papers'!$G:$G,"*"&amp;Table1[[#Headers],[Composition]]&amp;"*")</f>
        <v>1</v>
      </c>
      <c r="D1338" s="8">
        <f>COUNTIFS('All Papers'!$D:$D,"*"&amp;$A1338&amp;"*",'All Papers'!$G:$G,"*"&amp;Table1[[#Headers],[Discovery]]&amp;"*")</f>
        <v>0</v>
      </c>
      <c r="E1338" s="8">
        <f>COUNTIFS('All Papers'!$D:$D,"*"&amp;$A1338&amp;"*",'All Papers'!$G:$G,"*"&amp;Table1[[#Headers],[Selection]]&amp;"*")</f>
        <v>0</v>
      </c>
      <c r="F1338" s="8">
        <f>COUNTIFS('All Papers'!$D:$D,"*"&amp;$A1338&amp;"*",'All Papers'!$G:$G,"*"&amp;Table1[[#Headers],[Recommendation]]&amp;"*")</f>
        <v>0</v>
      </c>
      <c r="G1338" s="8">
        <f>COUNTIFS('All Papers'!$D:$D,"*"&amp;$A1338&amp;"*",'All Papers'!$G:$G,"*"&amp;Table1[[#Headers],[Resource Management-CS]]&amp;"*")</f>
        <v>0</v>
      </c>
      <c r="H1338" s="8">
        <f>COUNTIFS('All Papers'!$D:$D,"*"&amp;$A1338&amp;"*",'All Papers'!$G:$G,"*"&amp;Table1[[#Headers],[Resource Management-PS]]&amp;"*")</f>
        <v>0</v>
      </c>
      <c r="I1338" s="8">
        <f>COUNTIFS('All Papers'!$D:$D,"*"&amp;$A1338&amp;"*",'All Papers'!$G:$G,"*"&amp;Table1[[#Headers],[SLA Management]]&amp;"*")</f>
        <v>0</v>
      </c>
      <c r="J1338" s="8">
        <f>COUNTIFS('All Papers'!$D:$D,"*"&amp;$A1338&amp;"*",'All Papers'!$G:$G,"*"&amp;Table1[[#Headers],[Big Data]]&amp;"*")</f>
        <v>0</v>
      </c>
      <c r="K1338" s="8">
        <f>COUNTIFS('All Papers'!$D:$D,"*"&amp;$A1338&amp;"*",'All Papers'!$G:$G,"*"&amp;Table1[[#Headers],[Energy Management]]&amp;"*")</f>
        <v>0</v>
      </c>
      <c r="L1338" s="8">
        <f>COUNTIFS('All Papers'!$D:$D,"*"&amp;$A1338&amp;"*",'All Papers'!$G:$G,"*"&amp;Table1[[#Headers],[Monitoring]]&amp;"*")</f>
        <v>0</v>
      </c>
      <c r="M1338" s="8">
        <f>COUNTIFS('All Papers'!$D:$D,"*"&amp;$A1338&amp;"*",'All Papers'!$G:$G,"*"&amp;Table1[[#Headers],[Pricing]]&amp;"*")</f>
        <v>0</v>
      </c>
    </row>
    <row r="1339" spans="1:13" x14ac:dyDescent="0.25">
      <c r="A1339" s="8" t="s">
        <v>3772</v>
      </c>
      <c r="B1339" s="8">
        <f>COUNTIF('All Papers'!D:D,"*"&amp;Table1[[#This Row],[Name]]&amp;"*")</f>
        <v>1</v>
      </c>
      <c r="C1339" s="8">
        <f>COUNTIFS('All Papers'!$D:$D,"*"&amp;$A1339&amp;"*",'All Papers'!$G:$G,"*"&amp;Table1[[#Headers],[Composition]]&amp;"*")</f>
        <v>1</v>
      </c>
      <c r="D1339" s="8">
        <f>COUNTIFS('All Papers'!$D:$D,"*"&amp;$A1339&amp;"*",'All Papers'!$G:$G,"*"&amp;Table1[[#Headers],[Discovery]]&amp;"*")</f>
        <v>0</v>
      </c>
      <c r="E1339" s="8">
        <f>COUNTIFS('All Papers'!$D:$D,"*"&amp;$A1339&amp;"*",'All Papers'!$G:$G,"*"&amp;Table1[[#Headers],[Selection]]&amp;"*")</f>
        <v>0</v>
      </c>
      <c r="F1339" s="8">
        <f>COUNTIFS('All Papers'!$D:$D,"*"&amp;$A1339&amp;"*",'All Papers'!$G:$G,"*"&amp;Table1[[#Headers],[Recommendation]]&amp;"*")</f>
        <v>0</v>
      </c>
      <c r="G1339" s="8">
        <f>COUNTIFS('All Papers'!$D:$D,"*"&amp;$A1339&amp;"*",'All Papers'!$G:$G,"*"&amp;Table1[[#Headers],[Resource Management-CS]]&amp;"*")</f>
        <v>0</v>
      </c>
      <c r="H1339" s="8">
        <f>COUNTIFS('All Papers'!$D:$D,"*"&amp;$A1339&amp;"*",'All Papers'!$G:$G,"*"&amp;Table1[[#Headers],[Resource Management-PS]]&amp;"*")</f>
        <v>0</v>
      </c>
      <c r="I1339" s="8">
        <f>COUNTIFS('All Papers'!$D:$D,"*"&amp;$A1339&amp;"*",'All Papers'!$G:$G,"*"&amp;Table1[[#Headers],[SLA Management]]&amp;"*")</f>
        <v>0</v>
      </c>
      <c r="J1339" s="8">
        <f>COUNTIFS('All Papers'!$D:$D,"*"&amp;$A1339&amp;"*",'All Papers'!$G:$G,"*"&amp;Table1[[#Headers],[Big Data]]&amp;"*")</f>
        <v>0</v>
      </c>
      <c r="K1339" s="8">
        <f>COUNTIFS('All Papers'!$D:$D,"*"&amp;$A1339&amp;"*",'All Papers'!$G:$G,"*"&amp;Table1[[#Headers],[Energy Management]]&amp;"*")</f>
        <v>0</v>
      </c>
      <c r="L1339" s="8">
        <f>COUNTIFS('All Papers'!$D:$D,"*"&amp;$A1339&amp;"*",'All Papers'!$G:$G,"*"&amp;Table1[[#Headers],[Monitoring]]&amp;"*")</f>
        <v>0</v>
      </c>
      <c r="M1339" s="8">
        <f>COUNTIFS('All Papers'!$D:$D,"*"&amp;$A1339&amp;"*",'All Papers'!$G:$G,"*"&amp;Table1[[#Headers],[Pricing]]&amp;"*")</f>
        <v>0</v>
      </c>
    </row>
    <row r="1340" spans="1:13" x14ac:dyDescent="0.25">
      <c r="A1340" s="8" t="s">
        <v>3773</v>
      </c>
      <c r="B1340" s="8">
        <f>COUNTIF('All Papers'!D:D,"*"&amp;Table1[[#This Row],[Name]]&amp;"*")</f>
        <v>1</v>
      </c>
      <c r="C1340" s="8">
        <f>COUNTIFS('All Papers'!$D:$D,"*"&amp;$A1340&amp;"*",'All Papers'!$G:$G,"*"&amp;Table1[[#Headers],[Composition]]&amp;"*")</f>
        <v>1</v>
      </c>
      <c r="D1340" s="8">
        <f>COUNTIFS('All Papers'!$D:$D,"*"&amp;$A1340&amp;"*",'All Papers'!$G:$G,"*"&amp;Table1[[#Headers],[Discovery]]&amp;"*")</f>
        <v>0</v>
      </c>
      <c r="E1340" s="8">
        <f>COUNTIFS('All Papers'!$D:$D,"*"&amp;$A1340&amp;"*",'All Papers'!$G:$G,"*"&amp;Table1[[#Headers],[Selection]]&amp;"*")</f>
        <v>0</v>
      </c>
      <c r="F1340" s="8">
        <f>COUNTIFS('All Papers'!$D:$D,"*"&amp;$A1340&amp;"*",'All Papers'!$G:$G,"*"&amp;Table1[[#Headers],[Recommendation]]&amp;"*")</f>
        <v>0</v>
      </c>
      <c r="G1340" s="8">
        <f>COUNTIFS('All Papers'!$D:$D,"*"&amp;$A1340&amp;"*",'All Papers'!$G:$G,"*"&amp;Table1[[#Headers],[Resource Management-CS]]&amp;"*")</f>
        <v>0</v>
      </c>
      <c r="H1340" s="8">
        <f>COUNTIFS('All Papers'!$D:$D,"*"&amp;$A1340&amp;"*",'All Papers'!$G:$G,"*"&amp;Table1[[#Headers],[Resource Management-PS]]&amp;"*")</f>
        <v>0</v>
      </c>
      <c r="I1340" s="8">
        <f>COUNTIFS('All Papers'!$D:$D,"*"&amp;$A1340&amp;"*",'All Papers'!$G:$G,"*"&amp;Table1[[#Headers],[SLA Management]]&amp;"*")</f>
        <v>0</v>
      </c>
      <c r="J1340" s="8">
        <f>COUNTIFS('All Papers'!$D:$D,"*"&amp;$A1340&amp;"*",'All Papers'!$G:$G,"*"&amp;Table1[[#Headers],[Big Data]]&amp;"*")</f>
        <v>0</v>
      </c>
      <c r="K1340" s="8">
        <f>COUNTIFS('All Papers'!$D:$D,"*"&amp;$A1340&amp;"*",'All Papers'!$G:$G,"*"&amp;Table1[[#Headers],[Energy Management]]&amp;"*")</f>
        <v>0</v>
      </c>
      <c r="L1340" s="8">
        <f>COUNTIFS('All Papers'!$D:$D,"*"&amp;$A1340&amp;"*",'All Papers'!$G:$G,"*"&amp;Table1[[#Headers],[Monitoring]]&amp;"*")</f>
        <v>0</v>
      </c>
      <c r="M1340" s="8">
        <f>COUNTIFS('All Papers'!$D:$D,"*"&amp;$A1340&amp;"*",'All Papers'!$G:$G,"*"&amp;Table1[[#Headers],[Pricing]]&amp;"*")</f>
        <v>0</v>
      </c>
    </row>
    <row r="1341" spans="1:13" x14ac:dyDescent="0.25">
      <c r="A1341" s="8" t="s">
        <v>3774</v>
      </c>
      <c r="B1341" s="8">
        <f>COUNTIF('All Papers'!D:D,"*"&amp;Table1[[#This Row],[Name]]&amp;"*")</f>
        <v>1</v>
      </c>
      <c r="C1341" s="8">
        <f>COUNTIFS('All Papers'!$D:$D,"*"&amp;$A1341&amp;"*",'All Papers'!$G:$G,"*"&amp;Table1[[#Headers],[Composition]]&amp;"*")</f>
        <v>0</v>
      </c>
      <c r="D1341" s="8">
        <f>COUNTIFS('All Papers'!$D:$D,"*"&amp;$A1341&amp;"*",'All Papers'!$G:$G,"*"&amp;Table1[[#Headers],[Discovery]]&amp;"*")</f>
        <v>0</v>
      </c>
      <c r="E1341" s="8">
        <f>COUNTIFS('All Papers'!$D:$D,"*"&amp;$A1341&amp;"*",'All Papers'!$G:$G,"*"&amp;Table1[[#Headers],[Selection]]&amp;"*")</f>
        <v>0</v>
      </c>
      <c r="F1341" s="8">
        <f>COUNTIFS('All Papers'!$D:$D,"*"&amp;$A1341&amp;"*",'All Papers'!$G:$G,"*"&amp;Table1[[#Headers],[Recommendation]]&amp;"*")</f>
        <v>0</v>
      </c>
      <c r="G1341" s="8">
        <f>COUNTIFS('All Papers'!$D:$D,"*"&amp;$A1341&amp;"*",'All Papers'!$G:$G,"*"&amp;Table1[[#Headers],[Resource Management-CS]]&amp;"*")</f>
        <v>0</v>
      </c>
      <c r="H1341" s="8">
        <f>COUNTIFS('All Papers'!$D:$D,"*"&amp;$A1341&amp;"*",'All Papers'!$G:$G,"*"&amp;Table1[[#Headers],[Resource Management-PS]]&amp;"*")</f>
        <v>0</v>
      </c>
      <c r="I1341" s="8">
        <f>COUNTIFS('All Papers'!$D:$D,"*"&amp;$A1341&amp;"*",'All Papers'!$G:$G,"*"&amp;Table1[[#Headers],[SLA Management]]&amp;"*")</f>
        <v>0</v>
      </c>
      <c r="J1341" s="8">
        <f>COUNTIFS('All Papers'!$D:$D,"*"&amp;$A1341&amp;"*",'All Papers'!$G:$G,"*"&amp;Table1[[#Headers],[Big Data]]&amp;"*")</f>
        <v>0</v>
      </c>
      <c r="K1341" s="8">
        <f>COUNTIFS('All Papers'!$D:$D,"*"&amp;$A1341&amp;"*",'All Papers'!$G:$G,"*"&amp;Table1[[#Headers],[Energy Management]]&amp;"*")</f>
        <v>1</v>
      </c>
      <c r="L1341" s="8">
        <f>COUNTIFS('All Papers'!$D:$D,"*"&amp;$A1341&amp;"*",'All Papers'!$G:$G,"*"&amp;Table1[[#Headers],[Monitoring]]&amp;"*")</f>
        <v>0</v>
      </c>
      <c r="M1341" s="8">
        <f>COUNTIFS('All Papers'!$D:$D,"*"&amp;$A1341&amp;"*",'All Papers'!$G:$G,"*"&amp;Table1[[#Headers],[Pricing]]&amp;"*")</f>
        <v>0</v>
      </c>
    </row>
    <row r="1342" spans="1:13" x14ac:dyDescent="0.25">
      <c r="A1342" s="8" t="s">
        <v>3775</v>
      </c>
      <c r="B1342" s="8">
        <f>COUNTIF('All Papers'!D:D,"*"&amp;Table1[[#This Row],[Name]]&amp;"*")</f>
        <v>1</v>
      </c>
      <c r="C1342" s="8">
        <f>COUNTIFS('All Papers'!$D:$D,"*"&amp;$A1342&amp;"*",'All Papers'!$G:$G,"*"&amp;Table1[[#Headers],[Composition]]&amp;"*")</f>
        <v>0</v>
      </c>
      <c r="D1342" s="8">
        <f>COUNTIFS('All Papers'!$D:$D,"*"&amp;$A1342&amp;"*",'All Papers'!$G:$G,"*"&amp;Table1[[#Headers],[Discovery]]&amp;"*")</f>
        <v>0</v>
      </c>
      <c r="E1342" s="8">
        <f>COUNTIFS('All Papers'!$D:$D,"*"&amp;$A1342&amp;"*",'All Papers'!$G:$G,"*"&amp;Table1[[#Headers],[Selection]]&amp;"*")</f>
        <v>0</v>
      </c>
      <c r="F1342" s="8">
        <f>COUNTIFS('All Papers'!$D:$D,"*"&amp;$A1342&amp;"*",'All Papers'!$G:$G,"*"&amp;Table1[[#Headers],[Recommendation]]&amp;"*")</f>
        <v>0</v>
      </c>
      <c r="G1342" s="8">
        <f>COUNTIFS('All Papers'!$D:$D,"*"&amp;$A1342&amp;"*",'All Papers'!$G:$G,"*"&amp;Table1[[#Headers],[Resource Management-CS]]&amp;"*")</f>
        <v>0</v>
      </c>
      <c r="H1342" s="8">
        <f>COUNTIFS('All Papers'!$D:$D,"*"&amp;$A1342&amp;"*",'All Papers'!$G:$G,"*"&amp;Table1[[#Headers],[Resource Management-PS]]&amp;"*")</f>
        <v>0</v>
      </c>
      <c r="I1342" s="8">
        <f>COUNTIFS('All Papers'!$D:$D,"*"&amp;$A1342&amp;"*",'All Papers'!$G:$G,"*"&amp;Table1[[#Headers],[SLA Management]]&amp;"*")</f>
        <v>0</v>
      </c>
      <c r="J1342" s="8">
        <f>COUNTIFS('All Papers'!$D:$D,"*"&amp;$A1342&amp;"*",'All Papers'!$G:$G,"*"&amp;Table1[[#Headers],[Big Data]]&amp;"*")</f>
        <v>0</v>
      </c>
      <c r="K1342" s="8">
        <f>COUNTIFS('All Papers'!$D:$D,"*"&amp;$A1342&amp;"*",'All Papers'!$G:$G,"*"&amp;Table1[[#Headers],[Energy Management]]&amp;"*")</f>
        <v>1</v>
      </c>
      <c r="L1342" s="8">
        <f>COUNTIFS('All Papers'!$D:$D,"*"&amp;$A1342&amp;"*",'All Papers'!$G:$G,"*"&amp;Table1[[#Headers],[Monitoring]]&amp;"*")</f>
        <v>0</v>
      </c>
      <c r="M1342" s="8">
        <f>COUNTIFS('All Papers'!$D:$D,"*"&amp;$A1342&amp;"*",'All Papers'!$G:$G,"*"&amp;Table1[[#Headers],[Pricing]]&amp;"*")</f>
        <v>0</v>
      </c>
    </row>
    <row r="1343" spans="1:13" x14ac:dyDescent="0.25">
      <c r="A1343" s="8" t="s">
        <v>3776</v>
      </c>
      <c r="B1343" s="8">
        <f>COUNTIF('All Papers'!D:D,"*"&amp;Table1[[#This Row],[Name]]&amp;"*")</f>
        <v>1</v>
      </c>
      <c r="C1343" s="8">
        <f>COUNTIFS('All Papers'!$D:$D,"*"&amp;$A1343&amp;"*",'All Papers'!$G:$G,"*"&amp;Table1[[#Headers],[Composition]]&amp;"*")</f>
        <v>0</v>
      </c>
      <c r="D1343" s="8">
        <f>COUNTIFS('All Papers'!$D:$D,"*"&amp;$A1343&amp;"*",'All Papers'!$G:$G,"*"&amp;Table1[[#Headers],[Discovery]]&amp;"*")</f>
        <v>0</v>
      </c>
      <c r="E1343" s="8">
        <f>COUNTIFS('All Papers'!$D:$D,"*"&amp;$A1343&amp;"*",'All Papers'!$G:$G,"*"&amp;Table1[[#Headers],[Selection]]&amp;"*")</f>
        <v>0</v>
      </c>
      <c r="F1343" s="8">
        <f>COUNTIFS('All Papers'!$D:$D,"*"&amp;$A1343&amp;"*",'All Papers'!$G:$G,"*"&amp;Table1[[#Headers],[Recommendation]]&amp;"*")</f>
        <v>0</v>
      </c>
      <c r="G1343" s="8">
        <f>COUNTIFS('All Papers'!$D:$D,"*"&amp;$A1343&amp;"*",'All Papers'!$G:$G,"*"&amp;Table1[[#Headers],[Resource Management-CS]]&amp;"*")</f>
        <v>0</v>
      </c>
      <c r="H1343" s="8">
        <f>COUNTIFS('All Papers'!$D:$D,"*"&amp;$A1343&amp;"*",'All Papers'!$G:$G,"*"&amp;Table1[[#Headers],[Resource Management-PS]]&amp;"*")</f>
        <v>0</v>
      </c>
      <c r="I1343" s="8">
        <f>COUNTIFS('All Papers'!$D:$D,"*"&amp;$A1343&amp;"*",'All Papers'!$G:$G,"*"&amp;Table1[[#Headers],[SLA Management]]&amp;"*")</f>
        <v>0</v>
      </c>
      <c r="J1343" s="8">
        <f>COUNTIFS('All Papers'!$D:$D,"*"&amp;$A1343&amp;"*",'All Papers'!$G:$G,"*"&amp;Table1[[#Headers],[Big Data]]&amp;"*")</f>
        <v>0</v>
      </c>
      <c r="K1343" s="8">
        <f>COUNTIFS('All Papers'!$D:$D,"*"&amp;$A1343&amp;"*",'All Papers'!$G:$G,"*"&amp;Table1[[#Headers],[Energy Management]]&amp;"*")</f>
        <v>1</v>
      </c>
      <c r="L1343" s="8">
        <f>COUNTIFS('All Papers'!$D:$D,"*"&amp;$A1343&amp;"*",'All Papers'!$G:$G,"*"&amp;Table1[[#Headers],[Monitoring]]&amp;"*")</f>
        <v>0</v>
      </c>
      <c r="M1343" s="8">
        <f>COUNTIFS('All Papers'!$D:$D,"*"&amp;$A1343&amp;"*",'All Papers'!$G:$G,"*"&amp;Table1[[#Headers],[Pricing]]&amp;"*")</f>
        <v>0</v>
      </c>
    </row>
    <row r="1344" spans="1:13" x14ac:dyDescent="0.25">
      <c r="A1344" s="8" t="s">
        <v>3777</v>
      </c>
      <c r="B1344" s="8">
        <f>COUNTIF('All Papers'!D:D,"*"&amp;Table1[[#This Row],[Name]]&amp;"*")</f>
        <v>1</v>
      </c>
      <c r="C1344" s="8">
        <f>COUNTIFS('All Papers'!$D:$D,"*"&amp;$A1344&amp;"*",'All Papers'!$G:$G,"*"&amp;Table1[[#Headers],[Composition]]&amp;"*")</f>
        <v>0</v>
      </c>
      <c r="D1344" s="8">
        <f>COUNTIFS('All Papers'!$D:$D,"*"&amp;$A1344&amp;"*",'All Papers'!$G:$G,"*"&amp;Table1[[#Headers],[Discovery]]&amp;"*")</f>
        <v>0</v>
      </c>
      <c r="E1344" s="8">
        <f>COUNTIFS('All Papers'!$D:$D,"*"&amp;$A1344&amp;"*",'All Papers'!$G:$G,"*"&amp;Table1[[#Headers],[Selection]]&amp;"*")</f>
        <v>0</v>
      </c>
      <c r="F1344" s="8">
        <f>COUNTIFS('All Papers'!$D:$D,"*"&amp;$A1344&amp;"*",'All Papers'!$G:$G,"*"&amp;Table1[[#Headers],[Recommendation]]&amp;"*")</f>
        <v>0</v>
      </c>
      <c r="G1344" s="8">
        <f>COUNTIFS('All Papers'!$D:$D,"*"&amp;$A1344&amp;"*",'All Papers'!$G:$G,"*"&amp;Table1[[#Headers],[Resource Management-CS]]&amp;"*")</f>
        <v>0</v>
      </c>
      <c r="H1344" s="8">
        <f>COUNTIFS('All Papers'!$D:$D,"*"&amp;$A1344&amp;"*",'All Papers'!$G:$G,"*"&amp;Table1[[#Headers],[Resource Management-PS]]&amp;"*")</f>
        <v>0</v>
      </c>
      <c r="I1344" s="8">
        <f>COUNTIFS('All Papers'!$D:$D,"*"&amp;$A1344&amp;"*",'All Papers'!$G:$G,"*"&amp;Table1[[#Headers],[SLA Management]]&amp;"*")</f>
        <v>0</v>
      </c>
      <c r="J1344" s="8">
        <f>COUNTIFS('All Papers'!$D:$D,"*"&amp;$A1344&amp;"*",'All Papers'!$G:$G,"*"&amp;Table1[[#Headers],[Big Data]]&amp;"*")</f>
        <v>0</v>
      </c>
      <c r="K1344" s="8">
        <f>COUNTIFS('All Papers'!$D:$D,"*"&amp;$A1344&amp;"*",'All Papers'!$G:$G,"*"&amp;Table1[[#Headers],[Energy Management]]&amp;"*")</f>
        <v>1</v>
      </c>
      <c r="L1344" s="8">
        <f>COUNTIFS('All Papers'!$D:$D,"*"&amp;$A1344&amp;"*",'All Papers'!$G:$G,"*"&amp;Table1[[#Headers],[Monitoring]]&amp;"*")</f>
        <v>0</v>
      </c>
      <c r="M1344" s="8">
        <f>COUNTIFS('All Papers'!$D:$D,"*"&amp;$A1344&amp;"*",'All Papers'!$G:$G,"*"&amp;Table1[[#Headers],[Pricing]]&amp;"*")</f>
        <v>0</v>
      </c>
    </row>
    <row r="1345" spans="1:13" x14ac:dyDescent="0.25">
      <c r="A1345" s="8" t="s">
        <v>3778</v>
      </c>
      <c r="B1345" s="8">
        <f>COUNTIF('All Papers'!D:D,"*"&amp;Table1[[#This Row],[Name]]&amp;"*")</f>
        <v>1</v>
      </c>
      <c r="C1345" s="8">
        <f>COUNTIFS('All Papers'!$D:$D,"*"&amp;$A1345&amp;"*",'All Papers'!$G:$G,"*"&amp;Table1[[#Headers],[Composition]]&amp;"*")</f>
        <v>0</v>
      </c>
      <c r="D1345" s="8">
        <f>COUNTIFS('All Papers'!$D:$D,"*"&amp;$A1345&amp;"*",'All Papers'!$G:$G,"*"&amp;Table1[[#Headers],[Discovery]]&amp;"*")</f>
        <v>0</v>
      </c>
      <c r="E1345" s="8">
        <f>COUNTIFS('All Papers'!$D:$D,"*"&amp;$A1345&amp;"*",'All Papers'!$G:$G,"*"&amp;Table1[[#Headers],[Selection]]&amp;"*")</f>
        <v>0</v>
      </c>
      <c r="F1345" s="8">
        <f>COUNTIFS('All Papers'!$D:$D,"*"&amp;$A1345&amp;"*",'All Papers'!$G:$G,"*"&amp;Table1[[#Headers],[Recommendation]]&amp;"*")</f>
        <v>0</v>
      </c>
      <c r="G1345" s="8">
        <f>COUNTIFS('All Papers'!$D:$D,"*"&amp;$A1345&amp;"*",'All Papers'!$G:$G,"*"&amp;Table1[[#Headers],[Resource Management-CS]]&amp;"*")</f>
        <v>0</v>
      </c>
      <c r="H1345" s="8">
        <f>COUNTIFS('All Papers'!$D:$D,"*"&amp;$A1345&amp;"*",'All Papers'!$G:$G,"*"&amp;Table1[[#Headers],[Resource Management-PS]]&amp;"*")</f>
        <v>0</v>
      </c>
      <c r="I1345" s="8">
        <f>COUNTIFS('All Papers'!$D:$D,"*"&amp;$A1345&amp;"*",'All Papers'!$G:$G,"*"&amp;Table1[[#Headers],[SLA Management]]&amp;"*")</f>
        <v>0</v>
      </c>
      <c r="J1345" s="8">
        <f>COUNTIFS('All Papers'!$D:$D,"*"&amp;$A1345&amp;"*",'All Papers'!$G:$G,"*"&amp;Table1[[#Headers],[Big Data]]&amp;"*")</f>
        <v>0</v>
      </c>
      <c r="K1345" s="8">
        <f>COUNTIFS('All Papers'!$D:$D,"*"&amp;$A1345&amp;"*",'All Papers'!$G:$G,"*"&amp;Table1[[#Headers],[Energy Management]]&amp;"*")</f>
        <v>1</v>
      </c>
      <c r="L1345" s="8">
        <f>COUNTIFS('All Papers'!$D:$D,"*"&amp;$A1345&amp;"*",'All Papers'!$G:$G,"*"&amp;Table1[[#Headers],[Monitoring]]&amp;"*")</f>
        <v>0</v>
      </c>
      <c r="M1345" s="8">
        <f>COUNTIFS('All Papers'!$D:$D,"*"&amp;$A1345&amp;"*",'All Papers'!$G:$G,"*"&amp;Table1[[#Headers],[Pricing]]&amp;"*")</f>
        <v>0</v>
      </c>
    </row>
    <row r="1346" spans="1:13" x14ac:dyDescent="0.25">
      <c r="A1346" s="8" t="s">
        <v>3779</v>
      </c>
      <c r="B1346" s="8">
        <f>COUNTIF('All Papers'!D:D,"*"&amp;Table1[[#This Row],[Name]]&amp;"*")</f>
        <v>1</v>
      </c>
      <c r="C1346" s="8">
        <f>COUNTIFS('All Papers'!$D:$D,"*"&amp;$A1346&amp;"*",'All Papers'!$G:$G,"*"&amp;Table1[[#Headers],[Composition]]&amp;"*")</f>
        <v>0</v>
      </c>
      <c r="D1346" s="8">
        <f>COUNTIFS('All Papers'!$D:$D,"*"&amp;$A1346&amp;"*",'All Papers'!$G:$G,"*"&amp;Table1[[#Headers],[Discovery]]&amp;"*")</f>
        <v>0</v>
      </c>
      <c r="E1346" s="8">
        <f>COUNTIFS('All Papers'!$D:$D,"*"&amp;$A1346&amp;"*",'All Papers'!$G:$G,"*"&amp;Table1[[#Headers],[Selection]]&amp;"*")</f>
        <v>1</v>
      </c>
      <c r="F1346" s="8">
        <f>COUNTIFS('All Papers'!$D:$D,"*"&amp;$A1346&amp;"*",'All Papers'!$G:$G,"*"&amp;Table1[[#Headers],[Recommendation]]&amp;"*")</f>
        <v>0</v>
      </c>
      <c r="G1346" s="8">
        <f>COUNTIFS('All Papers'!$D:$D,"*"&amp;$A1346&amp;"*",'All Papers'!$G:$G,"*"&amp;Table1[[#Headers],[Resource Management-CS]]&amp;"*")</f>
        <v>0</v>
      </c>
      <c r="H1346" s="8">
        <f>COUNTIFS('All Papers'!$D:$D,"*"&amp;$A1346&amp;"*",'All Papers'!$G:$G,"*"&amp;Table1[[#Headers],[Resource Management-PS]]&amp;"*")</f>
        <v>0</v>
      </c>
      <c r="I1346" s="8">
        <f>COUNTIFS('All Papers'!$D:$D,"*"&amp;$A1346&amp;"*",'All Papers'!$G:$G,"*"&amp;Table1[[#Headers],[SLA Management]]&amp;"*")</f>
        <v>0</v>
      </c>
      <c r="J1346" s="8">
        <f>COUNTIFS('All Papers'!$D:$D,"*"&amp;$A1346&amp;"*",'All Papers'!$G:$G,"*"&amp;Table1[[#Headers],[Big Data]]&amp;"*")</f>
        <v>0</v>
      </c>
      <c r="K1346" s="8">
        <f>COUNTIFS('All Papers'!$D:$D,"*"&amp;$A1346&amp;"*",'All Papers'!$G:$G,"*"&amp;Table1[[#Headers],[Energy Management]]&amp;"*")</f>
        <v>0</v>
      </c>
      <c r="L1346" s="8">
        <f>COUNTIFS('All Papers'!$D:$D,"*"&amp;$A1346&amp;"*",'All Papers'!$G:$G,"*"&amp;Table1[[#Headers],[Monitoring]]&amp;"*")</f>
        <v>0</v>
      </c>
      <c r="M1346" s="8">
        <f>COUNTIFS('All Papers'!$D:$D,"*"&amp;$A1346&amp;"*",'All Papers'!$G:$G,"*"&amp;Table1[[#Headers],[Pricing]]&amp;"*")</f>
        <v>0</v>
      </c>
    </row>
    <row r="1347" spans="1:13" x14ac:dyDescent="0.25">
      <c r="A1347" s="8" t="s">
        <v>3780</v>
      </c>
      <c r="B1347" s="8">
        <f>COUNTIF('All Papers'!D:D,"*"&amp;Table1[[#This Row],[Name]]&amp;"*")</f>
        <v>1</v>
      </c>
      <c r="C1347" s="8">
        <f>COUNTIFS('All Papers'!$D:$D,"*"&amp;$A1347&amp;"*",'All Papers'!$G:$G,"*"&amp;Table1[[#Headers],[Composition]]&amp;"*")</f>
        <v>0</v>
      </c>
      <c r="D1347" s="8">
        <f>COUNTIFS('All Papers'!$D:$D,"*"&amp;$A1347&amp;"*",'All Papers'!$G:$G,"*"&amp;Table1[[#Headers],[Discovery]]&amp;"*")</f>
        <v>0</v>
      </c>
      <c r="E1347" s="8">
        <f>COUNTIFS('All Papers'!$D:$D,"*"&amp;$A1347&amp;"*",'All Papers'!$G:$G,"*"&amp;Table1[[#Headers],[Selection]]&amp;"*")</f>
        <v>1</v>
      </c>
      <c r="F1347" s="8">
        <f>COUNTIFS('All Papers'!$D:$D,"*"&amp;$A1347&amp;"*",'All Papers'!$G:$G,"*"&amp;Table1[[#Headers],[Recommendation]]&amp;"*")</f>
        <v>0</v>
      </c>
      <c r="G1347" s="8">
        <f>COUNTIFS('All Papers'!$D:$D,"*"&amp;$A1347&amp;"*",'All Papers'!$G:$G,"*"&amp;Table1[[#Headers],[Resource Management-CS]]&amp;"*")</f>
        <v>0</v>
      </c>
      <c r="H1347" s="8">
        <f>COUNTIFS('All Papers'!$D:$D,"*"&amp;$A1347&amp;"*",'All Papers'!$G:$G,"*"&amp;Table1[[#Headers],[Resource Management-PS]]&amp;"*")</f>
        <v>0</v>
      </c>
      <c r="I1347" s="8">
        <f>COUNTIFS('All Papers'!$D:$D,"*"&amp;$A1347&amp;"*",'All Papers'!$G:$G,"*"&amp;Table1[[#Headers],[SLA Management]]&amp;"*")</f>
        <v>0</v>
      </c>
      <c r="J1347" s="8">
        <f>COUNTIFS('All Papers'!$D:$D,"*"&amp;$A1347&amp;"*",'All Papers'!$G:$G,"*"&amp;Table1[[#Headers],[Big Data]]&amp;"*")</f>
        <v>0</v>
      </c>
      <c r="K1347" s="8">
        <f>COUNTIFS('All Papers'!$D:$D,"*"&amp;$A1347&amp;"*",'All Papers'!$G:$G,"*"&amp;Table1[[#Headers],[Energy Management]]&amp;"*")</f>
        <v>0</v>
      </c>
      <c r="L1347" s="8">
        <f>COUNTIFS('All Papers'!$D:$D,"*"&amp;$A1347&amp;"*",'All Papers'!$G:$G,"*"&amp;Table1[[#Headers],[Monitoring]]&amp;"*")</f>
        <v>0</v>
      </c>
      <c r="M1347" s="8">
        <f>COUNTIFS('All Papers'!$D:$D,"*"&amp;$A1347&amp;"*",'All Papers'!$G:$G,"*"&amp;Table1[[#Headers],[Pricing]]&amp;"*")</f>
        <v>0</v>
      </c>
    </row>
    <row r="1348" spans="1:13" x14ac:dyDescent="0.25">
      <c r="A1348" s="8" t="s">
        <v>3781</v>
      </c>
      <c r="B1348" s="8">
        <f>COUNTIF('All Papers'!D:D,"*"&amp;Table1[[#This Row],[Name]]&amp;"*")</f>
        <v>1</v>
      </c>
      <c r="C1348" s="8">
        <f>COUNTIFS('All Papers'!$D:$D,"*"&amp;$A1348&amp;"*",'All Papers'!$G:$G,"*"&amp;Table1[[#Headers],[Composition]]&amp;"*")</f>
        <v>1</v>
      </c>
      <c r="D1348" s="8">
        <f>COUNTIFS('All Papers'!$D:$D,"*"&amp;$A1348&amp;"*",'All Papers'!$G:$G,"*"&amp;Table1[[#Headers],[Discovery]]&amp;"*")</f>
        <v>0</v>
      </c>
      <c r="E1348" s="8">
        <f>COUNTIFS('All Papers'!$D:$D,"*"&amp;$A1348&amp;"*",'All Papers'!$G:$G,"*"&amp;Table1[[#Headers],[Selection]]&amp;"*")</f>
        <v>1</v>
      </c>
      <c r="F1348" s="8">
        <f>COUNTIFS('All Papers'!$D:$D,"*"&amp;$A1348&amp;"*",'All Papers'!$G:$G,"*"&amp;Table1[[#Headers],[Recommendation]]&amp;"*")</f>
        <v>0</v>
      </c>
      <c r="G1348" s="8">
        <f>COUNTIFS('All Papers'!$D:$D,"*"&amp;$A1348&amp;"*",'All Papers'!$G:$G,"*"&amp;Table1[[#Headers],[Resource Management-CS]]&amp;"*")</f>
        <v>0</v>
      </c>
      <c r="H1348" s="8">
        <f>COUNTIFS('All Papers'!$D:$D,"*"&amp;$A1348&amp;"*",'All Papers'!$G:$G,"*"&amp;Table1[[#Headers],[Resource Management-PS]]&amp;"*")</f>
        <v>0</v>
      </c>
      <c r="I1348" s="8">
        <f>COUNTIFS('All Papers'!$D:$D,"*"&amp;$A1348&amp;"*",'All Papers'!$G:$G,"*"&amp;Table1[[#Headers],[SLA Management]]&amp;"*")</f>
        <v>0</v>
      </c>
      <c r="J1348" s="8">
        <f>COUNTIFS('All Papers'!$D:$D,"*"&amp;$A1348&amp;"*",'All Papers'!$G:$G,"*"&amp;Table1[[#Headers],[Big Data]]&amp;"*")</f>
        <v>0</v>
      </c>
      <c r="K1348" s="8">
        <f>COUNTIFS('All Papers'!$D:$D,"*"&amp;$A1348&amp;"*",'All Papers'!$G:$G,"*"&amp;Table1[[#Headers],[Energy Management]]&amp;"*")</f>
        <v>0</v>
      </c>
      <c r="L1348" s="8">
        <f>COUNTIFS('All Papers'!$D:$D,"*"&amp;$A1348&amp;"*",'All Papers'!$G:$G,"*"&amp;Table1[[#Headers],[Monitoring]]&amp;"*")</f>
        <v>0</v>
      </c>
      <c r="M1348" s="8">
        <f>COUNTIFS('All Papers'!$D:$D,"*"&amp;$A1348&amp;"*",'All Papers'!$G:$G,"*"&amp;Table1[[#Headers],[Pricing]]&amp;"*")</f>
        <v>0</v>
      </c>
    </row>
    <row r="1349" spans="1:13" x14ac:dyDescent="0.25">
      <c r="A1349" s="8" t="s">
        <v>3782</v>
      </c>
      <c r="B1349" s="8">
        <f>COUNTIF('All Papers'!D:D,"*"&amp;Table1[[#This Row],[Name]]&amp;"*")</f>
        <v>1</v>
      </c>
      <c r="C1349" s="8">
        <f>COUNTIFS('All Papers'!$D:$D,"*"&amp;$A1349&amp;"*",'All Papers'!$G:$G,"*"&amp;Table1[[#Headers],[Composition]]&amp;"*")</f>
        <v>0</v>
      </c>
      <c r="D1349" s="8">
        <f>COUNTIFS('All Papers'!$D:$D,"*"&amp;$A1349&amp;"*",'All Papers'!$G:$G,"*"&amp;Table1[[#Headers],[Discovery]]&amp;"*")</f>
        <v>0</v>
      </c>
      <c r="E1349" s="8">
        <f>COUNTIFS('All Papers'!$D:$D,"*"&amp;$A1349&amp;"*",'All Papers'!$G:$G,"*"&amp;Table1[[#Headers],[Selection]]&amp;"*")</f>
        <v>0</v>
      </c>
      <c r="F1349" s="8">
        <f>COUNTIFS('All Papers'!$D:$D,"*"&amp;$A1349&amp;"*",'All Papers'!$G:$G,"*"&amp;Table1[[#Headers],[Recommendation]]&amp;"*")</f>
        <v>0</v>
      </c>
      <c r="G1349" s="8">
        <f>COUNTIFS('All Papers'!$D:$D,"*"&amp;$A1349&amp;"*",'All Papers'!$G:$G,"*"&amp;Table1[[#Headers],[Resource Management-CS]]&amp;"*")</f>
        <v>0</v>
      </c>
      <c r="H1349" s="8">
        <f>COUNTIFS('All Papers'!$D:$D,"*"&amp;$A1349&amp;"*",'All Papers'!$G:$G,"*"&amp;Table1[[#Headers],[Resource Management-PS]]&amp;"*")</f>
        <v>1</v>
      </c>
      <c r="I1349" s="8">
        <f>COUNTIFS('All Papers'!$D:$D,"*"&amp;$A1349&amp;"*",'All Papers'!$G:$G,"*"&amp;Table1[[#Headers],[SLA Management]]&amp;"*")</f>
        <v>1</v>
      </c>
      <c r="J1349" s="8">
        <f>COUNTIFS('All Papers'!$D:$D,"*"&amp;$A1349&amp;"*",'All Papers'!$G:$G,"*"&amp;Table1[[#Headers],[Big Data]]&amp;"*")</f>
        <v>0</v>
      </c>
      <c r="K1349" s="8">
        <f>COUNTIFS('All Papers'!$D:$D,"*"&amp;$A1349&amp;"*",'All Papers'!$G:$G,"*"&amp;Table1[[#Headers],[Energy Management]]&amp;"*")</f>
        <v>0</v>
      </c>
      <c r="L1349" s="8">
        <f>COUNTIFS('All Papers'!$D:$D,"*"&amp;$A1349&amp;"*",'All Papers'!$G:$G,"*"&amp;Table1[[#Headers],[Monitoring]]&amp;"*")</f>
        <v>0</v>
      </c>
      <c r="M1349" s="8">
        <f>COUNTIFS('All Papers'!$D:$D,"*"&amp;$A1349&amp;"*",'All Papers'!$G:$G,"*"&amp;Table1[[#Headers],[Pricing]]&amp;"*")</f>
        <v>0</v>
      </c>
    </row>
    <row r="1350" spans="1:13" x14ac:dyDescent="0.25">
      <c r="A1350" s="8" t="s">
        <v>3783</v>
      </c>
      <c r="B1350" s="8">
        <f>COUNTIF('All Papers'!D:D,"*"&amp;Table1[[#This Row],[Name]]&amp;"*")</f>
        <v>1</v>
      </c>
      <c r="C1350" s="8">
        <f>COUNTIFS('All Papers'!$D:$D,"*"&amp;$A1350&amp;"*",'All Papers'!$G:$G,"*"&amp;Table1[[#Headers],[Composition]]&amp;"*")</f>
        <v>0</v>
      </c>
      <c r="D1350" s="8">
        <f>COUNTIFS('All Papers'!$D:$D,"*"&amp;$A1350&amp;"*",'All Papers'!$G:$G,"*"&amp;Table1[[#Headers],[Discovery]]&amp;"*")</f>
        <v>0</v>
      </c>
      <c r="E1350" s="8">
        <f>COUNTIFS('All Papers'!$D:$D,"*"&amp;$A1350&amp;"*",'All Papers'!$G:$G,"*"&amp;Table1[[#Headers],[Selection]]&amp;"*")</f>
        <v>0</v>
      </c>
      <c r="F1350" s="8">
        <f>COUNTIFS('All Papers'!$D:$D,"*"&amp;$A1350&amp;"*",'All Papers'!$G:$G,"*"&amp;Table1[[#Headers],[Recommendation]]&amp;"*")</f>
        <v>0</v>
      </c>
      <c r="G1350" s="8">
        <f>COUNTIFS('All Papers'!$D:$D,"*"&amp;$A1350&amp;"*",'All Papers'!$G:$G,"*"&amp;Table1[[#Headers],[Resource Management-CS]]&amp;"*")</f>
        <v>0</v>
      </c>
      <c r="H1350" s="8">
        <f>COUNTIFS('All Papers'!$D:$D,"*"&amp;$A1350&amp;"*",'All Papers'!$G:$G,"*"&amp;Table1[[#Headers],[Resource Management-PS]]&amp;"*")</f>
        <v>1</v>
      </c>
      <c r="I1350" s="8">
        <f>COUNTIFS('All Papers'!$D:$D,"*"&amp;$A1350&amp;"*",'All Papers'!$G:$G,"*"&amp;Table1[[#Headers],[SLA Management]]&amp;"*")</f>
        <v>0</v>
      </c>
      <c r="J1350" s="8">
        <f>COUNTIFS('All Papers'!$D:$D,"*"&amp;$A1350&amp;"*",'All Papers'!$G:$G,"*"&amp;Table1[[#Headers],[Big Data]]&amp;"*")</f>
        <v>0</v>
      </c>
      <c r="K1350" s="8">
        <f>COUNTIFS('All Papers'!$D:$D,"*"&amp;$A1350&amp;"*",'All Papers'!$G:$G,"*"&amp;Table1[[#Headers],[Energy Management]]&amp;"*")</f>
        <v>0</v>
      </c>
      <c r="L1350" s="8">
        <f>COUNTIFS('All Papers'!$D:$D,"*"&amp;$A1350&amp;"*",'All Papers'!$G:$G,"*"&amp;Table1[[#Headers],[Monitoring]]&amp;"*")</f>
        <v>0</v>
      </c>
      <c r="M1350" s="8">
        <f>COUNTIFS('All Papers'!$D:$D,"*"&amp;$A1350&amp;"*",'All Papers'!$G:$G,"*"&amp;Table1[[#Headers],[Pricing]]&amp;"*")</f>
        <v>0</v>
      </c>
    </row>
    <row r="1351" spans="1:13" x14ac:dyDescent="0.25">
      <c r="A1351" s="8" t="s">
        <v>3784</v>
      </c>
      <c r="B1351" s="8">
        <f>COUNTIF('All Papers'!D:D,"*"&amp;Table1[[#This Row],[Name]]&amp;"*")</f>
        <v>1</v>
      </c>
      <c r="C1351" s="8">
        <f>COUNTIFS('All Papers'!$D:$D,"*"&amp;$A1351&amp;"*",'All Papers'!$G:$G,"*"&amp;Table1[[#Headers],[Composition]]&amp;"*")</f>
        <v>0</v>
      </c>
      <c r="D1351" s="8">
        <f>COUNTIFS('All Papers'!$D:$D,"*"&amp;$A1351&amp;"*",'All Papers'!$G:$G,"*"&amp;Table1[[#Headers],[Discovery]]&amp;"*")</f>
        <v>0</v>
      </c>
      <c r="E1351" s="8">
        <f>COUNTIFS('All Papers'!$D:$D,"*"&amp;$A1351&amp;"*",'All Papers'!$G:$G,"*"&amp;Table1[[#Headers],[Selection]]&amp;"*")</f>
        <v>0</v>
      </c>
      <c r="F1351" s="8">
        <f>COUNTIFS('All Papers'!$D:$D,"*"&amp;$A1351&amp;"*",'All Papers'!$G:$G,"*"&amp;Table1[[#Headers],[Recommendation]]&amp;"*")</f>
        <v>0</v>
      </c>
      <c r="G1351" s="8">
        <f>COUNTIFS('All Papers'!$D:$D,"*"&amp;$A1351&amp;"*",'All Papers'!$G:$G,"*"&amp;Table1[[#Headers],[Resource Management-CS]]&amp;"*")</f>
        <v>0</v>
      </c>
      <c r="H1351" s="8">
        <f>COUNTIFS('All Papers'!$D:$D,"*"&amp;$A1351&amp;"*",'All Papers'!$G:$G,"*"&amp;Table1[[#Headers],[Resource Management-PS]]&amp;"*")</f>
        <v>1</v>
      </c>
      <c r="I1351" s="8">
        <f>COUNTIFS('All Papers'!$D:$D,"*"&amp;$A1351&amp;"*",'All Papers'!$G:$G,"*"&amp;Table1[[#Headers],[SLA Management]]&amp;"*")</f>
        <v>0</v>
      </c>
      <c r="J1351" s="8">
        <f>COUNTIFS('All Papers'!$D:$D,"*"&amp;$A1351&amp;"*",'All Papers'!$G:$G,"*"&amp;Table1[[#Headers],[Big Data]]&amp;"*")</f>
        <v>0</v>
      </c>
      <c r="K1351" s="8">
        <f>COUNTIFS('All Papers'!$D:$D,"*"&amp;$A1351&amp;"*",'All Papers'!$G:$G,"*"&amp;Table1[[#Headers],[Energy Management]]&amp;"*")</f>
        <v>0</v>
      </c>
      <c r="L1351" s="8">
        <f>COUNTIFS('All Papers'!$D:$D,"*"&amp;$A1351&amp;"*",'All Papers'!$G:$G,"*"&amp;Table1[[#Headers],[Monitoring]]&amp;"*")</f>
        <v>0</v>
      </c>
      <c r="M1351" s="8">
        <f>COUNTIFS('All Papers'!$D:$D,"*"&amp;$A1351&amp;"*",'All Papers'!$G:$G,"*"&amp;Table1[[#Headers],[Pricing]]&amp;"*")</f>
        <v>0</v>
      </c>
    </row>
    <row r="1352" spans="1:13" x14ac:dyDescent="0.25">
      <c r="A1352" s="8" t="s">
        <v>3785</v>
      </c>
      <c r="B1352" s="8">
        <f>COUNTIF('All Papers'!D:D,"*"&amp;Table1[[#This Row],[Name]]&amp;"*")</f>
        <v>1</v>
      </c>
      <c r="C1352" s="8">
        <f>COUNTIFS('All Papers'!$D:$D,"*"&amp;$A1352&amp;"*",'All Papers'!$G:$G,"*"&amp;Table1[[#Headers],[Composition]]&amp;"*")</f>
        <v>0</v>
      </c>
      <c r="D1352" s="8">
        <f>COUNTIFS('All Papers'!$D:$D,"*"&amp;$A1352&amp;"*",'All Papers'!$G:$G,"*"&amp;Table1[[#Headers],[Discovery]]&amp;"*")</f>
        <v>0</v>
      </c>
      <c r="E1352" s="8">
        <f>COUNTIFS('All Papers'!$D:$D,"*"&amp;$A1352&amp;"*",'All Papers'!$G:$G,"*"&amp;Table1[[#Headers],[Selection]]&amp;"*")</f>
        <v>0</v>
      </c>
      <c r="F1352" s="8">
        <f>COUNTIFS('All Papers'!$D:$D,"*"&amp;$A1352&amp;"*",'All Papers'!$G:$G,"*"&amp;Table1[[#Headers],[Recommendation]]&amp;"*")</f>
        <v>0</v>
      </c>
      <c r="G1352" s="8">
        <f>COUNTIFS('All Papers'!$D:$D,"*"&amp;$A1352&amp;"*",'All Papers'!$G:$G,"*"&amp;Table1[[#Headers],[Resource Management-CS]]&amp;"*")</f>
        <v>0</v>
      </c>
      <c r="H1352" s="8">
        <f>COUNTIFS('All Papers'!$D:$D,"*"&amp;$A1352&amp;"*",'All Papers'!$G:$G,"*"&amp;Table1[[#Headers],[Resource Management-PS]]&amp;"*")</f>
        <v>1</v>
      </c>
      <c r="I1352" s="8">
        <f>COUNTIFS('All Papers'!$D:$D,"*"&amp;$A1352&amp;"*",'All Papers'!$G:$G,"*"&amp;Table1[[#Headers],[SLA Management]]&amp;"*")</f>
        <v>0</v>
      </c>
      <c r="J1352" s="8">
        <f>COUNTIFS('All Papers'!$D:$D,"*"&amp;$A1352&amp;"*",'All Papers'!$G:$G,"*"&amp;Table1[[#Headers],[Big Data]]&amp;"*")</f>
        <v>0</v>
      </c>
      <c r="K1352" s="8">
        <f>COUNTIFS('All Papers'!$D:$D,"*"&amp;$A1352&amp;"*",'All Papers'!$G:$G,"*"&amp;Table1[[#Headers],[Energy Management]]&amp;"*")</f>
        <v>0</v>
      </c>
      <c r="L1352" s="8">
        <f>COUNTIFS('All Papers'!$D:$D,"*"&amp;$A1352&amp;"*",'All Papers'!$G:$G,"*"&amp;Table1[[#Headers],[Monitoring]]&amp;"*")</f>
        <v>1</v>
      </c>
      <c r="M1352" s="8">
        <f>COUNTIFS('All Papers'!$D:$D,"*"&amp;$A1352&amp;"*",'All Papers'!$G:$G,"*"&amp;Table1[[#Headers],[Pricing]]&amp;"*")</f>
        <v>0</v>
      </c>
    </row>
    <row r="1353" spans="1:13" x14ac:dyDescent="0.25">
      <c r="A1353" s="8" t="s">
        <v>3786</v>
      </c>
      <c r="B1353" s="8">
        <f>COUNTIF('All Papers'!D:D,"*"&amp;Table1[[#This Row],[Name]]&amp;"*")</f>
        <v>1</v>
      </c>
      <c r="C1353" s="8">
        <f>COUNTIFS('All Papers'!$D:$D,"*"&amp;$A1353&amp;"*",'All Papers'!$G:$G,"*"&amp;Table1[[#Headers],[Composition]]&amp;"*")</f>
        <v>0</v>
      </c>
      <c r="D1353" s="8">
        <f>COUNTIFS('All Papers'!$D:$D,"*"&amp;$A1353&amp;"*",'All Papers'!$G:$G,"*"&amp;Table1[[#Headers],[Discovery]]&amp;"*")</f>
        <v>0</v>
      </c>
      <c r="E1353" s="8">
        <f>COUNTIFS('All Papers'!$D:$D,"*"&amp;$A1353&amp;"*",'All Papers'!$G:$G,"*"&amp;Table1[[#Headers],[Selection]]&amp;"*")</f>
        <v>0</v>
      </c>
      <c r="F1353" s="8">
        <f>COUNTIFS('All Papers'!$D:$D,"*"&amp;$A1353&amp;"*",'All Papers'!$G:$G,"*"&amp;Table1[[#Headers],[Recommendation]]&amp;"*")</f>
        <v>0</v>
      </c>
      <c r="G1353" s="8">
        <f>COUNTIFS('All Papers'!$D:$D,"*"&amp;$A1353&amp;"*",'All Papers'!$G:$G,"*"&amp;Table1[[#Headers],[Resource Management-CS]]&amp;"*")</f>
        <v>0</v>
      </c>
      <c r="H1353" s="8">
        <f>COUNTIFS('All Papers'!$D:$D,"*"&amp;$A1353&amp;"*",'All Papers'!$G:$G,"*"&amp;Table1[[#Headers],[Resource Management-PS]]&amp;"*")</f>
        <v>1</v>
      </c>
      <c r="I1353" s="8">
        <f>COUNTIFS('All Papers'!$D:$D,"*"&amp;$A1353&amp;"*",'All Papers'!$G:$G,"*"&amp;Table1[[#Headers],[SLA Management]]&amp;"*")</f>
        <v>0</v>
      </c>
      <c r="J1353" s="8">
        <f>COUNTIFS('All Papers'!$D:$D,"*"&amp;$A1353&amp;"*",'All Papers'!$G:$G,"*"&amp;Table1[[#Headers],[Big Data]]&amp;"*")</f>
        <v>0</v>
      </c>
      <c r="K1353" s="8">
        <f>COUNTIFS('All Papers'!$D:$D,"*"&amp;$A1353&amp;"*",'All Papers'!$G:$G,"*"&amp;Table1[[#Headers],[Energy Management]]&amp;"*")</f>
        <v>0</v>
      </c>
      <c r="L1353" s="8">
        <f>COUNTIFS('All Papers'!$D:$D,"*"&amp;$A1353&amp;"*",'All Papers'!$G:$G,"*"&amp;Table1[[#Headers],[Monitoring]]&amp;"*")</f>
        <v>1</v>
      </c>
      <c r="M1353" s="8">
        <f>COUNTIFS('All Papers'!$D:$D,"*"&amp;$A1353&amp;"*",'All Papers'!$G:$G,"*"&amp;Table1[[#Headers],[Pricing]]&amp;"*")</f>
        <v>0</v>
      </c>
    </row>
    <row r="1354" spans="1:13" x14ac:dyDescent="0.25">
      <c r="A1354" s="8" t="s">
        <v>3787</v>
      </c>
      <c r="B1354" s="8">
        <f>COUNTIF('All Papers'!D:D,"*"&amp;Table1[[#This Row],[Name]]&amp;"*")</f>
        <v>1</v>
      </c>
      <c r="C1354" s="8">
        <f>COUNTIFS('All Papers'!$D:$D,"*"&amp;$A1354&amp;"*",'All Papers'!$G:$G,"*"&amp;Table1[[#Headers],[Composition]]&amp;"*")</f>
        <v>0</v>
      </c>
      <c r="D1354" s="8">
        <f>COUNTIFS('All Papers'!$D:$D,"*"&amp;$A1354&amp;"*",'All Papers'!$G:$G,"*"&amp;Table1[[#Headers],[Discovery]]&amp;"*")</f>
        <v>0</v>
      </c>
      <c r="E1354" s="8">
        <f>COUNTIFS('All Papers'!$D:$D,"*"&amp;$A1354&amp;"*",'All Papers'!$G:$G,"*"&amp;Table1[[#Headers],[Selection]]&amp;"*")</f>
        <v>0</v>
      </c>
      <c r="F1354" s="8">
        <f>COUNTIFS('All Papers'!$D:$D,"*"&amp;$A1354&amp;"*",'All Papers'!$G:$G,"*"&amp;Table1[[#Headers],[Recommendation]]&amp;"*")</f>
        <v>0</v>
      </c>
      <c r="G1354" s="8">
        <f>COUNTIFS('All Papers'!$D:$D,"*"&amp;$A1354&amp;"*",'All Papers'!$G:$G,"*"&amp;Table1[[#Headers],[Resource Management-CS]]&amp;"*")</f>
        <v>0</v>
      </c>
      <c r="H1354" s="8">
        <f>COUNTIFS('All Papers'!$D:$D,"*"&amp;$A1354&amp;"*",'All Papers'!$G:$G,"*"&amp;Table1[[#Headers],[Resource Management-PS]]&amp;"*")</f>
        <v>1</v>
      </c>
      <c r="I1354" s="8">
        <f>COUNTIFS('All Papers'!$D:$D,"*"&amp;$A1354&amp;"*",'All Papers'!$G:$G,"*"&amp;Table1[[#Headers],[SLA Management]]&amp;"*")</f>
        <v>0</v>
      </c>
      <c r="J1354" s="8">
        <f>COUNTIFS('All Papers'!$D:$D,"*"&amp;$A1354&amp;"*",'All Papers'!$G:$G,"*"&amp;Table1[[#Headers],[Big Data]]&amp;"*")</f>
        <v>0</v>
      </c>
      <c r="K1354" s="8">
        <f>COUNTIFS('All Papers'!$D:$D,"*"&amp;$A1354&amp;"*",'All Papers'!$G:$G,"*"&amp;Table1[[#Headers],[Energy Management]]&amp;"*")</f>
        <v>0</v>
      </c>
      <c r="L1354" s="8">
        <f>COUNTIFS('All Papers'!$D:$D,"*"&amp;$A1354&amp;"*",'All Papers'!$G:$G,"*"&amp;Table1[[#Headers],[Monitoring]]&amp;"*")</f>
        <v>1</v>
      </c>
      <c r="M1354" s="8">
        <f>COUNTIFS('All Papers'!$D:$D,"*"&amp;$A1354&amp;"*",'All Papers'!$G:$G,"*"&amp;Table1[[#Headers],[Pricing]]&amp;"*")</f>
        <v>0</v>
      </c>
    </row>
    <row r="1355" spans="1:13" x14ac:dyDescent="0.25">
      <c r="A1355" s="8" t="s">
        <v>3788</v>
      </c>
      <c r="B1355" s="8">
        <f>COUNTIF('All Papers'!D:D,"*"&amp;Table1[[#This Row],[Name]]&amp;"*")</f>
        <v>1</v>
      </c>
      <c r="C1355" s="8">
        <f>COUNTIFS('All Papers'!$D:$D,"*"&amp;$A1355&amp;"*",'All Papers'!$G:$G,"*"&amp;Table1[[#Headers],[Composition]]&amp;"*")</f>
        <v>0</v>
      </c>
      <c r="D1355" s="8">
        <f>COUNTIFS('All Papers'!$D:$D,"*"&amp;$A1355&amp;"*",'All Papers'!$G:$G,"*"&amp;Table1[[#Headers],[Discovery]]&amp;"*")</f>
        <v>0</v>
      </c>
      <c r="E1355" s="8">
        <f>COUNTIFS('All Papers'!$D:$D,"*"&amp;$A1355&amp;"*",'All Papers'!$G:$G,"*"&amp;Table1[[#Headers],[Selection]]&amp;"*")</f>
        <v>0</v>
      </c>
      <c r="F1355" s="8">
        <f>COUNTIFS('All Papers'!$D:$D,"*"&amp;$A1355&amp;"*",'All Papers'!$G:$G,"*"&amp;Table1[[#Headers],[Recommendation]]&amp;"*")</f>
        <v>0</v>
      </c>
      <c r="G1355" s="8">
        <f>COUNTIFS('All Papers'!$D:$D,"*"&amp;$A1355&amp;"*",'All Papers'!$G:$G,"*"&amp;Table1[[#Headers],[Resource Management-CS]]&amp;"*")</f>
        <v>0</v>
      </c>
      <c r="H1355" s="8">
        <f>COUNTIFS('All Papers'!$D:$D,"*"&amp;$A1355&amp;"*",'All Papers'!$G:$G,"*"&amp;Table1[[#Headers],[Resource Management-PS]]&amp;"*")</f>
        <v>1</v>
      </c>
      <c r="I1355" s="8">
        <f>COUNTIFS('All Papers'!$D:$D,"*"&amp;$A1355&amp;"*",'All Papers'!$G:$G,"*"&amp;Table1[[#Headers],[SLA Management]]&amp;"*")</f>
        <v>0</v>
      </c>
      <c r="J1355" s="8">
        <f>COUNTIFS('All Papers'!$D:$D,"*"&amp;$A1355&amp;"*",'All Papers'!$G:$G,"*"&amp;Table1[[#Headers],[Big Data]]&amp;"*")</f>
        <v>0</v>
      </c>
      <c r="K1355" s="8">
        <f>COUNTIFS('All Papers'!$D:$D,"*"&amp;$A1355&amp;"*",'All Papers'!$G:$G,"*"&amp;Table1[[#Headers],[Energy Management]]&amp;"*")</f>
        <v>0</v>
      </c>
      <c r="L1355" s="8">
        <f>COUNTIFS('All Papers'!$D:$D,"*"&amp;$A1355&amp;"*",'All Papers'!$G:$G,"*"&amp;Table1[[#Headers],[Monitoring]]&amp;"*")</f>
        <v>1</v>
      </c>
      <c r="M1355" s="8">
        <f>COUNTIFS('All Papers'!$D:$D,"*"&amp;$A1355&amp;"*",'All Papers'!$G:$G,"*"&amp;Table1[[#Headers],[Pricing]]&amp;"*")</f>
        <v>0</v>
      </c>
    </row>
    <row r="1356" spans="1:13" x14ac:dyDescent="0.25">
      <c r="A1356" s="8" t="s">
        <v>3789</v>
      </c>
      <c r="B1356" s="8">
        <f>COUNTIF('All Papers'!D:D,"*"&amp;Table1[[#This Row],[Name]]&amp;"*")</f>
        <v>1</v>
      </c>
      <c r="C1356" s="8">
        <f>COUNTIFS('All Papers'!$D:$D,"*"&amp;$A1356&amp;"*",'All Papers'!$G:$G,"*"&amp;Table1[[#Headers],[Composition]]&amp;"*")</f>
        <v>0</v>
      </c>
      <c r="D1356" s="8">
        <f>COUNTIFS('All Papers'!$D:$D,"*"&amp;$A1356&amp;"*",'All Papers'!$G:$G,"*"&amp;Table1[[#Headers],[Discovery]]&amp;"*")</f>
        <v>1</v>
      </c>
      <c r="E1356" s="8">
        <f>COUNTIFS('All Papers'!$D:$D,"*"&amp;$A1356&amp;"*",'All Papers'!$G:$G,"*"&amp;Table1[[#Headers],[Selection]]&amp;"*")</f>
        <v>0</v>
      </c>
      <c r="F1356" s="8">
        <f>COUNTIFS('All Papers'!$D:$D,"*"&amp;$A1356&amp;"*",'All Papers'!$G:$G,"*"&amp;Table1[[#Headers],[Recommendation]]&amp;"*")</f>
        <v>0</v>
      </c>
      <c r="G1356" s="8">
        <f>COUNTIFS('All Papers'!$D:$D,"*"&amp;$A1356&amp;"*",'All Papers'!$G:$G,"*"&amp;Table1[[#Headers],[Resource Management-CS]]&amp;"*")</f>
        <v>0</v>
      </c>
      <c r="H1356" s="8">
        <f>COUNTIFS('All Papers'!$D:$D,"*"&amp;$A1356&amp;"*",'All Papers'!$G:$G,"*"&amp;Table1[[#Headers],[Resource Management-PS]]&amp;"*")</f>
        <v>0</v>
      </c>
      <c r="I1356" s="8">
        <f>COUNTIFS('All Papers'!$D:$D,"*"&amp;$A1356&amp;"*",'All Papers'!$G:$G,"*"&amp;Table1[[#Headers],[SLA Management]]&amp;"*")</f>
        <v>0</v>
      </c>
      <c r="J1356" s="8">
        <f>COUNTIFS('All Papers'!$D:$D,"*"&amp;$A1356&amp;"*",'All Papers'!$G:$G,"*"&amp;Table1[[#Headers],[Big Data]]&amp;"*")</f>
        <v>0</v>
      </c>
      <c r="K1356" s="8">
        <f>COUNTIFS('All Papers'!$D:$D,"*"&amp;$A1356&amp;"*",'All Papers'!$G:$G,"*"&amp;Table1[[#Headers],[Energy Management]]&amp;"*")</f>
        <v>0</v>
      </c>
      <c r="L1356" s="8">
        <f>COUNTIFS('All Papers'!$D:$D,"*"&amp;$A1356&amp;"*",'All Papers'!$G:$G,"*"&amp;Table1[[#Headers],[Monitoring]]&amp;"*")</f>
        <v>0</v>
      </c>
      <c r="M1356" s="8">
        <f>COUNTIFS('All Papers'!$D:$D,"*"&amp;$A1356&amp;"*",'All Papers'!$G:$G,"*"&amp;Table1[[#Headers],[Pricing]]&amp;"*")</f>
        <v>0</v>
      </c>
    </row>
    <row r="1357" spans="1:13" x14ac:dyDescent="0.25">
      <c r="A1357" s="8" t="s">
        <v>3790</v>
      </c>
      <c r="B1357" s="8">
        <f>COUNTIF('All Papers'!D:D,"*"&amp;Table1[[#This Row],[Name]]&amp;"*")</f>
        <v>1</v>
      </c>
      <c r="C1357" s="8">
        <f>COUNTIFS('All Papers'!$D:$D,"*"&amp;$A1357&amp;"*",'All Papers'!$G:$G,"*"&amp;Table1[[#Headers],[Composition]]&amp;"*")</f>
        <v>0</v>
      </c>
      <c r="D1357" s="8">
        <f>COUNTIFS('All Papers'!$D:$D,"*"&amp;$A1357&amp;"*",'All Papers'!$G:$G,"*"&amp;Table1[[#Headers],[Discovery]]&amp;"*")</f>
        <v>1</v>
      </c>
      <c r="E1357" s="8">
        <f>COUNTIFS('All Papers'!$D:$D,"*"&amp;$A1357&amp;"*",'All Papers'!$G:$G,"*"&amp;Table1[[#Headers],[Selection]]&amp;"*")</f>
        <v>0</v>
      </c>
      <c r="F1357" s="8">
        <f>COUNTIFS('All Papers'!$D:$D,"*"&amp;$A1357&amp;"*",'All Papers'!$G:$G,"*"&amp;Table1[[#Headers],[Recommendation]]&amp;"*")</f>
        <v>0</v>
      </c>
      <c r="G1357" s="8">
        <f>COUNTIFS('All Papers'!$D:$D,"*"&amp;$A1357&amp;"*",'All Papers'!$G:$G,"*"&amp;Table1[[#Headers],[Resource Management-CS]]&amp;"*")</f>
        <v>0</v>
      </c>
      <c r="H1357" s="8">
        <f>COUNTIFS('All Papers'!$D:$D,"*"&amp;$A1357&amp;"*",'All Papers'!$G:$G,"*"&amp;Table1[[#Headers],[Resource Management-PS]]&amp;"*")</f>
        <v>0</v>
      </c>
      <c r="I1357" s="8">
        <f>COUNTIFS('All Papers'!$D:$D,"*"&amp;$A1357&amp;"*",'All Papers'!$G:$G,"*"&amp;Table1[[#Headers],[SLA Management]]&amp;"*")</f>
        <v>0</v>
      </c>
      <c r="J1357" s="8">
        <f>COUNTIFS('All Papers'!$D:$D,"*"&amp;$A1357&amp;"*",'All Papers'!$G:$G,"*"&amp;Table1[[#Headers],[Big Data]]&amp;"*")</f>
        <v>0</v>
      </c>
      <c r="K1357" s="8">
        <f>COUNTIFS('All Papers'!$D:$D,"*"&amp;$A1357&amp;"*",'All Papers'!$G:$G,"*"&amp;Table1[[#Headers],[Energy Management]]&amp;"*")</f>
        <v>0</v>
      </c>
      <c r="L1357" s="8">
        <f>COUNTIFS('All Papers'!$D:$D,"*"&amp;$A1357&amp;"*",'All Papers'!$G:$G,"*"&amp;Table1[[#Headers],[Monitoring]]&amp;"*")</f>
        <v>0</v>
      </c>
      <c r="M1357" s="8">
        <f>COUNTIFS('All Papers'!$D:$D,"*"&amp;$A1357&amp;"*",'All Papers'!$G:$G,"*"&amp;Table1[[#Headers],[Pricing]]&amp;"*")</f>
        <v>0</v>
      </c>
    </row>
    <row r="1358" spans="1:13" x14ac:dyDescent="0.25">
      <c r="A1358" s="8" t="s">
        <v>3791</v>
      </c>
      <c r="B1358" s="8">
        <f>COUNTIF('All Papers'!D:D,"*"&amp;Table1[[#This Row],[Name]]&amp;"*")</f>
        <v>1</v>
      </c>
      <c r="C1358" s="8">
        <f>COUNTIFS('All Papers'!$D:$D,"*"&amp;$A1358&amp;"*",'All Papers'!$G:$G,"*"&amp;Table1[[#Headers],[Composition]]&amp;"*")</f>
        <v>0</v>
      </c>
      <c r="D1358" s="8">
        <f>COUNTIFS('All Papers'!$D:$D,"*"&amp;$A1358&amp;"*",'All Papers'!$G:$G,"*"&amp;Table1[[#Headers],[Discovery]]&amp;"*")</f>
        <v>1</v>
      </c>
      <c r="E1358" s="8">
        <f>COUNTIFS('All Papers'!$D:$D,"*"&amp;$A1358&amp;"*",'All Papers'!$G:$G,"*"&amp;Table1[[#Headers],[Selection]]&amp;"*")</f>
        <v>0</v>
      </c>
      <c r="F1358" s="8">
        <f>COUNTIFS('All Papers'!$D:$D,"*"&amp;$A1358&amp;"*",'All Papers'!$G:$G,"*"&amp;Table1[[#Headers],[Recommendation]]&amp;"*")</f>
        <v>0</v>
      </c>
      <c r="G1358" s="8">
        <f>COUNTIFS('All Papers'!$D:$D,"*"&amp;$A1358&amp;"*",'All Papers'!$G:$G,"*"&amp;Table1[[#Headers],[Resource Management-CS]]&amp;"*")</f>
        <v>0</v>
      </c>
      <c r="H1358" s="8">
        <f>COUNTIFS('All Papers'!$D:$D,"*"&amp;$A1358&amp;"*",'All Papers'!$G:$G,"*"&amp;Table1[[#Headers],[Resource Management-PS]]&amp;"*")</f>
        <v>0</v>
      </c>
      <c r="I1358" s="8">
        <f>COUNTIFS('All Papers'!$D:$D,"*"&amp;$A1358&amp;"*",'All Papers'!$G:$G,"*"&amp;Table1[[#Headers],[SLA Management]]&amp;"*")</f>
        <v>0</v>
      </c>
      <c r="J1358" s="8">
        <f>COUNTIFS('All Papers'!$D:$D,"*"&amp;$A1358&amp;"*",'All Papers'!$G:$G,"*"&amp;Table1[[#Headers],[Big Data]]&amp;"*")</f>
        <v>0</v>
      </c>
      <c r="K1358" s="8">
        <f>COUNTIFS('All Papers'!$D:$D,"*"&amp;$A1358&amp;"*",'All Papers'!$G:$G,"*"&amp;Table1[[#Headers],[Energy Management]]&amp;"*")</f>
        <v>0</v>
      </c>
      <c r="L1358" s="8">
        <f>COUNTIFS('All Papers'!$D:$D,"*"&amp;$A1358&amp;"*",'All Papers'!$G:$G,"*"&amp;Table1[[#Headers],[Monitoring]]&amp;"*")</f>
        <v>0</v>
      </c>
      <c r="M1358" s="8">
        <f>COUNTIFS('All Papers'!$D:$D,"*"&amp;$A1358&amp;"*",'All Papers'!$G:$G,"*"&amp;Table1[[#Headers],[Pricing]]&amp;"*")</f>
        <v>0</v>
      </c>
    </row>
    <row r="1359" spans="1:13" x14ac:dyDescent="0.25">
      <c r="A1359" s="8" t="s">
        <v>3792</v>
      </c>
      <c r="B1359" s="8">
        <f>COUNTIF('All Papers'!D:D,"*"&amp;Table1[[#This Row],[Name]]&amp;"*")</f>
        <v>1</v>
      </c>
      <c r="C1359" s="8">
        <f>COUNTIFS('All Papers'!$D:$D,"*"&amp;$A1359&amp;"*",'All Papers'!$G:$G,"*"&amp;Table1[[#Headers],[Composition]]&amp;"*")</f>
        <v>0</v>
      </c>
      <c r="D1359" s="8">
        <f>COUNTIFS('All Papers'!$D:$D,"*"&amp;$A1359&amp;"*",'All Papers'!$G:$G,"*"&amp;Table1[[#Headers],[Discovery]]&amp;"*")</f>
        <v>1</v>
      </c>
      <c r="E1359" s="8">
        <f>COUNTIFS('All Papers'!$D:$D,"*"&amp;$A1359&amp;"*",'All Papers'!$G:$G,"*"&amp;Table1[[#Headers],[Selection]]&amp;"*")</f>
        <v>0</v>
      </c>
      <c r="F1359" s="8">
        <f>COUNTIFS('All Papers'!$D:$D,"*"&amp;$A1359&amp;"*",'All Papers'!$G:$G,"*"&amp;Table1[[#Headers],[Recommendation]]&amp;"*")</f>
        <v>0</v>
      </c>
      <c r="G1359" s="8">
        <f>COUNTIFS('All Papers'!$D:$D,"*"&amp;$A1359&amp;"*",'All Papers'!$G:$G,"*"&amp;Table1[[#Headers],[Resource Management-CS]]&amp;"*")</f>
        <v>0</v>
      </c>
      <c r="H1359" s="8">
        <f>COUNTIFS('All Papers'!$D:$D,"*"&amp;$A1359&amp;"*",'All Papers'!$G:$G,"*"&amp;Table1[[#Headers],[Resource Management-PS]]&amp;"*")</f>
        <v>0</v>
      </c>
      <c r="I1359" s="8">
        <f>COUNTIFS('All Papers'!$D:$D,"*"&amp;$A1359&amp;"*",'All Papers'!$G:$G,"*"&amp;Table1[[#Headers],[SLA Management]]&amp;"*")</f>
        <v>0</v>
      </c>
      <c r="J1359" s="8">
        <f>COUNTIFS('All Papers'!$D:$D,"*"&amp;$A1359&amp;"*",'All Papers'!$G:$G,"*"&amp;Table1[[#Headers],[Big Data]]&amp;"*")</f>
        <v>0</v>
      </c>
      <c r="K1359" s="8">
        <f>COUNTIFS('All Papers'!$D:$D,"*"&amp;$A1359&amp;"*",'All Papers'!$G:$G,"*"&amp;Table1[[#Headers],[Energy Management]]&amp;"*")</f>
        <v>0</v>
      </c>
      <c r="L1359" s="8">
        <f>COUNTIFS('All Papers'!$D:$D,"*"&amp;$A1359&amp;"*",'All Papers'!$G:$G,"*"&amp;Table1[[#Headers],[Monitoring]]&amp;"*")</f>
        <v>0</v>
      </c>
      <c r="M1359" s="8">
        <f>COUNTIFS('All Papers'!$D:$D,"*"&amp;$A1359&amp;"*",'All Papers'!$G:$G,"*"&amp;Table1[[#Headers],[Pricing]]&amp;"*")</f>
        <v>0</v>
      </c>
    </row>
    <row r="1360" spans="1:13" x14ac:dyDescent="0.25">
      <c r="A1360" s="8" t="s">
        <v>3793</v>
      </c>
      <c r="B1360" s="8">
        <f>COUNTIF('All Papers'!D:D,"*"&amp;Table1[[#This Row],[Name]]&amp;"*")</f>
        <v>1</v>
      </c>
      <c r="C1360" s="8">
        <f>COUNTIFS('All Papers'!$D:$D,"*"&amp;$A1360&amp;"*",'All Papers'!$G:$G,"*"&amp;Table1[[#Headers],[Composition]]&amp;"*")</f>
        <v>0</v>
      </c>
      <c r="D1360" s="8">
        <f>COUNTIFS('All Papers'!$D:$D,"*"&amp;$A1360&amp;"*",'All Papers'!$G:$G,"*"&amp;Table1[[#Headers],[Discovery]]&amp;"*")</f>
        <v>1</v>
      </c>
      <c r="E1360" s="8">
        <f>COUNTIFS('All Papers'!$D:$D,"*"&amp;$A1360&amp;"*",'All Papers'!$G:$G,"*"&amp;Table1[[#Headers],[Selection]]&amp;"*")</f>
        <v>0</v>
      </c>
      <c r="F1360" s="8">
        <f>COUNTIFS('All Papers'!$D:$D,"*"&amp;$A1360&amp;"*",'All Papers'!$G:$G,"*"&amp;Table1[[#Headers],[Recommendation]]&amp;"*")</f>
        <v>0</v>
      </c>
      <c r="G1360" s="8">
        <f>COUNTIFS('All Papers'!$D:$D,"*"&amp;$A1360&amp;"*",'All Papers'!$G:$G,"*"&amp;Table1[[#Headers],[Resource Management-CS]]&amp;"*")</f>
        <v>0</v>
      </c>
      <c r="H1360" s="8">
        <f>COUNTIFS('All Papers'!$D:$D,"*"&amp;$A1360&amp;"*",'All Papers'!$G:$G,"*"&amp;Table1[[#Headers],[Resource Management-PS]]&amp;"*")</f>
        <v>0</v>
      </c>
      <c r="I1360" s="8">
        <f>COUNTIFS('All Papers'!$D:$D,"*"&amp;$A1360&amp;"*",'All Papers'!$G:$G,"*"&amp;Table1[[#Headers],[SLA Management]]&amp;"*")</f>
        <v>0</v>
      </c>
      <c r="J1360" s="8">
        <f>COUNTIFS('All Papers'!$D:$D,"*"&amp;$A1360&amp;"*",'All Papers'!$G:$G,"*"&amp;Table1[[#Headers],[Big Data]]&amp;"*")</f>
        <v>0</v>
      </c>
      <c r="K1360" s="8">
        <f>COUNTIFS('All Papers'!$D:$D,"*"&amp;$A1360&amp;"*",'All Papers'!$G:$G,"*"&amp;Table1[[#Headers],[Energy Management]]&amp;"*")</f>
        <v>0</v>
      </c>
      <c r="L1360" s="8">
        <f>COUNTIFS('All Papers'!$D:$D,"*"&amp;$A1360&amp;"*",'All Papers'!$G:$G,"*"&amp;Table1[[#Headers],[Monitoring]]&amp;"*")</f>
        <v>0</v>
      </c>
      <c r="M1360" s="8">
        <f>COUNTIFS('All Papers'!$D:$D,"*"&amp;$A1360&amp;"*",'All Papers'!$G:$G,"*"&amp;Table1[[#Headers],[Pricing]]&amp;"*")</f>
        <v>0</v>
      </c>
    </row>
    <row r="1361" spans="1:13" x14ac:dyDescent="0.25">
      <c r="A1361" s="8" t="s">
        <v>3794</v>
      </c>
      <c r="B1361" s="8">
        <f>COUNTIF('All Papers'!D:D,"*"&amp;Table1[[#This Row],[Name]]&amp;"*")</f>
        <v>1</v>
      </c>
      <c r="C1361" s="8">
        <f>COUNTIFS('All Papers'!$D:$D,"*"&amp;$A1361&amp;"*",'All Papers'!$G:$G,"*"&amp;Table1[[#Headers],[Composition]]&amp;"*")</f>
        <v>0</v>
      </c>
      <c r="D1361" s="8">
        <f>COUNTIFS('All Papers'!$D:$D,"*"&amp;$A1361&amp;"*",'All Papers'!$G:$G,"*"&amp;Table1[[#Headers],[Discovery]]&amp;"*")</f>
        <v>1</v>
      </c>
      <c r="E1361" s="8">
        <f>COUNTIFS('All Papers'!$D:$D,"*"&amp;$A1361&amp;"*",'All Papers'!$G:$G,"*"&amp;Table1[[#Headers],[Selection]]&amp;"*")</f>
        <v>0</v>
      </c>
      <c r="F1361" s="8">
        <f>COUNTIFS('All Papers'!$D:$D,"*"&amp;$A1361&amp;"*",'All Papers'!$G:$G,"*"&amp;Table1[[#Headers],[Recommendation]]&amp;"*")</f>
        <v>0</v>
      </c>
      <c r="G1361" s="8">
        <f>COUNTIFS('All Papers'!$D:$D,"*"&amp;$A1361&amp;"*",'All Papers'!$G:$G,"*"&amp;Table1[[#Headers],[Resource Management-CS]]&amp;"*")</f>
        <v>0</v>
      </c>
      <c r="H1361" s="8">
        <f>COUNTIFS('All Papers'!$D:$D,"*"&amp;$A1361&amp;"*",'All Papers'!$G:$G,"*"&amp;Table1[[#Headers],[Resource Management-PS]]&amp;"*")</f>
        <v>0</v>
      </c>
      <c r="I1361" s="8">
        <f>COUNTIFS('All Papers'!$D:$D,"*"&amp;$A1361&amp;"*",'All Papers'!$G:$G,"*"&amp;Table1[[#Headers],[SLA Management]]&amp;"*")</f>
        <v>0</v>
      </c>
      <c r="J1361" s="8">
        <f>COUNTIFS('All Papers'!$D:$D,"*"&amp;$A1361&amp;"*",'All Papers'!$G:$G,"*"&amp;Table1[[#Headers],[Big Data]]&amp;"*")</f>
        <v>0</v>
      </c>
      <c r="K1361" s="8">
        <f>COUNTIFS('All Papers'!$D:$D,"*"&amp;$A1361&amp;"*",'All Papers'!$G:$G,"*"&amp;Table1[[#Headers],[Energy Management]]&amp;"*")</f>
        <v>0</v>
      </c>
      <c r="L1361" s="8">
        <f>COUNTIFS('All Papers'!$D:$D,"*"&amp;$A1361&amp;"*",'All Papers'!$G:$G,"*"&amp;Table1[[#Headers],[Monitoring]]&amp;"*")</f>
        <v>0</v>
      </c>
      <c r="M1361" s="8">
        <f>COUNTIFS('All Papers'!$D:$D,"*"&amp;$A1361&amp;"*",'All Papers'!$G:$G,"*"&amp;Table1[[#Headers],[Pricing]]&amp;"*")</f>
        <v>0</v>
      </c>
    </row>
    <row r="1362" spans="1:13" x14ac:dyDescent="0.25">
      <c r="A1362" s="8" t="s">
        <v>3795</v>
      </c>
      <c r="B1362" s="8">
        <f>COUNTIF('All Papers'!D:D,"*"&amp;Table1[[#This Row],[Name]]&amp;"*")</f>
        <v>1</v>
      </c>
      <c r="C1362" s="8">
        <f>COUNTIFS('All Papers'!$D:$D,"*"&amp;$A1362&amp;"*",'All Papers'!$G:$G,"*"&amp;Table1[[#Headers],[Composition]]&amp;"*")</f>
        <v>0</v>
      </c>
      <c r="D1362" s="8">
        <f>COUNTIFS('All Papers'!$D:$D,"*"&amp;$A1362&amp;"*",'All Papers'!$G:$G,"*"&amp;Table1[[#Headers],[Discovery]]&amp;"*")</f>
        <v>1</v>
      </c>
      <c r="E1362" s="8">
        <f>COUNTIFS('All Papers'!$D:$D,"*"&amp;$A1362&amp;"*",'All Papers'!$G:$G,"*"&amp;Table1[[#Headers],[Selection]]&amp;"*")</f>
        <v>0</v>
      </c>
      <c r="F1362" s="8">
        <f>COUNTIFS('All Papers'!$D:$D,"*"&amp;$A1362&amp;"*",'All Papers'!$G:$G,"*"&amp;Table1[[#Headers],[Recommendation]]&amp;"*")</f>
        <v>0</v>
      </c>
      <c r="G1362" s="8">
        <f>COUNTIFS('All Papers'!$D:$D,"*"&amp;$A1362&amp;"*",'All Papers'!$G:$G,"*"&amp;Table1[[#Headers],[Resource Management-CS]]&amp;"*")</f>
        <v>0</v>
      </c>
      <c r="H1362" s="8">
        <f>COUNTIFS('All Papers'!$D:$D,"*"&amp;$A1362&amp;"*",'All Papers'!$G:$G,"*"&amp;Table1[[#Headers],[Resource Management-PS]]&amp;"*")</f>
        <v>0</v>
      </c>
      <c r="I1362" s="8">
        <f>COUNTIFS('All Papers'!$D:$D,"*"&amp;$A1362&amp;"*",'All Papers'!$G:$G,"*"&amp;Table1[[#Headers],[SLA Management]]&amp;"*")</f>
        <v>0</v>
      </c>
      <c r="J1362" s="8">
        <f>COUNTIFS('All Papers'!$D:$D,"*"&amp;$A1362&amp;"*",'All Papers'!$G:$G,"*"&amp;Table1[[#Headers],[Big Data]]&amp;"*")</f>
        <v>0</v>
      </c>
      <c r="K1362" s="8">
        <f>COUNTIFS('All Papers'!$D:$D,"*"&amp;$A1362&amp;"*",'All Papers'!$G:$G,"*"&amp;Table1[[#Headers],[Energy Management]]&amp;"*")</f>
        <v>0</v>
      </c>
      <c r="L1362" s="8">
        <f>COUNTIFS('All Papers'!$D:$D,"*"&amp;$A1362&amp;"*",'All Papers'!$G:$G,"*"&amp;Table1[[#Headers],[Monitoring]]&amp;"*")</f>
        <v>0</v>
      </c>
      <c r="M1362" s="8">
        <f>COUNTIFS('All Papers'!$D:$D,"*"&amp;$A1362&amp;"*",'All Papers'!$G:$G,"*"&amp;Table1[[#Headers],[Pricing]]&amp;"*")</f>
        <v>0</v>
      </c>
    </row>
    <row r="1363" spans="1:13" x14ac:dyDescent="0.25">
      <c r="A1363" s="8" t="s">
        <v>3796</v>
      </c>
      <c r="B1363" s="8">
        <f>COUNTIF('All Papers'!D:D,"*"&amp;Table1[[#This Row],[Name]]&amp;"*")</f>
        <v>1</v>
      </c>
      <c r="C1363" s="8">
        <f>COUNTIFS('All Papers'!$D:$D,"*"&amp;$A1363&amp;"*",'All Papers'!$G:$G,"*"&amp;Table1[[#Headers],[Composition]]&amp;"*")</f>
        <v>0</v>
      </c>
      <c r="D1363" s="8">
        <f>COUNTIFS('All Papers'!$D:$D,"*"&amp;$A1363&amp;"*",'All Papers'!$G:$G,"*"&amp;Table1[[#Headers],[Discovery]]&amp;"*")</f>
        <v>1</v>
      </c>
      <c r="E1363" s="8">
        <f>COUNTIFS('All Papers'!$D:$D,"*"&amp;$A1363&amp;"*",'All Papers'!$G:$G,"*"&amp;Table1[[#Headers],[Selection]]&amp;"*")</f>
        <v>0</v>
      </c>
      <c r="F1363" s="8">
        <f>COUNTIFS('All Papers'!$D:$D,"*"&amp;$A1363&amp;"*",'All Papers'!$G:$G,"*"&amp;Table1[[#Headers],[Recommendation]]&amp;"*")</f>
        <v>0</v>
      </c>
      <c r="G1363" s="8">
        <f>COUNTIFS('All Papers'!$D:$D,"*"&amp;$A1363&amp;"*",'All Papers'!$G:$G,"*"&amp;Table1[[#Headers],[Resource Management-CS]]&amp;"*")</f>
        <v>0</v>
      </c>
      <c r="H1363" s="8">
        <f>COUNTIFS('All Papers'!$D:$D,"*"&amp;$A1363&amp;"*",'All Papers'!$G:$G,"*"&amp;Table1[[#Headers],[Resource Management-PS]]&amp;"*")</f>
        <v>0</v>
      </c>
      <c r="I1363" s="8">
        <f>COUNTIFS('All Papers'!$D:$D,"*"&amp;$A1363&amp;"*",'All Papers'!$G:$G,"*"&amp;Table1[[#Headers],[SLA Management]]&amp;"*")</f>
        <v>0</v>
      </c>
      <c r="J1363" s="8">
        <f>COUNTIFS('All Papers'!$D:$D,"*"&amp;$A1363&amp;"*",'All Papers'!$G:$G,"*"&amp;Table1[[#Headers],[Big Data]]&amp;"*")</f>
        <v>0</v>
      </c>
      <c r="K1363" s="8">
        <f>COUNTIFS('All Papers'!$D:$D,"*"&amp;$A1363&amp;"*",'All Papers'!$G:$G,"*"&amp;Table1[[#Headers],[Energy Management]]&amp;"*")</f>
        <v>0</v>
      </c>
      <c r="L1363" s="8">
        <f>COUNTIFS('All Papers'!$D:$D,"*"&amp;$A1363&amp;"*",'All Papers'!$G:$G,"*"&amp;Table1[[#Headers],[Monitoring]]&amp;"*")</f>
        <v>0</v>
      </c>
      <c r="M1363" s="8">
        <f>COUNTIFS('All Papers'!$D:$D,"*"&amp;$A1363&amp;"*",'All Papers'!$G:$G,"*"&amp;Table1[[#Headers],[Pricing]]&amp;"*")</f>
        <v>0</v>
      </c>
    </row>
    <row r="1364" spans="1:13" x14ac:dyDescent="0.25">
      <c r="A1364" s="8" t="s">
        <v>3797</v>
      </c>
      <c r="B1364" s="8">
        <f>COUNTIF('All Papers'!D:D,"*"&amp;Table1[[#This Row],[Name]]&amp;"*")</f>
        <v>1</v>
      </c>
      <c r="C1364" s="8">
        <f>COUNTIFS('All Papers'!$D:$D,"*"&amp;$A1364&amp;"*",'All Papers'!$G:$G,"*"&amp;Table1[[#Headers],[Composition]]&amp;"*")</f>
        <v>0</v>
      </c>
      <c r="D1364" s="8">
        <f>COUNTIFS('All Papers'!$D:$D,"*"&amp;$A1364&amp;"*",'All Papers'!$G:$G,"*"&amp;Table1[[#Headers],[Discovery]]&amp;"*")</f>
        <v>1</v>
      </c>
      <c r="E1364" s="8">
        <f>COUNTIFS('All Papers'!$D:$D,"*"&amp;$A1364&amp;"*",'All Papers'!$G:$G,"*"&amp;Table1[[#Headers],[Selection]]&amp;"*")</f>
        <v>0</v>
      </c>
      <c r="F1364" s="8">
        <f>COUNTIFS('All Papers'!$D:$D,"*"&amp;$A1364&amp;"*",'All Papers'!$G:$G,"*"&amp;Table1[[#Headers],[Recommendation]]&amp;"*")</f>
        <v>0</v>
      </c>
      <c r="G1364" s="8">
        <f>COUNTIFS('All Papers'!$D:$D,"*"&amp;$A1364&amp;"*",'All Papers'!$G:$G,"*"&amp;Table1[[#Headers],[Resource Management-CS]]&amp;"*")</f>
        <v>0</v>
      </c>
      <c r="H1364" s="8">
        <f>COUNTIFS('All Papers'!$D:$D,"*"&amp;$A1364&amp;"*",'All Papers'!$G:$G,"*"&amp;Table1[[#Headers],[Resource Management-PS]]&amp;"*")</f>
        <v>0</v>
      </c>
      <c r="I1364" s="8">
        <f>COUNTIFS('All Papers'!$D:$D,"*"&amp;$A1364&amp;"*",'All Papers'!$G:$G,"*"&amp;Table1[[#Headers],[SLA Management]]&amp;"*")</f>
        <v>0</v>
      </c>
      <c r="J1364" s="8">
        <f>COUNTIFS('All Papers'!$D:$D,"*"&amp;$A1364&amp;"*",'All Papers'!$G:$G,"*"&amp;Table1[[#Headers],[Big Data]]&amp;"*")</f>
        <v>0</v>
      </c>
      <c r="K1364" s="8">
        <f>COUNTIFS('All Papers'!$D:$D,"*"&amp;$A1364&amp;"*",'All Papers'!$G:$G,"*"&amp;Table1[[#Headers],[Energy Management]]&amp;"*")</f>
        <v>0</v>
      </c>
      <c r="L1364" s="8">
        <f>COUNTIFS('All Papers'!$D:$D,"*"&amp;$A1364&amp;"*",'All Papers'!$G:$G,"*"&amp;Table1[[#Headers],[Monitoring]]&amp;"*")</f>
        <v>0</v>
      </c>
      <c r="M1364" s="8">
        <f>COUNTIFS('All Papers'!$D:$D,"*"&amp;$A1364&amp;"*",'All Papers'!$G:$G,"*"&amp;Table1[[#Headers],[Pricing]]&amp;"*")</f>
        <v>0</v>
      </c>
    </row>
    <row r="1365" spans="1:13" x14ac:dyDescent="0.25">
      <c r="A1365" s="8" t="s">
        <v>3798</v>
      </c>
      <c r="B1365" s="8">
        <f>COUNTIF('All Papers'!D:D,"*"&amp;Table1[[#This Row],[Name]]&amp;"*")</f>
        <v>1</v>
      </c>
      <c r="C1365" s="8">
        <f>COUNTIFS('All Papers'!$D:$D,"*"&amp;$A1365&amp;"*",'All Papers'!$G:$G,"*"&amp;Table1[[#Headers],[Composition]]&amp;"*")</f>
        <v>0</v>
      </c>
      <c r="D1365" s="8">
        <f>COUNTIFS('All Papers'!$D:$D,"*"&amp;$A1365&amp;"*",'All Papers'!$G:$G,"*"&amp;Table1[[#Headers],[Discovery]]&amp;"*")</f>
        <v>1</v>
      </c>
      <c r="E1365" s="8">
        <f>COUNTIFS('All Papers'!$D:$D,"*"&amp;$A1365&amp;"*",'All Papers'!$G:$G,"*"&amp;Table1[[#Headers],[Selection]]&amp;"*")</f>
        <v>0</v>
      </c>
      <c r="F1365" s="8">
        <f>COUNTIFS('All Papers'!$D:$D,"*"&amp;$A1365&amp;"*",'All Papers'!$G:$G,"*"&amp;Table1[[#Headers],[Recommendation]]&amp;"*")</f>
        <v>0</v>
      </c>
      <c r="G1365" s="8">
        <f>COUNTIFS('All Papers'!$D:$D,"*"&amp;$A1365&amp;"*",'All Papers'!$G:$G,"*"&amp;Table1[[#Headers],[Resource Management-CS]]&amp;"*")</f>
        <v>0</v>
      </c>
      <c r="H1365" s="8">
        <f>COUNTIFS('All Papers'!$D:$D,"*"&amp;$A1365&amp;"*",'All Papers'!$G:$G,"*"&amp;Table1[[#Headers],[Resource Management-PS]]&amp;"*")</f>
        <v>0</v>
      </c>
      <c r="I1365" s="8">
        <f>COUNTIFS('All Papers'!$D:$D,"*"&amp;$A1365&amp;"*",'All Papers'!$G:$G,"*"&amp;Table1[[#Headers],[SLA Management]]&amp;"*")</f>
        <v>0</v>
      </c>
      <c r="J1365" s="8">
        <f>COUNTIFS('All Papers'!$D:$D,"*"&amp;$A1365&amp;"*",'All Papers'!$G:$G,"*"&amp;Table1[[#Headers],[Big Data]]&amp;"*")</f>
        <v>0</v>
      </c>
      <c r="K1365" s="8">
        <f>COUNTIFS('All Papers'!$D:$D,"*"&amp;$A1365&amp;"*",'All Papers'!$G:$G,"*"&amp;Table1[[#Headers],[Energy Management]]&amp;"*")</f>
        <v>0</v>
      </c>
      <c r="L1365" s="8">
        <f>COUNTIFS('All Papers'!$D:$D,"*"&amp;$A1365&amp;"*",'All Papers'!$G:$G,"*"&amp;Table1[[#Headers],[Monitoring]]&amp;"*")</f>
        <v>0</v>
      </c>
      <c r="M1365" s="8">
        <f>COUNTIFS('All Papers'!$D:$D,"*"&amp;$A1365&amp;"*",'All Papers'!$G:$G,"*"&amp;Table1[[#Headers],[Pricing]]&amp;"*")</f>
        <v>0</v>
      </c>
    </row>
    <row r="1366" spans="1:13" x14ac:dyDescent="0.25">
      <c r="A1366" s="8" t="s">
        <v>3799</v>
      </c>
      <c r="B1366" s="8">
        <f>COUNTIF('All Papers'!D:D,"*"&amp;Table1[[#This Row],[Name]]&amp;"*")</f>
        <v>1</v>
      </c>
      <c r="C1366" s="8">
        <f>COUNTIFS('All Papers'!$D:$D,"*"&amp;$A1366&amp;"*",'All Papers'!$G:$G,"*"&amp;Table1[[#Headers],[Composition]]&amp;"*")</f>
        <v>0</v>
      </c>
      <c r="D1366" s="8">
        <f>COUNTIFS('All Papers'!$D:$D,"*"&amp;$A1366&amp;"*",'All Papers'!$G:$G,"*"&amp;Table1[[#Headers],[Discovery]]&amp;"*")</f>
        <v>1</v>
      </c>
      <c r="E1366" s="8">
        <f>COUNTIFS('All Papers'!$D:$D,"*"&amp;$A1366&amp;"*",'All Papers'!$G:$G,"*"&amp;Table1[[#Headers],[Selection]]&amp;"*")</f>
        <v>0</v>
      </c>
      <c r="F1366" s="8">
        <f>COUNTIFS('All Papers'!$D:$D,"*"&amp;$A1366&amp;"*",'All Papers'!$G:$G,"*"&amp;Table1[[#Headers],[Recommendation]]&amp;"*")</f>
        <v>0</v>
      </c>
      <c r="G1366" s="8">
        <f>COUNTIFS('All Papers'!$D:$D,"*"&amp;$A1366&amp;"*",'All Papers'!$G:$G,"*"&amp;Table1[[#Headers],[Resource Management-CS]]&amp;"*")</f>
        <v>0</v>
      </c>
      <c r="H1366" s="8">
        <f>COUNTIFS('All Papers'!$D:$D,"*"&amp;$A1366&amp;"*",'All Papers'!$G:$G,"*"&amp;Table1[[#Headers],[Resource Management-PS]]&amp;"*")</f>
        <v>0</v>
      </c>
      <c r="I1366" s="8">
        <f>COUNTIFS('All Papers'!$D:$D,"*"&amp;$A1366&amp;"*",'All Papers'!$G:$G,"*"&amp;Table1[[#Headers],[SLA Management]]&amp;"*")</f>
        <v>0</v>
      </c>
      <c r="J1366" s="8">
        <f>COUNTIFS('All Papers'!$D:$D,"*"&amp;$A1366&amp;"*",'All Papers'!$G:$G,"*"&amp;Table1[[#Headers],[Big Data]]&amp;"*")</f>
        <v>0</v>
      </c>
      <c r="K1366" s="8">
        <f>COUNTIFS('All Papers'!$D:$D,"*"&amp;$A1366&amp;"*",'All Papers'!$G:$G,"*"&amp;Table1[[#Headers],[Energy Management]]&amp;"*")</f>
        <v>0</v>
      </c>
      <c r="L1366" s="8">
        <f>COUNTIFS('All Papers'!$D:$D,"*"&amp;$A1366&amp;"*",'All Papers'!$G:$G,"*"&amp;Table1[[#Headers],[Monitoring]]&amp;"*")</f>
        <v>0</v>
      </c>
      <c r="M1366" s="8">
        <f>COUNTIFS('All Papers'!$D:$D,"*"&amp;$A1366&amp;"*",'All Papers'!$G:$G,"*"&amp;Table1[[#Headers],[Pricing]]&amp;"*")</f>
        <v>0</v>
      </c>
    </row>
    <row r="1367" spans="1:13" x14ac:dyDescent="0.25">
      <c r="A1367" s="8" t="s">
        <v>3800</v>
      </c>
      <c r="B1367" s="8">
        <f>COUNTIF('All Papers'!D:D,"*"&amp;Table1[[#This Row],[Name]]&amp;"*")</f>
        <v>1</v>
      </c>
      <c r="C1367" s="8">
        <f>COUNTIFS('All Papers'!$D:$D,"*"&amp;$A1367&amp;"*",'All Papers'!$G:$G,"*"&amp;Table1[[#Headers],[Composition]]&amp;"*")</f>
        <v>0</v>
      </c>
      <c r="D1367" s="8">
        <f>COUNTIFS('All Papers'!$D:$D,"*"&amp;$A1367&amp;"*",'All Papers'!$G:$G,"*"&amp;Table1[[#Headers],[Discovery]]&amp;"*")</f>
        <v>1</v>
      </c>
      <c r="E1367" s="8">
        <f>COUNTIFS('All Papers'!$D:$D,"*"&amp;$A1367&amp;"*",'All Papers'!$G:$G,"*"&amp;Table1[[#Headers],[Selection]]&amp;"*")</f>
        <v>0</v>
      </c>
      <c r="F1367" s="8">
        <f>COUNTIFS('All Papers'!$D:$D,"*"&amp;$A1367&amp;"*",'All Papers'!$G:$G,"*"&amp;Table1[[#Headers],[Recommendation]]&amp;"*")</f>
        <v>0</v>
      </c>
      <c r="G1367" s="8">
        <f>COUNTIFS('All Papers'!$D:$D,"*"&amp;$A1367&amp;"*",'All Papers'!$G:$G,"*"&amp;Table1[[#Headers],[Resource Management-CS]]&amp;"*")</f>
        <v>0</v>
      </c>
      <c r="H1367" s="8">
        <f>COUNTIFS('All Papers'!$D:$D,"*"&amp;$A1367&amp;"*",'All Papers'!$G:$G,"*"&amp;Table1[[#Headers],[Resource Management-PS]]&amp;"*")</f>
        <v>0</v>
      </c>
      <c r="I1367" s="8">
        <f>COUNTIFS('All Papers'!$D:$D,"*"&amp;$A1367&amp;"*",'All Papers'!$G:$G,"*"&amp;Table1[[#Headers],[SLA Management]]&amp;"*")</f>
        <v>0</v>
      </c>
      <c r="J1367" s="8">
        <f>COUNTIFS('All Papers'!$D:$D,"*"&amp;$A1367&amp;"*",'All Papers'!$G:$G,"*"&amp;Table1[[#Headers],[Big Data]]&amp;"*")</f>
        <v>0</v>
      </c>
      <c r="K1367" s="8">
        <f>COUNTIFS('All Papers'!$D:$D,"*"&amp;$A1367&amp;"*",'All Papers'!$G:$G,"*"&amp;Table1[[#Headers],[Energy Management]]&amp;"*")</f>
        <v>0</v>
      </c>
      <c r="L1367" s="8">
        <f>COUNTIFS('All Papers'!$D:$D,"*"&amp;$A1367&amp;"*",'All Papers'!$G:$G,"*"&amp;Table1[[#Headers],[Monitoring]]&amp;"*")</f>
        <v>0</v>
      </c>
      <c r="M1367" s="8">
        <f>COUNTIFS('All Papers'!$D:$D,"*"&amp;$A1367&amp;"*",'All Papers'!$G:$G,"*"&amp;Table1[[#Headers],[Pricing]]&amp;"*")</f>
        <v>0</v>
      </c>
    </row>
    <row r="1368" spans="1:13" x14ac:dyDescent="0.25">
      <c r="A1368" s="8" t="s">
        <v>3801</v>
      </c>
      <c r="B1368" s="8">
        <f>COUNTIF('All Papers'!D:D,"*"&amp;Table1[[#This Row],[Name]]&amp;"*")</f>
        <v>1</v>
      </c>
      <c r="C1368" s="8">
        <f>COUNTIFS('All Papers'!$D:$D,"*"&amp;$A1368&amp;"*",'All Papers'!$G:$G,"*"&amp;Table1[[#Headers],[Composition]]&amp;"*")</f>
        <v>0</v>
      </c>
      <c r="D1368" s="8">
        <f>COUNTIFS('All Papers'!$D:$D,"*"&amp;$A1368&amp;"*",'All Papers'!$G:$G,"*"&amp;Table1[[#Headers],[Discovery]]&amp;"*")</f>
        <v>1</v>
      </c>
      <c r="E1368" s="8">
        <f>COUNTIFS('All Papers'!$D:$D,"*"&amp;$A1368&amp;"*",'All Papers'!$G:$G,"*"&amp;Table1[[#Headers],[Selection]]&amp;"*")</f>
        <v>0</v>
      </c>
      <c r="F1368" s="8">
        <f>COUNTIFS('All Papers'!$D:$D,"*"&amp;$A1368&amp;"*",'All Papers'!$G:$G,"*"&amp;Table1[[#Headers],[Recommendation]]&amp;"*")</f>
        <v>0</v>
      </c>
      <c r="G1368" s="8">
        <f>COUNTIFS('All Papers'!$D:$D,"*"&amp;$A1368&amp;"*",'All Papers'!$G:$G,"*"&amp;Table1[[#Headers],[Resource Management-CS]]&amp;"*")</f>
        <v>0</v>
      </c>
      <c r="H1368" s="8">
        <f>COUNTIFS('All Papers'!$D:$D,"*"&amp;$A1368&amp;"*",'All Papers'!$G:$G,"*"&amp;Table1[[#Headers],[Resource Management-PS]]&amp;"*")</f>
        <v>0</v>
      </c>
      <c r="I1368" s="8">
        <f>COUNTIFS('All Papers'!$D:$D,"*"&amp;$A1368&amp;"*",'All Papers'!$G:$G,"*"&amp;Table1[[#Headers],[SLA Management]]&amp;"*")</f>
        <v>0</v>
      </c>
      <c r="J1368" s="8">
        <f>COUNTIFS('All Papers'!$D:$D,"*"&amp;$A1368&amp;"*",'All Papers'!$G:$G,"*"&amp;Table1[[#Headers],[Big Data]]&amp;"*")</f>
        <v>0</v>
      </c>
      <c r="K1368" s="8">
        <f>COUNTIFS('All Papers'!$D:$D,"*"&amp;$A1368&amp;"*",'All Papers'!$G:$G,"*"&amp;Table1[[#Headers],[Energy Management]]&amp;"*")</f>
        <v>0</v>
      </c>
      <c r="L1368" s="8">
        <f>COUNTIFS('All Papers'!$D:$D,"*"&amp;$A1368&amp;"*",'All Papers'!$G:$G,"*"&amp;Table1[[#Headers],[Monitoring]]&amp;"*")</f>
        <v>0</v>
      </c>
      <c r="M1368" s="8">
        <f>COUNTIFS('All Papers'!$D:$D,"*"&amp;$A1368&amp;"*",'All Papers'!$G:$G,"*"&amp;Table1[[#Headers],[Pricing]]&amp;"*")</f>
        <v>0</v>
      </c>
    </row>
    <row r="1369" spans="1:13" x14ac:dyDescent="0.25">
      <c r="A1369" s="8" t="s">
        <v>3802</v>
      </c>
      <c r="B1369" s="8">
        <f>COUNTIF('All Papers'!D:D,"*"&amp;Table1[[#This Row],[Name]]&amp;"*")</f>
        <v>1</v>
      </c>
      <c r="C1369" s="8">
        <f>COUNTIFS('All Papers'!$D:$D,"*"&amp;$A1369&amp;"*",'All Papers'!$G:$G,"*"&amp;Table1[[#Headers],[Composition]]&amp;"*")</f>
        <v>0</v>
      </c>
      <c r="D1369" s="8">
        <f>COUNTIFS('All Papers'!$D:$D,"*"&amp;$A1369&amp;"*",'All Papers'!$G:$G,"*"&amp;Table1[[#Headers],[Discovery]]&amp;"*")</f>
        <v>1</v>
      </c>
      <c r="E1369" s="8">
        <f>COUNTIFS('All Papers'!$D:$D,"*"&amp;$A1369&amp;"*",'All Papers'!$G:$G,"*"&amp;Table1[[#Headers],[Selection]]&amp;"*")</f>
        <v>0</v>
      </c>
      <c r="F1369" s="8">
        <f>COUNTIFS('All Papers'!$D:$D,"*"&amp;$A1369&amp;"*",'All Papers'!$G:$G,"*"&amp;Table1[[#Headers],[Recommendation]]&amp;"*")</f>
        <v>0</v>
      </c>
      <c r="G1369" s="8">
        <f>COUNTIFS('All Papers'!$D:$D,"*"&amp;$A1369&amp;"*",'All Papers'!$G:$G,"*"&amp;Table1[[#Headers],[Resource Management-CS]]&amp;"*")</f>
        <v>0</v>
      </c>
      <c r="H1369" s="8">
        <f>COUNTIFS('All Papers'!$D:$D,"*"&amp;$A1369&amp;"*",'All Papers'!$G:$G,"*"&amp;Table1[[#Headers],[Resource Management-PS]]&amp;"*")</f>
        <v>0</v>
      </c>
      <c r="I1369" s="8">
        <f>COUNTIFS('All Papers'!$D:$D,"*"&amp;$A1369&amp;"*",'All Papers'!$G:$G,"*"&amp;Table1[[#Headers],[SLA Management]]&amp;"*")</f>
        <v>0</v>
      </c>
      <c r="J1369" s="8">
        <f>COUNTIFS('All Papers'!$D:$D,"*"&amp;$A1369&amp;"*",'All Papers'!$G:$G,"*"&amp;Table1[[#Headers],[Big Data]]&amp;"*")</f>
        <v>0</v>
      </c>
      <c r="K1369" s="8">
        <f>COUNTIFS('All Papers'!$D:$D,"*"&amp;$A1369&amp;"*",'All Papers'!$G:$G,"*"&amp;Table1[[#Headers],[Energy Management]]&amp;"*")</f>
        <v>0</v>
      </c>
      <c r="L1369" s="8">
        <f>COUNTIFS('All Papers'!$D:$D,"*"&amp;$A1369&amp;"*",'All Papers'!$G:$G,"*"&amp;Table1[[#Headers],[Monitoring]]&amp;"*")</f>
        <v>0</v>
      </c>
      <c r="M1369" s="8">
        <f>COUNTIFS('All Papers'!$D:$D,"*"&amp;$A1369&amp;"*",'All Papers'!$G:$G,"*"&amp;Table1[[#Headers],[Pricing]]&amp;"*")</f>
        <v>0</v>
      </c>
    </row>
    <row r="1370" spans="1:13" x14ac:dyDescent="0.25">
      <c r="A1370" s="8" t="s">
        <v>3803</v>
      </c>
      <c r="B1370" s="8">
        <f>COUNTIF('All Papers'!D:D,"*"&amp;Table1[[#This Row],[Name]]&amp;"*")</f>
        <v>1</v>
      </c>
      <c r="C1370" s="8">
        <f>COUNTIFS('All Papers'!$D:$D,"*"&amp;$A1370&amp;"*",'All Papers'!$G:$G,"*"&amp;Table1[[#Headers],[Composition]]&amp;"*")</f>
        <v>0</v>
      </c>
      <c r="D1370" s="8">
        <f>COUNTIFS('All Papers'!$D:$D,"*"&amp;$A1370&amp;"*",'All Papers'!$G:$G,"*"&amp;Table1[[#Headers],[Discovery]]&amp;"*")</f>
        <v>0</v>
      </c>
      <c r="E1370" s="8">
        <f>COUNTIFS('All Papers'!$D:$D,"*"&amp;$A1370&amp;"*",'All Papers'!$G:$G,"*"&amp;Table1[[#Headers],[Selection]]&amp;"*")</f>
        <v>0</v>
      </c>
      <c r="F1370" s="8">
        <f>COUNTIFS('All Papers'!$D:$D,"*"&amp;$A1370&amp;"*",'All Papers'!$G:$G,"*"&amp;Table1[[#Headers],[Recommendation]]&amp;"*")</f>
        <v>1</v>
      </c>
      <c r="G1370" s="8">
        <f>COUNTIFS('All Papers'!$D:$D,"*"&amp;$A1370&amp;"*",'All Papers'!$G:$G,"*"&amp;Table1[[#Headers],[Resource Management-CS]]&amp;"*")</f>
        <v>0</v>
      </c>
      <c r="H1370" s="8">
        <f>COUNTIFS('All Papers'!$D:$D,"*"&amp;$A1370&amp;"*",'All Papers'!$G:$G,"*"&amp;Table1[[#Headers],[Resource Management-PS]]&amp;"*")</f>
        <v>0</v>
      </c>
      <c r="I1370" s="8">
        <f>COUNTIFS('All Papers'!$D:$D,"*"&amp;$A1370&amp;"*",'All Papers'!$G:$G,"*"&amp;Table1[[#Headers],[SLA Management]]&amp;"*")</f>
        <v>0</v>
      </c>
      <c r="J1370" s="8">
        <f>COUNTIFS('All Papers'!$D:$D,"*"&amp;$A1370&amp;"*",'All Papers'!$G:$G,"*"&amp;Table1[[#Headers],[Big Data]]&amp;"*")</f>
        <v>0</v>
      </c>
      <c r="K1370" s="8">
        <f>COUNTIFS('All Papers'!$D:$D,"*"&amp;$A1370&amp;"*",'All Papers'!$G:$G,"*"&amp;Table1[[#Headers],[Energy Management]]&amp;"*")</f>
        <v>0</v>
      </c>
      <c r="L1370" s="8">
        <f>COUNTIFS('All Papers'!$D:$D,"*"&amp;$A1370&amp;"*",'All Papers'!$G:$G,"*"&amp;Table1[[#Headers],[Monitoring]]&amp;"*")</f>
        <v>0</v>
      </c>
      <c r="M1370" s="8">
        <f>COUNTIFS('All Papers'!$D:$D,"*"&amp;$A1370&amp;"*",'All Papers'!$G:$G,"*"&amp;Table1[[#Headers],[Pricing]]&amp;"*")</f>
        <v>0</v>
      </c>
    </row>
    <row r="1371" spans="1:13" x14ac:dyDescent="0.25">
      <c r="A1371" s="8" t="s">
        <v>3804</v>
      </c>
      <c r="B1371" s="8">
        <f>COUNTIF('All Papers'!D:D,"*"&amp;Table1[[#This Row],[Name]]&amp;"*")</f>
        <v>1</v>
      </c>
      <c r="C1371" s="8">
        <f>COUNTIFS('All Papers'!$D:$D,"*"&amp;$A1371&amp;"*",'All Papers'!$G:$G,"*"&amp;Table1[[#Headers],[Composition]]&amp;"*")</f>
        <v>0</v>
      </c>
      <c r="D1371" s="8">
        <f>COUNTIFS('All Papers'!$D:$D,"*"&amp;$A1371&amp;"*",'All Papers'!$G:$G,"*"&amp;Table1[[#Headers],[Discovery]]&amp;"*")</f>
        <v>0</v>
      </c>
      <c r="E1371" s="8">
        <f>COUNTIFS('All Papers'!$D:$D,"*"&amp;$A1371&amp;"*",'All Papers'!$G:$G,"*"&amp;Table1[[#Headers],[Selection]]&amp;"*")</f>
        <v>0</v>
      </c>
      <c r="F1371" s="8">
        <f>COUNTIFS('All Papers'!$D:$D,"*"&amp;$A1371&amp;"*",'All Papers'!$G:$G,"*"&amp;Table1[[#Headers],[Recommendation]]&amp;"*")</f>
        <v>1</v>
      </c>
      <c r="G1371" s="8">
        <f>COUNTIFS('All Papers'!$D:$D,"*"&amp;$A1371&amp;"*",'All Papers'!$G:$G,"*"&amp;Table1[[#Headers],[Resource Management-CS]]&amp;"*")</f>
        <v>0</v>
      </c>
      <c r="H1371" s="8">
        <f>COUNTIFS('All Papers'!$D:$D,"*"&amp;$A1371&amp;"*",'All Papers'!$G:$G,"*"&amp;Table1[[#Headers],[Resource Management-PS]]&amp;"*")</f>
        <v>0</v>
      </c>
      <c r="I1371" s="8">
        <f>COUNTIFS('All Papers'!$D:$D,"*"&amp;$A1371&amp;"*",'All Papers'!$G:$G,"*"&amp;Table1[[#Headers],[SLA Management]]&amp;"*")</f>
        <v>0</v>
      </c>
      <c r="J1371" s="8">
        <f>COUNTIFS('All Papers'!$D:$D,"*"&amp;$A1371&amp;"*",'All Papers'!$G:$G,"*"&amp;Table1[[#Headers],[Big Data]]&amp;"*")</f>
        <v>0</v>
      </c>
      <c r="K1371" s="8">
        <f>COUNTIFS('All Papers'!$D:$D,"*"&amp;$A1371&amp;"*",'All Papers'!$G:$G,"*"&amp;Table1[[#Headers],[Energy Management]]&amp;"*")</f>
        <v>0</v>
      </c>
      <c r="L1371" s="8">
        <f>COUNTIFS('All Papers'!$D:$D,"*"&amp;$A1371&amp;"*",'All Papers'!$G:$G,"*"&amp;Table1[[#Headers],[Monitoring]]&amp;"*")</f>
        <v>0</v>
      </c>
      <c r="M1371" s="8">
        <f>COUNTIFS('All Papers'!$D:$D,"*"&amp;$A1371&amp;"*",'All Papers'!$G:$G,"*"&amp;Table1[[#Headers],[Pricing]]&amp;"*")</f>
        <v>0</v>
      </c>
    </row>
    <row r="1372" spans="1:13" x14ac:dyDescent="0.25">
      <c r="A1372" s="8" t="s">
        <v>3805</v>
      </c>
      <c r="B1372" s="8">
        <f>COUNTIF('All Papers'!D:D,"*"&amp;Table1[[#This Row],[Name]]&amp;"*")</f>
        <v>1</v>
      </c>
      <c r="C1372" s="8">
        <f>COUNTIFS('All Papers'!$D:$D,"*"&amp;$A1372&amp;"*",'All Papers'!$G:$G,"*"&amp;Table1[[#Headers],[Composition]]&amp;"*")</f>
        <v>0</v>
      </c>
      <c r="D1372" s="8">
        <f>COUNTIFS('All Papers'!$D:$D,"*"&amp;$A1372&amp;"*",'All Papers'!$G:$G,"*"&amp;Table1[[#Headers],[Discovery]]&amp;"*")</f>
        <v>0</v>
      </c>
      <c r="E1372" s="8">
        <f>COUNTIFS('All Papers'!$D:$D,"*"&amp;$A1372&amp;"*",'All Papers'!$G:$G,"*"&amp;Table1[[#Headers],[Selection]]&amp;"*")</f>
        <v>1</v>
      </c>
      <c r="F1372" s="8">
        <f>COUNTIFS('All Papers'!$D:$D,"*"&amp;$A1372&amp;"*",'All Papers'!$G:$G,"*"&amp;Table1[[#Headers],[Recommendation]]&amp;"*")</f>
        <v>0</v>
      </c>
      <c r="G1372" s="8">
        <f>COUNTIFS('All Papers'!$D:$D,"*"&amp;$A1372&amp;"*",'All Papers'!$G:$G,"*"&amp;Table1[[#Headers],[Resource Management-CS]]&amp;"*")</f>
        <v>0</v>
      </c>
      <c r="H1372" s="8">
        <f>COUNTIFS('All Papers'!$D:$D,"*"&amp;$A1372&amp;"*",'All Papers'!$G:$G,"*"&amp;Table1[[#Headers],[Resource Management-PS]]&amp;"*")</f>
        <v>0</v>
      </c>
      <c r="I1372" s="8">
        <f>COUNTIFS('All Papers'!$D:$D,"*"&amp;$A1372&amp;"*",'All Papers'!$G:$G,"*"&amp;Table1[[#Headers],[SLA Management]]&amp;"*")</f>
        <v>0</v>
      </c>
      <c r="J1372" s="8">
        <f>COUNTIFS('All Papers'!$D:$D,"*"&amp;$A1372&amp;"*",'All Papers'!$G:$G,"*"&amp;Table1[[#Headers],[Big Data]]&amp;"*")</f>
        <v>0</v>
      </c>
      <c r="K1372" s="8">
        <f>COUNTIFS('All Papers'!$D:$D,"*"&amp;$A1372&amp;"*",'All Papers'!$G:$G,"*"&amp;Table1[[#Headers],[Energy Management]]&amp;"*")</f>
        <v>0</v>
      </c>
      <c r="L1372" s="8">
        <f>COUNTIFS('All Papers'!$D:$D,"*"&amp;$A1372&amp;"*",'All Papers'!$G:$G,"*"&amp;Table1[[#Headers],[Monitoring]]&amp;"*")</f>
        <v>0</v>
      </c>
      <c r="M1372" s="8">
        <f>COUNTIFS('All Papers'!$D:$D,"*"&amp;$A1372&amp;"*",'All Papers'!$G:$G,"*"&amp;Table1[[#Headers],[Pricing]]&amp;"*")</f>
        <v>0</v>
      </c>
    </row>
    <row r="1373" spans="1:13" x14ac:dyDescent="0.25">
      <c r="A1373" s="8" t="s">
        <v>3806</v>
      </c>
      <c r="B1373" s="8">
        <f>COUNTIF('All Papers'!D:D,"*"&amp;Table1[[#This Row],[Name]]&amp;"*")</f>
        <v>1</v>
      </c>
      <c r="C1373" s="8">
        <f>COUNTIFS('All Papers'!$D:$D,"*"&amp;$A1373&amp;"*",'All Papers'!$G:$G,"*"&amp;Table1[[#Headers],[Composition]]&amp;"*")</f>
        <v>0</v>
      </c>
      <c r="D1373" s="8">
        <f>COUNTIFS('All Papers'!$D:$D,"*"&amp;$A1373&amp;"*",'All Papers'!$G:$G,"*"&amp;Table1[[#Headers],[Discovery]]&amp;"*")</f>
        <v>0</v>
      </c>
      <c r="E1373" s="8">
        <f>COUNTIFS('All Papers'!$D:$D,"*"&amp;$A1373&amp;"*",'All Papers'!$G:$G,"*"&amp;Table1[[#Headers],[Selection]]&amp;"*")</f>
        <v>1</v>
      </c>
      <c r="F1373" s="8">
        <f>COUNTIFS('All Papers'!$D:$D,"*"&amp;$A1373&amp;"*",'All Papers'!$G:$G,"*"&amp;Table1[[#Headers],[Recommendation]]&amp;"*")</f>
        <v>0</v>
      </c>
      <c r="G1373" s="8">
        <f>COUNTIFS('All Papers'!$D:$D,"*"&amp;$A1373&amp;"*",'All Papers'!$G:$G,"*"&amp;Table1[[#Headers],[Resource Management-CS]]&amp;"*")</f>
        <v>0</v>
      </c>
      <c r="H1373" s="8">
        <f>COUNTIFS('All Papers'!$D:$D,"*"&amp;$A1373&amp;"*",'All Papers'!$G:$G,"*"&amp;Table1[[#Headers],[Resource Management-PS]]&amp;"*")</f>
        <v>0</v>
      </c>
      <c r="I1373" s="8">
        <f>COUNTIFS('All Papers'!$D:$D,"*"&amp;$A1373&amp;"*",'All Papers'!$G:$G,"*"&amp;Table1[[#Headers],[SLA Management]]&amp;"*")</f>
        <v>0</v>
      </c>
      <c r="J1373" s="8">
        <f>COUNTIFS('All Papers'!$D:$D,"*"&amp;$A1373&amp;"*",'All Papers'!$G:$G,"*"&amp;Table1[[#Headers],[Big Data]]&amp;"*")</f>
        <v>0</v>
      </c>
      <c r="K1373" s="8">
        <f>COUNTIFS('All Papers'!$D:$D,"*"&amp;$A1373&amp;"*",'All Papers'!$G:$G,"*"&amp;Table1[[#Headers],[Energy Management]]&amp;"*")</f>
        <v>0</v>
      </c>
      <c r="L1373" s="8">
        <f>COUNTIFS('All Papers'!$D:$D,"*"&amp;$A1373&amp;"*",'All Papers'!$G:$G,"*"&amp;Table1[[#Headers],[Monitoring]]&amp;"*")</f>
        <v>0</v>
      </c>
      <c r="M1373" s="8">
        <f>COUNTIFS('All Papers'!$D:$D,"*"&amp;$A1373&amp;"*",'All Papers'!$G:$G,"*"&amp;Table1[[#Headers],[Pricing]]&amp;"*")</f>
        <v>0</v>
      </c>
    </row>
    <row r="1374" spans="1:13" x14ac:dyDescent="0.25">
      <c r="A1374" s="8" t="s">
        <v>3807</v>
      </c>
      <c r="B1374" s="8">
        <f>COUNTIF('All Papers'!D:D,"*"&amp;Table1[[#This Row],[Name]]&amp;"*")</f>
        <v>1</v>
      </c>
      <c r="C1374" s="8">
        <f>COUNTIFS('All Papers'!$D:$D,"*"&amp;$A1374&amp;"*",'All Papers'!$G:$G,"*"&amp;Table1[[#Headers],[Composition]]&amp;"*")</f>
        <v>0</v>
      </c>
      <c r="D1374" s="8">
        <f>COUNTIFS('All Papers'!$D:$D,"*"&amp;$A1374&amp;"*",'All Papers'!$G:$G,"*"&amp;Table1[[#Headers],[Discovery]]&amp;"*")</f>
        <v>0</v>
      </c>
      <c r="E1374" s="8">
        <f>COUNTIFS('All Papers'!$D:$D,"*"&amp;$A1374&amp;"*",'All Papers'!$G:$G,"*"&amp;Table1[[#Headers],[Selection]]&amp;"*")</f>
        <v>1</v>
      </c>
      <c r="F1374" s="8">
        <f>COUNTIFS('All Papers'!$D:$D,"*"&amp;$A1374&amp;"*",'All Papers'!$G:$G,"*"&amp;Table1[[#Headers],[Recommendation]]&amp;"*")</f>
        <v>0</v>
      </c>
      <c r="G1374" s="8">
        <f>COUNTIFS('All Papers'!$D:$D,"*"&amp;$A1374&amp;"*",'All Papers'!$G:$G,"*"&amp;Table1[[#Headers],[Resource Management-CS]]&amp;"*")</f>
        <v>0</v>
      </c>
      <c r="H1374" s="8">
        <f>COUNTIFS('All Papers'!$D:$D,"*"&amp;$A1374&amp;"*",'All Papers'!$G:$G,"*"&amp;Table1[[#Headers],[Resource Management-PS]]&amp;"*")</f>
        <v>0</v>
      </c>
      <c r="I1374" s="8">
        <f>COUNTIFS('All Papers'!$D:$D,"*"&amp;$A1374&amp;"*",'All Papers'!$G:$G,"*"&amp;Table1[[#Headers],[SLA Management]]&amp;"*")</f>
        <v>0</v>
      </c>
      <c r="J1374" s="8">
        <f>COUNTIFS('All Papers'!$D:$D,"*"&amp;$A1374&amp;"*",'All Papers'!$G:$G,"*"&amp;Table1[[#Headers],[Big Data]]&amp;"*")</f>
        <v>0</v>
      </c>
      <c r="K1374" s="8">
        <f>COUNTIFS('All Papers'!$D:$D,"*"&amp;$A1374&amp;"*",'All Papers'!$G:$G,"*"&amp;Table1[[#Headers],[Energy Management]]&amp;"*")</f>
        <v>0</v>
      </c>
      <c r="L1374" s="8">
        <f>COUNTIFS('All Papers'!$D:$D,"*"&amp;$A1374&amp;"*",'All Papers'!$G:$G,"*"&amp;Table1[[#Headers],[Monitoring]]&amp;"*")</f>
        <v>0</v>
      </c>
      <c r="M1374" s="8">
        <f>COUNTIFS('All Papers'!$D:$D,"*"&amp;$A1374&amp;"*",'All Papers'!$G:$G,"*"&amp;Table1[[#Headers],[Pricing]]&amp;"*")</f>
        <v>0</v>
      </c>
    </row>
    <row r="1375" spans="1:13" x14ac:dyDescent="0.25">
      <c r="A1375" s="8" t="s">
        <v>3808</v>
      </c>
      <c r="B1375" s="8">
        <f>COUNTIF('All Papers'!D:D,"*"&amp;Table1[[#This Row],[Name]]&amp;"*")</f>
        <v>1</v>
      </c>
      <c r="C1375" s="8">
        <f>COUNTIFS('All Papers'!$D:$D,"*"&amp;$A1375&amp;"*",'All Papers'!$G:$G,"*"&amp;Table1[[#Headers],[Composition]]&amp;"*")</f>
        <v>0</v>
      </c>
      <c r="D1375" s="8">
        <f>COUNTIFS('All Papers'!$D:$D,"*"&amp;$A1375&amp;"*",'All Papers'!$G:$G,"*"&amp;Table1[[#Headers],[Discovery]]&amp;"*")</f>
        <v>0</v>
      </c>
      <c r="E1375" s="8">
        <f>COUNTIFS('All Papers'!$D:$D,"*"&amp;$A1375&amp;"*",'All Papers'!$G:$G,"*"&amp;Table1[[#Headers],[Selection]]&amp;"*")</f>
        <v>1</v>
      </c>
      <c r="F1375" s="8">
        <f>COUNTIFS('All Papers'!$D:$D,"*"&amp;$A1375&amp;"*",'All Papers'!$G:$G,"*"&amp;Table1[[#Headers],[Recommendation]]&amp;"*")</f>
        <v>0</v>
      </c>
      <c r="G1375" s="8">
        <f>COUNTIFS('All Papers'!$D:$D,"*"&amp;$A1375&amp;"*",'All Papers'!$G:$G,"*"&amp;Table1[[#Headers],[Resource Management-CS]]&amp;"*")</f>
        <v>0</v>
      </c>
      <c r="H1375" s="8">
        <f>COUNTIFS('All Papers'!$D:$D,"*"&amp;$A1375&amp;"*",'All Papers'!$G:$G,"*"&amp;Table1[[#Headers],[Resource Management-PS]]&amp;"*")</f>
        <v>0</v>
      </c>
      <c r="I1375" s="8">
        <f>COUNTIFS('All Papers'!$D:$D,"*"&amp;$A1375&amp;"*",'All Papers'!$G:$G,"*"&amp;Table1[[#Headers],[SLA Management]]&amp;"*")</f>
        <v>0</v>
      </c>
      <c r="J1375" s="8">
        <f>COUNTIFS('All Papers'!$D:$D,"*"&amp;$A1375&amp;"*",'All Papers'!$G:$G,"*"&amp;Table1[[#Headers],[Big Data]]&amp;"*")</f>
        <v>0</v>
      </c>
      <c r="K1375" s="8">
        <f>COUNTIFS('All Papers'!$D:$D,"*"&amp;$A1375&amp;"*",'All Papers'!$G:$G,"*"&amp;Table1[[#Headers],[Energy Management]]&amp;"*")</f>
        <v>0</v>
      </c>
      <c r="L1375" s="8">
        <f>COUNTIFS('All Papers'!$D:$D,"*"&amp;$A1375&amp;"*",'All Papers'!$G:$G,"*"&amp;Table1[[#Headers],[Monitoring]]&amp;"*")</f>
        <v>0</v>
      </c>
      <c r="M1375" s="8">
        <f>COUNTIFS('All Papers'!$D:$D,"*"&amp;$A1375&amp;"*",'All Papers'!$G:$G,"*"&amp;Table1[[#Headers],[Pricing]]&amp;"*")</f>
        <v>0</v>
      </c>
    </row>
    <row r="1376" spans="1:13" x14ac:dyDescent="0.25">
      <c r="A1376" s="8" t="s">
        <v>3809</v>
      </c>
      <c r="B1376" s="8">
        <f>COUNTIF('All Papers'!D:D,"*"&amp;Table1[[#This Row],[Name]]&amp;"*")</f>
        <v>1</v>
      </c>
      <c r="C1376" s="8">
        <f>COUNTIFS('All Papers'!$D:$D,"*"&amp;$A1376&amp;"*",'All Papers'!$G:$G,"*"&amp;Table1[[#Headers],[Composition]]&amp;"*")</f>
        <v>0</v>
      </c>
      <c r="D1376" s="8">
        <f>COUNTIFS('All Papers'!$D:$D,"*"&amp;$A1376&amp;"*",'All Papers'!$G:$G,"*"&amp;Table1[[#Headers],[Discovery]]&amp;"*")</f>
        <v>1</v>
      </c>
      <c r="E1376" s="8">
        <f>COUNTIFS('All Papers'!$D:$D,"*"&amp;$A1376&amp;"*",'All Papers'!$G:$G,"*"&amp;Table1[[#Headers],[Selection]]&amp;"*")</f>
        <v>0</v>
      </c>
      <c r="F1376" s="8">
        <f>COUNTIFS('All Papers'!$D:$D,"*"&amp;$A1376&amp;"*",'All Papers'!$G:$G,"*"&amp;Table1[[#Headers],[Recommendation]]&amp;"*")</f>
        <v>0</v>
      </c>
      <c r="G1376" s="8">
        <f>COUNTIFS('All Papers'!$D:$D,"*"&amp;$A1376&amp;"*",'All Papers'!$G:$G,"*"&amp;Table1[[#Headers],[Resource Management-CS]]&amp;"*")</f>
        <v>0</v>
      </c>
      <c r="H1376" s="8">
        <f>COUNTIFS('All Papers'!$D:$D,"*"&amp;$A1376&amp;"*",'All Papers'!$G:$G,"*"&amp;Table1[[#Headers],[Resource Management-PS]]&amp;"*")</f>
        <v>0</v>
      </c>
      <c r="I1376" s="8">
        <f>COUNTIFS('All Papers'!$D:$D,"*"&amp;$A1376&amp;"*",'All Papers'!$G:$G,"*"&amp;Table1[[#Headers],[SLA Management]]&amp;"*")</f>
        <v>0</v>
      </c>
      <c r="J1376" s="8">
        <f>COUNTIFS('All Papers'!$D:$D,"*"&amp;$A1376&amp;"*",'All Papers'!$G:$G,"*"&amp;Table1[[#Headers],[Big Data]]&amp;"*")</f>
        <v>0</v>
      </c>
      <c r="K1376" s="8">
        <f>COUNTIFS('All Papers'!$D:$D,"*"&amp;$A1376&amp;"*",'All Papers'!$G:$G,"*"&amp;Table1[[#Headers],[Energy Management]]&amp;"*")</f>
        <v>0</v>
      </c>
      <c r="L1376" s="8">
        <f>COUNTIFS('All Papers'!$D:$D,"*"&amp;$A1376&amp;"*",'All Papers'!$G:$G,"*"&amp;Table1[[#Headers],[Monitoring]]&amp;"*")</f>
        <v>0</v>
      </c>
      <c r="M1376" s="8">
        <f>COUNTIFS('All Papers'!$D:$D,"*"&amp;$A1376&amp;"*",'All Papers'!$G:$G,"*"&amp;Table1[[#Headers],[Pricing]]&amp;"*")</f>
        <v>0</v>
      </c>
    </row>
    <row r="1377" spans="1:13" x14ac:dyDescent="0.25">
      <c r="A1377" s="8" t="s">
        <v>3810</v>
      </c>
      <c r="B1377" s="8">
        <f>COUNTIF('All Papers'!D:D,"*"&amp;Table1[[#This Row],[Name]]&amp;"*")</f>
        <v>1</v>
      </c>
      <c r="C1377" s="8">
        <f>COUNTIFS('All Papers'!$D:$D,"*"&amp;$A1377&amp;"*",'All Papers'!$G:$G,"*"&amp;Table1[[#Headers],[Composition]]&amp;"*")</f>
        <v>0</v>
      </c>
      <c r="D1377" s="8">
        <f>COUNTIFS('All Papers'!$D:$D,"*"&amp;$A1377&amp;"*",'All Papers'!$G:$G,"*"&amp;Table1[[#Headers],[Discovery]]&amp;"*")</f>
        <v>1</v>
      </c>
      <c r="E1377" s="8">
        <f>COUNTIFS('All Papers'!$D:$D,"*"&amp;$A1377&amp;"*",'All Papers'!$G:$G,"*"&amp;Table1[[#Headers],[Selection]]&amp;"*")</f>
        <v>0</v>
      </c>
      <c r="F1377" s="8">
        <f>COUNTIFS('All Papers'!$D:$D,"*"&amp;$A1377&amp;"*",'All Papers'!$G:$G,"*"&amp;Table1[[#Headers],[Recommendation]]&amp;"*")</f>
        <v>0</v>
      </c>
      <c r="G1377" s="8">
        <f>COUNTIFS('All Papers'!$D:$D,"*"&amp;$A1377&amp;"*",'All Papers'!$G:$G,"*"&amp;Table1[[#Headers],[Resource Management-CS]]&amp;"*")</f>
        <v>0</v>
      </c>
      <c r="H1377" s="8">
        <f>COUNTIFS('All Papers'!$D:$D,"*"&amp;$A1377&amp;"*",'All Papers'!$G:$G,"*"&amp;Table1[[#Headers],[Resource Management-PS]]&amp;"*")</f>
        <v>0</v>
      </c>
      <c r="I1377" s="8">
        <f>COUNTIFS('All Papers'!$D:$D,"*"&amp;$A1377&amp;"*",'All Papers'!$G:$G,"*"&amp;Table1[[#Headers],[SLA Management]]&amp;"*")</f>
        <v>0</v>
      </c>
      <c r="J1377" s="8">
        <f>COUNTIFS('All Papers'!$D:$D,"*"&amp;$A1377&amp;"*",'All Papers'!$G:$G,"*"&amp;Table1[[#Headers],[Big Data]]&amp;"*")</f>
        <v>0</v>
      </c>
      <c r="K1377" s="8">
        <f>COUNTIFS('All Papers'!$D:$D,"*"&amp;$A1377&amp;"*",'All Papers'!$G:$G,"*"&amp;Table1[[#Headers],[Energy Management]]&amp;"*")</f>
        <v>0</v>
      </c>
      <c r="L1377" s="8">
        <f>COUNTIFS('All Papers'!$D:$D,"*"&amp;$A1377&amp;"*",'All Papers'!$G:$G,"*"&amp;Table1[[#Headers],[Monitoring]]&amp;"*")</f>
        <v>0</v>
      </c>
      <c r="M1377" s="8">
        <f>COUNTIFS('All Papers'!$D:$D,"*"&amp;$A1377&amp;"*",'All Papers'!$G:$G,"*"&amp;Table1[[#Headers],[Pricing]]&amp;"*")</f>
        <v>0</v>
      </c>
    </row>
    <row r="1378" spans="1:13" x14ac:dyDescent="0.25">
      <c r="A1378" s="8" t="s">
        <v>3811</v>
      </c>
      <c r="B1378" s="8">
        <f>COUNTIF('All Papers'!D:D,"*"&amp;Table1[[#This Row],[Name]]&amp;"*")</f>
        <v>0</v>
      </c>
      <c r="C1378" s="8">
        <f>COUNTIFS('All Papers'!$D:$D,"*"&amp;$A1378&amp;"*",'All Papers'!$G:$G,"*"&amp;Table1[[#Headers],[Composition]]&amp;"*")</f>
        <v>0</v>
      </c>
      <c r="D1378" s="8">
        <f>COUNTIFS('All Papers'!$D:$D,"*"&amp;$A1378&amp;"*",'All Papers'!$G:$G,"*"&amp;Table1[[#Headers],[Discovery]]&amp;"*")</f>
        <v>0</v>
      </c>
      <c r="E1378" s="8">
        <f>COUNTIFS('All Papers'!$D:$D,"*"&amp;$A1378&amp;"*",'All Papers'!$G:$G,"*"&amp;Table1[[#Headers],[Selection]]&amp;"*")</f>
        <v>0</v>
      </c>
      <c r="F1378" s="8">
        <f>COUNTIFS('All Papers'!$D:$D,"*"&amp;$A1378&amp;"*",'All Papers'!$G:$G,"*"&amp;Table1[[#Headers],[Recommendation]]&amp;"*")</f>
        <v>0</v>
      </c>
      <c r="G1378" s="8">
        <f>COUNTIFS('All Papers'!$D:$D,"*"&amp;$A1378&amp;"*",'All Papers'!$G:$G,"*"&amp;Table1[[#Headers],[Resource Management-CS]]&amp;"*")</f>
        <v>0</v>
      </c>
      <c r="H1378" s="8">
        <f>COUNTIFS('All Papers'!$D:$D,"*"&amp;$A1378&amp;"*",'All Papers'!$G:$G,"*"&amp;Table1[[#Headers],[Resource Management-PS]]&amp;"*")</f>
        <v>0</v>
      </c>
      <c r="I1378" s="8">
        <f>COUNTIFS('All Papers'!$D:$D,"*"&amp;$A1378&amp;"*",'All Papers'!$G:$G,"*"&amp;Table1[[#Headers],[SLA Management]]&amp;"*")</f>
        <v>0</v>
      </c>
      <c r="J1378" s="8">
        <f>COUNTIFS('All Papers'!$D:$D,"*"&amp;$A1378&amp;"*",'All Papers'!$G:$G,"*"&amp;Table1[[#Headers],[Big Data]]&amp;"*")</f>
        <v>0</v>
      </c>
      <c r="K1378" s="8">
        <f>COUNTIFS('All Papers'!$D:$D,"*"&amp;$A1378&amp;"*",'All Papers'!$G:$G,"*"&amp;Table1[[#Headers],[Energy Management]]&amp;"*")</f>
        <v>0</v>
      </c>
      <c r="L1378" s="8">
        <f>COUNTIFS('All Papers'!$D:$D,"*"&amp;$A1378&amp;"*",'All Papers'!$G:$G,"*"&amp;Table1[[#Headers],[Monitoring]]&amp;"*")</f>
        <v>0</v>
      </c>
      <c r="M1378" s="8">
        <f>COUNTIFS('All Papers'!$D:$D,"*"&amp;$A1378&amp;"*",'All Papers'!$G:$G,"*"&amp;Table1[[#Headers],[Pricing]]&amp;"*")</f>
        <v>0</v>
      </c>
    </row>
    <row r="1379" spans="1:13" x14ac:dyDescent="0.25">
      <c r="A1379" s="8" t="s">
        <v>3812</v>
      </c>
      <c r="B1379" s="8">
        <f>COUNTIF('All Papers'!D:D,"*"&amp;Table1[[#This Row],[Name]]&amp;"*")</f>
        <v>0</v>
      </c>
      <c r="C1379" s="8">
        <f>COUNTIFS('All Papers'!$D:$D,"*"&amp;$A1379&amp;"*",'All Papers'!$G:$G,"*"&amp;Table1[[#Headers],[Composition]]&amp;"*")</f>
        <v>0</v>
      </c>
      <c r="D1379" s="8">
        <f>COUNTIFS('All Papers'!$D:$D,"*"&amp;$A1379&amp;"*",'All Papers'!$G:$G,"*"&amp;Table1[[#Headers],[Discovery]]&amp;"*")</f>
        <v>0</v>
      </c>
      <c r="E1379" s="8">
        <f>COUNTIFS('All Papers'!$D:$D,"*"&amp;$A1379&amp;"*",'All Papers'!$G:$G,"*"&amp;Table1[[#Headers],[Selection]]&amp;"*")</f>
        <v>0</v>
      </c>
      <c r="F1379" s="8">
        <f>COUNTIFS('All Papers'!$D:$D,"*"&amp;$A1379&amp;"*",'All Papers'!$G:$G,"*"&amp;Table1[[#Headers],[Recommendation]]&amp;"*")</f>
        <v>0</v>
      </c>
      <c r="G1379" s="8">
        <f>COUNTIFS('All Papers'!$D:$D,"*"&amp;$A1379&amp;"*",'All Papers'!$G:$G,"*"&amp;Table1[[#Headers],[Resource Management-CS]]&amp;"*")</f>
        <v>0</v>
      </c>
      <c r="H1379" s="8">
        <f>COUNTIFS('All Papers'!$D:$D,"*"&amp;$A1379&amp;"*",'All Papers'!$G:$G,"*"&amp;Table1[[#Headers],[Resource Management-PS]]&amp;"*")</f>
        <v>0</v>
      </c>
      <c r="I1379" s="8">
        <f>COUNTIFS('All Papers'!$D:$D,"*"&amp;$A1379&amp;"*",'All Papers'!$G:$G,"*"&amp;Table1[[#Headers],[SLA Management]]&amp;"*")</f>
        <v>0</v>
      </c>
      <c r="J1379" s="8">
        <f>COUNTIFS('All Papers'!$D:$D,"*"&amp;$A1379&amp;"*",'All Papers'!$G:$G,"*"&amp;Table1[[#Headers],[Big Data]]&amp;"*")</f>
        <v>0</v>
      </c>
      <c r="K1379" s="8">
        <f>COUNTIFS('All Papers'!$D:$D,"*"&amp;$A1379&amp;"*",'All Papers'!$G:$G,"*"&amp;Table1[[#Headers],[Energy Management]]&amp;"*")</f>
        <v>0</v>
      </c>
      <c r="L1379" s="8">
        <f>COUNTIFS('All Papers'!$D:$D,"*"&amp;$A1379&amp;"*",'All Papers'!$G:$G,"*"&amp;Table1[[#Headers],[Monitoring]]&amp;"*")</f>
        <v>0</v>
      </c>
      <c r="M1379" s="8">
        <f>COUNTIFS('All Papers'!$D:$D,"*"&amp;$A1379&amp;"*",'All Papers'!$G:$G,"*"&amp;Table1[[#Headers],[Pricing]]&amp;"*")</f>
        <v>0</v>
      </c>
    </row>
    <row r="1380" spans="1:13" x14ac:dyDescent="0.25">
      <c r="A1380" s="8" t="s">
        <v>3813</v>
      </c>
      <c r="B1380" s="8">
        <f>COUNTIF('All Papers'!D:D,"*"&amp;Table1[[#This Row],[Name]]&amp;"*")</f>
        <v>0</v>
      </c>
      <c r="C1380" s="8">
        <f>COUNTIFS('All Papers'!$D:$D,"*"&amp;$A1380&amp;"*",'All Papers'!$G:$G,"*"&amp;Table1[[#Headers],[Composition]]&amp;"*")</f>
        <v>0</v>
      </c>
      <c r="D1380" s="8">
        <f>COUNTIFS('All Papers'!$D:$D,"*"&amp;$A1380&amp;"*",'All Papers'!$G:$G,"*"&amp;Table1[[#Headers],[Discovery]]&amp;"*")</f>
        <v>0</v>
      </c>
      <c r="E1380" s="8">
        <f>COUNTIFS('All Papers'!$D:$D,"*"&amp;$A1380&amp;"*",'All Papers'!$G:$G,"*"&amp;Table1[[#Headers],[Selection]]&amp;"*")</f>
        <v>0</v>
      </c>
      <c r="F1380" s="8">
        <f>COUNTIFS('All Papers'!$D:$D,"*"&amp;$A1380&amp;"*",'All Papers'!$G:$G,"*"&amp;Table1[[#Headers],[Recommendation]]&amp;"*")</f>
        <v>0</v>
      </c>
      <c r="G1380" s="8">
        <f>COUNTIFS('All Papers'!$D:$D,"*"&amp;$A1380&amp;"*",'All Papers'!$G:$G,"*"&amp;Table1[[#Headers],[Resource Management-CS]]&amp;"*")</f>
        <v>0</v>
      </c>
      <c r="H1380" s="8">
        <f>COUNTIFS('All Papers'!$D:$D,"*"&amp;$A1380&amp;"*",'All Papers'!$G:$G,"*"&amp;Table1[[#Headers],[Resource Management-PS]]&amp;"*")</f>
        <v>0</v>
      </c>
      <c r="I1380" s="8">
        <f>COUNTIFS('All Papers'!$D:$D,"*"&amp;$A1380&amp;"*",'All Papers'!$G:$G,"*"&amp;Table1[[#Headers],[SLA Management]]&amp;"*")</f>
        <v>0</v>
      </c>
      <c r="J1380" s="8">
        <f>COUNTIFS('All Papers'!$D:$D,"*"&amp;$A1380&amp;"*",'All Papers'!$G:$G,"*"&amp;Table1[[#Headers],[Big Data]]&amp;"*")</f>
        <v>0</v>
      </c>
      <c r="K1380" s="8">
        <f>COUNTIFS('All Papers'!$D:$D,"*"&amp;$A1380&amp;"*",'All Papers'!$G:$G,"*"&amp;Table1[[#Headers],[Energy Management]]&amp;"*")</f>
        <v>0</v>
      </c>
      <c r="L1380" s="8">
        <f>COUNTIFS('All Papers'!$D:$D,"*"&amp;$A1380&amp;"*",'All Papers'!$G:$G,"*"&amp;Table1[[#Headers],[Monitoring]]&amp;"*")</f>
        <v>0</v>
      </c>
      <c r="M1380" s="8">
        <f>COUNTIFS('All Papers'!$D:$D,"*"&amp;$A1380&amp;"*",'All Papers'!$G:$G,"*"&amp;Table1[[#Headers],[Pricing]]&amp;"*")</f>
        <v>0</v>
      </c>
    </row>
    <row r="1381" spans="1:13" x14ac:dyDescent="0.25">
      <c r="A1381" s="8" t="s">
        <v>3814</v>
      </c>
      <c r="B1381" s="8">
        <f>COUNTIF('All Papers'!D:D,"*"&amp;Table1[[#This Row],[Name]]&amp;"*")</f>
        <v>0</v>
      </c>
      <c r="C1381" s="8">
        <f>COUNTIFS('All Papers'!$D:$D,"*"&amp;$A1381&amp;"*",'All Papers'!$G:$G,"*"&amp;Table1[[#Headers],[Composition]]&amp;"*")</f>
        <v>0</v>
      </c>
      <c r="D1381" s="8">
        <f>COUNTIFS('All Papers'!$D:$D,"*"&amp;$A1381&amp;"*",'All Papers'!$G:$G,"*"&amp;Table1[[#Headers],[Discovery]]&amp;"*")</f>
        <v>0</v>
      </c>
      <c r="E1381" s="8">
        <f>COUNTIFS('All Papers'!$D:$D,"*"&amp;$A1381&amp;"*",'All Papers'!$G:$G,"*"&amp;Table1[[#Headers],[Selection]]&amp;"*")</f>
        <v>0</v>
      </c>
      <c r="F1381" s="8">
        <f>COUNTIFS('All Papers'!$D:$D,"*"&amp;$A1381&amp;"*",'All Papers'!$G:$G,"*"&amp;Table1[[#Headers],[Recommendation]]&amp;"*")</f>
        <v>0</v>
      </c>
      <c r="G1381" s="8">
        <f>COUNTIFS('All Papers'!$D:$D,"*"&amp;$A1381&amp;"*",'All Papers'!$G:$G,"*"&amp;Table1[[#Headers],[Resource Management-CS]]&amp;"*")</f>
        <v>0</v>
      </c>
      <c r="H1381" s="8">
        <f>COUNTIFS('All Papers'!$D:$D,"*"&amp;$A1381&amp;"*",'All Papers'!$G:$G,"*"&amp;Table1[[#Headers],[Resource Management-PS]]&amp;"*")</f>
        <v>0</v>
      </c>
      <c r="I1381" s="8">
        <f>COUNTIFS('All Papers'!$D:$D,"*"&amp;$A1381&amp;"*",'All Papers'!$G:$G,"*"&amp;Table1[[#Headers],[SLA Management]]&amp;"*")</f>
        <v>0</v>
      </c>
      <c r="J1381" s="8">
        <f>COUNTIFS('All Papers'!$D:$D,"*"&amp;$A1381&amp;"*",'All Papers'!$G:$G,"*"&amp;Table1[[#Headers],[Big Data]]&amp;"*")</f>
        <v>0</v>
      </c>
      <c r="K1381" s="8">
        <f>COUNTIFS('All Papers'!$D:$D,"*"&amp;$A1381&amp;"*",'All Papers'!$G:$G,"*"&amp;Table1[[#Headers],[Energy Management]]&amp;"*")</f>
        <v>0</v>
      </c>
      <c r="L1381" s="8">
        <f>COUNTIFS('All Papers'!$D:$D,"*"&amp;$A1381&amp;"*",'All Papers'!$G:$G,"*"&amp;Table1[[#Headers],[Monitoring]]&amp;"*")</f>
        <v>0</v>
      </c>
      <c r="M1381" s="8">
        <f>COUNTIFS('All Papers'!$D:$D,"*"&amp;$A1381&amp;"*",'All Papers'!$G:$G,"*"&amp;Table1[[#Headers],[Pricing]]&amp;"*")</f>
        <v>0</v>
      </c>
    </row>
    <row r="1382" spans="1:13" x14ac:dyDescent="0.25">
      <c r="A1382" s="8" t="s">
        <v>3815</v>
      </c>
      <c r="B1382" s="8">
        <f>COUNTIF('All Papers'!D:D,"*"&amp;Table1[[#This Row],[Name]]&amp;"*")</f>
        <v>0</v>
      </c>
      <c r="C1382" s="8">
        <f>COUNTIFS('All Papers'!$D:$D,"*"&amp;$A1382&amp;"*",'All Papers'!$G:$G,"*"&amp;Table1[[#Headers],[Composition]]&amp;"*")</f>
        <v>0</v>
      </c>
      <c r="D1382" s="8">
        <f>COUNTIFS('All Papers'!$D:$D,"*"&amp;$A1382&amp;"*",'All Papers'!$G:$G,"*"&amp;Table1[[#Headers],[Discovery]]&amp;"*")</f>
        <v>0</v>
      </c>
      <c r="E1382" s="8">
        <f>COUNTIFS('All Papers'!$D:$D,"*"&amp;$A1382&amp;"*",'All Papers'!$G:$G,"*"&amp;Table1[[#Headers],[Selection]]&amp;"*")</f>
        <v>0</v>
      </c>
      <c r="F1382" s="8">
        <f>COUNTIFS('All Papers'!$D:$D,"*"&amp;$A1382&amp;"*",'All Papers'!$G:$G,"*"&amp;Table1[[#Headers],[Recommendation]]&amp;"*")</f>
        <v>0</v>
      </c>
      <c r="G1382" s="8">
        <f>COUNTIFS('All Papers'!$D:$D,"*"&amp;$A1382&amp;"*",'All Papers'!$G:$G,"*"&amp;Table1[[#Headers],[Resource Management-CS]]&amp;"*")</f>
        <v>0</v>
      </c>
      <c r="H1382" s="8">
        <f>COUNTIFS('All Papers'!$D:$D,"*"&amp;$A1382&amp;"*",'All Papers'!$G:$G,"*"&amp;Table1[[#Headers],[Resource Management-PS]]&amp;"*")</f>
        <v>0</v>
      </c>
      <c r="I1382" s="8">
        <f>COUNTIFS('All Papers'!$D:$D,"*"&amp;$A1382&amp;"*",'All Papers'!$G:$G,"*"&amp;Table1[[#Headers],[SLA Management]]&amp;"*")</f>
        <v>0</v>
      </c>
      <c r="J1382" s="8">
        <f>COUNTIFS('All Papers'!$D:$D,"*"&amp;$A1382&amp;"*",'All Papers'!$G:$G,"*"&amp;Table1[[#Headers],[Big Data]]&amp;"*")</f>
        <v>0</v>
      </c>
      <c r="K1382" s="8">
        <f>COUNTIFS('All Papers'!$D:$D,"*"&amp;$A1382&amp;"*",'All Papers'!$G:$G,"*"&amp;Table1[[#Headers],[Energy Management]]&amp;"*")</f>
        <v>0</v>
      </c>
      <c r="L1382" s="8">
        <f>COUNTIFS('All Papers'!$D:$D,"*"&amp;$A1382&amp;"*",'All Papers'!$G:$G,"*"&amp;Table1[[#Headers],[Monitoring]]&amp;"*")</f>
        <v>0</v>
      </c>
      <c r="M1382" s="8">
        <f>COUNTIFS('All Papers'!$D:$D,"*"&amp;$A1382&amp;"*",'All Papers'!$G:$G,"*"&amp;Table1[[#Headers],[Pricing]]&amp;"*")</f>
        <v>0</v>
      </c>
    </row>
    <row r="1383" spans="1:13" x14ac:dyDescent="0.25">
      <c r="A1383" s="8" t="s">
        <v>3816</v>
      </c>
      <c r="B1383" s="8">
        <f>COUNTIF('All Papers'!D:D,"*"&amp;Table1[[#This Row],[Name]]&amp;"*")</f>
        <v>0</v>
      </c>
      <c r="C1383" s="8">
        <f>COUNTIFS('All Papers'!$D:$D,"*"&amp;$A1383&amp;"*",'All Papers'!$G:$G,"*"&amp;Table1[[#Headers],[Composition]]&amp;"*")</f>
        <v>0</v>
      </c>
      <c r="D1383" s="8">
        <f>COUNTIFS('All Papers'!$D:$D,"*"&amp;$A1383&amp;"*",'All Papers'!$G:$G,"*"&amp;Table1[[#Headers],[Discovery]]&amp;"*")</f>
        <v>0</v>
      </c>
      <c r="E1383" s="8">
        <f>COUNTIFS('All Papers'!$D:$D,"*"&amp;$A1383&amp;"*",'All Papers'!$G:$G,"*"&amp;Table1[[#Headers],[Selection]]&amp;"*")</f>
        <v>0</v>
      </c>
      <c r="F1383" s="8">
        <f>COUNTIFS('All Papers'!$D:$D,"*"&amp;$A1383&amp;"*",'All Papers'!$G:$G,"*"&amp;Table1[[#Headers],[Recommendation]]&amp;"*")</f>
        <v>0</v>
      </c>
      <c r="G1383" s="8">
        <f>COUNTIFS('All Papers'!$D:$D,"*"&amp;$A1383&amp;"*",'All Papers'!$G:$G,"*"&amp;Table1[[#Headers],[Resource Management-CS]]&amp;"*")</f>
        <v>0</v>
      </c>
      <c r="H1383" s="8">
        <f>COUNTIFS('All Papers'!$D:$D,"*"&amp;$A1383&amp;"*",'All Papers'!$G:$G,"*"&amp;Table1[[#Headers],[Resource Management-PS]]&amp;"*")</f>
        <v>0</v>
      </c>
      <c r="I1383" s="8">
        <f>COUNTIFS('All Papers'!$D:$D,"*"&amp;$A1383&amp;"*",'All Papers'!$G:$G,"*"&amp;Table1[[#Headers],[SLA Management]]&amp;"*")</f>
        <v>0</v>
      </c>
      <c r="J1383" s="8">
        <f>COUNTIFS('All Papers'!$D:$D,"*"&amp;$A1383&amp;"*",'All Papers'!$G:$G,"*"&amp;Table1[[#Headers],[Big Data]]&amp;"*")</f>
        <v>0</v>
      </c>
      <c r="K1383" s="8">
        <f>COUNTIFS('All Papers'!$D:$D,"*"&amp;$A1383&amp;"*",'All Papers'!$G:$G,"*"&amp;Table1[[#Headers],[Energy Management]]&amp;"*")</f>
        <v>0</v>
      </c>
      <c r="L1383" s="8">
        <f>COUNTIFS('All Papers'!$D:$D,"*"&amp;$A1383&amp;"*",'All Papers'!$G:$G,"*"&amp;Table1[[#Headers],[Monitoring]]&amp;"*")</f>
        <v>0</v>
      </c>
      <c r="M1383" s="8">
        <f>COUNTIFS('All Papers'!$D:$D,"*"&amp;$A1383&amp;"*",'All Papers'!$G:$G,"*"&amp;Table1[[#Headers],[Pricing]]&amp;"*")</f>
        <v>0</v>
      </c>
    </row>
    <row r="1384" spans="1:13" x14ac:dyDescent="0.25">
      <c r="A1384" s="8" t="s">
        <v>3817</v>
      </c>
      <c r="B1384" s="8">
        <f>COUNTIF('All Papers'!D:D,"*"&amp;Table1[[#This Row],[Name]]&amp;"*")</f>
        <v>1</v>
      </c>
      <c r="C1384" s="8">
        <f>COUNTIFS('All Papers'!$D:$D,"*"&amp;$A1384&amp;"*",'All Papers'!$G:$G,"*"&amp;Table1[[#Headers],[Composition]]&amp;"*")</f>
        <v>0</v>
      </c>
      <c r="D1384" s="8">
        <f>COUNTIFS('All Papers'!$D:$D,"*"&amp;$A1384&amp;"*",'All Papers'!$G:$G,"*"&amp;Table1[[#Headers],[Discovery]]&amp;"*")</f>
        <v>0</v>
      </c>
      <c r="E1384" s="8">
        <f>COUNTIFS('All Papers'!$D:$D,"*"&amp;$A1384&amp;"*",'All Papers'!$G:$G,"*"&amp;Table1[[#Headers],[Selection]]&amp;"*")</f>
        <v>0</v>
      </c>
      <c r="F1384" s="8">
        <f>COUNTIFS('All Papers'!$D:$D,"*"&amp;$A1384&amp;"*",'All Papers'!$G:$G,"*"&amp;Table1[[#Headers],[Recommendation]]&amp;"*")</f>
        <v>0</v>
      </c>
      <c r="G1384" s="8">
        <f>COUNTIFS('All Papers'!$D:$D,"*"&amp;$A1384&amp;"*",'All Papers'!$G:$G,"*"&amp;Table1[[#Headers],[Resource Management-CS]]&amp;"*")</f>
        <v>1</v>
      </c>
      <c r="H1384" s="8">
        <f>COUNTIFS('All Papers'!$D:$D,"*"&amp;$A1384&amp;"*",'All Papers'!$G:$G,"*"&amp;Table1[[#Headers],[Resource Management-PS]]&amp;"*")</f>
        <v>0</v>
      </c>
      <c r="I1384" s="8">
        <f>COUNTIFS('All Papers'!$D:$D,"*"&amp;$A1384&amp;"*",'All Papers'!$G:$G,"*"&amp;Table1[[#Headers],[SLA Management]]&amp;"*")</f>
        <v>0</v>
      </c>
      <c r="J1384" s="8">
        <f>COUNTIFS('All Papers'!$D:$D,"*"&amp;$A1384&amp;"*",'All Papers'!$G:$G,"*"&amp;Table1[[#Headers],[Big Data]]&amp;"*")</f>
        <v>0</v>
      </c>
      <c r="K1384" s="8">
        <f>COUNTIFS('All Papers'!$D:$D,"*"&amp;$A1384&amp;"*",'All Papers'!$G:$G,"*"&amp;Table1[[#Headers],[Energy Management]]&amp;"*")</f>
        <v>0</v>
      </c>
      <c r="L1384" s="8">
        <f>COUNTIFS('All Papers'!$D:$D,"*"&amp;$A1384&amp;"*",'All Papers'!$G:$G,"*"&amp;Table1[[#Headers],[Monitoring]]&amp;"*")</f>
        <v>0</v>
      </c>
      <c r="M1384" s="8">
        <f>COUNTIFS('All Papers'!$D:$D,"*"&amp;$A1384&amp;"*",'All Papers'!$G:$G,"*"&amp;Table1[[#Headers],[Pricing]]&amp;"*")</f>
        <v>0</v>
      </c>
    </row>
    <row r="1385" spans="1:13" x14ac:dyDescent="0.25">
      <c r="A1385" s="8" t="s">
        <v>3818</v>
      </c>
      <c r="B1385" s="8">
        <f>COUNTIF('All Papers'!D:D,"*"&amp;Table1[[#This Row],[Name]]&amp;"*")</f>
        <v>1</v>
      </c>
      <c r="C1385" s="8">
        <f>COUNTIFS('All Papers'!$D:$D,"*"&amp;$A1385&amp;"*",'All Papers'!$G:$G,"*"&amp;Table1[[#Headers],[Composition]]&amp;"*")</f>
        <v>0</v>
      </c>
      <c r="D1385" s="8">
        <f>COUNTIFS('All Papers'!$D:$D,"*"&amp;$A1385&amp;"*",'All Papers'!$G:$G,"*"&amp;Table1[[#Headers],[Discovery]]&amp;"*")</f>
        <v>0</v>
      </c>
      <c r="E1385" s="8">
        <f>COUNTIFS('All Papers'!$D:$D,"*"&amp;$A1385&amp;"*",'All Papers'!$G:$G,"*"&amp;Table1[[#Headers],[Selection]]&amp;"*")</f>
        <v>0</v>
      </c>
      <c r="F1385" s="8">
        <f>COUNTIFS('All Papers'!$D:$D,"*"&amp;$A1385&amp;"*",'All Papers'!$G:$G,"*"&amp;Table1[[#Headers],[Recommendation]]&amp;"*")</f>
        <v>0</v>
      </c>
      <c r="G1385" s="8">
        <f>COUNTIFS('All Papers'!$D:$D,"*"&amp;$A1385&amp;"*",'All Papers'!$G:$G,"*"&amp;Table1[[#Headers],[Resource Management-CS]]&amp;"*")</f>
        <v>1</v>
      </c>
      <c r="H1385" s="8">
        <f>COUNTIFS('All Papers'!$D:$D,"*"&amp;$A1385&amp;"*",'All Papers'!$G:$G,"*"&amp;Table1[[#Headers],[Resource Management-PS]]&amp;"*")</f>
        <v>0</v>
      </c>
      <c r="I1385" s="8">
        <f>COUNTIFS('All Papers'!$D:$D,"*"&amp;$A1385&amp;"*",'All Papers'!$G:$G,"*"&amp;Table1[[#Headers],[SLA Management]]&amp;"*")</f>
        <v>0</v>
      </c>
      <c r="J1385" s="8">
        <f>COUNTIFS('All Papers'!$D:$D,"*"&amp;$A1385&amp;"*",'All Papers'!$G:$G,"*"&amp;Table1[[#Headers],[Big Data]]&amp;"*")</f>
        <v>0</v>
      </c>
      <c r="K1385" s="8">
        <f>COUNTIFS('All Papers'!$D:$D,"*"&amp;$A1385&amp;"*",'All Papers'!$G:$G,"*"&amp;Table1[[#Headers],[Energy Management]]&amp;"*")</f>
        <v>0</v>
      </c>
      <c r="L1385" s="8">
        <f>COUNTIFS('All Papers'!$D:$D,"*"&amp;$A1385&amp;"*",'All Papers'!$G:$G,"*"&amp;Table1[[#Headers],[Monitoring]]&amp;"*")</f>
        <v>0</v>
      </c>
      <c r="M1385" s="8">
        <f>COUNTIFS('All Papers'!$D:$D,"*"&amp;$A1385&amp;"*",'All Papers'!$G:$G,"*"&amp;Table1[[#Headers],[Pricing]]&amp;"*")</f>
        <v>0</v>
      </c>
    </row>
    <row r="1386" spans="1:13" x14ac:dyDescent="0.25">
      <c r="A1386" s="8" t="s">
        <v>3819</v>
      </c>
      <c r="B1386" s="8">
        <f>COUNTIF('All Papers'!D:D,"*"&amp;Table1[[#This Row],[Name]]&amp;"*")</f>
        <v>1</v>
      </c>
      <c r="C1386" s="8">
        <f>COUNTIFS('All Papers'!$D:$D,"*"&amp;$A1386&amp;"*",'All Papers'!$G:$G,"*"&amp;Table1[[#Headers],[Composition]]&amp;"*")</f>
        <v>0</v>
      </c>
      <c r="D1386" s="8">
        <f>COUNTIFS('All Papers'!$D:$D,"*"&amp;$A1386&amp;"*",'All Papers'!$G:$G,"*"&amp;Table1[[#Headers],[Discovery]]&amp;"*")</f>
        <v>0</v>
      </c>
      <c r="E1386" s="8">
        <f>COUNTIFS('All Papers'!$D:$D,"*"&amp;$A1386&amp;"*",'All Papers'!$G:$G,"*"&amp;Table1[[#Headers],[Selection]]&amp;"*")</f>
        <v>1</v>
      </c>
      <c r="F1386" s="8">
        <f>COUNTIFS('All Papers'!$D:$D,"*"&amp;$A1386&amp;"*",'All Papers'!$G:$G,"*"&amp;Table1[[#Headers],[Recommendation]]&amp;"*")</f>
        <v>0</v>
      </c>
      <c r="G1386" s="8">
        <f>COUNTIFS('All Papers'!$D:$D,"*"&amp;$A1386&amp;"*",'All Papers'!$G:$G,"*"&amp;Table1[[#Headers],[Resource Management-CS]]&amp;"*")</f>
        <v>0</v>
      </c>
      <c r="H1386" s="8">
        <f>COUNTIFS('All Papers'!$D:$D,"*"&amp;$A1386&amp;"*",'All Papers'!$G:$G,"*"&amp;Table1[[#Headers],[Resource Management-PS]]&amp;"*")</f>
        <v>0</v>
      </c>
      <c r="I1386" s="8">
        <f>COUNTIFS('All Papers'!$D:$D,"*"&amp;$A1386&amp;"*",'All Papers'!$G:$G,"*"&amp;Table1[[#Headers],[SLA Management]]&amp;"*")</f>
        <v>0</v>
      </c>
      <c r="J1386" s="8">
        <f>COUNTIFS('All Papers'!$D:$D,"*"&amp;$A1386&amp;"*",'All Papers'!$G:$G,"*"&amp;Table1[[#Headers],[Big Data]]&amp;"*")</f>
        <v>0</v>
      </c>
      <c r="K1386" s="8">
        <f>COUNTIFS('All Papers'!$D:$D,"*"&amp;$A1386&amp;"*",'All Papers'!$G:$G,"*"&amp;Table1[[#Headers],[Energy Management]]&amp;"*")</f>
        <v>0</v>
      </c>
      <c r="L1386" s="8">
        <f>COUNTIFS('All Papers'!$D:$D,"*"&amp;$A1386&amp;"*",'All Papers'!$G:$G,"*"&amp;Table1[[#Headers],[Monitoring]]&amp;"*")</f>
        <v>0</v>
      </c>
      <c r="M1386" s="8">
        <f>COUNTIFS('All Papers'!$D:$D,"*"&amp;$A1386&amp;"*",'All Papers'!$G:$G,"*"&amp;Table1[[#Headers],[Pricing]]&amp;"*")</f>
        <v>0</v>
      </c>
    </row>
    <row r="1387" spans="1:13" x14ac:dyDescent="0.25">
      <c r="A1387" s="8" t="s">
        <v>3820</v>
      </c>
      <c r="B1387" s="8">
        <f>COUNTIF('All Papers'!D:D,"*"&amp;Table1[[#This Row],[Name]]&amp;"*")</f>
        <v>1</v>
      </c>
      <c r="C1387" s="8">
        <f>COUNTIFS('All Papers'!$D:$D,"*"&amp;$A1387&amp;"*",'All Papers'!$G:$G,"*"&amp;Table1[[#Headers],[Composition]]&amp;"*")</f>
        <v>1</v>
      </c>
      <c r="D1387" s="8">
        <f>COUNTIFS('All Papers'!$D:$D,"*"&amp;$A1387&amp;"*",'All Papers'!$G:$G,"*"&amp;Table1[[#Headers],[Discovery]]&amp;"*")</f>
        <v>1</v>
      </c>
      <c r="E1387" s="8">
        <f>COUNTIFS('All Papers'!$D:$D,"*"&amp;$A1387&amp;"*",'All Papers'!$G:$G,"*"&amp;Table1[[#Headers],[Selection]]&amp;"*")</f>
        <v>1</v>
      </c>
      <c r="F1387" s="8">
        <f>COUNTIFS('All Papers'!$D:$D,"*"&amp;$A1387&amp;"*",'All Papers'!$G:$G,"*"&amp;Table1[[#Headers],[Recommendation]]&amp;"*")</f>
        <v>0</v>
      </c>
      <c r="G1387" s="8">
        <f>COUNTIFS('All Papers'!$D:$D,"*"&amp;$A1387&amp;"*",'All Papers'!$G:$G,"*"&amp;Table1[[#Headers],[Resource Management-CS]]&amp;"*")</f>
        <v>0</v>
      </c>
      <c r="H1387" s="8">
        <f>COUNTIFS('All Papers'!$D:$D,"*"&amp;$A1387&amp;"*",'All Papers'!$G:$G,"*"&amp;Table1[[#Headers],[Resource Management-PS]]&amp;"*")</f>
        <v>0</v>
      </c>
      <c r="I1387" s="8">
        <f>COUNTIFS('All Papers'!$D:$D,"*"&amp;$A1387&amp;"*",'All Papers'!$G:$G,"*"&amp;Table1[[#Headers],[SLA Management]]&amp;"*")</f>
        <v>0</v>
      </c>
      <c r="J1387" s="8">
        <f>COUNTIFS('All Papers'!$D:$D,"*"&amp;$A1387&amp;"*",'All Papers'!$G:$G,"*"&amp;Table1[[#Headers],[Big Data]]&amp;"*")</f>
        <v>0</v>
      </c>
      <c r="K1387" s="8">
        <f>COUNTIFS('All Papers'!$D:$D,"*"&amp;$A1387&amp;"*",'All Papers'!$G:$G,"*"&amp;Table1[[#Headers],[Energy Management]]&amp;"*")</f>
        <v>0</v>
      </c>
      <c r="L1387" s="8">
        <f>COUNTIFS('All Papers'!$D:$D,"*"&amp;$A1387&amp;"*",'All Papers'!$G:$G,"*"&amp;Table1[[#Headers],[Monitoring]]&amp;"*")</f>
        <v>0</v>
      </c>
      <c r="M1387" s="8">
        <f>COUNTIFS('All Papers'!$D:$D,"*"&amp;$A1387&amp;"*",'All Papers'!$G:$G,"*"&amp;Table1[[#Headers],[Pricing]]&amp;"*")</f>
        <v>0</v>
      </c>
    </row>
    <row r="1388" spans="1:13" x14ac:dyDescent="0.25">
      <c r="A1388" s="8" t="s">
        <v>3821</v>
      </c>
      <c r="B1388" s="8">
        <f>COUNTIF('All Papers'!D:D,"*"&amp;Table1[[#This Row],[Name]]&amp;"*")</f>
        <v>1</v>
      </c>
      <c r="C1388" s="8">
        <f>COUNTIFS('All Papers'!$D:$D,"*"&amp;$A1388&amp;"*",'All Papers'!$G:$G,"*"&amp;Table1[[#Headers],[Composition]]&amp;"*")</f>
        <v>1</v>
      </c>
      <c r="D1388" s="8">
        <f>COUNTIFS('All Papers'!$D:$D,"*"&amp;$A1388&amp;"*",'All Papers'!$G:$G,"*"&amp;Table1[[#Headers],[Discovery]]&amp;"*")</f>
        <v>1</v>
      </c>
      <c r="E1388" s="8">
        <f>COUNTIFS('All Papers'!$D:$D,"*"&amp;$A1388&amp;"*",'All Papers'!$G:$G,"*"&amp;Table1[[#Headers],[Selection]]&amp;"*")</f>
        <v>1</v>
      </c>
      <c r="F1388" s="8">
        <f>COUNTIFS('All Papers'!$D:$D,"*"&amp;$A1388&amp;"*",'All Papers'!$G:$G,"*"&amp;Table1[[#Headers],[Recommendation]]&amp;"*")</f>
        <v>0</v>
      </c>
      <c r="G1388" s="8">
        <f>COUNTIFS('All Papers'!$D:$D,"*"&amp;$A1388&amp;"*",'All Papers'!$G:$G,"*"&amp;Table1[[#Headers],[Resource Management-CS]]&amp;"*")</f>
        <v>0</v>
      </c>
      <c r="H1388" s="8">
        <f>COUNTIFS('All Papers'!$D:$D,"*"&amp;$A1388&amp;"*",'All Papers'!$G:$G,"*"&amp;Table1[[#Headers],[Resource Management-PS]]&amp;"*")</f>
        <v>0</v>
      </c>
      <c r="I1388" s="8">
        <f>COUNTIFS('All Papers'!$D:$D,"*"&amp;$A1388&amp;"*",'All Papers'!$G:$G,"*"&amp;Table1[[#Headers],[SLA Management]]&amp;"*")</f>
        <v>0</v>
      </c>
      <c r="J1388" s="8">
        <f>COUNTIFS('All Papers'!$D:$D,"*"&amp;$A1388&amp;"*",'All Papers'!$G:$G,"*"&amp;Table1[[#Headers],[Big Data]]&amp;"*")</f>
        <v>0</v>
      </c>
      <c r="K1388" s="8">
        <f>COUNTIFS('All Papers'!$D:$D,"*"&amp;$A1388&amp;"*",'All Papers'!$G:$G,"*"&amp;Table1[[#Headers],[Energy Management]]&amp;"*")</f>
        <v>0</v>
      </c>
      <c r="L1388" s="8">
        <f>COUNTIFS('All Papers'!$D:$D,"*"&amp;$A1388&amp;"*",'All Papers'!$G:$G,"*"&amp;Table1[[#Headers],[Monitoring]]&amp;"*")</f>
        <v>0</v>
      </c>
      <c r="M1388" s="8">
        <f>COUNTIFS('All Papers'!$D:$D,"*"&amp;$A1388&amp;"*",'All Papers'!$G:$G,"*"&amp;Table1[[#Headers],[Pricing]]&amp;"*")</f>
        <v>0</v>
      </c>
    </row>
    <row r="1389" spans="1:13" x14ac:dyDescent="0.25">
      <c r="A1389" s="8" t="s">
        <v>3822</v>
      </c>
      <c r="B1389" s="8">
        <f>COUNTIF('All Papers'!D:D,"*"&amp;Table1[[#This Row],[Name]]&amp;"*")</f>
        <v>1</v>
      </c>
      <c r="C1389" s="8">
        <f>COUNTIFS('All Papers'!$D:$D,"*"&amp;$A1389&amp;"*",'All Papers'!$G:$G,"*"&amp;Table1[[#Headers],[Composition]]&amp;"*")</f>
        <v>0</v>
      </c>
      <c r="D1389" s="8">
        <f>COUNTIFS('All Papers'!$D:$D,"*"&amp;$A1389&amp;"*",'All Papers'!$G:$G,"*"&amp;Table1[[#Headers],[Discovery]]&amp;"*")</f>
        <v>0</v>
      </c>
      <c r="E1389" s="8">
        <f>COUNTIFS('All Papers'!$D:$D,"*"&amp;$A1389&amp;"*",'All Papers'!$G:$G,"*"&amp;Table1[[#Headers],[Selection]]&amp;"*")</f>
        <v>0</v>
      </c>
      <c r="F1389" s="8">
        <f>COUNTIFS('All Papers'!$D:$D,"*"&amp;$A1389&amp;"*",'All Papers'!$G:$G,"*"&amp;Table1[[#Headers],[Recommendation]]&amp;"*")</f>
        <v>0</v>
      </c>
      <c r="G1389" s="8">
        <f>COUNTIFS('All Papers'!$D:$D,"*"&amp;$A1389&amp;"*",'All Papers'!$G:$G,"*"&amp;Table1[[#Headers],[Resource Management-CS]]&amp;"*")</f>
        <v>1</v>
      </c>
      <c r="H1389" s="8">
        <f>COUNTIFS('All Papers'!$D:$D,"*"&amp;$A1389&amp;"*",'All Papers'!$G:$G,"*"&amp;Table1[[#Headers],[Resource Management-PS]]&amp;"*")</f>
        <v>0</v>
      </c>
      <c r="I1389" s="8">
        <f>COUNTIFS('All Papers'!$D:$D,"*"&amp;$A1389&amp;"*",'All Papers'!$G:$G,"*"&amp;Table1[[#Headers],[SLA Management]]&amp;"*")</f>
        <v>0</v>
      </c>
      <c r="J1389" s="8">
        <f>COUNTIFS('All Papers'!$D:$D,"*"&amp;$A1389&amp;"*",'All Papers'!$G:$G,"*"&amp;Table1[[#Headers],[Big Data]]&amp;"*")</f>
        <v>0</v>
      </c>
      <c r="K1389" s="8">
        <f>COUNTIFS('All Papers'!$D:$D,"*"&amp;$A1389&amp;"*",'All Papers'!$G:$G,"*"&amp;Table1[[#Headers],[Energy Management]]&amp;"*")</f>
        <v>0</v>
      </c>
      <c r="L1389" s="8">
        <f>COUNTIFS('All Papers'!$D:$D,"*"&amp;$A1389&amp;"*",'All Papers'!$G:$G,"*"&amp;Table1[[#Headers],[Monitoring]]&amp;"*")</f>
        <v>0</v>
      </c>
      <c r="M1389" s="8">
        <f>COUNTIFS('All Papers'!$D:$D,"*"&amp;$A1389&amp;"*",'All Papers'!$G:$G,"*"&amp;Table1[[#Headers],[Pricing]]&amp;"*")</f>
        <v>0</v>
      </c>
    </row>
    <row r="1390" spans="1:13" x14ac:dyDescent="0.25">
      <c r="A1390" s="8" t="s">
        <v>3823</v>
      </c>
      <c r="B1390" s="8">
        <f>COUNTIF('All Papers'!D:D,"*"&amp;Table1[[#This Row],[Name]]&amp;"*")</f>
        <v>1</v>
      </c>
      <c r="C1390" s="8">
        <f>COUNTIFS('All Papers'!$D:$D,"*"&amp;$A1390&amp;"*",'All Papers'!$G:$G,"*"&amp;Table1[[#Headers],[Composition]]&amp;"*")</f>
        <v>0</v>
      </c>
      <c r="D1390" s="8">
        <f>COUNTIFS('All Papers'!$D:$D,"*"&amp;$A1390&amp;"*",'All Papers'!$G:$G,"*"&amp;Table1[[#Headers],[Discovery]]&amp;"*")</f>
        <v>0</v>
      </c>
      <c r="E1390" s="8">
        <f>COUNTIFS('All Papers'!$D:$D,"*"&amp;$A1390&amp;"*",'All Papers'!$G:$G,"*"&amp;Table1[[#Headers],[Selection]]&amp;"*")</f>
        <v>0</v>
      </c>
      <c r="F1390" s="8">
        <f>COUNTIFS('All Papers'!$D:$D,"*"&amp;$A1390&amp;"*",'All Papers'!$G:$G,"*"&amp;Table1[[#Headers],[Recommendation]]&amp;"*")</f>
        <v>0</v>
      </c>
      <c r="G1390" s="8">
        <f>COUNTIFS('All Papers'!$D:$D,"*"&amp;$A1390&amp;"*",'All Papers'!$G:$G,"*"&amp;Table1[[#Headers],[Resource Management-CS]]&amp;"*")</f>
        <v>1</v>
      </c>
      <c r="H1390" s="8">
        <f>COUNTIFS('All Papers'!$D:$D,"*"&amp;$A1390&amp;"*",'All Papers'!$G:$G,"*"&amp;Table1[[#Headers],[Resource Management-PS]]&amp;"*")</f>
        <v>0</v>
      </c>
      <c r="I1390" s="8">
        <f>COUNTIFS('All Papers'!$D:$D,"*"&amp;$A1390&amp;"*",'All Papers'!$G:$G,"*"&amp;Table1[[#Headers],[SLA Management]]&amp;"*")</f>
        <v>0</v>
      </c>
      <c r="J1390" s="8">
        <f>COUNTIFS('All Papers'!$D:$D,"*"&amp;$A1390&amp;"*",'All Papers'!$G:$G,"*"&amp;Table1[[#Headers],[Big Data]]&amp;"*")</f>
        <v>0</v>
      </c>
      <c r="K1390" s="8">
        <f>COUNTIFS('All Papers'!$D:$D,"*"&amp;$A1390&amp;"*",'All Papers'!$G:$G,"*"&amp;Table1[[#Headers],[Energy Management]]&amp;"*")</f>
        <v>0</v>
      </c>
      <c r="L1390" s="8">
        <f>COUNTIFS('All Papers'!$D:$D,"*"&amp;$A1390&amp;"*",'All Papers'!$G:$G,"*"&amp;Table1[[#Headers],[Monitoring]]&amp;"*")</f>
        <v>0</v>
      </c>
      <c r="M1390" s="8">
        <f>COUNTIFS('All Papers'!$D:$D,"*"&amp;$A1390&amp;"*",'All Papers'!$G:$G,"*"&amp;Table1[[#Headers],[Pricing]]&amp;"*")</f>
        <v>0</v>
      </c>
    </row>
    <row r="1391" spans="1:13" x14ac:dyDescent="0.25">
      <c r="A1391" s="8" t="s">
        <v>3824</v>
      </c>
      <c r="B1391" s="8">
        <f>COUNTIF('All Papers'!D:D,"*"&amp;Table1[[#This Row],[Name]]&amp;"*")</f>
        <v>1</v>
      </c>
      <c r="C1391" s="8">
        <f>COUNTIFS('All Papers'!$D:$D,"*"&amp;$A1391&amp;"*",'All Papers'!$G:$G,"*"&amp;Table1[[#Headers],[Composition]]&amp;"*")</f>
        <v>0</v>
      </c>
      <c r="D1391" s="8">
        <f>COUNTIFS('All Papers'!$D:$D,"*"&amp;$A1391&amp;"*",'All Papers'!$G:$G,"*"&amp;Table1[[#Headers],[Discovery]]&amp;"*")</f>
        <v>0</v>
      </c>
      <c r="E1391" s="8">
        <f>COUNTIFS('All Papers'!$D:$D,"*"&amp;$A1391&amp;"*",'All Papers'!$G:$G,"*"&amp;Table1[[#Headers],[Selection]]&amp;"*")</f>
        <v>0</v>
      </c>
      <c r="F1391" s="8">
        <f>COUNTIFS('All Papers'!$D:$D,"*"&amp;$A1391&amp;"*",'All Papers'!$G:$G,"*"&amp;Table1[[#Headers],[Recommendation]]&amp;"*")</f>
        <v>0</v>
      </c>
      <c r="G1391" s="8">
        <f>COUNTIFS('All Papers'!$D:$D,"*"&amp;$A1391&amp;"*",'All Papers'!$G:$G,"*"&amp;Table1[[#Headers],[Resource Management-CS]]&amp;"*")</f>
        <v>1</v>
      </c>
      <c r="H1391" s="8">
        <f>COUNTIFS('All Papers'!$D:$D,"*"&amp;$A1391&amp;"*",'All Papers'!$G:$G,"*"&amp;Table1[[#Headers],[Resource Management-PS]]&amp;"*")</f>
        <v>0</v>
      </c>
      <c r="I1391" s="8">
        <f>COUNTIFS('All Papers'!$D:$D,"*"&amp;$A1391&amp;"*",'All Papers'!$G:$G,"*"&amp;Table1[[#Headers],[SLA Management]]&amp;"*")</f>
        <v>0</v>
      </c>
      <c r="J1391" s="8">
        <f>COUNTIFS('All Papers'!$D:$D,"*"&amp;$A1391&amp;"*",'All Papers'!$G:$G,"*"&amp;Table1[[#Headers],[Big Data]]&amp;"*")</f>
        <v>0</v>
      </c>
      <c r="K1391" s="8">
        <f>COUNTIFS('All Papers'!$D:$D,"*"&amp;$A1391&amp;"*",'All Papers'!$G:$G,"*"&amp;Table1[[#Headers],[Energy Management]]&amp;"*")</f>
        <v>0</v>
      </c>
      <c r="L1391" s="8">
        <f>COUNTIFS('All Papers'!$D:$D,"*"&amp;$A1391&amp;"*",'All Papers'!$G:$G,"*"&amp;Table1[[#Headers],[Monitoring]]&amp;"*")</f>
        <v>0</v>
      </c>
      <c r="M1391" s="8">
        <f>COUNTIFS('All Papers'!$D:$D,"*"&amp;$A1391&amp;"*",'All Papers'!$G:$G,"*"&amp;Table1[[#Headers],[Pricing]]&amp;"*")</f>
        <v>0</v>
      </c>
    </row>
    <row r="1392" spans="1:13" x14ac:dyDescent="0.25">
      <c r="A1392" s="8" t="s">
        <v>3825</v>
      </c>
      <c r="B1392" s="8">
        <f>COUNTIF('All Papers'!D:D,"*"&amp;Table1[[#This Row],[Name]]&amp;"*")</f>
        <v>1</v>
      </c>
      <c r="C1392" s="8">
        <f>COUNTIFS('All Papers'!$D:$D,"*"&amp;$A1392&amp;"*",'All Papers'!$G:$G,"*"&amp;Table1[[#Headers],[Composition]]&amp;"*")</f>
        <v>0</v>
      </c>
      <c r="D1392" s="8">
        <f>COUNTIFS('All Papers'!$D:$D,"*"&amp;$A1392&amp;"*",'All Papers'!$G:$G,"*"&amp;Table1[[#Headers],[Discovery]]&amp;"*")</f>
        <v>0</v>
      </c>
      <c r="E1392" s="8">
        <f>COUNTIFS('All Papers'!$D:$D,"*"&amp;$A1392&amp;"*",'All Papers'!$G:$G,"*"&amp;Table1[[#Headers],[Selection]]&amp;"*")</f>
        <v>1</v>
      </c>
      <c r="F1392" s="8">
        <f>COUNTIFS('All Papers'!$D:$D,"*"&amp;$A1392&amp;"*",'All Papers'!$G:$G,"*"&amp;Table1[[#Headers],[Recommendation]]&amp;"*")</f>
        <v>0</v>
      </c>
      <c r="G1392" s="8">
        <f>COUNTIFS('All Papers'!$D:$D,"*"&amp;$A1392&amp;"*",'All Papers'!$G:$G,"*"&amp;Table1[[#Headers],[Resource Management-CS]]&amp;"*")</f>
        <v>0</v>
      </c>
      <c r="H1392" s="8">
        <f>COUNTIFS('All Papers'!$D:$D,"*"&amp;$A1392&amp;"*",'All Papers'!$G:$G,"*"&amp;Table1[[#Headers],[Resource Management-PS]]&amp;"*")</f>
        <v>0</v>
      </c>
      <c r="I1392" s="8">
        <f>COUNTIFS('All Papers'!$D:$D,"*"&amp;$A1392&amp;"*",'All Papers'!$G:$G,"*"&amp;Table1[[#Headers],[SLA Management]]&amp;"*")</f>
        <v>0</v>
      </c>
      <c r="J1392" s="8">
        <f>COUNTIFS('All Papers'!$D:$D,"*"&amp;$A1392&amp;"*",'All Papers'!$G:$G,"*"&amp;Table1[[#Headers],[Big Data]]&amp;"*")</f>
        <v>0</v>
      </c>
      <c r="K1392" s="8">
        <f>COUNTIFS('All Papers'!$D:$D,"*"&amp;$A1392&amp;"*",'All Papers'!$G:$G,"*"&amp;Table1[[#Headers],[Energy Management]]&amp;"*")</f>
        <v>0</v>
      </c>
      <c r="L1392" s="8">
        <f>COUNTIFS('All Papers'!$D:$D,"*"&amp;$A1392&amp;"*",'All Papers'!$G:$G,"*"&amp;Table1[[#Headers],[Monitoring]]&amp;"*")</f>
        <v>0</v>
      </c>
      <c r="M1392" s="8">
        <f>COUNTIFS('All Papers'!$D:$D,"*"&amp;$A1392&amp;"*",'All Papers'!$G:$G,"*"&amp;Table1[[#Headers],[Pricing]]&amp;"*")</f>
        <v>0</v>
      </c>
    </row>
    <row r="1393" spans="1:13" x14ac:dyDescent="0.25">
      <c r="A1393" s="8" t="s">
        <v>3826</v>
      </c>
      <c r="B1393" s="8">
        <f>COUNTIF('All Papers'!D:D,"*"&amp;Table1[[#This Row],[Name]]&amp;"*")</f>
        <v>1</v>
      </c>
      <c r="C1393" s="8">
        <f>COUNTIFS('All Papers'!$D:$D,"*"&amp;$A1393&amp;"*",'All Papers'!$G:$G,"*"&amp;Table1[[#Headers],[Composition]]&amp;"*")</f>
        <v>0</v>
      </c>
      <c r="D1393" s="8">
        <f>COUNTIFS('All Papers'!$D:$D,"*"&amp;$A1393&amp;"*",'All Papers'!$G:$G,"*"&amp;Table1[[#Headers],[Discovery]]&amp;"*")</f>
        <v>0</v>
      </c>
      <c r="E1393" s="8">
        <f>COUNTIFS('All Papers'!$D:$D,"*"&amp;$A1393&amp;"*",'All Papers'!$G:$G,"*"&amp;Table1[[#Headers],[Selection]]&amp;"*")</f>
        <v>1</v>
      </c>
      <c r="F1393" s="8">
        <f>COUNTIFS('All Papers'!$D:$D,"*"&amp;$A1393&amp;"*",'All Papers'!$G:$G,"*"&amp;Table1[[#Headers],[Recommendation]]&amp;"*")</f>
        <v>0</v>
      </c>
      <c r="G1393" s="8">
        <f>COUNTIFS('All Papers'!$D:$D,"*"&amp;$A1393&amp;"*",'All Papers'!$G:$G,"*"&amp;Table1[[#Headers],[Resource Management-CS]]&amp;"*")</f>
        <v>0</v>
      </c>
      <c r="H1393" s="8">
        <f>COUNTIFS('All Papers'!$D:$D,"*"&amp;$A1393&amp;"*",'All Papers'!$G:$G,"*"&amp;Table1[[#Headers],[Resource Management-PS]]&amp;"*")</f>
        <v>0</v>
      </c>
      <c r="I1393" s="8">
        <f>COUNTIFS('All Papers'!$D:$D,"*"&amp;$A1393&amp;"*",'All Papers'!$G:$G,"*"&amp;Table1[[#Headers],[SLA Management]]&amp;"*")</f>
        <v>0</v>
      </c>
      <c r="J1393" s="8">
        <f>COUNTIFS('All Papers'!$D:$D,"*"&amp;$A1393&amp;"*",'All Papers'!$G:$G,"*"&amp;Table1[[#Headers],[Big Data]]&amp;"*")</f>
        <v>0</v>
      </c>
      <c r="K1393" s="8">
        <f>COUNTIFS('All Papers'!$D:$D,"*"&amp;$A1393&amp;"*",'All Papers'!$G:$G,"*"&amp;Table1[[#Headers],[Energy Management]]&amp;"*")</f>
        <v>0</v>
      </c>
      <c r="L1393" s="8">
        <f>COUNTIFS('All Papers'!$D:$D,"*"&amp;$A1393&amp;"*",'All Papers'!$G:$G,"*"&amp;Table1[[#Headers],[Monitoring]]&amp;"*")</f>
        <v>0</v>
      </c>
      <c r="M1393" s="8">
        <f>COUNTIFS('All Papers'!$D:$D,"*"&amp;$A1393&amp;"*",'All Papers'!$G:$G,"*"&amp;Table1[[#Headers],[Pricing]]&amp;"*")</f>
        <v>0</v>
      </c>
    </row>
    <row r="1394" spans="1:13" x14ac:dyDescent="0.25">
      <c r="A1394" s="8" t="s">
        <v>3827</v>
      </c>
      <c r="B1394" s="8">
        <f>COUNTIF('All Papers'!D:D,"*"&amp;Table1[[#This Row],[Name]]&amp;"*")</f>
        <v>1</v>
      </c>
      <c r="C1394" s="8">
        <f>COUNTIFS('All Papers'!$D:$D,"*"&amp;$A1394&amp;"*",'All Papers'!$G:$G,"*"&amp;Table1[[#Headers],[Composition]]&amp;"*")</f>
        <v>0</v>
      </c>
      <c r="D1394" s="8">
        <f>COUNTIFS('All Papers'!$D:$D,"*"&amp;$A1394&amp;"*",'All Papers'!$G:$G,"*"&amp;Table1[[#Headers],[Discovery]]&amp;"*")</f>
        <v>0</v>
      </c>
      <c r="E1394" s="8">
        <f>COUNTIFS('All Papers'!$D:$D,"*"&amp;$A1394&amp;"*",'All Papers'!$G:$G,"*"&amp;Table1[[#Headers],[Selection]]&amp;"*")</f>
        <v>1</v>
      </c>
      <c r="F1394" s="8">
        <f>COUNTIFS('All Papers'!$D:$D,"*"&amp;$A1394&amp;"*",'All Papers'!$G:$G,"*"&amp;Table1[[#Headers],[Recommendation]]&amp;"*")</f>
        <v>0</v>
      </c>
      <c r="G1394" s="8">
        <f>COUNTIFS('All Papers'!$D:$D,"*"&amp;$A1394&amp;"*",'All Papers'!$G:$G,"*"&amp;Table1[[#Headers],[Resource Management-CS]]&amp;"*")</f>
        <v>0</v>
      </c>
      <c r="H1394" s="8">
        <f>COUNTIFS('All Papers'!$D:$D,"*"&amp;$A1394&amp;"*",'All Papers'!$G:$G,"*"&amp;Table1[[#Headers],[Resource Management-PS]]&amp;"*")</f>
        <v>0</v>
      </c>
      <c r="I1394" s="8">
        <f>COUNTIFS('All Papers'!$D:$D,"*"&amp;$A1394&amp;"*",'All Papers'!$G:$G,"*"&amp;Table1[[#Headers],[SLA Management]]&amp;"*")</f>
        <v>0</v>
      </c>
      <c r="J1394" s="8">
        <f>COUNTIFS('All Papers'!$D:$D,"*"&amp;$A1394&amp;"*",'All Papers'!$G:$G,"*"&amp;Table1[[#Headers],[Big Data]]&amp;"*")</f>
        <v>0</v>
      </c>
      <c r="K1394" s="8">
        <f>COUNTIFS('All Papers'!$D:$D,"*"&amp;$A1394&amp;"*",'All Papers'!$G:$G,"*"&amp;Table1[[#Headers],[Energy Management]]&amp;"*")</f>
        <v>0</v>
      </c>
      <c r="L1394" s="8">
        <f>COUNTIFS('All Papers'!$D:$D,"*"&amp;$A1394&amp;"*",'All Papers'!$G:$G,"*"&amp;Table1[[#Headers],[Monitoring]]&amp;"*")</f>
        <v>0</v>
      </c>
      <c r="M1394" s="8">
        <f>COUNTIFS('All Papers'!$D:$D,"*"&amp;$A1394&amp;"*",'All Papers'!$G:$G,"*"&amp;Table1[[#Headers],[Pricing]]&amp;"*")</f>
        <v>0</v>
      </c>
    </row>
    <row r="1395" spans="1:13" x14ac:dyDescent="0.25">
      <c r="A1395" s="8" t="s">
        <v>3828</v>
      </c>
      <c r="B1395" s="8">
        <f>COUNTIF('All Papers'!D:D,"*"&amp;Table1[[#This Row],[Name]]&amp;"*")</f>
        <v>1</v>
      </c>
      <c r="C1395" s="8">
        <f>COUNTIFS('All Papers'!$D:$D,"*"&amp;$A1395&amp;"*",'All Papers'!$G:$G,"*"&amp;Table1[[#Headers],[Composition]]&amp;"*")</f>
        <v>1</v>
      </c>
      <c r="D1395" s="8">
        <f>COUNTIFS('All Papers'!$D:$D,"*"&amp;$A1395&amp;"*",'All Papers'!$G:$G,"*"&amp;Table1[[#Headers],[Discovery]]&amp;"*")</f>
        <v>0</v>
      </c>
      <c r="E1395" s="8">
        <f>COUNTIFS('All Papers'!$D:$D,"*"&amp;$A1395&amp;"*",'All Papers'!$G:$G,"*"&amp;Table1[[#Headers],[Selection]]&amp;"*")</f>
        <v>0</v>
      </c>
      <c r="F1395" s="8">
        <f>COUNTIFS('All Papers'!$D:$D,"*"&amp;$A1395&amp;"*",'All Papers'!$G:$G,"*"&amp;Table1[[#Headers],[Recommendation]]&amp;"*")</f>
        <v>0</v>
      </c>
      <c r="G1395" s="8">
        <f>COUNTIFS('All Papers'!$D:$D,"*"&amp;$A1395&amp;"*",'All Papers'!$G:$G,"*"&amp;Table1[[#Headers],[Resource Management-CS]]&amp;"*")</f>
        <v>0</v>
      </c>
      <c r="H1395" s="8">
        <f>COUNTIFS('All Papers'!$D:$D,"*"&amp;$A1395&amp;"*",'All Papers'!$G:$G,"*"&amp;Table1[[#Headers],[Resource Management-PS]]&amp;"*")</f>
        <v>0</v>
      </c>
      <c r="I1395" s="8">
        <f>COUNTIFS('All Papers'!$D:$D,"*"&amp;$A1395&amp;"*",'All Papers'!$G:$G,"*"&amp;Table1[[#Headers],[SLA Management]]&amp;"*")</f>
        <v>0</v>
      </c>
      <c r="J1395" s="8">
        <f>COUNTIFS('All Papers'!$D:$D,"*"&amp;$A1395&amp;"*",'All Papers'!$G:$G,"*"&amp;Table1[[#Headers],[Big Data]]&amp;"*")</f>
        <v>0</v>
      </c>
      <c r="K1395" s="8">
        <f>COUNTIFS('All Papers'!$D:$D,"*"&amp;$A1395&amp;"*",'All Papers'!$G:$G,"*"&amp;Table1[[#Headers],[Energy Management]]&amp;"*")</f>
        <v>0</v>
      </c>
      <c r="L1395" s="8">
        <f>COUNTIFS('All Papers'!$D:$D,"*"&amp;$A1395&amp;"*",'All Papers'!$G:$G,"*"&amp;Table1[[#Headers],[Monitoring]]&amp;"*")</f>
        <v>0</v>
      </c>
      <c r="M1395" s="8">
        <f>COUNTIFS('All Papers'!$D:$D,"*"&amp;$A1395&amp;"*",'All Papers'!$G:$G,"*"&amp;Table1[[#Headers],[Pricing]]&amp;"*")</f>
        <v>0</v>
      </c>
    </row>
    <row r="1396" spans="1:13" x14ac:dyDescent="0.25">
      <c r="A1396" s="8" t="s">
        <v>3829</v>
      </c>
      <c r="B1396" s="8">
        <f>COUNTIF('All Papers'!D:D,"*"&amp;Table1[[#This Row],[Name]]&amp;"*")</f>
        <v>1</v>
      </c>
      <c r="C1396" s="8">
        <f>COUNTIFS('All Papers'!$D:$D,"*"&amp;$A1396&amp;"*",'All Papers'!$G:$G,"*"&amp;Table1[[#Headers],[Composition]]&amp;"*")</f>
        <v>0</v>
      </c>
      <c r="D1396" s="8">
        <f>COUNTIFS('All Papers'!$D:$D,"*"&amp;$A1396&amp;"*",'All Papers'!$G:$G,"*"&amp;Table1[[#Headers],[Discovery]]&amp;"*")</f>
        <v>0</v>
      </c>
      <c r="E1396" s="8">
        <f>COUNTIFS('All Papers'!$D:$D,"*"&amp;$A1396&amp;"*",'All Papers'!$G:$G,"*"&amp;Table1[[#Headers],[Selection]]&amp;"*")</f>
        <v>0</v>
      </c>
      <c r="F1396" s="8">
        <f>COUNTIFS('All Papers'!$D:$D,"*"&amp;$A1396&amp;"*",'All Papers'!$G:$G,"*"&amp;Table1[[#Headers],[Recommendation]]&amp;"*")</f>
        <v>0</v>
      </c>
      <c r="G1396" s="8">
        <f>COUNTIFS('All Papers'!$D:$D,"*"&amp;$A1396&amp;"*",'All Papers'!$G:$G,"*"&amp;Table1[[#Headers],[Resource Management-CS]]&amp;"*")</f>
        <v>1</v>
      </c>
      <c r="H1396" s="8">
        <f>COUNTIFS('All Papers'!$D:$D,"*"&amp;$A1396&amp;"*",'All Papers'!$G:$G,"*"&amp;Table1[[#Headers],[Resource Management-PS]]&amp;"*")</f>
        <v>0</v>
      </c>
      <c r="I1396" s="8">
        <f>COUNTIFS('All Papers'!$D:$D,"*"&amp;$A1396&amp;"*",'All Papers'!$G:$G,"*"&amp;Table1[[#Headers],[SLA Management]]&amp;"*")</f>
        <v>0</v>
      </c>
      <c r="J1396" s="8">
        <f>COUNTIFS('All Papers'!$D:$D,"*"&amp;$A1396&amp;"*",'All Papers'!$G:$G,"*"&amp;Table1[[#Headers],[Big Data]]&amp;"*")</f>
        <v>0</v>
      </c>
      <c r="K1396" s="8">
        <f>COUNTIFS('All Papers'!$D:$D,"*"&amp;$A1396&amp;"*",'All Papers'!$G:$G,"*"&amp;Table1[[#Headers],[Energy Management]]&amp;"*")</f>
        <v>0</v>
      </c>
      <c r="L1396" s="8">
        <f>COUNTIFS('All Papers'!$D:$D,"*"&amp;$A1396&amp;"*",'All Papers'!$G:$G,"*"&amp;Table1[[#Headers],[Monitoring]]&amp;"*")</f>
        <v>0</v>
      </c>
      <c r="M1396" s="8">
        <f>COUNTIFS('All Papers'!$D:$D,"*"&amp;$A1396&amp;"*",'All Papers'!$G:$G,"*"&amp;Table1[[#Headers],[Pricing]]&amp;"*")</f>
        <v>0</v>
      </c>
    </row>
    <row r="1397" spans="1:13" x14ac:dyDescent="0.25">
      <c r="A1397" s="8" t="s">
        <v>3830</v>
      </c>
      <c r="B1397" s="8">
        <f>COUNTIF('All Papers'!D:D,"*"&amp;Table1[[#This Row],[Name]]&amp;"*")</f>
        <v>1</v>
      </c>
      <c r="C1397" s="8">
        <f>COUNTIFS('All Papers'!$D:$D,"*"&amp;$A1397&amp;"*",'All Papers'!$G:$G,"*"&amp;Table1[[#Headers],[Composition]]&amp;"*")</f>
        <v>0</v>
      </c>
      <c r="D1397" s="8">
        <f>COUNTIFS('All Papers'!$D:$D,"*"&amp;$A1397&amp;"*",'All Papers'!$G:$G,"*"&amp;Table1[[#Headers],[Discovery]]&amp;"*")</f>
        <v>0</v>
      </c>
      <c r="E1397" s="8">
        <f>COUNTIFS('All Papers'!$D:$D,"*"&amp;$A1397&amp;"*",'All Papers'!$G:$G,"*"&amp;Table1[[#Headers],[Selection]]&amp;"*")</f>
        <v>0</v>
      </c>
      <c r="F1397" s="8">
        <f>COUNTIFS('All Papers'!$D:$D,"*"&amp;$A1397&amp;"*",'All Papers'!$G:$G,"*"&amp;Table1[[#Headers],[Recommendation]]&amp;"*")</f>
        <v>0</v>
      </c>
      <c r="G1397" s="8">
        <f>COUNTIFS('All Papers'!$D:$D,"*"&amp;$A1397&amp;"*",'All Papers'!$G:$G,"*"&amp;Table1[[#Headers],[Resource Management-CS]]&amp;"*")</f>
        <v>1</v>
      </c>
      <c r="H1397" s="8">
        <f>COUNTIFS('All Papers'!$D:$D,"*"&amp;$A1397&amp;"*",'All Papers'!$G:$G,"*"&amp;Table1[[#Headers],[Resource Management-PS]]&amp;"*")</f>
        <v>0</v>
      </c>
      <c r="I1397" s="8">
        <f>COUNTIFS('All Papers'!$D:$D,"*"&amp;$A1397&amp;"*",'All Papers'!$G:$G,"*"&amp;Table1[[#Headers],[SLA Management]]&amp;"*")</f>
        <v>0</v>
      </c>
      <c r="J1397" s="8">
        <f>COUNTIFS('All Papers'!$D:$D,"*"&amp;$A1397&amp;"*",'All Papers'!$G:$G,"*"&amp;Table1[[#Headers],[Big Data]]&amp;"*")</f>
        <v>0</v>
      </c>
      <c r="K1397" s="8">
        <f>COUNTIFS('All Papers'!$D:$D,"*"&amp;$A1397&amp;"*",'All Papers'!$G:$G,"*"&amp;Table1[[#Headers],[Energy Management]]&amp;"*")</f>
        <v>0</v>
      </c>
      <c r="L1397" s="8">
        <f>COUNTIFS('All Papers'!$D:$D,"*"&amp;$A1397&amp;"*",'All Papers'!$G:$G,"*"&amp;Table1[[#Headers],[Monitoring]]&amp;"*")</f>
        <v>0</v>
      </c>
      <c r="M1397" s="8">
        <f>COUNTIFS('All Papers'!$D:$D,"*"&amp;$A1397&amp;"*",'All Papers'!$G:$G,"*"&amp;Table1[[#Headers],[Pricing]]&amp;"*")</f>
        <v>0</v>
      </c>
    </row>
    <row r="1398" spans="1:13" x14ac:dyDescent="0.25">
      <c r="A1398" s="8" t="s">
        <v>3831</v>
      </c>
      <c r="B1398" s="8">
        <f>COUNTIF('All Papers'!D:D,"*"&amp;Table1[[#This Row],[Name]]&amp;"*")</f>
        <v>1</v>
      </c>
      <c r="C1398" s="8">
        <f>COUNTIFS('All Papers'!$D:$D,"*"&amp;$A1398&amp;"*",'All Papers'!$G:$G,"*"&amp;Table1[[#Headers],[Composition]]&amp;"*")</f>
        <v>0</v>
      </c>
      <c r="D1398" s="8">
        <f>COUNTIFS('All Papers'!$D:$D,"*"&amp;$A1398&amp;"*",'All Papers'!$G:$G,"*"&amp;Table1[[#Headers],[Discovery]]&amp;"*")</f>
        <v>0</v>
      </c>
      <c r="E1398" s="8">
        <f>COUNTIFS('All Papers'!$D:$D,"*"&amp;$A1398&amp;"*",'All Papers'!$G:$G,"*"&amp;Table1[[#Headers],[Selection]]&amp;"*")</f>
        <v>0</v>
      </c>
      <c r="F1398" s="8">
        <f>COUNTIFS('All Papers'!$D:$D,"*"&amp;$A1398&amp;"*",'All Papers'!$G:$G,"*"&amp;Table1[[#Headers],[Recommendation]]&amp;"*")</f>
        <v>0</v>
      </c>
      <c r="G1398" s="8">
        <f>COUNTIFS('All Papers'!$D:$D,"*"&amp;$A1398&amp;"*",'All Papers'!$G:$G,"*"&amp;Table1[[#Headers],[Resource Management-CS]]&amp;"*")</f>
        <v>1</v>
      </c>
      <c r="H1398" s="8">
        <f>COUNTIFS('All Papers'!$D:$D,"*"&amp;$A1398&amp;"*",'All Papers'!$G:$G,"*"&amp;Table1[[#Headers],[Resource Management-PS]]&amp;"*")</f>
        <v>0</v>
      </c>
      <c r="I1398" s="8">
        <f>COUNTIFS('All Papers'!$D:$D,"*"&amp;$A1398&amp;"*",'All Papers'!$G:$G,"*"&amp;Table1[[#Headers],[SLA Management]]&amp;"*")</f>
        <v>0</v>
      </c>
      <c r="J1398" s="8">
        <f>COUNTIFS('All Papers'!$D:$D,"*"&amp;$A1398&amp;"*",'All Papers'!$G:$G,"*"&amp;Table1[[#Headers],[Big Data]]&amp;"*")</f>
        <v>0</v>
      </c>
      <c r="K1398" s="8">
        <f>COUNTIFS('All Papers'!$D:$D,"*"&amp;$A1398&amp;"*",'All Papers'!$G:$G,"*"&amp;Table1[[#Headers],[Energy Management]]&amp;"*")</f>
        <v>0</v>
      </c>
      <c r="L1398" s="8">
        <f>COUNTIFS('All Papers'!$D:$D,"*"&amp;$A1398&amp;"*",'All Papers'!$G:$G,"*"&amp;Table1[[#Headers],[Monitoring]]&amp;"*")</f>
        <v>0</v>
      </c>
      <c r="M1398" s="8">
        <f>COUNTIFS('All Papers'!$D:$D,"*"&amp;$A1398&amp;"*",'All Papers'!$G:$G,"*"&amp;Table1[[#Headers],[Pricing]]&amp;"*")</f>
        <v>0</v>
      </c>
    </row>
    <row r="1399" spans="1:13" x14ac:dyDescent="0.25">
      <c r="A1399" s="8" t="s">
        <v>3832</v>
      </c>
      <c r="B1399" s="8">
        <f>COUNTIF('All Papers'!D:D,"*"&amp;Table1[[#This Row],[Name]]&amp;"*")</f>
        <v>1</v>
      </c>
      <c r="C1399" s="8">
        <f>COUNTIFS('All Papers'!$D:$D,"*"&amp;$A1399&amp;"*",'All Papers'!$G:$G,"*"&amp;Table1[[#Headers],[Composition]]&amp;"*")</f>
        <v>0</v>
      </c>
      <c r="D1399" s="8">
        <f>COUNTIFS('All Papers'!$D:$D,"*"&amp;$A1399&amp;"*",'All Papers'!$G:$G,"*"&amp;Table1[[#Headers],[Discovery]]&amp;"*")</f>
        <v>0</v>
      </c>
      <c r="E1399" s="8">
        <f>COUNTIFS('All Papers'!$D:$D,"*"&amp;$A1399&amp;"*",'All Papers'!$G:$G,"*"&amp;Table1[[#Headers],[Selection]]&amp;"*")</f>
        <v>0</v>
      </c>
      <c r="F1399" s="8">
        <f>COUNTIFS('All Papers'!$D:$D,"*"&amp;$A1399&amp;"*",'All Papers'!$G:$G,"*"&amp;Table1[[#Headers],[Recommendation]]&amp;"*")</f>
        <v>0</v>
      </c>
      <c r="G1399" s="8">
        <f>COUNTIFS('All Papers'!$D:$D,"*"&amp;$A1399&amp;"*",'All Papers'!$G:$G,"*"&amp;Table1[[#Headers],[Resource Management-CS]]&amp;"*")</f>
        <v>1</v>
      </c>
      <c r="H1399" s="8">
        <f>COUNTIFS('All Papers'!$D:$D,"*"&amp;$A1399&amp;"*",'All Papers'!$G:$G,"*"&amp;Table1[[#Headers],[Resource Management-PS]]&amp;"*")</f>
        <v>0</v>
      </c>
      <c r="I1399" s="8">
        <f>COUNTIFS('All Papers'!$D:$D,"*"&amp;$A1399&amp;"*",'All Papers'!$G:$G,"*"&amp;Table1[[#Headers],[SLA Management]]&amp;"*")</f>
        <v>0</v>
      </c>
      <c r="J1399" s="8">
        <f>COUNTIFS('All Papers'!$D:$D,"*"&amp;$A1399&amp;"*",'All Papers'!$G:$G,"*"&amp;Table1[[#Headers],[Big Data]]&amp;"*")</f>
        <v>0</v>
      </c>
      <c r="K1399" s="8">
        <f>COUNTIFS('All Papers'!$D:$D,"*"&amp;$A1399&amp;"*",'All Papers'!$G:$G,"*"&amp;Table1[[#Headers],[Energy Management]]&amp;"*")</f>
        <v>0</v>
      </c>
      <c r="L1399" s="8">
        <f>COUNTIFS('All Papers'!$D:$D,"*"&amp;$A1399&amp;"*",'All Papers'!$G:$G,"*"&amp;Table1[[#Headers],[Monitoring]]&amp;"*")</f>
        <v>0</v>
      </c>
      <c r="M1399" s="8">
        <f>COUNTIFS('All Papers'!$D:$D,"*"&amp;$A1399&amp;"*",'All Papers'!$G:$G,"*"&amp;Table1[[#Headers],[Pricing]]&amp;"*")</f>
        <v>0</v>
      </c>
    </row>
    <row r="1400" spans="1:13" x14ac:dyDescent="0.25">
      <c r="A1400" s="8" t="s">
        <v>3833</v>
      </c>
      <c r="B1400" s="8">
        <f>COUNTIF('All Papers'!D:D,"*"&amp;Table1[[#This Row],[Name]]&amp;"*")</f>
        <v>1</v>
      </c>
      <c r="C1400" s="8">
        <f>COUNTIFS('All Papers'!$D:$D,"*"&amp;$A1400&amp;"*",'All Papers'!$G:$G,"*"&amp;Table1[[#Headers],[Composition]]&amp;"*")</f>
        <v>0</v>
      </c>
      <c r="D1400" s="8">
        <f>COUNTIFS('All Papers'!$D:$D,"*"&amp;$A1400&amp;"*",'All Papers'!$G:$G,"*"&amp;Table1[[#Headers],[Discovery]]&amp;"*")</f>
        <v>0</v>
      </c>
      <c r="E1400" s="8">
        <f>COUNTIFS('All Papers'!$D:$D,"*"&amp;$A1400&amp;"*",'All Papers'!$G:$G,"*"&amp;Table1[[#Headers],[Selection]]&amp;"*")</f>
        <v>0</v>
      </c>
      <c r="F1400" s="8">
        <f>COUNTIFS('All Papers'!$D:$D,"*"&amp;$A1400&amp;"*",'All Papers'!$G:$G,"*"&amp;Table1[[#Headers],[Recommendation]]&amp;"*")</f>
        <v>0</v>
      </c>
      <c r="G1400" s="8">
        <f>COUNTIFS('All Papers'!$D:$D,"*"&amp;$A1400&amp;"*",'All Papers'!$G:$G,"*"&amp;Table1[[#Headers],[Resource Management-CS]]&amp;"*")</f>
        <v>1</v>
      </c>
      <c r="H1400" s="8">
        <f>COUNTIFS('All Papers'!$D:$D,"*"&amp;$A1400&amp;"*",'All Papers'!$G:$G,"*"&amp;Table1[[#Headers],[Resource Management-PS]]&amp;"*")</f>
        <v>0</v>
      </c>
      <c r="I1400" s="8">
        <f>COUNTIFS('All Papers'!$D:$D,"*"&amp;$A1400&amp;"*",'All Papers'!$G:$G,"*"&amp;Table1[[#Headers],[SLA Management]]&amp;"*")</f>
        <v>0</v>
      </c>
      <c r="J1400" s="8">
        <f>COUNTIFS('All Papers'!$D:$D,"*"&amp;$A1400&amp;"*",'All Papers'!$G:$G,"*"&amp;Table1[[#Headers],[Big Data]]&amp;"*")</f>
        <v>0</v>
      </c>
      <c r="K1400" s="8">
        <f>COUNTIFS('All Papers'!$D:$D,"*"&amp;$A1400&amp;"*",'All Papers'!$G:$G,"*"&amp;Table1[[#Headers],[Energy Management]]&amp;"*")</f>
        <v>0</v>
      </c>
      <c r="L1400" s="8">
        <f>COUNTIFS('All Papers'!$D:$D,"*"&amp;$A1400&amp;"*",'All Papers'!$G:$G,"*"&amp;Table1[[#Headers],[Monitoring]]&amp;"*")</f>
        <v>0</v>
      </c>
      <c r="M1400" s="8">
        <f>COUNTIFS('All Papers'!$D:$D,"*"&amp;$A1400&amp;"*",'All Papers'!$G:$G,"*"&amp;Table1[[#Headers],[Pricing]]&amp;"*")</f>
        <v>0</v>
      </c>
    </row>
    <row r="1401" spans="1:13" x14ac:dyDescent="0.25">
      <c r="A1401" s="8" t="s">
        <v>3834</v>
      </c>
      <c r="B1401" s="8">
        <f>COUNTIF('All Papers'!D:D,"*"&amp;Table1[[#This Row],[Name]]&amp;"*")</f>
        <v>1</v>
      </c>
      <c r="C1401" s="8">
        <f>COUNTIFS('All Papers'!$D:$D,"*"&amp;$A1401&amp;"*",'All Papers'!$G:$G,"*"&amp;Table1[[#Headers],[Composition]]&amp;"*")</f>
        <v>0</v>
      </c>
      <c r="D1401" s="8">
        <f>COUNTIFS('All Papers'!$D:$D,"*"&amp;$A1401&amp;"*",'All Papers'!$G:$G,"*"&amp;Table1[[#Headers],[Discovery]]&amp;"*")</f>
        <v>0</v>
      </c>
      <c r="E1401" s="8">
        <f>COUNTIFS('All Papers'!$D:$D,"*"&amp;$A1401&amp;"*",'All Papers'!$G:$G,"*"&amp;Table1[[#Headers],[Selection]]&amp;"*")</f>
        <v>0</v>
      </c>
      <c r="F1401" s="8">
        <f>COUNTIFS('All Papers'!$D:$D,"*"&amp;$A1401&amp;"*",'All Papers'!$G:$G,"*"&amp;Table1[[#Headers],[Recommendation]]&amp;"*")</f>
        <v>0</v>
      </c>
      <c r="G1401" s="8">
        <f>COUNTIFS('All Papers'!$D:$D,"*"&amp;$A1401&amp;"*",'All Papers'!$G:$G,"*"&amp;Table1[[#Headers],[Resource Management-CS]]&amp;"*")</f>
        <v>1</v>
      </c>
      <c r="H1401" s="8">
        <f>COUNTIFS('All Papers'!$D:$D,"*"&amp;$A1401&amp;"*",'All Papers'!$G:$G,"*"&amp;Table1[[#Headers],[Resource Management-PS]]&amp;"*")</f>
        <v>0</v>
      </c>
      <c r="I1401" s="8">
        <f>COUNTIFS('All Papers'!$D:$D,"*"&amp;$A1401&amp;"*",'All Papers'!$G:$G,"*"&amp;Table1[[#Headers],[SLA Management]]&amp;"*")</f>
        <v>0</v>
      </c>
      <c r="J1401" s="8">
        <f>COUNTIFS('All Papers'!$D:$D,"*"&amp;$A1401&amp;"*",'All Papers'!$G:$G,"*"&amp;Table1[[#Headers],[Big Data]]&amp;"*")</f>
        <v>0</v>
      </c>
      <c r="K1401" s="8">
        <f>COUNTIFS('All Papers'!$D:$D,"*"&amp;$A1401&amp;"*",'All Papers'!$G:$G,"*"&amp;Table1[[#Headers],[Energy Management]]&amp;"*")</f>
        <v>0</v>
      </c>
      <c r="L1401" s="8">
        <f>COUNTIFS('All Papers'!$D:$D,"*"&amp;$A1401&amp;"*",'All Papers'!$G:$G,"*"&amp;Table1[[#Headers],[Monitoring]]&amp;"*")</f>
        <v>0</v>
      </c>
      <c r="M1401" s="8">
        <f>COUNTIFS('All Papers'!$D:$D,"*"&amp;$A1401&amp;"*",'All Papers'!$G:$G,"*"&amp;Table1[[#Headers],[Pricing]]&amp;"*")</f>
        <v>0</v>
      </c>
    </row>
    <row r="1402" spans="1:13" x14ac:dyDescent="0.25">
      <c r="A1402" s="8" t="s">
        <v>3835</v>
      </c>
      <c r="B1402" s="8">
        <f>COUNTIF('All Papers'!D:D,"*"&amp;Table1[[#This Row],[Name]]&amp;"*")</f>
        <v>1</v>
      </c>
      <c r="C1402" s="8">
        <f>COUNTIFS('All Papers'!$D:$D,"*"&amp;$A1402&amp;"*",'All Papers'!$G:$G,"*"&amp;Table1[[#Headers],[Composition]]&amp;"*")</f>
        <v>0</v>
      </c>
      <c r="D1402" s="8">
        <f>COUNTIFS('All Papers'!$D:$D,"*"&amp;$A1402&amp;"*",'All Papers'!$G:$G,"*"&amp;Table1[[#Headers],[Discovery]]&amp;"*")</f>
        <v>0</v>
      </c>
      <c r="E1402" s="8">
        <f>COUNTIFS('All Papers'!$D:$D,"*"&amp;$A1402&amp;"*",'All Papers'!$G:$G,"*"&amp;Table1[[#Headers],[Selection]]&amp;"*")</f>
        <v>0</v>
      </c>
      <c r="F1402" s="8">
        <f>COUNTIFS('All Papers'!$D:$D,"*"&amp;$A1402&amp;"*",'All Papers'!$G:$G,"*"&amp;Table1[[#Headers],[Recommendation]]&amp;"*")</f>
        <v>0</v>
      </c>
      <c r="G1402" s="8">
        <f>COUNTIFS('All Papers'!$D:$D,"*"&amp;$A1402&amp;"*",'All Papers'!$G:$G,"*"&amp;Table1[[#Headers],[Resource Management-CS]]&amp;"*")</f>
        <v>1</v>
      </c>
      <c r="H1402" s="8">
        <f>COUNTIFS('All Papers'!$D:$D,"*"&amp;$A1402&amp;"*",'All Papers'!$G:$G,"*"&amp;Table1[[#Headers],[Resource Management-PS]]&amp;"*")</f>
        <v>0</v>
      </c>
      <c r="I1402" s="8">
        <f>COUNTIFS('All Papers'!$D:$D,"*"&amp;$A1402&amp;"*",'All Papers'!$G:$G,"*"&amp;Table1[[#Headers],[SLA Management]]&amp;"*")</f>
        <v>0</v>
      </c>
      <c r="J1402" s="8">
        <f>COUNTIFS('All Papers'!$D:$D,"*"&amp;$A1402&amp;"*",'All Papers'!$G:$G,"*"&amp;Table1[[#Headers],[Big Data]]&amp;"*")</f>
        <v>0</v>
      </c>
      <c r="K1402" s="8">
        <f>COUNTIFS('All Papers'!$D:$D,"*"&amp;$A1402&amp;"*",'All Papers'!$G:$G,"*"&amp;Table1[[#Headers],[Energy Management]]&amp;"*")</f>
        <v>0</v>
      </c>
      <c r="L1402" s="8">
        <f>COUNTIFS('All Papers'!$D:$D,"*"&amp;$A1402&amp;"*",'All Papers'!$G:$G,"*"&amp;Table1[[#Headers],[Monitoring]]&amp;"*")</f>
        <v>0</v>
      </c>
      <c r="M1402" s="8">
        <f>COUNTIFS('All Papers'!$D:$D,"*"&amp;$A1402&amp;"*",'All Papers'!$G:$G,"*"&amp;Table1[[#Headers],[Pricing]]&amp;"*")</f>
        <v>0</v>
      </c>
    </row>
    <row r="1403" spans="1:13" x14ac:dyDescent="0.25">
      <c r="A1403" s="8" t="s">
        <v>3836</v>
      </c>
      <c r="B1403" s="8">
        <f>COUNTIF('All Papers'!D:D,"*"&amp;Table1[[#This Row],[Name]]&amp;"*")</f>
        <v>1</v>
      </c>
      <c r="C1403" s="8">
        <f>COUNTIFS('All Papers'!$D:$D,"*"&amp;$A1403&amp;"*",'All Papers'!$G:$G,"*"&amp;Table1[[#Headers],[Composition]]&amp;"*")</f>
        <v>0</v>
      </c>
      <c r="D1403" s="8">
        <f>COUNTIFS('All Papers'!$D:$D,"*"&amp;$A1403&amp;"*",'All Papers'!$G:$G,"*"&amp;Table1[[#Headers],[Discovery]]&amp;"*")</f>
        <v>0</v>
      </c>
      <c r="E1403" s="8">
        <f>COUNTIFS('All Papers'!$D:$D,"*"&amp;$A1403&amp;"*",'All Papers'!$G:$G,"*"&amp;Table1[[#Headers],[Selection]]&amp;"*")</f>
        <v>0</v>
      </c>
      <c r="F1403" s="8">
        <f>COUNTIFS('All Papers'!$D:$D,"*"&amp;$A1403&amp;"*",'All Papers'!$G:$G,"*"&amp;Table1[[#Headers],[Recommendation]]&amp;"*")</f>
        <v>0</v>
      </c>
      <c r="G1403" s="8">
        <f>COUNTIFS('All Papers'!$D:$D,"*"&amp;$A1403&amp;"*",'All Papers'!$G:$G,"*"&amp;Table1[[#Headers],[Resource Management-CS]]&amp;"*")</f>
        <v>1</v>
      </c>
      <c r="H1403" s="8">
        <f>COUNTIFS('All Papers'!$D:$D,"*"&amp;$A1403&amp;"*",'All Papers'!$G:$G,"*"&amp;Table1[[#Headers],[Resource Management-PS]]&amp;"*")</f>
        <v>0</v>
      </c>
      <c r="I1403" s="8">
        <f>COUNTIFS('All Papers'!$D:$D,"*"&amp;$A1403&amp;"*",'All Papers'!$G:$G,"*"&amp;Table1[[#Headers],[SLA Management]]&amp;"*")</f>
        <v>0</v>
      </c>
      <c r="J1403" s="8">
        <f>COUNTIFS('All Papers'!$D:$D,"*"&amp;$A1403&amp;"*",'All Papers'!$G:$G,"*"&amp;Table1[[#Headers],[Big Data]]&amp;"*")</f>
        <v>0</v>
      </c>
      <c r="K1403" s="8">
        <f>COUNTIFS('All Papers'!$D:$D,"*"&amp;$A1403&amp;"*",'All Papers'!$G:$G,"*"&amp;Table1[[#Headers],[Energy Management]]&amp;"*")</f>
        <v>0</v>
      </c>
      <c r="L1403" s="8">
        <f>COUNTIFS('All Papers'!$D:$D,"*"&amp;$A1403&amp;"*",'All Papers'!$G:$G,"*"&amp;Table1[[#Headers],[Monitoring]]&amp;"*")</f>
        <v>0</v>
      </c>
      <c r="M1403" s="8">
        <f>COUNTIFS('All Papers'!$D:$D,"*"&amp;$A1403&amp;"*",'All Papers'!$G:$G,"*"&amp;Table1[[#Headers],[Pricing]]&amp;"*")</f>
        <v>0</v>
      </c>
    </row>
    <row r="1404" spans="1:13" x14ac:dyDescent="0.25">
      <c r="A1404" s="8" t="s">
        <v>3837</v>
      </c>
      <c r="B1404" s="8">
        <f>COUNTIF('All Papers'!D:D,"*"&amp;Table1[[#This Row],[Name]]&amp;"*")</f>
        <v>1</v>
      </c>
      <c r="C1404" s="8">
        <f>COUNTIFS('All Papers'!$D:$D,"*"&amp;$A1404&amp;"*",'All Papers'!$G:$G,"*"&amp;Table1[[#Headers],[Composition]]&amp;"*")</f>
        <v>0</v>
      </c>
      <c r="D1404" s="8">
        <f>COUNTIFS('All Papers'!$D:$D,"*"&amp;$A1404&amp;"*",'All Papers'!$G:$G,"*"&amp;Table1[[#Headers],[Discovery]]&amp;"*")</f>
        <v>0</v>
      </c>
      <c r="E1404" s="8">
        <f>COUNTIFS('All Papers'!$D:$D,"*"&amp;$A1404&amp;"*",'All Papers'!$G:$G,"*"&amp;Table1[[#Headers],[Selection]]&amp;"*")</f>
        <v>0</v>
      </c>
      <c r="F1404" s="8">
        <f>COUNTIFS('All Papers'!$D:$D,"*"&amp;$A1404&amp;"*",'All Papers'!$G:$G,"*"&amp;Table1[[#Headers],[Recommendation]]&amp;"*")</f>
        <v>0</v>
      </c>
      <c r="G1404" s="8">
        <f>COUNTIFS('All Papers'!$D:$D,"*"&amp;$A1404&amp;"*",'All Papers'!$G:$G,"*"&amp;Table1[[#Headers],[Resource Management-CS]]&amp;"*")</f>
        <v>1</v>
      </c>
      <c r="H1404" s="8">
        <f>COUNTIFS('All Papers'!$D:$D,"*"&amp;$A1404&amp;"*",'All Papers'!$G:$G,"*"&amp;Table1[[#Headers],[Resource Management-PS]]&amp;"*")</f>
        <v>0</v>
      </c>
      <c r="I1404" s="8">
        <f>COUNTIFS('All Papers'!$D:$D,"*"&amp;$A1404&amp;"*",'All Papers'!$G:$G,"*"&amp;Table1[[#Headers],[SLA Management]]&amp;"*")</f>
        <v>0</v>
      </c>
      <c r="J1404" s="8">
        <f>COUNTIFS('All Papers'!$D:$D,"*"&amp;$A1404&amp;"*",'All Papers'!$G:$G,"*"&amp;Table1[[#Headers],[Big Data]]&amp;"*")</f>
        <v>0</v>
      </c>
      <c r="K1404" s="8">
        <f>COUNTIFS('All Papers'!$D:$D,"*"&amp;$A1404&amp;"*",'All Papers'!$G:$G,"*"&amp;Table1[[#Headers],[Energy Management]]&amp;"*")</f>
        <v>0</v>
      </c>
      <c r="L1404" s="8">
        <f>COUNTIFS('All Papers'!$D:$D,"*"&amp;$A1404&amp;"*",'All Papers'!$G:$G,"*"&amp;Table1[[#Headers],[Monitoring]]&amp;"*")</f>
        <v>0</v>
      </c>
      <c r="M1404" s="8">
        <f>COUNTIFS('All Papers'!$D:$D,"*"&amp;$A1404&amp;"*",'All Papers'!$G:$G,"*"&amp;Table1[[#Headers],[Pricing]]&amp;"*")</f>
        <v>0</v>
      </c>
    </row>
    <row r="1405" spans="1:13" x14ac:dyDescent="0.25">
      <c r="A1405" s="8" t="s">
        <v>3838</v>
      </c>
      <c r="B1405" s="8">
        <f>COUNTIF('All Papers'!D:D,"*"&amp;Table1[[#This Row],[Name]]&amp;"*")</f>
        <v>1</v>
      </c>
      <c r="C1405" s="8">
        <f>COUNTIFS('All Papers'!$D:$D,"*"&amp;$A1405&amp;"*",'All Papers'!$G:$G,"*"&amp;Table1[[#Headers],[Composition]]&amp;"*")</f>
        <v>1</v>
      </c>
      <c r="D1405" s="8">
        <f>COUNTIFS('All Papers'!$D:$D,"*"&amp;$A1405&amp;"*",'All Papers'!$G:$G,"*"&amp;Table1[[#Headers],[Discovery]]&amp;"*")</f>
        <v>0</v>
      </c>
      <c r="E1405" s="8">
        <f>COUNTIFS('All Papers'!$D:$D,"*"&amp;$A1405&amp;"*",'All Papers'!$G:$G,"*"&amp;Table1[[#Headers],[Selection]]&amp;"*")</f>
        <v>0</v>
      </c>
      <c r="F1405" s="8">
        <f>COUNTIFS('All Papers'!$D:$D,"*"&amp;$A1405&amp;"*",'All Papers'!$G:$G,"*"&amp;Table1[[#Headers],[Recommendation]]&amp;"*")</f>
        <v>0</v>
      </c>
      <c r="G1405" s="8">
        <f>COUNTIFS('All Papers'!$D:$D,"*"&amp;$A1405&amp;"*",'All Papers'!$G:$G,"*"&amp;Table1[[#Headers],[Resource Management-CS]]&amp;"*")</f>
        <v>0</v>
      </c>
      <c r="H1405" s="8">
        <f>COUNTIFS('All Papers'!$D:$D,"*"&amp;$A1405&amp;"*",'All Papers'!$G:$G,"*"&amp;Table1[[#Headers],[Resource Management-PS]]&amp;"*")</f>
        <v>0</v>
      </c>
      <c r="I1405" s="8">
        <f>COUNTIFS('All Papers'!$D:$D,"*"&amp;$A1405&amp;"*",'All Papers'!$G:$G,"*"&amp;Table1[[#Headers],[SLA Management]]&amp;"*")</f>
        <v>0</v>
      </c>
      <c r="J1405" s="8">
        <f>COUNTIFS('All Papers'!$D:$D,"*"&amp;$A1405&amp;"*",'All Papers'!$G:$G,"*"&amp;Table1[[#Headers],[Big Data]]&amp;"*")</f>
        <v>0</v>
      </c>
      <c r="K1405" s="8">
        <f>COUNTIFS('All Papers'!$D:$D,"*"&amp;$A1405&amp;"*",'All Papers'!$G:$G,"*"&amp;Table1[[#Headers],[Energy Management]]&amp;"*")</f>
        <v>0</v>
      </c>
      <c r="L1405" s="8">
        <f>COUNTIFS('All Papers'!$D:$D,"*"&amp;$A1405&amp;"*",'All Papers'!$G:$G,"*"&amp;Table1[[#Headers],[Monitoring]]&amp;"*")</f>
        <v>0</v>
      </c>
      <c r="M1405" s="8">
        <f>COUNTIFS('All Papers'!$D:$D,"*"&amp;$A1405&amp;"*",'All Papers'!$G:$G,"*"&amp;Table1[[#Headers],[Pricing]]&amp;"*")</f>
        <v>0</v>
      </c>
    </row>
    <row r="1406" spans="1:13" x14ac:dyDescent="0.25">
      <c r="A1406" s="8" t="s">
        <v>3839</v>
      </c>
      <c r="B1406" s="8">
        <f>COUNTIF('All Papers'!D:D,"*"&amp;Table1[[#This Row],[Name]]&amp;"*")</f>
        <v>1</v>
      </c>
      <c r="C1406" s="8">
        <f>COUNTIFS('All Papers'!$D:$D,"*"&amp;$A1406&amp;"*",'All Papers'!$G:$G,"*"&amp;Table1[[#Headers],[Composition]]&amp;"*")</f>
        <v>0</v>
      </c>
      <c r="D1406" s="8">
        <f>COUNTIFS('All Papers'!$D:$D,"*"&amp;$A1406&amp;"*",'All Papers'!$G:$G,"*"&amp;Table1[[#Headers],[Discovery]]&amp;"*")</f>
        <v>0</v>
      </c>
      <c r="E1406" s="8">
        <f>COUNTIFS('All Papers'!$D:$D,"*"&amp;$A1406&amp;"*",'All Papers'!$G:$G,"*"&amp;Table1[[#Headers],[Selection]]&amp;"*")</f>
        <v>0</v>
      </c>
      <c r="F1406" s="8">
        <f>COUNTIFS('All Papers'!$D:$D,"*"&amp;$A1406&amp;"*",'All Papers'!$G:$G,"*"&amp;Table1[[#Headers],[Recommendation]]&amp;"*")</f>
        <v>0</v>
      </c>
      <c r="G1406" s="8">
        <f>COUNTIFS('All Papers'!$D:$D,"*"&amp;$A1406&amp;"*",'All Papers'!$G:$G,"*"&amp;Table1[[#Headers],[Resource Management-CS]]&amp;"*")</f>
        <v>1</v>
      </c>
      <c r="H1406" s="8">
        <f>COUNTIFS('All Papers'!$D:$D,"*"&amp;$A1406&amp;"*",'All Papers'!$G:$G,"*"&amp;Table1[[#Headers],[Resource Management-PS]]&amp;"*")</f>
        <v>0</v>
      </c>
      <c r="I1406" s="8">
        <f>COUNTIFS('All Papers'!$D:$D,"*"&amp;$A1406&amp;"*",'All Papers'!$G:$G,"*"&amp;Table1[[#Headers],[SLA Management]]&amp;"*")</f>
        <v>0</v>
      </c>
      <c r="J1406" s="8">
        <f>COUNTIFS('All Papers'!$D:$D,"*"&amp;$A1406&amp;"*",'All Papers'!$G:$G,"*"&amp;Table1[[#Headers],[Big Data]]&amp;"*")</f>
        <v>0</v>
      </c>
      <c r="K1406" s="8">
        <f>COUNTIFS('All Papers'!$D:$D,"*"&amp;$A1406&amp;"*",'All Papers'!$G:$G,"*"&amp;Table1[[#Headers],[Energy Management]]&amp;"*")</f>
        <v>0</v>
      </c>
      <c r="L1406" s="8">
        <f>COUNTIFS('All Papers'!$D:$D,"*"&amp;$A1406&amp;"*",'All Papers'!$G:$G,"*"&amp;Table1[[#Headers],[Monitoring]]&amp;"*")</f>
        <v>0</v>
      </c>
      <c r="M1406" s="8">
        <f>COUNTIFS('All Papers'!$D:$D,"*"&amp;$A1406&amp;"*",'All Papers'!$G:$G,"*"&amp;Table1[[#Headers],[Pricing]]&amp;"*")</f>
        <v>0</v>
      </c>
    </row>
    <row r="1407" spans="1:13" x14ac:dyDescent="0.25">
      <c r="A1407" s="8" t="s">
        <v>3840</v>
      </c>
      <c r="B1407" s="8">
        <f>COUNTIF('All Papers'!D:D,"*"&amp;Table1[[#This Row],[Name]]&amp;"*")</f>
        <v>1</v>
      </c>
      <c r="C1407" s="8">
        <f>COUNTIFS('All Papers'!$D:$D,"*"&amp;$A1407&amp;"*",'All Papers'!$G:$G,"*"&amp;Table1[[#Headers],[Composition]]&amp;"*")</f>
        <v>0</v>
      </c>
      <c r="D1407" s="8">
        <f>COUNTIFS('All Papers'!$D:$D,"*"&amp;$A1407&amp;"*",'All Papers'!$G:$G,"*"&amp;Table1[[#Headers],[Discovery]]&amp;"*")</f>
        <v>0</v>
      </c>
      <c r="E1407" s="8">
        <f>COUNTIFS('All Papers'!$D:$D,"*"&amp;$A1407&amp;"*",'All Papers'!$G:$G,"*"&amp;Table1[[#Headers],[Selection]]&amp;"*")</f>
        <v>0</v>
      </c>
      <c r="F1407" s="8">
        <f>COUNTIFS('All Papers'!$D:$D,"*"&amp;$A1407&amp;"*",'All Papers'!$G:$G,"*"&amp;Table1[[#Headers],[Recommendation]]&amp;"*")</f>
        <v>0</v>
      </c>
      <c r="G1407" s="8">
        <f>COUNTIFS('All Papers'!$D:$D,"*"&amp;$A1407&amp;"*",'All Papers'!$G:$G,"*"&amp;Table1[[#Headers],[Resource Management-CS]]&amp;"*")</f>
        <v>0</v>
      </c>
      <c r="H1407" s="8">
        <f>COUNTIFS('All Papers'!$D:$D,"*"&amp;$A1407&amp;"*",'All Papers'!$G:$G,"*"&amp;Table1[[#Headers],[Resource Management-PS]]&amp;"*")</f>
        <v>0</v>
      </c>
      <c r="I1407" s="8">
        <f>COUNTIFS('All Papers'!$D:$D,"*"&amp;$A1407&amp;"*",'All Papers'!$G:$G,"*"&amp;Table1[[#Headers],[SLA Management]]&amp;"*")</f>
        <v>0</v>
      </c>
      <c r="J1407" s="8">
        <f>COUNTIFS('All Papers'!$D:$D,"*"&amp;$A1407&amp;"*",'All Papers'!$G:$G,"*"&amp;Table1[[#Headers],[Big Data]]&amp;"*")</f>
        <v>0</v>
      </c>
      <c r="K1407" s="8">
        <f>COUNTIFS('All Papers'!$D:$D,"*"&amp;$A1407&amp;"*",'All Papers'!$G:$G,"*"&amp;Table1[[#Headers],[Energy Management]]&amp;"*")</f>
        <v>0</v>
      </c>
      <c r="L1407" s="8">
        <f>COUNTIFS('All Papers'!$D:$D,"*"&amp;$A1407&amp;"*",'All Papers'!$G:$G,"*"&amp;Table1[[#Headers],[Monitoring]]&amp;"*")</f>
        <v>0</v>
      </c>
      <c r="M1407" s="8">
        <f>COUNTIFS('All Papers'!$D:$D,"*"&amp;$A1407&amp;"*",'All Papers'!$G:$G,"*"&amp;Table1[[#Headers],[Pricing]]&amp;"*")</f>
        <v>1</v>
      </c>
    </row>
    <row r="1408" spans="1:13" x14ac:dyDescent="0.25">
      <c r="A1408" s="8" t="s">
        <v>3841</v>
      </c>
      <c r="B1408" s="8">
        <f>COUNTIF('All Papers'!D:D,"*"&amp;Table1[[#This Row],[Name]]&amp;"*")</f>
        <v>1</v>
      </c>
      <c r="C1408" s="8">
        <f>COUNTIFS('All Papers'!$D:$D,"*"&amp;$A1408&amp;"*",'All Papers'!$G:$G,"*"&amp;Table1[[#Headers],[Composition]]&amp;"*")</f>
        <v>0</v>
      </c>
      <c r="D1408" s="8">
        <f>COUNTIFS('All Papers'!$D:$D,"*"&amp;$A1408&amp;"*",'All Papers'!$G:$G,"*"&amp;Table1[[#Headers],[Discovery]]&amp;"*")</f>
        <v>0</v>
      </c>
      <c r="E1408" s="8">
        <f>COUNTIFS('All Papers'!$D:$D,"*"&amp;$A1408&amp;"*",'All Papers'!$G:$G,"*"&amp;Table1[[#Headers],[Selection]]&amp;"*")</f>
        <v>0</v>
      </c>
      <c r="F1408" s="8">
        <f>COUNTIFS('All Papers'!$D:$D,"*"&amp;$A1408&amp;"*",'All Papers'!$G:$G,"*"&amp;Table1[[#Headers],[Recommendation]]&amp;"*")</f>
        <v>0</v>
      </c>
      <c r="G1408" s="8">
        <f>COUNTIFS('All Papers'!$D:$D,"*"&amp;$A1408&amp;"*",'All Papers'!$G:$G,"*"&amp;Table1[[#Headers],[Resource Management-CS]]&amp;"*")</f>
        <v>0</v>
      </c>
      <c r="H1408" s="8">
        <f>COUNTIFS('All Papers'!$D:$D,"*"&amp;$A1408&amp;"*",'All Papers'!$G:$G,"*"&amp;Table1[[#Headers],[Resource Management-PS]]&amp;"*")</f>
        <v>0</v>
      </c>
      <c r="I1408" s="8">
        <f>COUNTIFS('All Papers'!$D:$D,"*"&amp;$A1408&amp;"*",'All Papers'!$G:$G,"*"&amp;Table1[[#Headers],[SLA Management]]&amp;"*")</f>
        <v>0</v>
      </c>
      <c r="J1408" s="8">
        <f>COUNTIFS('All Papers'!$D:$D,"*"&amp;$A1408&amp;"*",'All Papers'!$G:$G,"*"&amp;Table1[[#Headers],[Big Data]]&amp;"*")</f>
        <v>0</v>
      </c>
      <c r="K1408" s="8">
        <f>COUNTIFS('All Papers'!$D:$D,"*"&amp;$A1408&amp;"*",'All Papers'!$G:$G,"*"&amp;Table1[[#Headers],[Energy Management]]&amp;"*")</f>
        <v>0</v>
      </c>
      <c r="L1408" s="8">
        <f>COUNTIFS('All Papers'!$D:$D,"*"&amp;$A1408&amp;"*",'All Papers'!$G:$G,"*"&amp;Table1[[#Headers],[Monitoring]]&amp;"*")</f>
        <v>0</v>
      </c>
      <c r="M1408" s="8">
        <f>COUNTIFS('All Papers'!$D:$D,"*"&amp;$A1408&amp;"*",'All Papers'!$G:$G,"*"&amp;Table1[[#Headers],[Pricing]]&amp;"*")</f>
        <v>1</v>
      </c>
    </row>
    <row r="1409" spans="1:13" x14ac:dyDescent="0.25">
      <c r="A1409" s="8" t="s">
        <v>3842</v>
      </c>
      <c r="B1409" s="8">
        <f>COUNTIF('All Papers'!D:D,"*"&amp;Table1[[#This Row],[Name]]&amp;"*")</f>
        <v>1</v>
      </c>
      <c r="C1409" s="8">
        <f>COUNTIFS('All Papers'!$D:$D,"*"&amp;$A1409&amp;"*",'All Papers'!$G:$G,"*"&amp;Table1[[#Headers],[Composition]]&amp;"*")</f>
        <v>0</v>
      </c>
      <c r="D1409" s="8">
        <f>COUNTIFS('All Papers'!$D:$D,"*"&amp;$A1409&amp;"*",'All Papers'!$G:$G,"*"&amp;Table1[[#Headers],[Discovery]]&amp;"*")</f>
        <v>0</v>
      </c>
      <c r="E1409" s="8">
        <f>COUNTIFS('All Papers'!$D:$D,"*"&amp;$A1409&amp;"*",'All Papers'!$G:$G,"*"&amp;Table1[[#Headers],[Selection]]&amp;"*")</f>
        <v>0</v>
      </c>
      <c r="F1409" s="8">
        <f>COUNTIFS('All Papers'!$D:$D,"*"&amp;$A1409&amp;"*",'All Papers'!$G:$G,"*"&amp;Table1[[#Headers],[Recommendation]]&amp;"*")</f>
        <v>0</v>
      </c>
      <c r="G1409" s="8">
        <f>COUNTIFS('All Papers'!$D:$D,"*"&amp;$A1409&amp;"*",'All Papers'!$G:$G,"*"&amp;Table1[[#Headers],[Resource Management-CS]]&amp;"*")</f>
        <v>0</v>
      </c>
      <c r="H1409" s="8">
        <f>COUNTIFS('All Papers'!$D:$D,"*"&amp;$A1409&amp;"*",'All Papers'!$G:$G,"*"&amp;Table1[[#Headers],[Resource Management-PS]]&amp;"*")</f>
        <v>0</v>
      </c>
      <c r="I1409" s="8">
        <f>COUNTIFS('All Papers'!$D:$D,"*"&amp;$A1409&amp;"*",'All Papers'!$G:$G,"*"&amp;Table1[[#Headers],[SLA Management]]&amp;"*")</f>
        <v>1</v>
      </c>
      <c r="J1409" s="8">
        <f>COUNTIFS('All Papers'!$D:$D,"*"&amp;$A1409&amp;"*",'All Papers'!$G:$G,"*"&amp;Table1[[#Headers],[Big Data]]&amp;"*")</f>
        <v>0</v>
      </c>
      <c r="K1409" s="8">
        <f>COUNTIFS('All Papers'!$D:$D,"*"&amp;$A1409&amp;"*",'All Papers'!$G:$G,"*"&amp;Table1[[#Headers],[Energy Management]]&amp;"*")</f>
        <v>0</v>
      </c>
      <c r="L1409" s="8">
        <f>COUNTIFS('All Papers'!$D:$D,"*"&amp;$A1409&amp;"*",'All Papers'!$G:$G,"*"&amp;Table1[[#Headers],[Monitoring]]&amp;"*")</f>
        <v>0</v>
      </c>
      <c r="M1409" s="8">
        <f>COUNTIFS('All Papers'!$D:$D,"*"&amp;$A1409&amp;"*",'All Papers'!$G:$G,"*"&amp;Table1[[#Headers],[Pricing]]&amp;"*")</f>
        <v>0</v>
      </c>
    </row>
    <row r="1410" spans="1:13" x14ac:dyDescent="0.25">
      <c r="A1410" s="8" t="s">
        <v>3843</v>
      </c>
      <c r="B1410" s="8">
        <f>COUNTIF('All Papers'!D:D,"*"&amp;Table1[[#This Row],[Name]]&amp;"*")</f>
        <v>1</v>
      </c>
      <c r="C1410" s="8">
        <f>COUNTIFS('All Papers'!$D:$D,"*"&amp;$A1410&amp;"*",'All Papers'!$G:$G,"*"&amp;Table1[[#Headers],[Composition]]&amp;"*")</f>
        <v>0</v>
      </c>
      <c r="D1410" s="8">
        <f>COUNTIFS('All Papers'!$D:$D,"*"&amp;$A1410&amp;"*",'All Papers'!$G:$G,"*"&amp;Table1[[#Headers],[Discovery]]&amp;"*")</f>
        <v>0</v>
      </c>
      <c r="E1410" s="8">
        <f>COUNTIFS('All Papers'!$D:$D,"*"&amp;$A1410&amp;"*",'All Papers'!$G:$G,"*"&amp;Table1[[#Headers],[Selection]]&amp;"*")</f>
        <v>0</v>
      </c>
      <c r="F1410" s="8">
        <f>COUNTIFS('All Papers'!$D:$D,"*"&amp;$A1410&amp;"*",'All Papers'!$G:$G,"*"&amp;Table1[[#Headers],[Recommendation]]&amp;"*")</f>
        <v>0</v>
      </c>
      <c r="G1410" s="8">
        <f>COUNTIFS('All Papers'!$D:$D,"*"&amp;$A1410&amp;"*",'All Papers'!$G:$G,"*"&amp;Table1[[#Headers],[Resource Management-CS]]&amp;"*")</f>
        <v>0</v>
      </c>
      <c r="H1410" s="8">
        <f>COUNTIFS('All Papers'!$D:$D,"*"&amp;$A1410&amp;"*",'All Papers'!$G:$G,"*"&amp;Table1[[#Headers],[Resource Management-PS]]&amp;"*")</f>
        <v>0</v>
      </c>
      <c r="I1410" s="8">
        <f>COUNTIFS('All Papers'!$D:$D,"*"&amp;$A1410&amp;"*",'All Papers'!$G:$G,"*"&amp;Table1[[#Headers],[SLA Management]]&amp;"*")</f>
        <v>1</v>
      </c>
      <c r="J1410" s="8">
        <f>COUNTIFS('All Papers'!$D:$D,"*"&amp;$A1410&amp;"*",'All Papers'!$G:$G,"*"&amp;Table1[[#Headers],[Big Data]]&amp;"*")</f>
        <v>0</v>
      </c>
      <c r="K1410" s="8">
        <f>COUNTIFS('All Papers'!$D:$D,"*"&amp;$A1410&amp;"*",'All Papers'!$G:$G,"*"&amp;Table1[[#Headers],[Energy Management]]&amp;"*")</f>
        <v>0</v>
      </c>
      <c r="L1410" s="8">
        <f>COUNTIFS('All Papers'!$D:$D,"*"&amp;$A1410&amp;"*",'All Papers'!$G:$G,"*"&amp;Table1[[#Headers],[Monitoring]]&amp;"*")</f>
        <v>0</v>
      </c>
      <c r="M1410" s="8">
        <f>COUNTIFS('All Papers'!$D:$D,"*"&amp;$A1410&amp;"*",'All Papers'!$G:$G,"*"&amp;Table1[[#Headers],[Pricing]]&amp;"*")</f>
        <v>0</v>
      </c>
    </row>
    <row r="1411" spans="1:13" x14ac:dyDescent="0.25">
      <c r="A1411" s="8" t="s">
        <v>3844</v>
      </c>
      <c r="B1411" s="8">
        <f>COUNTIF('All Papers'!D:D,"*"&amp;Table1[[#This Row],[Name]]&amp;"*")</f>
        <v>1</v>
      </c>
      <c r="C1411" s="8">
        <f>COUNTIFS('All Papers'!$D:$D,"*"&amp;$A1411&amp;"*",'All Papers'!$G:$G,"*"&amp;Table1[[#Headers],[Composition]]&amp;"*")</f>
        <v>0</v>
      </c>
      <c r="D1411" s="8">
        <f>COUNTIFS('All Papers'!$D:$D,"*"&amp;$A1411&amp;"*",'All Papers'!$G:$G,"*"&amp;Table1[[#Headers],[Discovery]]&amp;"*")</f>
        <v>0</v>
      </c>
      <c r="E1411" s="8">
        <f>COUNTIFS('All Papers'!$D:$D,"*"&amp;$A1411&amp;"*",'All Papers'!$G:$G,"*"&amp;Table1[[#Headers],[Selection]]&amp;"*")</f>
        <v>0</v>
      </c>
      <c r="F1411" s="8">
        <f>COUNTIFS('All Papers'!$D:$D,"*"&amp;$A1411&amp;"*",'All Papers'!$G:$G,"*"&amp;Table1[[#Headers],[Recommendation]]&amp;"*")</f>
        <v>0</v>
      </c>
      <c r="G1411" s="8">
        <f>COUNTIFS('All Papers'!$D:$D,"*"&amp;$A1411&amp;"*",'All Papers'!$G:$G,"*"&amp;Table1[[#Headers],[Resource Management-CS]]&amp;"*")</f>
        <v>0</v>
      </c>
      <c r="H1411" s="8">
        <f>COUNTIFS('All Papers'!$D:$D,"*"&amp;$A1411&amp;"*",'All Papers'!$G:$G,"*"&amp;Table1[[#Headers],[Resource Management-PS]]&amp;"*")</f>
        <v>0</v>
      </c>
      <c r="I1411" s="8">
        <f>COUNTIFS('All Papers'!$D:$D,"*"&amp;$A1411&amp;"*",'All Papers'!$G:$G,"*"&amp;Table1[[#Headers],[SLA Management]]&amp;"*")</f>
        <v>1</v>
      </c>
      <c r="J1411" s="8">
        <f>COUNTIFS('All Papers'!$D:$D,"*"&amp;$A1411&amp;"*",'All Papers'!$G:$G,"*"&amp;Table1[[#Headers],[Big Data]]&amp;"*")</f>
        <v>0</v>
      </c>
      <c r="K1411" s="8">
        <f>COUNTIFS('All Papers'!$D:$D,"*"&amp;$A1411&amp;"*",'All Papers'!$G:$G,"*"&amp;Table1[[#Headers],[Energy Management]]&amp;"*")</f>
        <v>0</v>
      </c>
      <c r="L1411" s="8">
        <f>COUNTIFS('All Papers'!$D:$D,"*"&amp;$A1411&amp;"*",'All Papers'!$G:$G,"*"&amp;Table1[[#Headers],[Monitoring]]&amp;"*")</f>
        <v>0</v>
      </c>
      <c r="M1411" s="8">
        <f>COUNTIFS('All Papers'!$D:$D,"*"&amp;$A1411&amp;"*",'All Papers'!$G:$G,"*"&amp;Table1[[#Headers],[Pricing]]&amp;"*")</f>
        <v>0</v>
      </c>
    </row>
    <row r="1412" spans="1:13" x14ac:dyDescent="0.25">
      <c r="A1412" s="8" t="s">
        <v>3845</v>
      </c>
      <c r="B1412" s="8">
        <f>COUNTIF('All Papers'!D:D,"*"&amp;Table1[[#This Row],[Name]]&amp;"*")</f>
        <v>1</v>
      </c>
      <c r="C1412" s="8">
        <f>COUNTIFS('All Papers'!$D:$D,"*"&amp;$A1412&amp;"*",'All Papers'!$G:$G,"*"&amp;Table1[[#Headers],[Composition]]&amp;"*")</f>
        <v>0</v>
      </c>
      <c r="D1412" s="8">
        <f>COUNTIFS('All Papers'!$D:$D,"*"&amp;$A1412&amp;"*",'All Papers'!$G:$G,"*"&amp;Table1[[#Headers],[Discovery]]&amp;"*")</f>
        <v>0</v>
      </c>
      <c r="E1412" s="8">
        <f>COUNTIFS('All Papers'!$D:$D,"*"&amp;$A1412&amp;"*",'All Papers'!$G:$G,"*"&amp;Table1[[#Headers],[Selection]]&amp;"*")</f>
        <v>0</v>
      </c>
      <c r="F1412" s="8">
        <f>COUNTIFS('All Papers'!$D:$D,"*"&amp;$A1412&amp;"*",'All Papers'!$G:$G,"*"&amp;Table1[[#Headers],[Recommendation]]&amp;"*")</f>
        <v>0</v>
      </c>
      <c r="G1412" s="8">
        <f>COUNTIFS('All Papers'!$D:$D,"*"&amp;$A1412&amp;"*",'All Papers'!$G:$G,"*"&amp;Table1[[#Headers],[Resource Management-CS]]&amp;"*")</f>
        <v>1</v>
      </c>
      <c r="H1412" s="8">
        <f>COUNTIFS('All Papers'!$D:$D,"*"&amp;$A1412&amp;"*",'All Papers'!$G:$G,"*"&amp;Table1[[#Headers],[Resource Management-PS]]&amp;"*")</f>
        <v>0</v>
      </c>
      <c r="I1412" s="8">
        <f>COUNTIFS('All Papers'!$D:$D,"*"&amp;$A1412&amp;"*",'All Papers'!$G:$G,"*"&amp;Table1[[#Headers],[SLA Management]]&amp;"*")</f>
        <v>0</v>
      </c>
      <c r="J1412" s="8">
        <f>COUNTIFS('All Papers'!$D:$D,"*"&amp;$A1412&amp;"*",'All Papers'!$G:$G,"*"&amp;Table1[[#Headers],[Big Data]]&amp;"*")</f>
        <v>0</v>
      </c>
      <c r="K1412" s="8">
        <f>COUNTIFS('All Papers'!$D:$D,"*"&amp;$A1412&amp;"*",'All Papers'!$G:$G,"*"&amp;Table1[[#Headers],[Energy Management]]&amp;"*")</f>
        <v>0</v>
      </c>
      <c r="L1412" s="8">
        <f>COUNTIFS('All Papers'!$D:$D,"*"&amp;$A1412&amp;"*",'All Papers'!$G:$G,"*"&amp;Table1[[#Headers],[Monitoring]]&amp;"*")</f>
        <v>0</v>
      </c>
      <c r="M1412" s="8">
        <f>COUNTIFS('All Papers'!$D:$D,"*"&amp;$A1412&amp;"*",'All Papers'!$G:$G,"*"&amp;Table1[[#Headers],[Pricing]]&amp;"*")</f>
        <v>0</v>
      </c>
    </row>
    <row r="1413" spans="1:13" x14ac:dyDescent="0.25">
      <c r="A1413" s="8" t="s">
        <v>3846</v>
      </c>
      <c r="B1413" s="8">
        <f>COUNTIF('All Papers'!D:D,"*"&amp;Table1[[#This Row],[Name]]&amp;"*")</f>
        <v>1</v>
      </c>
      <c r="C1413" s="8">
        <f>COUNTIFS('All Papers'!$D:$D,"*"&amp;$A1413&amp;"*",'All Papers'!$G:$G,"*"&amp;Table1[[#Headers],[Composition]]&amp;"*")</f>
        <v>0</v>
      </c>
      <c r="D1413" s="8">
        <f>COUNTIFS('All Papers'!$D:$D,"*"&amp;$A1413&amp;"*",'All Papers'!$G:$G,"*"&amp;Table1[[#Headers],[Discovery]]&amp;"*")</f>
        <v>0</v>
      </c>
      <c r="E1413" s="8">
        <f>COUNTIFS('All Papers'!$D:$D,"*"&amp;$A1413&amp;"*",'All Papers'!$G:$G,"*"&amp;Table1[[#Headers],[Selection]]&amp;"*")</f>
        <v>0</v>
      </c>
      <c r="F1413" s="8">
        <f>COUNTIFS('All Papers'!$D:$D,"*"&amp;$A1413&amp;"*",'All Papers'!$G:$G,"*"&amp;Table1[[#Headers],[Recommendation]]&amp;"*")</f>
        <v>0</v>
      </c>
      <c r="G1413" s="8">
        <f>COUNTIFS('All Papers'!$D:$D,"*"&amp;$A1413&amp;"*",'All Papers'!$G:$G,"*"&amp;Table1[[#Headers],[Resource Management-CS]]&amp;"*")</f>
        <v>1</v>
      </c>
      <c r="H1413" s="8">
        <f>COUNTIFS('All Papers'!$D:$D,"*"&amp;$A1413&amp;"*",'All Papers'!$G:$G,"*"&amp;Table1[[#Headers],[Resource Management-PS]]&amp;"*")</f>
        <v>0</v>
      </c>
      <c r="I1413" s="8">
        <f>COUNTIFS('All Papers'!$D:$D,"*"&amp;$A1413&amp;"*",'All Papers'!$G:$G,"*"&amp;Table1[[#Headers],[SLA Management]]&amp;"*")</f>
        <v>0</v>
      </c>
      <c r="J1413" s="8">
        <f>COUNTIFS('All Papers'!$D:$D,"*"&amp;$A1413&amp;"*",'All Papers'!$G:$G,"*"&amp;Table1[[#Headers],[Big Data]]&amp;"*")</f>
        <v>0</v>
      </c>
      <c r="K1413" s="8">
        <f>COUNTIFS('All Papers'!$D:$D,"*"&amp;$A1413&amp;"*",'All Papers'!$G:$G,"*"&amp;Table1[[#Headers],[Energy Management]]&amp;"*")</f>
        <v>0</v>
      </c>
      <c r="L1413" s="8">
        <f>COUNTIFS('All Papers'!$D:$D,"*"&amp;$A1413&amp;"*",'All Papers'!$G:$G,"*"&amp;Table1[[#Headers],[Monitoring]]&amp;"*")</f>
        <v>0</v>
      </c>
      <c r="M1413" s="8">
        <f>COUNTIFS('All Papers'!$D:$D,"*"&amp;$A1413&amp;"*",'All Papers'!$G:$G,"*"&amp;Table1[[#Headers],[Pricing]]&amp;"*")</f>
        <v>0</v>
      </c>
    </row>
    <row r="1414" spans="1:13" x14ac:dyDescent="0.25">
      <c r="A1414" s="8" t="s">
        <v>3847</v>
      </c>
      <c r="B1414" s="8">
        <f>COUNTIF('All Papers'!D:D,"*"&amp;Table1[[#This Row],[Name]]&amp;"*")</f>
        <v>1</v>
      </c>
      <c r="C1414" s="8">
        <f>COUNTIFS('All Papers'!$D:$D,"*"&amp;$A1414&amp;"*",'All Papers'!$G:$G,"*"&amp;Table1[[#Headers],[Composition]]&amp;"*")</f>
        <v>0</v>
      </c>
      <c r="D1414" s="8">
        <f>COUNTIFS('All Papers'!$D:$D,"*"&amp;$A1414&amp;"*",'All Papers'!$G:$G,"*"&amp;Table1[[#Headers],[Discovery]]&amp;"*")</f>
        <v>0</v>
      </c>
      <c r="E1414" s="8">
        <f>COUNTIFS('All Papers'!$D:$D,"*"&amp;$A1414&amp;"*",'All Papers'!$G:$G,"*"&amp;Table1[[#Headers],[Selection]]&amp;"*")</f>
        <v>0</v>
      </c>
      <c r="F1414" s="8">
        <f>COUNTIFS('All Papers'!$D:$D,"*"&amp;$A1414&amp;"*",'All Papers'!$G:$G,"*"&amp;Table1[[#Headers],[Recommendation]]&amp;"*")</f>
        <v>0</v>
      </c>
      <c r="G1414" s="8">
        <f>COUNTIFS('All Papers'!$D:$D,"*"&amp;$A1414&amp;"*",'All Papers'!$G:$G,"*"&amp;Table1[[#Headers],[Resource Management-CS]]&amp;"*")</f>
        <v>1</v>
      </c>
      <c r="H1414" s="8">
        <f>COUNTIFS('All Papers'!$D:$D,"*"&amp;$A1414&amp;"*",'All Papers'!$G:$G,"*"&amp;Table1[[#Headers],[Resource Management-PS]]&amp;"*")</f>
        <v>0</v>
      </c>
      <c r="I1414" s="8">
        <f>COUNTIFS('All Papers'!$D:$D,"*"&amp;$A1414&amp;"*",'All Papers'!$G:$G,"*"&amp;Table1[[#Headers],[SLA Management]]&amp;"*")</f>
        <v>0</v>
      </c>
      <c r="J1414" s="8">
        <f>COUNTIFS('All Papers'!$D:$D,"*"&amp;$A1414&amp;"*",'All Papers'!$G:$G,"*"&amp;Table1[[#Headers],[Big Data]]&amp;"*")</f>
        <v>0</v>
      </c>
      <c r="K1414" s="8">
        <f>COUNTIFS('All Papers'!$D:$D,"*"&amp;$A1414&amp;"*",'All Papers'!$G:$G,"*"&amp;Table1[[#Headers],[Energy Management]]&amp;"*")</f>
        <v>0</v>
      </c>
      <c r="L1414" s="8">
        <f>COUNTIFS('All Papers'!$D:$D,"*"&amp;$A1414&amp;"*",'All Papers'!$G:$G,"*"&amp;Table1[[#Headers],[Monitoring]]&amp;"*")</f>
        <v>0</v>
      </c>
      <c r="M1414" s="8">
        <f>COUNTIFS('All Papers'!$D:$D,"*"&amp;$A1414&amp;"*",'All Papers'!$G:$G,"*"&amp;Table1[[#Headers],[Pricing]]&amp;"*")</f>
        <v>0</v>
      </c>
    </row>
    <row r="1415" spans="1:13" x14ac:dyDescent="0.25">
      <c r="A1415" s="8" t="s">
        <v>3848</v>
      </c>
      <c r="B1415" s="8">
        <f>COUNTIF('All Papers'!D:D,"*"&amp;Table1[[#This Row],[Name]]&amp;"*")</f>
        <v>1</v>
      </c>
      <c r="C1415" s="8">
        <f>COUNTIFS('All Papers'!$D:$D,"*"&amp;$A1415&amp;"*",'All Papers'!$G:$G,"*"&amp;Table1[[#Headers],[Composition]]&amp;"*")</f>
        <v>0</v>
      </c>
      <c r="D1415" s="8">
        <f>COUNTIFS('All Papers'!$D:$D,"*"&amp;$A1415&amp;"*",'All Papers'!$G:$G,"*"&amp;Table1[[#Headers],[Discovery]]&amp;"*")</f>
        <v>0</v>
      </c>
      <c r="E1415" s="8">
        <f>COUNTIFS('All Papers'!$D:$D,"*"&amp;$A1415&amp;"*",'All Papers'!$G:$G,"*"&amp;Table1[[#Headers],[Selection]]&amp;"*")</f>
        <v>0</v>
      </c>
      <c r="F1415" s="8">
        <f>COUNTIFS('All Papers'!$D:$D,"*"&amp;$A1415&amp;"*",'All Papers'!$G:$G,"*"&amp;Table1[[#Headers],[Recommendation]]&amp;"*")</f>
        <v>0</v>
      </c>
      <c r="G1415" s="8">
        <f>COUNTIFS('All Papers'!$D:$D,"*"&amp;$A1415&amp;"*",'All Papers'!$G:$G,"*"&amp;Table1[[#Headers],[Resource Management-CS]]&amp;"*")</f>
        <v>1</v>
      </c>
      <c r="H1415" s="8">
        <f>COUNTIFS('All Papers'!$D:$D,"*"&amp;$A1415&amp;"*",'All Papers'!$G:$G,"*"&amp;Table1[[#Headers],[Resource Management-PS]]&amp;"*")</f>
        <v>0</v>
      </c>
      <c r="I1415" s="8">
        <f>COUNTIFS('All Papers'!$D:$D,"*"&amp;$A1415&amp;"*",'All Papers'!$G:$G,"*"&amp;Table1[[#Headers],[SLA Management]]&amp;"*")</f>
        <v>0</v>
      </c>
      <c r="J1415" s="8">
        <f>COUNTIFS('All Papers'!$D:$D,"*"&amp;$A1415&amp;"*",'All Papers'!$G:$G,"*"&amp;Table1[[#Headers],[Big Data]]&amp;"*")</f>
        <v>0</v>
      </c>
      <c r="K1415" s="8">
        <f>COUNTIFS('All Papers'!$D:$D,"*"&amp;$A1415&amp;"*",'All Papers'!$G:$G,"*"&amp;Table1[[#Headers],[Energy Management]]&amp;"*")</f>
        <v>0</v>
      </c>
      <c r="L1415" s="8">
        <f>COUNTIFS('All Papers'!$D:$D,"*"&amp;$A1415&amp;"*",'All Papers'!$G:$G,"*"&amp;Table1[[#Headers],[Monitoring]]&amp;"*")</f>
        <v>0</v>
      </c>
      <c r="M1415" s="8">
        <f>COUNTIFS('All Papers'!$D:$D,"*"&amp;$A1415&amp;"*",'All Papers'!$G:$G,"*"&amp;Table1[[#Headers],[Pricing]]&amp;"*")</f>
        <v>0</v>
      </c>
    </row>
    <row r="1416" spans="1:13" x14ac:dyDescent="0.25">
      <c r="A1416" s="8" t="s">
        <v>3849</v>
      </c>
      <c r="B1416" s="8">
        <f>COUNTIF('All Papers'!D:D,"*"&amp;Table1[[#This Row],[Name]]&amp;"*")</f>
        <v>1</v>
      </c>
      <c r="C1416" s="8">
        <f>COUNTIFS('All Papers'!$D:$D,"*"&amp;$A1416&amp;"*",'All Papers'!$G:$G,"*"&amp;Table1[[#Headers],[Composition]]&amp;"*")</f>
        <v>0</v>
      </c>
      <c r="D1416" s="8">
        <f>COUNTIFS('All Papers'!$D:$D,"*"&amp;$A1416&amp;"*",'All Papers'!$G:$G,"*"&amp;Table1[[#Headers],[Discovery]]&amp;"*")</f>
        <v>0</v>
      </c>
      <c r="E1416" s="8">
        <f>COUNTIFS('All Papers'!$D:$D,"*"&amp;$A1416&amp;"*",'All Papers'!$G:$G,"*"&amp;Table1[[#Headers],[Selection]]&amp;"*")</f>
        <v>0</v>
      </c>
      <c r="F1416" s="8">
        <f>COUNTIFS('All Papers'!$D:$D,"*"&amp;$A1416&amp;"*",'All Papers'!$G:$G,"*"&amp;Table1[[#Headers],[Recommendation]]&amp;"*")</f>
        <v>0</v>
      </c>
      <c r="G1416" s="8">
        <f>COUNTIFS('All Papers'!$D:$D,"*"&amp;$A1416&amp;"*",'All Papers'!$G:$G,"*"&amp;Table1[[#Headers],[Resource Management-CS]]&amp;"*")</f>
        <v>1</v>
      </c>
      <c r="H1416" s="8">
        <f>COUNTIFS('All Papers'!$D:$D,"*"&amp;$A1416&amp;"*",'All Papers'!$G:$G,"*"&amp;Table1[[#Headers],[Resource Management-PS]]&amp;"*")</f>
        <v>0</v>
      </c>
      <c r="I1416" s="8">
        <f>COUNTIFS('All Papers'!$D:$D,"*"&amp;$A1416&amp;"*",'All Papers'!$G:$G,"*"&amp;Table1[[#Headers],[SLA Management]]&amp;"*")</f>
        <v>0</v>
      </c>
      <c r="J1416" s="8">
        <f>COUNTIFS('All Papers'!$D:$D,"*"&amp;$A1416&amp;"*",'All Papers'!$G:$G,"*"&amp;Table1[[#Headers],[Big Data]]&amp;"*")</f>
        <v>0</v>
      </c>
      <c r="K1416" s="8">
        <f>COUNTIFS('All Papers'!$D:$D,"*"&amp;$A1416&amp;"*",'All Papers'!$G:$G,"*"&amp;Table1[[#Headers],[Energy Management]]&amp;"*")</f>
        <v>0</v>
      </c>
      <c r="L1416" s="8">
        <f>COUNTIFS('All Papers'!$D:$D,"*"&amp;$A1416&amp;"*",'All Papers'!$G:$G,"*"&amp;Table1[[#Headers],[Monitoring]]&amp;"*")</f>
        <v>0</v>
      </c>
      <c r="M1416" s="8">
        <f>COUNTIFS('All Papers'!$D:$D,"*"&amp;$A1416&amp;"*",'All Papers'!$G:$G,"*"&amp;Table1[[#Headers],[Pricing]]&amp;"*")</f>
        <v>0</v>
      </c>
    </row>
    <row r="1417" spans="1:13" x14ac:dyDescent="0.25">
      <c r="A1417" s="8" t="s">
        <v>3850</v>
      </c>
      <c r="B1417" s="8">
        <f>COUNTIF('All Papers'!D:D,"*"&amp;Table1[[#This Row],[Name]]&amp;"*")</f>
        <v>1</v>
      </c>
      <c r="C1417" s="8">
        <f>COUNTIFS('All Papers'!$D:$D,"*"&amp;$A1417&amp;"*",'All Papers'!$G:$G,"*"&amp;Table1[[#Headers],[Composition]]&amp;"*")</f>
        <v>0</v>
      </c>
      <c r="D1417" s="8">
        <f>COUNTIFS('All Papers'!$D:$D,"*"&amp;$A1417&amp;"*",'All Papers'!$G:$G,"*"&amp;Table1[[#Headers],[Discovery]]&amp;"*")</f>
        <v>0</v>
      </c>
      <c r="E1417" s="8">
        <f>COUNTIFS('All Papers'!$D:$D,"*"&amp;$A1417&amp;"*",'All Papers'!$G:$G,"*"&amp;Table1[[#Headers],[Selection]]&amp;"*")</f>
        <v>0</v>
      </c>
      <c r="F1417" s="8">
        <f>COUNTIFS('All Papers'!$D:$D,"*"&amp;$A1417&amp;"*",'All Papers'!$G:$G,"*"&amp;Table1[[#Headers],[Recommendation]]&amp;"*")</f>
        <v>0</v>
      </c>
      <c r="G1417" s="8">
        <f>COUNTIFS('All Papers'!$D:$D,"*"&amp;$A1417&amp;"*",'All Papers'!$G:$G,"*"&amp;Table1[[#Headers],[Resource Management-CS]]&amp;"*")</f>
        <v>1</v>
      </c>
      <c r="H1417" s="8">
        <f>COUNTIFS('All Papers'!$D:$D,"*"&amp;$A1417&amp;"*",'All Papers'!$G:$G,"*"&amp;Table1[[#Headers],[Resource Management-PS]]&amp;"*")</f>
        <v>0</v>
      </c>
      <c r="I1417" s="8">
        <f>COUNTIFS('All Papers'!$D:$D,"*"&amp;$A1417&amp;"*",'All Papers'!$G:$G,"*"&amp;Table1[[#Headers],[SLA Management]]&amp;"*")</f>
        <v>0</v>
      </c>
      <c r="J1417" s="8">
        <f>COUNTIFS('All Papers'!$D:$D,"*"&amp;$A1417&amp;"*",'All Papers'!$G:$G,"*"&amp;Table1[[#Headers],[Big Data]]&amp;"*")</f>
        <v>1</v>
      </c>
      <c r="K1417" s="8">
        <f>COUNTIFS('All Papers'!$D:$D,"*"&amp;$A1417&amp;"*",'All Papers'!$G:$G,"*"&amp;Table1[[#Headers],[Energy Management]]&amp;"*")</f>
        <v>0</v>
      </c>
      <c r="L1417" s="8">
        <f>COUNTIFS('All Papers'!$D:$D,"*"&amp;$A1417&amp;"*",'All Papers'!$G:$G,"*"&amp;Table1[[#Headers],[Monitoring]]&amp;"*")</f>
        <v>0</v>
      </c>
      <c r="M1417" s="8">
        <f>COUNTIFS('All Papers'!$D:$D,"*"&amp;$A1417&amp;"*",'All Papers'!$G:$G,"*"&amp;Table1[[#Headers],[Pricing]]&amp;"*")</f>
        <v>0</v>
      </c>
    </row>
    <row r="1418" spans="1:13" x14ac:dyDescent="0.25">
      <c r="A1418" s="8" t="s">
        <v>3851</v>
      </c>
      <c r="B1418" s="8">
        <f>COUNTIF('All Papers'!D:D,"*"&amp;Table1[[#This Row],[Name]]&amp;"*")</f>
        <v>1</v>
      </c>
      <c r="C1418" s="8">
        <f>COUNTIFS('All Papers'!$D:$D,"*"&amp;$A1418&amp;"*",'All Papers'!$G:$G,"*"&amp;Table1[[#Headers],[Composition]]&amp;"*")</f>
        <v>0</v>
      </c>
      <c r="D1418" s="8">
        <f>COUNTIFS('All Papers'!$D:$D,"*"&amp;$A1418&amp;"*",'All Papers'!$G:$G,"*"&amp;Table1[[#Headers],[Discovery]]&amp;"*")</f>
        <v>0</v>
      </c>
      <c r="E1418" s="8">
        <f>COUNTIFS('All Papers'!$D:$D,"*"&amp;$A1418&amp;"*",'All Papers'!$G:$G,"*"&amp;Table1[[#Headers],[Selection]]&amp;"*")</f>
        <v>0</v>
      </c>
      <c r="F1418" s="8">
        <f>COUNTIFS('All Papers'!$D:$D,"*"&amp;$A1418&amp;"*",'All Papers'!$G:$G,"*"&amp;Table1[[#Headers],[Recommendation]]&amp;"*")</f>
        <v>0</v>
      </c>
      <c r="G1418" s="8">
        <f>COUNTIFS('All Papers'!$D:$D,"*"&amp;$A1418&amp;"*",'All Papers'!$G:$G,"*"&amp;Table1[[#Headers],[Resource Management-CS]]&amp;"*")</f>
        <v>1</v>
      </c>
      <c r="H1418" s="8">
        <f>COUNTIFS('All Papers'!$D:$D,"*"&amp;$A1418&amp;"*",'All Papers'!$G:$G,"*"&amp;Table1[[#Headers],[Resource Management-PS]]&amp;"*")</f>
        <v>0</v>
      </c>
      <c r="I1418" s="8">
        <f>COUNTIFS('All Papers'!$D:$D,"*"&amp;$A1418&amp;"*",'All Papers'!$G:$G,"*"&amp;Table1[[#Headers],[SLA Management]]&amp;"*")</f>
        <v>0</v>
      </c>
      <c r="J1418" s="8">
        <f>COUNTIFS('All Papers'!$D:$D,"*"&amp;$A1418&amp;"*",'All Papers'!$G:$G,"*"&amp;Table1[[#Headers],[Big Data]]&amp;"*")</f>
        <v>1</v>
      </c>
      <c r="K1418" s="8">
        <f>COUNTIFS('All Papers'!$D:$D,"*"&amp;$A1418&amp;"*",'All Papers'!$G:$G,"*"&amp;Table1[[#Headers],[Energy Management]]&amp;"*")</f>
        <v>0</v>
      </c>
      <c r="L1418" s="8">
        <f>COUNTIFS('All Papers'!$D:$D,"*"&amp;$A1418&amp;"*",'All Papers'!$G:$G,"*"&amp;Table1[[#Headers],[Monitoring]]&amp;"*")</f>
        <v>0</v>
      </c>
      <c r="M1418" s="8">
        <f>COUNTIFS('All Papers'!$D:$D,"*"&amp;$A1418&amp;"*",'All Papers'!$G:$G,"*"&amp;Table1[[#Headers],[Pricing]]&amp;"*")</f>
        <v>0</v>
      </c>
    </row>
    <row r="1419" spans="1:13" x14ac:dyDescent="0.25">
      <c r="A1419" s="8" t="s">
        <v>3852</v>
      </c>
      <c r="B1419" s="8">
        <f>COUNTIF('All Papers'!D:D,"*"&amp;Table1[[#This Row],[Name]]&amp;"*")</f>
        <v>1</v>
      </c>
      <c r="C1419" s="8">
        <f>COUNTIFS('All Papers'!$D:$D,"*"&amp;$A1419&amp;"*",'All Papers'!$G:$G,"*"&amp;Table1[[#Headers],[Composition]]&amp;"*")</f>
        <v>0</v>
      </c>
      <c r="D1419" s="8">
        <f>COUNTIFS('All Papers'!$D:$D,"*"&amp;$A1419&amp;"*",'All Papers'!$G:$G,"*"&amp;Table1[[#Headers],[Discovery]]&amp;"*")</f>
        <v>0</v>
      </c>
      <c r="E1419" s="8">
        <f>COUNTIFS('All Papers'!$D:$D,"*"&amp;$A1419&amp;"*",'All Papers'!$G:$G,"*"&amp;Table1[[#Headers],[Selection]]&amp;"*")</f>
        <v>0</v>
      </c>
      <c r="F1419" s="8">
        <f>COUNTIFS('All Papers'!$D:$D,"*"&amp;$A1419&amp;"*",'All Papers'!$G:$G,"*"&amp;Table1[[#Headers],[Recommendation]]&amp;"*")</f>
        <v>0</v>
      </c>
      <c r="G1419" s="8">
        <f>COUNTIFS('All Papers'!$D:$D,"*"&amp;$A1419&amp;"*",'All Papers'!$G:$G,"*"&amp;Table1[[#Headers],[Resource Management-CS]]&amp;"*")</f>
        <v>0</v>
      </c>
      <c r="H1419" s="8">
        <f>COUNTIFS('All Papers'!$D:$D,"*"&amp;$A1419&amp;"*",'All Papers'!$G:$G,"*"&amp;Table1[[#Headers],[Resource Management-PS]]&amp;"*")</f>
        <v>1</v>
      </c>
      <c r="I1419" s="8">
        <f>COUNTIFS('All Papers'!$D:$D,"*"&amp;$A1419&amp;"*",'All Papers'!$G:$G,"*"&amp;Table1[[#Headers],[SLA Management]]&amp;"*")</f>
        <v>0</v>
      </c>
      <c r="J1419" s="8">
        <f>COUNTIFS('All Papers'!$D:$D,"*"&amp;$A1419&amp;"*",'All Papers'!$G:$G,"*"&amp;Table1[[#Headers],[Big Data]]&amp;"*")</f>
        <v>0</v>
      </c>
      <c r="K1419" s="8">
        <f>COUNTIFS('All Papers'!$D:$D,"*"&amp;$A1419&amp;"*",'All Papers'!$G:$G,"*"&amp;Table1[[#Headers],[Energy Management]]&amp;"*")</f>
        <v>0</v>
      </c>
      <c r="L1419" s="8">
        <f>COUNTIFS('All Papers'!$D:$D,"*"&amp;$A1419&amp;"*",'All Papers'!$G:$G,"*"&amp;Table1[[#Headers],[Monitoring]]&amp;"*")</f>
        <v>0</v>
      </c>
      <c r="M1419" s="8">
        <f>COUNTIFS('All Papers'!$D:$D,"*"&amp;$A1419&amp;"*",'All Papers'!$G:$G,"*"&amp;Table1[[#Headers],[Pricing]]&amp;"*")</f>
        <v>0</v>
      </c>
    </row>
    <row r="1420" spans="1:13" x14ac:dyDescent="0.25">
      <c r="A1420" s="8" t="s">
        <v>3853</v>
      </c>
      <c r="B1420" s="8">
        <f>COUNTIF('All Papers'!D:D,"*"&amp;Table1[[#This Row],[Name]]&amp;"*")</f>
        <v>1</v>
      </c>
      <c r="C1420" s="8">
        <f>COUNTIFS('All Papers'!$D:$D,"*"&amp;$A1420&amp;"*",'All Papers'!$G:$G,"*"&amp;Table1[[#Headers],[Composition]]&amp;"*")</f>
        <v>0</v>
      </c>
      <c r="D1420" s="8">
        <f>COUNTIFS('All Papers'!$D:$D,"*"&amp;$A1420&amp;"*",'All Papers'!$G:$G,"*"&amp;Table1[[#Headers],[Discovery]]&amp;"*")</f>
        <v>0</v>
      </c>
      <c r="E1420" s="8">
        <f>COUNTIFS('All Papers'!$D:$D,"*"&amp;$A1420&amp;"*",'All Papers'!$G:$G,"*"&amp;Table1[[#Headers],[Selection]]&amp;"*")</f>
        <v>1</v>
      </c>
      <c r="F1420" s="8">
        <f>COUNTIFS('All Papers'!$D:$D,"*"&amp;$A1420&amp;"*",'All Papers'!$G:$G,"*"&amp;Table1[[#Headers],[Recommendation]]&amp;"*")</f>
        <v>0</v>
      </c>
      <c r="G1420" s="8">
        <f>COUNTIFS('All Papers'!$D:$D,"*"&amp;$A1420&amp;"*",'All Papers'!$G:$G,"*"&amp;Table1[[#Headers],[Resource Management-CS]]&amp;"*")</f>
        <v>0</v>
      </c>
      <c r="H1420" s="8">
        <f>COUNTIFS('All Papers'!$D:$D,"*"&amp;$A1420&amp;"*",'All Papers'!$G:$G,"*"&amp;Table1[[#Headers],[Resource Management-PS]]&amp;"*")</f>
        <v>0</v>
      </c>
      <c r="I1420" s="8">
        <f>COUNTIFS('All Papers'!$D:$D,"*"&amp;$A1420&amp;"*",'All Papers'!$G:$G,"*"&amp;Table1[[#Headers],[SLA Management]]&amp;"*")</f>
        <v>0</v>
      </c>
      <c r="J1420" s="8">
        <f>COUNTIFS('All Papers'!$D:$D,"*"&amp;$A1420&amp;"*",'All Papers'!$G:$G,"*"&amp;Table1[[#Headers],[Big Data]]&amp;"*")</f>
        <v>0</v>
      </c>
      <c r="K1420" s="8">
        <f>COUNTIFS('All Papers'!$D:$D,"*"&amp;$A1420&amp;"*",'All Papers'!$G:$G,"*"&amp;Table1[[#Headers],[Energy Management]]&amp;"*")</f>
        <v>0</v>
      </c>
      <c r="L1420" s="8">
        <f>COUNTIFS('All Papers'!$D:$D,"*"&amp;$A1420&amp;"*",'All Papers'!$G:$G,"*"&amp;Table1[[#Headers],[Monitoring]]&amp;"*")</f>
        <v>0</v>
      </c>
      <c r="M1420" s="8">
        <f>COUNTIFS('All Papers'!$D:$D,"*"&amp;$A1420&amp;"*",'All Papers'!$G:$G,"*"&amp;Table1[[#Headers],[Pricing]]&amp;"*")</f>
        <v>0</v>
      </c>
    </row>
    <row r="1421" spans="1:13" x14ac:dyDescent="0.25">
      <c r="A1421" s="8" t="s">
        <v>3854</v>
      </c>
      <c r="B1421" s="8">
        <f>COUNTIF('All Papers'!D:D,"*"&amp;Table1[[#This Row],[Name]]&amp;"*")</f>
        <v>1</v>
      </c>
      <c r="C1421" s="8">
        <f>COUNTIFS('All Papers'!$D:$D,"*"&amp;$A1421&amp;"*",'All Papers'!$G:$G,"*"&amp;Table1[[#Headers],[Composition]]&amp;"*")</f>
        <v>0</v>
      </c>
      <c r="D1421" s="8">
        <f>COUNTIFS('All Papers'!$D:$D,"*"&amp;$A1421&amp;"*",'All Papers'!$G:$G,"*"&amp;Table1[[#Headers],[Discovery]]&amp;"*")</f>
        <v>0</v>
      </c>
      <c r="E1421" s="8">
        <f>COUNTIFS('All Papers'!$D:$D,"*"&amp;$A1421&amp;"*",'All Papers'!$G:$G,"*"&amp;Table1[[#Headers],[Selection]]&amp;"*")</f>
        <v>1</v>
      </c>
      <c r="F1421" s="8">
        <f>COUNTIFS('All Papers'!$D:$D,"*"&amp;$A1421&amp;"*",'All Papers'!$G:$G,"*"&amp;Table1[[#Headers],[Recommendation]]&amp;"*")</f>
        <v>0</v>
      </c>
      <c r="G1421" s="8">
        <f>COUNTIFS('All Papers'!$D:$D,"*"&amp;$A1421&amp;"*",'All Papers'!$G:$G,"*"&amp;Table1[[#Headers],[Resource Management-CS]]&amp;"*")</f>
        <v>0</v>
      </c>
      <c r="H1421" s="8">
        <f>COUNTIFS('All Papers'!$D:$D,"*"&amp;$A1421&amp;"*",'All Papers'!$G:$G,"*"&amp;Table1[[#Headers],[Resource Management-PS]]&amp;"*")</f>
        <v>0</v>
      </c>
      <c r="I1421" s="8">
        <f>COUNTIFS('All Papers'!$D:$D,"*"&amp;$A1421&amp;"*",'All Papers'!$G:$G,"*"&amp;Table1[[#Headers],[SLA Management]]&amp;"*")</f>
        <v>0</v>
      </c>
      <c r="J1421" s="8">
        <f>COUNTIFS('All Papers'!$D:$D,"*"&amp;$A1421&amp;"*",'All Papers'!$G:$G,"*"&amp;Table1[[#Headers],[Big Data]]&amp;"*")</f>
        <v>0</v>
      </c>
      <c r="K1421" s="8">
        <f>COUNTIFS('All Papers'!$D:$D,"*"&amp;$A1421&amp;"*",'All Papers'!$G:$G,"*"&amp;Table1[[#Headers],[Energy Management]]&amp;"*")</f>
        <v>0</v>
      </c>
      <c r="L1421" s="8">
        <f>COUNTIFS('All Papers'!$D:$D,"*"&amp;$A1421&amp;"*",'All Papers'!$G:$G,"*"&amp;Table1[[#Headers],[Monitoring]]&amp;"*")</f>
        <v>0</v>
      </c>
      <c r="M1421" s="8">
        <f>COUNTIFS('All Papers'!$D:$D,"*"&amp;$A1421&amp;"*",'All Papers'!$G:$G,"*"&amp;Table1[[#Headers],[Pricing]]&amp;"*")</f>
        <v>0</v>
      </c>
    </row>
    <row r="1422" spans="1:13" x14ac:dyDescent="0.25">
      <c r="A1422" s="8" t="s">
        <v>3855</v>
      </c>
      <c r="B1422" s="8">
        <f>COUNTIF('All Papers'!D:D,"*"&amp;Table1[[#This Row],[Name]]&amp;"*")</f>
        <v>1</v>
      </c>
      <c r="C1422" s="8">
        <f>COUNTIFS('All Papers'!$D:$D,"*"&amp;$A1422&amp;"*",'All Papers'!$G:$G,"*"&amp;Table1[[#Headers],[Composition]]&amp;"*")</f>
        <v>0</v>
      </c>
      <c r="D1422" s="8">
        <f>COUNTIFS('All Papers'!$D:$D,"*"&amp;$A1422&amp;"*",'All Papers'!$G:$G,"*"&amp;Table1[[#Headers],[Discovery]]&amp;"*")</f>
        <v>1</v>
      </c>
      <c r="E1422" s="8">
        <f>COUNTIFS('All Papers'!$D:$D,"*"&amp;$A1422&amp;"*",'All Papers'!$G:$G,"*"&amp;Table1[[#Headers],[Selection]]&amp;"*")</f>
        <v>1</v>
      </c>
      <c r="F1422" s="8">
        <f>COUNTIFS('All Papers'!$D:$D,"*"&amp;$A1422&amp;"*",'All Papers'!$G:$G,"*"&amp;Table1[[#Headers],[Recommendation]]&amp;"*")</f>
        <v>0</v>
      </c>
      <c r="G1422" s="8">
        <f>COUNTIFS('All Papers'!$D:$D,"*"&amp;$A1422&amp;"*",'All Papers'!$G:$G,"*"&amp;Table1[[#Headers],[Resource Management-CS]]&amp;"*")</f>
        <v>0</v>
      </c>
      <c r="H1422" s="8">
        <f>COUNTIFS('All Papers'!$D:$D,"*"&amp;$A1422&amp;"*",'All Papers'!$G:$G,"*"&amp;Table1[[#Headers],[Resource Management-PS]]&amp;"*")</f>
        <v>0</v>
      </c>
      <c r="I1422" s="8">
        <f>COUNTIFS('All Papers'!$D:$D,"*"&amp;$A1422&amp;"*",'All Papers'!$G:$G,"*"&amp;Table1[[#Headers],[SLA Management]]&amp;"*")</f>
        <v>0</v>
      </c>
      <c r="J1422" s="8">
        <f>COUNTIFS('All Papers'!$D:$D,"*"&amp;$A1422&amp;"*",'All Papers'!$G:$G,"*"&amp;Table1[[#Headers],[Big Data]]&amp;"*")</f>
        <v>0</v>
      </c>
      <c r="K1422" s="8">
        <f>COUNTIFS('All Papers'!$D:$D,"*"&amp;$A1422&amp;"*",'All Papers'!$G:$G,"*"&amp;Table1[[#Headers],[Energy Management]]&amp;"*")</f>
        <v>0</v>
      </c>
      <c r="L1422" s="8">
        <f>COUNTIFS('All Papers'!$D:$D,"*"&amp;$A1422&amp;"*",'All Papers'!$G:$G,"*"&amp;Table1[[#Headers],[Monitoring]]&amp;"*")</f>
        <v>0</v>
      </c>
      <c r="M1422" s="8">
        <f>COUNTIFS('All Papers'!$D:$D,"*"&amp;$A1422&amp;"*",'All Papers'!$G:$G,"*"&amp;Table1[[#Headers],[Pricing]]&amp;"*")</f>
        <v>0</v>
      </c>
    </row>
    <row r="1423" spans="1:13" x14ac:dyDescent="0.25">
      <c r="A1423" s="8" t="s">
        <v>3856</v>
      </c>
      <c r="B1423" s="8">
        <f>COUNTIF('All Papers'!D:D,"*"&amp;Table1[[#This Row],[Name]]&amp;"*")</f>
        <v>1</v>
      </c>
      <c r="C1423" s="8">
        <f>COUNTIFS('All Papers'!$D:$D,"*"&amp;$A1423&amp;"*",'All Papers'!$G:$G,"*"&amp;Table1[[#Headers],[Composition]]&amp;"*")</f>
        <v>0</v>
      </c>
      <c r="D1423" s="8">
        <f>COUNTIFS('All Papers'!$D:$D,"*"&amp;$A1423&amp;"*",'All Papers'!$G:$G,"*"&amp;Table1[[#Headers],[Discovery]]&amp;"*")</f>
        <v>0</v>
      </c>
      <c r="E1423" s="8">
        <f>COUNTIFS('All Papers'!$D:$D,"*"&amp;$A1423&amp;"*",'All Papers'!$G:$G,"*"&amp;Table1[[#Headers],[Selection]]&amp;"*")</f>
        <v>0</v>
      </c>
      <c r="F1423" s="8">
        <f>COUNTIFS('All Papers'!$D:$D,"*"&amp;$A1423&amp;"*",'All Papers'!$G:$G,"*"&amp;Table1[[#Headers],[Recommendation]]&amp;"*")</f>
        <v>0</v>
      </c>
      <c r="G1423" s="8">
        <f>COUNTIFS('All Papers'!$D:$D,"*"&amp;$A1423&amp;"*",'All Papers'!$G:$G,"*"&amp;Table1[[#Headers],[Resource Management-CS]]&amp;"*")</f>
        <v>0</v>
      </c>
      <c r="H1423" s="8">
        <f>COUNTIFS('All Papers'!$D:$D,"*"&amp;$A1423&amp;"*",'All Papers'!$G:$G,"*"&amp;Table1[[#Headers],[Resource Management-PS]]&amp;"*")</f>
        <v>0</v>
      </c>
      <c r="I1423" s="8">
        <f>COUNTIFS('All Papers'!$D:$D,"*"&amp;$A1423&amp;"*",'All Papers'!$G:$G,"*"&amp;Table1[[#Headers],[SLA Management]]&amp;"*")</f>
        <v>0</v>
      </c>
      <c r="J1423" s="8">
        <f>COUNTIFS('All Papers'!$D:$D,"*"&amp;$A1423&amp;"*",'All Papers'!$G:$G,"*"&amp;Table1[[#Headers],[Big Data]]&amp;"*")</f>
        <v>0</v>
      </c>
      <c r="K1423" s="8">
        <f>COUNTIFS('All Papers'!$D:$D,"*"&amp;$A1423&amp;"*",'All Papers'!$G:$G,"*"&amp;Table1[[#Headers],[Energy Management]]&amp;"*")</f>
        <v>1</v>
      </c>
      <c r="L1423" s="8">
        <f>COUNTIFS('All Papers'!$D:$D,"*"&amp;$A1423&amp;"*",'All Papers'!$G:$G,"*"&amp;Table1[[#Headers],[Monitoring]]&amp;"*")</f>
        <v>0</v>
      </c>
      <c r="M1423" s="8">
        <f>COUNTIFS('All Papers'!$D:$D,"*"&amp;$A1423&amp;"*",'All Papers'!$G:$G,"*"&amp;Table1[[#Headers],[Pricing]]&amp;"*")</f>
        <v>0</v>
      </c>
    </row>
    <row r="1424" spans="1:13" x14ac:dyDescent="0.25">
      <c r="A1424" s="8" t="s">
        <v>3857</v>
      </c>
      <c r="B1424" s="8">
        <f>COUNTIF('All Papers'!D:D,"*"&amp;Table1[[#This Row],[Name]]&amp;"*")</f>
        <v>1</v>
      </c>
      <c r="C1424" s="8">
        <f>COUNTIFS('All Papers'!$D:$D,"*"&amp;$A1424&amp;"*",'All Papers'!$G:$G,"*"&amp;Table1[[#Headers],[Composition]]&amp;"*")</f>
        <v>0</v>
      </c>
      <c r="D1424" s="8">
        <f>COUNTIFS('All Papers'!$D:$D,"*"&amp;$A1424&amp;"*",'All Papers'!$G:$G,"*"&amp;Table1[[#Headers],[Discovery]]&amp;"*")</f>
        <v>0</v>
      </c>
      <c r="E1424" s="8">
        <f>COUNTIFS('All Papers'!$D:$D,"*"&amp;$A1424&amp;"*",'All Papers'!$G:$G,"*"&amp;Table1[[#Headers],[Selection]]&amp;"*")</f>
        <v>0</v>
      </c>
      <c r="F1424" s="8">
        <f>COUNTIFS('All Papers'!$D:$D,"*"&amp;$A1424&amp;"*",'All Papers'!$G:$G,"*"&amp;Table1[[#Headers],[Recommendation]]&amp;"*")</f>
        <v>0</v>
      </c>
      <c r="G1424" s="8">
        <f>COUNTIFS('All Papers'!$D:$D,"*"&amp;$A1424&amp;"*",'All Papers'!$G:$G,"*"&amp;Table1[[#Headers],[Resource Management-CS]]&amp;"*")</f>
        <v>0</v>
      </c>
      <c r="H1424" s="8">
        <f>COUNTIFS('All Papers'!$D:$D,"*"&amp;$A1424&amp;"*",'All Papers'!$G:$G,"*"&amp;Table1[[#Headers],[Resource Management-PS]]&amp;"*")</f>
        <v>0</v>
      </c>
      <c r="I1424" s="8">
        <f>COUNTIFS('All Papers'!$D:$D,"*"&amp;$A1424&amp;"*",'All Papers'!$G:$G,"*"&amp;Table1[[#Headers],[SLA Management]]&amp;"*")</f>
        <v>0</v>
      </c>
      <c r="J1424" s="8">
        <f>COUNTIFS('All Papers'!$D:$D,"*"&amp;$A1424&amp;"*",'All Papers'!$G:$G,"*"&amp;Table1[[#Headers],[Big Data]]&amp;"*")</f>
        <v>0</v>
      </c>
      <c r="K1424" s="8">
        <f>COUNTIFS('All Papers'!$D:$D,"*"&amp;$A1424&amp;"*",'All Papers'!$G:$G,"*"&amp;Table1[[#Headers],[Energy Management]]&amp;"*")</f>
        <v>1</v>
      </c>
      <c r="L1424" s="8">
        <f>COUNTIFS('All Papers'!$D:$D,"*"&amp;$A1424&amp;"*",'All Papers'!$G:$G,"*"&amp;Table1[[#Headers],[Monitoring]]&amp;"*")</f>
        <v>0</v>
      </c>
      <c r="M1424" s="8">
        <f>COUNTIFS('All Papers'!$D:$D,"*"&amp;$A1424&amp;"*",'All Papers'!$G:$G,"*"&amp;Table1[[#Headers],[Pricing]]&amp;"*")</f>
        <v>0</v>
      </c>
    </row>
    <row r="1425" spans="1:13" x14ac:dyDescent="0.25">
      <c r="A1425" s="8" t="s">
        <v>3858</v>
      </c>
      <c r="B1425" s="8">
        <f>COUNTIF('All Papers'!D:D,"*"&amp;Table1[[#This Row],[Name]]&amp;"*")</f>
        <v>1</v>
      </c>
      <c r="C1425" s="8">
        <f>COUNTIFS('All Papers'!$D:$D,"*"&amp;$A1425&amp;"*",'All Papers'!$G:$G,"*"&amp;Table1[[#Headers],[Composition]]&amp;"*")</f>
        <v>0</v>
      </c>
      <c r="D1425" s="8">
        <f>COUNTIFS('All Papers'!$D:$D,"*"&amp;$A1425&amp;"*",'All Papers'!$G:$G,"*"&amp;Table1[[#Headers],[Discovery]]&amp;"*")</f>
        <v>0</v>
      </c>
      <c r="E1425" s="8">
        <f>COUNTIFS('All Papers'!$D:$D,"*"&amp;$A1425&amp;"*",'All Papers'!$G:$G,"*"&amp;Table1[[#Headers],[Selection]]&amp;"*")</f>
        <v>0</v>
      </c>
      <c r="F1425" s="8">
        <f>COUNTIFS('All Papers'!$D:$D,"*"&amp;$A1425&amp;"*",'All Papers'!$G:$G,"*"&amp;Table1[[#Headers],[Recommendation]]&amp;"*")</f>
        <v>0</v>
      </c>
      <c r="G1425" s="8">
        <f>COUNTIFS('All Papers'!$D:$D,"*"&amp;$A1425&amp;"*",'All Papers'!$G:$G,"*"&amp;Table1[[#Headers],[Resource Management-CS]]&amp;"*")</f>
        <v>0</v>
      </c>
      <c r="H1425" s="8">
        <f>COUNTIFS('All Papers'!$D:$D,"*"&amp;$A1425&amp;"*",'All Papers'!$G:$G,"*"&amp;Table1[[#Headers],[Resource Management-PS]]&amp;"*")</f>
        <v>0</v>
      </c>
      <c r="I1425" s="8">
        <f>COUNTIFS('All Papers'!$D:$D,"*"&amp;$A1425&amp;"*",'All Papers'!$G:$G,"*"&amp;Table1[[#Headers],[SLA Management]]&amp;"*")</f>
        <v>0</v>
      </c>
      <c r="J1425" s="8">
        <f>COUNTIFS('All Papers'!$D:$D,"*"&amp;$A1425&amp;"*",'All Papers'!$G:$G,"*"&amp;Table1[[#Headers],[Big Data]]&amp;"*")</f>
        <v>0</v>
      </c>
      <c r="K1425" s="8">
        <f>COUNTIFS('All Papers'!$D:$D,"*"&amp;$A1425&amp;"*",'All Papers'!$G:$G,"*"&amp;Table1[[#Headers],[Energy Management]]&amp;"*")</f>
        <v>0</v>
      </c>
      <c r="L1425" s="8">
        <f>COUNTIFS('All Papers'!$D:$D,"*"&amp;$A1425&amp;"*",'All Papers'!$G:$G,"*"&amp;Table1[[#Headers],[Monitoring]]&amp;"*")</f>
        <v>1</v>
      </c>
      <c r="M1425" s="8">
        <f>COUNTIFS('All Papers'!$D:$D,"*"&amp;$A1425&amp;"*",'All Papers'!$G:$G,"*"&amp;Table1[[#Headers],[Pricing]]&amp;"*")</f>
        <v>0</v>
      </c>
    </row>
    <row r="1426" spans="1:13" x14ac:dyDescent="0.25">
      <c r="A1426" s="8" t="s">
        <v>3859</v>
      </c>
      <c r="B1426" s="8">
        <f>COUNTIF('All Papers'!D:D,"*"&amp;Table1[[#This Row],[Name]]&amp;"*")</f>
        <v>1</v>
      </c>
      <c r="C1426" s="8">
        <f>COUNTIFS('All Papers'!$D:$D,"*"&amp;$A1426&amp;"*",'All Papers'!$G:$G,"*"&amp;Table1[[#Headers],[Composition]]&amp;"*")</f>
        <v>0</v>
      </c>
      <c r="D1426" s="8">
        <f>COUNTIFS('All Papers'!$D:$D,"*"&amp;$A1426&amp;"*",'All Papers'!$G:$G,"*"&amp;Table1[[#Headers],[Discovery]]&amp;"*")</f>
        <v>0</v>
      </c>
      <c r="E1426" s="8">
        <f>COUNTIFS('All Papers'!$D:$D,"*"&amp;$A1426&amp;"*",'All Papers'!$G:$G,"*"&amp;Table1[[#Headers],[Selection]]&amp;"*")</f>
        <v>0</v>
      </c>
      <c r="F1426" s="8">
        <f>COUNTIFS('All Papers'!$D:$D,"*"&amp;$A1426&amp;"*",'All Papers'!$G:$G,"*"&amp;Table1[[#Headers],[Recommendation]]&amp;"*")</f>
        <v>0</v>
      </c>
      <c r="G1426" s="8">
        <f>COUNTIFS('All Papers'!$D:$D,"*"&amp;$A1426&amp;"*",'All Papers'!$G:$G,"*"&amp;Table1[[#Headers],[Resource Management-CS]]&amp;"*")</f>
        <v>0</v>
      </c>
      <c r="H1426" s="8">
        <f>COUNTIFS('All Papers'!$D:$D,"*"&amp;$A1426&amp;"*",'All Papers'!$G:$G,"*"&amp;Table1[[#Headers],[Resource Management-PS]]&amp;"*")</f>
        <v>0</v>
      </c>
      <c r="I1426" s="8">
        <f>COUNTIFS('All Papers'!$D:$D,"*"&amp;$A1426&amp;"*",'All Papers'!$G:$G,"*"&amp;Table1[[#Headers],[SLA Management]]&amp;"*")</f>
        <v>0</v>
      </c>
      <c r="J1426" s="8">
        <f>COUNTIFS('All Papers'!$D:$D,"*"&amp;$A1426&amp;"*",'All Papers'!$G:$G,"*"&amp;Table1[[#Headers],[Big Data]]&amp;"*")</f>
        <v>0</v>
      </c>
      <c r="K1426" s="8">
        <f>COUNTIFS('All Papers'!$D:$D,"*"&amp;$A1426&amp;"*",'All Papers'!$G:$G,"*"&amp;Table1[[#Headers],[Energy Management]]&amp;"*")</f>
        <v>0</v>
      </c>
      <c r="L1426" s="8">
        <f>COUNTIFS('All Papers'!$D:$D,"*"&amp;$A1426&amp;"*",'All Papers'!$G:$G,"*"&amp;Table1[[#Headers],[Monitoring]]&amp;"*")</f>
        <v>1</v>
      </c>
      <c r="M1426" s="8">
        <f>COUNTIFS('All Papers'!$D:$D,"*"&amp;$A1426&amp;"*",'All Papers'!$G:$G,"*"&amp;Table1[[#Headers],[Pricing]]&amp;"*")</f>
        <v>0</v>
      </c>
    </row>
    <row r="1427" spans="1:13" x14ac:dyDescent="0.25">
      <c r="A1427" s="8" t="s">
        <v>3860</v>
      </c>
      <c r="B1427" s="8">
        <f>COUNTIF('All Papers'!D:D,"*"&amp;Table1[[#This Row],[Name]]&amp;"*")</f>
        <v>1</v>
      </c>
      <c r="C1427" s="8">
        <f>COUNTIFS('All Papers'!$D:$D,"*"&amp;$A1427&amp;"*",'All Papers'!$G:$G,"*"&amp;Table1[[#Headers],[Composition]]&amp;"*")</f>
        <v>0</v>
      </c>
      <c r="D1427" s="8">
        <f>COUNTIFS('All Papers'!$D:$D,"*"&amp;$A1427&amp;"*",'All Papers'!$G:$G,"*"&amp;Table1[[#Headers],[Discovery]]&amp;"*")</f>
        <v>0</v>
      </c>
      <c r="E1427" s="8">
        <f>COUNTIFS('All Papers'!$D:$D,"*"&amp;$A1427&amp;"*",'All Papers'!$G:$G,"*"&amp;Table1[[#Headers],[Selection]]&amp;"*")</f>
        <v>0</v>
      </c>
      <c r="F1427" s="8">
        <f>COUNTIFS('All Papers'!$D:$D,"*"&amp;$A1427&amp;"*",'All Papers'!$G:$G,"*"&amp;Table1[[#Headers],[Recommendation]]&amp;"*")</f>
        <v>0</v>
      </c>
      <c r="G1427" s="8">
        <f>COUNTIFS('All Papers'!$D:$D,"*"&amp;$A1427&amp;"*",'All Papers'!$G:$G,"*"&amp;Table1[[#Headers],[Resource Management-CS]]&amp;"*")</f>
        <v>0</v>
      </c>
      <c r="H1427" s="8">
        <f>COUNTIFS('All Papers'!$D:$D,"*"&amp;$A1427&amp;"*",'All Papers'!$G:$G,"*"&amp;Table1[[#Headers],[Resource Management-PS]]&amp;"*")</f>
        <v>0</v>
      </c>
      <c r="I1427" s="8">
        <f>COUNTIFS('All Papers'!$D:$D,"*"&amp;$A1427&amp;"*",'All Papers'!$G:$G,"*"&amp;Table1[[#Headers],[SLA Management]]&amp;"*")</f>
        <v>0</v>
      </c>
      <c r="J1427" s="8">
        <f>COUNTIFS('All Papers'!$D:$D,"*"&amp;$A1427&amp;"*",'All Papers'!$G:$G,"*"&amp;Table1[[#Headers],[Big Data]]&amp;"*")</f>
        <v>0</v>
      </c>
      <c r="K1427" s="8">
        <f>COUNTIFS('All Papers'!$D:$D,"*"&amp;$A1427&amp;"*",'All Papers'!$G:$G,"*"&amp;Table1[[#Headers],[Energy Management]]&amp;"*")</f>
        <v>0</v>
      </c>
      <c r="L1427" s="8">
        <f>COUNTIFS('All Papers'!$D:$D,"*"&amp;$A1427&amp;"*",'All Papers'!$G:$G,"*"&amp;Table1[[#Headers],[Monitoring]]&amp;"*")</f>
        <v>1</v>
      </c>
      <c r="M1427" s="8">
        <f>COUNTIFS('All Papers'!$D:$D,"*"&amp;$A1427&amp;"*",'All Papers'!$G:$G,"*"&amp;Table1[[#Headers],[Pricing]]&amp;"*")</f>
        <v>0</v>
      </c>
    </row>
    <row r="1428" spans="1:13" x14ac:dyDescent="0.25">
      <c r="A1428" s="8" t="s">
        <v>3861</v>
      </c>
      <c r="B1428" s="8">
        <f>COUNTIF('All Papers'!D:D,"*"&amp;Table1[[#This Row],[Name]]&amp;"*")</f>
        <v>1</v>
      </c>
      <c r="C1428" s="8">
        <f>COUNTIFS('All Papers'!$D:$D,"*"&amp;$A1428&amp;"*",'All Papers'!$G:$G,"*"&amp;Table1[[#Headers],[Composition]]&amp;"*")</f>
        <v>0</v>
      </c>
      <c r="D1428" s="8">
        <f>COUNTIFS('All Papers'!$D:$D,"*"&amp;$A1428&amp;"*",'All Papers'!$G:$G,"*"&amp;Table1[[#Headers],[Discovery]]&amp;"*")</f>
        <v>0</v>
      </c>
      <c r="E1428" s="8">
        <f>COUNTIFS('All Papers'!$D:$D,"*"&amp;$A1428&amp;"*",'All Papers'!$G:$G,"*"&amp;Table1[[#Headers],[Selection]]&amp;"*")</f>
        <v>0</v>
      </c>
      <c r="F1428" s="8">
        <f>COUNTIFS('All Papers'!$D:$D,"*"&amp;$A1428&amp;"*",'All Papers'!$G:$G,"*"&amp;Table1[[#Headers],[Recommendation]]&amp;"*")</f>
        <v>0</v>
      </c>
      <c r="G1428" s="8">
        <f>COUNTIFS('All Papers'!$D:$D,"*"&amp;$A1428&amp;"*",'All Papers'!$G:$G,"*"&amp;Table1[[#Headers],[Resource Management-CS]]&amp;"*")</f>
        <v>0</v>
      </c>
      <c r="H1428" s="8">
        <f>COUNTIFS('All Papers'!$D:$D,"*"&amp;$A1428&amp;"*",'All Papers'!$G:$G,"*"&amp;Table1[[#Headers],[Resource Management-PS]]&amp;"*")</f>
        <v>0</v>
      </c>
      <c r="I1428" s="8">
        <f>COUNTIFS('All Papers'!$D:$D,"*"&amp;$A1428&amp;"*",'All Papers'!$G:$G,"*"&amp;Table1[[#Headers],[SLA Management]]&amp;"*")</f>
        <v>0</v>
      </c>
      <c r="J1428" s="8">
        <f>COUNTIFS('All Papers'!$D:$D,"*"&amp;$A1428&amp;"*",'All Papers'!$G:$G,"*"&amp;Table1[[#Headers],[Big Data]]&amp;"*")</f>
        <v>0</v>
      </c>
      <c r="K1428" s="8">
        <f>COUNTIFS('All Papers'!$D:$D,"*"&amp;$A1428&amp;"*",'All Papers'!$G:$G,"*"&amp;Table1[[#Headers],[Energy Management]]&amp;"*")</f>
        <v>0</v>
      </c>
      <c r="L1428" s="8">
        <f>COUNTIFS('All Papers'!$D:$D,"*"&amp;$A1428&amp;"*",'All Papers'!$G:$G,"*"&amp;Table1[[#Headers],[Monitoring]]&amp;"*")</f>
        <v>1</v>
      </c>
      <c r="M1428" s="8">
        <f>COUNTIFS('All Papers'!$D:$D,"*"&amp;$A1428&amp;"*",'All Papers'!$G:$G,"*"&amp;Table1[[#Headers],[Pricing]]&amp;"*")</f>
        <v>0</v>
      </c>
    </row>
    <row r="1429" spans="1:13" x14ac:dyDescent="0.25">
      <c r="A1429" s="8" t="s">
        <v>3862</v>
      </c>
      <c r="B1429" s="8">
        <f>COUNTIF('All Papers'!D:D,"*"&amp;Table1[[#This Row],[Name]]&amp;"*")</f>
        <v>1</v>
      </c>
      <c r="C1429" s="8">
        <f>COUNTIFS('All Papers'!$D:$D,"*"&amp;$A1429&amp;"*",'All Papers'!$G:$G,"*"&amp;Table1[[#Headers],[Composition]]&amp;"*")</f>
        <v>0</v>
      </c>
      <c r="D1429" s="8">
        <f>COUNTIFS('All Papers'!$D:$D,"*"&amp;$A1429&amp;"*",'All Papers'!$G:$G,"*"&amp;Table1[[#Headers],[Discovery]]&amp;"*")</f>
        <v>0</v>
      </c>
      <c r="E1429" s="8">
        <f>COUNTIFS('All Papers'!$D:$D,"*"&amp;$A1429&amp;"*",'All Papers'!$G:$G,"*"&amp;Table1[[#Headers],[Selection]]&amp;"*")</f>
        <v>1</v>
      </c>
      <c r="F1429" s="8">
        <f>COUNTIFS('All Papers'!$D:$D,"*"&amp;$A1429&amp;"*",'All Papers'!$G:$G,"*"&amp;Table1[[#Headers],[Recommendation]]&amp;"*")</f>
        <v>1</v>
      </c>
      <c r="G1429" s="8">
        <f>COUNTIFS('All Papers'!$D:$D,"*"&amp;$A1429&amp;"*",'All Papers'!$G:$G,"*"&amp;Table1[[#Headers],[Resource Management-CS]]&amp;"*")</f>
        <v>0</v>
      </c>
      <c r="H1429" s="8">
        <f>COUNTIFS('All Papers'!$D:$D,"*"&amp;$A1429&amp;"*",'All Papers'!$G:$G,"*"&amp;Table1[[#Headers],[Resource Management-PS]]&amp;"*")</f>
        <v>0</v>
      </c>
      <c r="I1429" s="8">
        <f>COUNTIFS('All Papers'!$D:$D,"*"&amp;$A1429&amp;"*",'All Papers'!$G:$G,"*"&amp;Table1[[#Headers],[SLA Management]]&amp;"*")</f>
        <v>0</v>
      </c>
      <c r="J1429" s="8">
        <f>COUNTIFS('All Papers'!$D:$D,"*"&amp;$A1429&amp;"*",'All Papers'!$G:$G,"*"&amp;Table1[[#Headers],[Big Data]]&amp;"*")</f>
        <v>0</v>
      </c>
      <c r="K1429" s="8">
        <f>COUNTIFS('All Papers'!$D:$D,"*"&amp;$A1429&amp;"*",'All Papers'!$G:$G,"*"&amp;Table1[[#Headers],[Energy Management]]&amp;"*")</f>
        <v>0</v>
      </c>
      <c r="L1429" s="8">
        <f>COUNTIFS('All Papers'!$D:$D,"*"&amp;$A1429&amp;"*",'All Papers'!$G:$G,"*"&amp;Table1[[#Headers],[Monitoring]]&amp;"*")</f>
        <v>0</v>
      </c>
      <c r="M1429" s="8">
        <f>COUNTIFS('All Papers'!$D:$D,"*"&amp;$A1429&amp;"*",'All Papers'!$G:$G,"*"&amp;Table1[[#Headers],[Pricing]]&amp;"*")</f>
        <v>0</v>
      </c>
    </row>
    <row r="1430" spans="1:13" x14ac:dyDescent="0.25">
      <c r="A1430" s="8" t="s">
        <v>3863</v>
      </c>
      <c r="B1430" s="8">
        <f>COUNTIF('All Papers'!D:D,"*"&amp;Table1[[#This Row],[Name]]&amp;"*")</f>
        <v>1</v>
      </c>
      <c r="C1430" s="8">
        <f>COUNTIFS('All Papers'!$D:$D,"*"&amp;$A1430&amp;"*",'All Papers'!$G:$G,"*"&amp;Table1[[#Headers],[Composition]]&amp;"*")</f>
        <v>0</v>
      </c>
      <c r="D1430" s="8">
        <f>COUNTIFS('All Papers'!$D:$D,"*"&amp;$A1430&amp;"*",'All Papers'!$G:$G,"*"&amp;Table1[[#Headers],[Discovery]]&amp;"*")</f>
        <v>0</v>
      </c>
      <c r="E1430" s="8">
        <f>COUNTIFS('All Papers'!$D:$D,"*"&amp;$A1430&amp;"*",'All Papers'!$G:$G,"*"&amp;Table1[[#Headers],[Selection]]&amp;"*")</f>
        <v>0</v>
      </c>
      <c r="F1430" s="8">
        <f>COUNTIFS('All Papers'!$D:$D,"*"&amp;$A1430&amp;"*",'All Papers'!$G:$G,"*"&amp;Table1[[#Headers],[Recommendation]]&amp;"*")</f>
        <v>0</v>
      </c>
      <c r="G1430" s="8">
        <f>COUNTIFS('All Papers'!$D:$D,"*"&amp;$A1430&amp;"*",'All Papers'!$G:$G,"*"&amp;Table1[[#Headers],[Resource Management-CS]]&amp;"*")</f>
        <v>1</v>
      </c>
      <c r="H1430" s="8">
        <f>COUNTIFS('All Papers'!$D:$D,"*"&amp;$A1430&amp;"*",'All Papers'!$G:$G,"*"&amp;Table1[[#Headers],[Resource Management-PS]]&amp;"*")</f>
        <v>0</v>
      </c>
      <c r="I1430" s="8">
        <f>COUNTIFS('All Papers'!$D:$D,"*"&amp;$A1430&amp;"*",'All Papers'!$G:$G,"*"&amp;Table1[[#Headers],[SLA Management]]&amp;"*")</f>
        <v>0</v>
      </c>
      <c r="J1430" s="8">
        <f>COUNTIFS('All Papers'!$D:$D,"*"&amp;$A1430&amp;"*",'All Papers'!$G:$G,"*"&amp;Table1[[#Headers],[Big Data]]&amp;"*")</f>
        <v>0</v>
      </c>
      <c r="K1430" s="8">
        <f>COUNTIFS('All Papers'!$D:$D,"*"&amp;$A1430&amp;"*",'All Papers'!$G:$G,"*"&amp;Table1[[#Headers],[Energy Management]]&amp;"*")</f>
        <v>0</v>
      </c>
      <c r="L1430" s="8">
        <f>COUNTIFS('All Papers'!$D:$D,"*"&amp;$A1430&amp;"*",'All Papers'!$G:$G,"*"&amp;Table1[[#Headers],[Monitoring]]&amp;"*")</f>
        <v>0</v>
      </c>
      <c r="M1430" s="8">
        <f>COUNTIFS('All Papers'!$D:$D,"*"&amp;$A1430&amp;"*",'All Papers'!$G:$G,"*"&amp;Table1[[#Headers],[Pricing]]&amp;"*")</f>
        <v>0</v>
      </c>
    </row>
    <row r="1431" spans="1:13" x14ac:dyDescent="0.25">
      <c r="A1431" s="8" t="s">
        <v>3864</v>
      </c>
      <c r="B1431" s="8">
        <f>COUNTIF('All Papers'!D:D,"*"&amp;Table1[[#This Row],[Name]]&amp;"*")</f>
        <v>1</v>
      </c>
      <c r="C1431" s="8">
        <f>COUNTIFS('All Papers'!$D:$D,"*"&amp;$A1431&amp;"*",'All Papers'!$G:$G,"*"&amp;Table1[[#Headers],[Composition]]&amp;"*")</f>
        <v>0</v>
      </c>
      <c r="D1431" s="8">
        <f>COUNTIFS('All Papers'!$D:$D,"*"&amp;$A1431&amp;"*",'All Papers'!$G:$G,"*"&amp;Table1[[#Headers],[Discovery]]&amp;"*")</f>
        <v>0</v>
      </c>
      <c r="E1431" s="8">
        <f>COUNTIFS('All Papers'!$D:$D,"*"&amp;$A1431&amp;"*",'All Papers'!$G:$G,"*"&amp;Table1[[#Headers],[Selection]]&amp;"*")</f>
        <v>0</v>
      </c>
      <c r="F1431" s="8">
        <f>COUNTIFS('All Papers'!$D:$D,"*"&amp;$A1431&amp;"*",'All Papers'!$G:$G,"*"&amp;Table1[[#Headers],[Recommendation]]&amp;"*")</f>
        <v>0</v>
      </c>
      <c r="G1431" s="8">
        <f>COUNTIFS('All Papers'!$D:$D,"*"&amp;$A1431&amp;"*",'All Papers'!$G:$G,"*"&amp;Table1[[#Headers],[Resource Management-CS]]&amp;"*")</f>
        <v>1</v>
      </c>
      <c r="H1431" s="8">
        <f>COUNTIFS('All Papers'!$D:$D,"*"&amp;$A1431&amp;"*",'All Papers'!$G:$G,"*"&amp;Table1[[#Headers],[Resource Management-PS]]&amp;"*")</f>
        <v>0</v>
      </c>
      <c r="I1431" s="8">
        <f>COUNTIFS('All Papers'!$D:$D,"*"&amp;$A1431&amp;"*",'All Papers'!$G:$G,"*"&amp;Table1[[#Headers],[SLA Management]]&amp;"*")</f>
        <v>0</v>
      </c>
      <c r="J1431" s="8">
        <f>COUNTIFS('All Papers'!$D:$D,"*"&amp;$A1431&amp;"*",'All Papers'!$G:$G,"*"&amp;Table1[[#Headers],[Big Data]]&amp;"*")</f>
        <v>0</v>
      </c>
      <c r="K1431" s="8">
        <f>COUNTIFS('All Papers'!$D:$D,"*"&amp;$A1431&amp;"*",'All Papers'!$G:$G,"*"&amp;Table1[[#Headers],[Energy Management]]&amp;"*")</f>
        <v>0</v>
      </c>
      <c r="L1431" s="8">
        <f>COUNTIFS('All Papers'!$D:$D,"*"&amp;$A1431&amp;"*",'All Papers'!$G:$G,"*"&amp;Table1[[#Headers],[Monitoring]]&amp;"*")</f>
        <v>0</v>
      </c>
      <c r="M1431" s="8">
        <f>COUNTIFS('All Papers'!$D:$D,"*"&amp;$A1431&amp;"*",'All Papers'!$G:$G,"*"&amp;Table1[[#Headers],[Pricing]]&amp;"*")</f>
        <v>0</v>
      </c>
    </row>
    <row r="1432" spans="1:13" x14ac:dyDescent="0.25">
      <c r="A1432" s="8" t="s">
        <v>3865</v>
      </c>
      <c r="B1432" s="8">
        <f>COUNTIF('All Papers'!D:D,"*"&amp;Table1[[#This Row],[Name]]&amp;"*")</f>
        <v>1</v>
      </c>
      <c r="C1432" s="8">
        <f>COUNTIFS('All Papers'!$D:$D,"*"&amp;$A1432&amp;"*",'All Papers'!$G:$G,"*"&amp;Table1[[#Headers],[Composition]]&amp;"*")</f>
        <v>0</v>
      </c>
      <c r="D1432" s="8">
        <f>COUNTIFS('All Papers'!$D:$D,"*"&amp;$A1432&amp;"*",'All Papers'!$G:$G,"*"&amp;Table1[[#Headers],[Discovery]]&amp;"*")</f>
        <v>0</v>
      </c>
      <c r="E1432" s="8">
        <f>COUNTIFS('All Papers'!$D:$D,"*"&amp;$A1432&amp;"*",'All Papers'!$G:$G,"*"&amp;Table1[[#Headers],[Selection]]&amp;"*")</f>
        <v>0</v>
      </c>
      <c r="F1432" s="8">
        <f>COUNTIFS('All Papers'!$D:$D,"*"&amp;$A1432&amp;"*",'All Papers'!$G:$G,"*"&amp;Table1[[#Headers],[Recommendation]]&amp;"*")</f>
        <v>0</v>
      </c>
      <c r="G1432" s="8">
        <f>COUNTIFS('All Papers'!$D:$D,"*"&amp;$A1432&amp;"*",'All Papers'!$G:$G,"*"&amp;Table1[[#Headers],[Resource Management-CS]]&amp;"*")</f>
        <v>1</v>
      </c>
      <c r="H1432" s="8">
        <f>COUNTIFS('All Papers'!$D:$D,"*"&amp;$A1432&amp;"*",'All Papers'!$G:$G,"*"&amp;Table1[[#Headers],[Resource Management-PS]]&amp;"*")</f>
        <v>0</v>
      </c>
      <c r="I1432" s="8">
        <f>COUNTIFS('All Papers'!$D:$D,"*"&amp;$A1432&amp;"*",'All Papers'!$G:$G,"*"&amp;Table1[[#Headers],[SLA Management]]&amp;"*")</f>
        <v>0</v>
      </c>
      <c r="J1432" s="8">
        <f>COUNTIFS('All Papers'!$D:$D,"*"&amp;$A1432&amp;"*",'All Papers'!$G:$G,"*"&amp;Table1[[#Headers],[Big Data]]&amp;"*")</f>
        <v>0</v>
      </c>
      <c r="K1432" s="8">
        <f>COUNTIFS('All Papers'!$D:$D,"*"&amp;$A1432&amp;"*",'All Papers'!$G:$G,"*"&amp;Table1[[#Headers],[Energy Management]]&amp;"*")</f>
        <v>0</v>
      </c>
      <c r="L1432" s="8">
        <f>COUNTIFS('All Papers'!$D:$D,"*"&amp;$A1432&amp;"*",'All Papers'!$G:$G,"*"&amp;Table1[[#Headers],[Monitoring]]&amp;"*")</f>
        <v>0</v>
      </c>
      <c r="M1432" s="8">
        <f>COUNTIFS('All Papers'!$D:$D,"*"&amp;$A1432&amp;"*",'All Papers'!$G:$G,"*"&amp;Table1[[#Headers],[Pricing]]&amp;"*")</f>
        <v>0</v>
      </c>
    </row>
    <row r="1433" spans="1:13" x14ac:dyDescent="0.25">
      <c r="A1433" s="8" t="s">
        <v>3866</v>
      </c>
      <c r="B1433" s="8">
        <f>COUNTIF('All Papers'!D:D,"*"&amp;Table1[[#This Row],[Name]]&amp;"*")</f>
        <v>1</v>
      </c>
      <c r="C1433" s="8">
        <f>COUNTIFS('All Papers'!$D:$D,"*"&amp;$A1433&amp;"*",'All Papers'!$G:$G,"*"&amp;Table1[[#Headers],[Composition]]&amp;"*")</f>
        <v>0</v>
      </c>
      <c r="D1433" s="8">
        <f>COUNTIFS('All Papers'!$D:$D,"*"&amp;$A1433&amp;"*",'All Papers'!$G:$G,"*"&amp;Table1[[#Headers],[Discovery]]&amp;"*")</f>
        <v>0</v>
      </c>
      <c r="E1433" s="8">
        <f>COUNTIFS('All Papers'!$D:$D,"*"&amp;$A1433&amp;"*",'All Papers'!$G:$G,"*"&amp;Table1[[#Headers],[Selection]]&amp;"*")</f>
        <v>0</v>
      </c>
      <c r="F1433" s="8">
        <f>COUNTIFS('All Papers'!$D:$D,"*"&amp;$A1433&amp;"*",'All Papers'!$G:$G,"*"&amp;Table1[[#Headers],[Recommendation]]&amp;"*")</f>
        <v>0</v>
      </c>
      <c r="G1433" s="8">
        <f>COUNTIFS('All Papers'!$D:$D,"*"&amp;$A1433&amp;"*",'All Papers'!$G:$G,"*"&amp;Table1[[#Headers],[Resource Management-CS]]&amp;"*")</f>
        <v>1</v>
      </c>
      <c r="H1433" s="8">
        <f>COUNTIFS('All Papers'!$D:$D,"*"&amp;$A1433&amp;"*",'All Papers'!$G:$G,"*"&amp;Table1[[#Headers],[Resource Management-PS]]&amp;"*")</f>
        <v>0</v>
      </c>
      <c r="I1433" s="8">
        <f>COUNTIFS('All Papers'!$D:$D,"*"&amp;$A1433&amp;"*",'All Papers'!$G:$G,"*"&amp;Table1[[#Headers],[SLA Management]]&amp;"*")</f>
        <v>0</v>
      </c>
      <c r="J1433" s="8">
        <f>COUNTIFS('All Papers'!$D:$D,"*"&amp;$A1433&amp;"*",'All Papers'!$G:$G,"*"&amp;Table1[[#Headers],[Big Data]]&amp;"*")</f>
        <v>0</v>
      </c>
      <c r="K1433" s="8">
        <f>COUNTIFS('All Papers'!$D:$D,"*"&amp;$A1433&amp;"*",'All Papers'!$G:$G,"*"&amp;Table1[[#Headers],[Energy Management]]&amp;"*")</f>
        <v>0</v>
      </c>
      <c r="L1433" s="8">
        <f>COUNTIFS('All Papers'!$D:$D,"*"&amp;$A1433&amp;"*",'All Papers'!$G:$G,"*"&amp;Table1[[#Headers],[Monitoring]]&amp;"*")</f>
        <v>0</v>
      </c>
      <c r="M1433" s="8">
        <f>COUNTIFS('All Papers'!$D:$D,"*"&amp;$A1433&amp;"*",'All Papers'!$G:$G,"*"&amp;Table1[[#Headers],[Pricing]]&amp;"*")</f>
        <v>0</v>
      </c>
    </row>
    <row r="1434" spans="1:13" x14ac:dyDescent="0.25">
      <c r="A1434" s="8" t="s">
        <v>3867</v>
      </c>
      <c r="B1434" s="8">
        <f>COUNTIF('All Papers'!D:D,"*"&amp;Table1[[#This Row],[Name]]&amp;"*")</f>
        <v>1</v>
      </c>
      <c r="C1434" s="8">
        <f>COUNTIFS('All Papers'!$D:$D,"*"&amp;$A1434&amp;"*",'All Papers'!$G:$G,"*"&amp;Table1[[#Headers],[Composition]]&amp;"*")</f>
        <v>0</v>
      </c>
      <c r="D1434" s="8">
        <f>COUNTIFS('All Papers'!$D:$D,"*"&amp;$A1434&amp;"*",'All Papers'!$G:$G,"*"&amp;Table1[[#Headers],[Discovery]]&amp;"*")</f>
        <v>0</v>
      </c>
      <c r="E1434" s="8">
        <f>COUNTIFS('All Papers'!$D:$D,"*"&amp;$A1434&amp;"*",'All Papers'!$G:$G,"*"&amp;Table1[[#Headers],[Selection]]&amp;"*")</f>
        <v>0</v>
      </c>
      <c r="F1434" s="8">
        <f>COUNTIFS('All Papers'!$D:$D,"*"&amp;$A1434&amp;"*",'All Papers'!$G:$G,"*"&amp;Table1[[#Headers],[Recommendation]]&amp;"*")</f>
        <v>0</v>
      </c>
      <c r="G1434" s="8">
        <f>COUNTIFS('All Papers'!$D:$D,"*"&amp;$A1434&amp;"*",'All Papers'!$G:$G,"*"&amp;Table1[[#Headers],[Resource Management-CS]]&amp;"*")</f>
        <v>1</v>
      </c>
      <c r="H1434" s="8">
        <f>COUNTIFS('All Papers'!$D:$D,"*"&amp;$A1434&amp;"*",'All Papers'!$G:$G,"*"&amp;Table1[[#Headers],[Resource Management-PS]]&amp;"*")</f>
        <v>0</v>
      </c>
      <c r="I1434" s="8">
        <f>COUNTIFS('All Papers'!$D:$D,"*"&amp;$A1434&amp;"*",'All Papers'!$G:$G,"*"&amp;Table1[[#Headers],[SLA Management]]&amp;"*")</f>
        <v>0</v>
      </c>
      <c r="J1434" s="8">
        <f>COUNTIFS('All Papers'!$D:$D,"*"&amp;$A1434&amp;"*",'All Papers'!$G:$G,"*"&amp;Table1[[#Headers],[Big Data]]&amp;"*")</f>
        <v>0</v>
      </c>
      <c r="K1434" s="8">
        <f>COUNTIFS('All Papers'!$D:$D,"*"&amp;$A1434&amp;"*",'All Papers'!$G:$G,"*"&amp;Table1[[#Headers],[Energy Management]]&amp;"*")</f>
        <v>0</v>
      </c>
      <c r="L1434" s="8">
        <f>COUNTIFS('All Papers'!$D:$D,"*"&amp;$A1434&amp;"*",'All Papers'!$G:$G,"*"&amp;Table1[[#Headers],[Monitoring]]&amp;"*")</f>
        <v>0</v>
      </c>
      <c r="M1434" s="8">
        <f>COUNTIFS('All Papers'!$D:$D,"*"&amp;$A1434&amp;"*",'All Papers'!$G:$G,"*"&amp;Table1[[#Headers],[Pricing]]&amp;"*")</f>
        <v>0</v>
      </c>
    </row>
    <row r="1435" spans="1:13" x14ac:dyDescent="0.25">
      <c r="A1435" s="8" t="s">
        <v>3868</v>
      </c>
      <c r="B1435" s="8">
        <f>COUNTIF('All Papers'!D:D,"*"&amp;Table1[[#This Row],[Name]]&amp;"*")</f>
        <v>1</v>
      </c>
      <c r="C1435" s="8">
        <f>COUNTIFS('All Papers'!$D:$D,"*"&amp;$A1435&amp;"*",'All Papers'!$G:$G,"*"&amp;Table1[[#Headers],[Composition]]&amp;"*")</f>
        <v>0</v>
      </c>
      <c r="D1435" s="8">
        <f>COUNTIFS('All Papers'!$D:$D,"*"&amp;$A1435&amp;"*",'All Papers'!$G:$G,"*"&amp;Table1[[#Headers],[Discovery]]&amp;"*")</f>
        <v>0</v>
      </c>
      <c r="E1435" s="8">
        <f>COUNTIFS('All Papers'!$D:$D,"*"&amp;$A1435&amp;"*",'All Papers'!$G:$G,"*"&amp;Table1[[#Headers],[Selection]]&amp;"*")</f>
        <v>0</v>
      </c>
      <c r="F1435" s="8">
        <f>COUNTIFS('All Papers'!$D:$D,"*"&amp;$A1435&amp;"*",'All Papers'!$G:$G,"*"&amp;Table1[[#Headers],[Recommendation]]&amp;"*")</f>
        <v>0</v>
      </c>
      <c r="G1435" s="8">
        <f>COUNTIFS('All Papers'!$D:$D,"*"&amp;$A1435&amp;"*",'All Papers'!$G:$G,"*"&amp;Table1[[#Headers],[Resource Management-CS]]&amp;"*")</f>
        <v>1</v>
      </c>
      <c r="H1435" s="8">
        <f>COUNTIFS('All Papers'!$D:$D,"*"&amp;$A1435&amp;"*",'All Papers'!$G:$G,"*"&amp;Table1[[#Headers],[Resource Management-PS]]&amp;"*")</f>
        <v>0</v>
      </c>
      <c r="I1435" s="8">
        <f>COUNTIFS('All Papers'!$D:$D,"*"&amp;$A1435&amp;"*",'All Papers'!$G:$G,"*"&amp;Table1[[#Headers],[SLA Management]]&amp;"*")</f>
        <v>0</v>
      </c>
      <c r="J1435" s="8">
        <f>COUNTIFS('All Papers'!$D:$D,"*"&amp;$A1435&amp;"*",'All Papers'!$G:$G,"*"&amp;Table1[[#Headers],[Big Data]]&amp;"*")</f>
        <v>0</v>
      </c>
      <c r="K1435" s="8">
        <f>COUNTIFS('All Papers'!$D:$D,"*"&amp;$A1435&amp;"*",'All Papers'!$G:$G,"*"&amp;Table1[[#Headers],[Energy Management]]&amp;"*")</f>
        <v>0</v>
      </c>
      <c r="L1435" s="8">
        <f>COUNTIFS('All Papers'!$D:$D,"*"&amp;$A1435&amp;"*",'All Papers'!$G:$G,"*"&amp;Table1[[#Headers],[Monitoring]]&amp;"*")</f>
        <v>0</v>
      </c>
      <c r="M1435" s="8">
        <f>COUNTIFS('All Papers'!$D:$D,"*"&amp;$A1435&amp;"*",'All Papers'!$G:$G,"*"&amp;Table1[[#Headers],[Pricing]]&amp;"*")</f>
        <v>0</v>
      </c>
    </row>
    <row r="1436" spans="1:13" x14ac:dyDescent="0.25">
      <c r="A1436" s="8" t="s">
        <v>3869</v>
      </c>
      <c r="B1436" s="8">
        <f>COUNTIF('All Papers'!D:D,"*"&amp;Table1[[#This Row],[Name]]&amp;"*")</f>
        <v>1</v>
      </c>
      <c r="C1436" s="8">
        <f>COUNTIFS('All Papers'!$D:$D,"*"&amp;$A1436&amp;"*",'All Papers'!$G:$G,"*"&amp;Table1[[#Headers],[Composition]]&amp;"*")</f>
        <v>0</v>
      </c>
      <c r="D1436" s="8">
        <f>COUNTIFS('All Papers'!$D:$D,"*"&amp;$A1436&amp;"*",'All Papers'!$G:$G,"*"&amp;Table1[[#Headers],[Discovery]]&amp;"*")</f>
        <v>0</v>
      </c>
      <c r="E1436" s="8">
        <f>COUNTIFS('All Papers'!$D:$D,"*"&amp;$A1436&amp;"*",'All Papers'!$G:$G,"*"&amp;Table1[[#Headers],[Selection]]&amp;"*")</f>
        <v>0</v>
      </c>
      <c r="F1436" s="8">
        <f>COUNTIFS('All Papers'!$D:$D,"*"&amp;$A1436&amp;"*",'All Papers'!$G:$G,"*"&amp;Table1[[#Headers],[Recommendation]]&amp;"*")</f>
        <v>0</v>
      </c>
      <c r="G1436" s="8">
        <f>COUNTIFS('All Papers'!$D:$D,"*"&amp;$A1436&amp;"*",'All Papers'!$G:$G,"*"&amp;Table1[[#Headers],[Resource Management-CS]]&amp;"*")</f>
        <v>1</v>
      </c>
      <c r="H1436" s="8">
        <f>COUNTIFS('All Papers'!$D:$D,"*"&amp;$A1436&amp;"*",'All Papers'!$G:$G,"*"&amp;Table1[[#Headers],[Resource Management-PS]]&amp;"*")</f>
        <v>0</v>
      </c>
      <c r="I1436" s="8">
        <f>COUNTIFS('All Papers'!$D:$D,"*"&amp;$A1436&amp;"*",'All Papers'!$G:$G,"*"&amp;Table1[[#Headers],[SLA Management]]&amp;"*")</f>
        <v>0</v>
      </c>
      <c r="J1436" s="8">
        <f>COUNTIFS('All Papers'!$D:$D,"*"&amp;$A1436&amp;"*",'All Papers'!$G:$G,"*"&amp;Table1[[#Headers],[Big Data]]&amp;"*")</f>
        <v>0</v>
      </c>
      <c r="K1436" s="8">
        <f>COUNTIFS('All Papers'!$D:$D,"*"&amp;$A1436&amp;"*",'All Papers'!$G:$G,"*"&amp;Table1[[#Headers],[Energy Management]]&amp;"*")</f>
        <v>0</v>
      </c>
      <c r="L1436" s="8">
        <f>COUNTIFS('All Papers'!$D:$D,"*"&amp;$A1436&amp;"*",'All Papers'!$G:$G,"*"&amp;Table1[[#Headers],[Monitoring]]&amp;"*")</f>
        <v>0</v>
      </c>
      <c r="M1436" s="8">
        <f>COUNTIFS('All Papers'!$D:$D,"*"&amp;$A1436&amp;"*",'All Papers'!$G:$G,"*"&amp;Table1[[#Headers],[Pricing]]&amp;"*")</f>
        <v>0</v>
      </c>
    </row>
    <row r="1437" spans="1:13" x14ac:dyDescent="0.25">
      <c r="A1437" s="8" t="s">
        <v>3870</v>
      </c>
      <c r="B1437" s="8">
        <f>COUNTIF('All Papers'!D:D,"*"&amp;Table1[[#This Row],[Name]]&amp;"*")</f>
        <v>1</v>
      </c>
      <c r="C1437" s="8">
        <f>COUNTIFS('All Papers'!$D:$D,"*"&amp;$A1437&amp;"*",'All Papers'!$G:$G,"*"&amp;Table1[[#Headers],[Composition]]&amp;"*")</f>
        <v>0</v>
      </c>
      <c r="D1437" s="8">
        <f>COUNTIFS('All Papers'!$D:$D,"*"&amp;$A1437&amp;"*",'All Papers'!$G:$G,"*"&amp;Table1[[#Headers],[Discovery]]&amp;"*")</f>
        <v>0</v>
      </c>
      <c r="E1437" s="8">
        <f>COUNTIFS('All Papers'!$D:$D,"*"&amp;$A1437&amp;"*",'All Papers'!$G:$G,"*"&amp;Table1[[#Headers],[Selection]]&amp;"*")</f>
        <v>0</v>
      </c>
      <c r="F1437" s="8">
        <f>COUNTIFS('All Papers'!$D:$D,"*"&amp;$A1437&amp;"*",'All Papers'!$G:$G,"*"&amp;Table1[[#Headers],[Recommendation]]&amp;"*")</f>
        <v>0</v>
      </c>
      <c r="G1437" s="8">
        <f>COUNTIFS('All Papers'!$D:$D,"*"&amp;$A1437&amp;"*",'All Papers'!$G:$G,"*"&amp;Table1[[#Headers],[Resource Management-CS]]&amp;"*")</f>
        <v>1</v>
      </c>
      <c r="H1437" s="8">
        <f>COUNTIFS('All Papers'!$D:$D,"*"&amp;$A1437&amp;"*",'All Papers'!$G:$G,"*"&amp;Table1[[#Headers],[Resource Management-PS]]&amp;"*")</f>
        <v>0</v>
      </c>
      <c r="I1437" s="8">
        <f>COUNTIFS('All Papers'!$D:$D,"*"&amp;$A1437&amp;"*",'All Papers'!$G:$G,"*"&amp;Table1[[#Headers],[SLA Management]]&amp;"*")</f>
        <v>0</v>
      </c>
      <c r="J1437" s="8">
        <f>COUNTIFS('All Papers'!$D:$D,"*"&amp;$A1437&amp;"*",'All Papers'!$G:$G,"*"&amp;Table1[[#Headers],[Big Data]]&amp;"*")</f>
        <v>0</v>
      </c>
      <c r="K1437" s="8">
        <f>COUNTIFS('All Papers'!$D:$D,"*"&amp;$A1437&amp;"*",'All Papers'!$G:$G,"*"&amp;Table1[[#Headers],[Energy Management]]&amp;"*")</f>
        <v>0</v>
      </c>
      <c r="L1437" s="8">
        <f>COUNTIFS('All Papers'!$D:$D,"*"&amp;$A1437&amp;"*",'All Papers'!$G:$G,"*"&amp;Table1[[#Headers],[Monitoring]]&amp;"*")</f>
        <v>0</v>
      </c>
      <c r="M1437" s="8">
        <f>COUNTIFS('All Papers'!$D:$D,"*"&amp;$A1437&amp;"*",'All Papers'!$G:$G,"*"&amp;Table1[[#Headers],[Pricing]]&amp;"*")</f>
        <v>0</v>
      </c>
    </row>
    <row r="1438" spans="1:13" x14ac:dyDescent="0.25">
      <c r="A1438" s="8" t="s">
        <v>3871</v>
      </c>
      <c r="B1438" s="8">
        <f>COUNTIF('All Papers'!D:D,"*"&amp;Table1[[#This Row],[Name]]&amp;"*")</f>
        <v>1</v>
      </c>
      <c r="C1438" s="8">
        <f>COUNTIFS('All Papers'!$D:$D,"*"&amp;$A1438&amp;"*",'All Papers'!$G:$G,"*"&amp;Table1[[#Headers],[Composition]]&amp;"*")</f>
        <v>0</v>
      </c>
      <c r="D1438" s="8">
        <f>COUNTIFS('All Papers'!$D:$D,"*"&amp;$A1438&amp;"*",'All Papers'!$G:$G,"*"&amp;Table1[[#Headers],[Discovery]]&amp;"*")</f>
        <v>0</v>
      </c>
      <c r="E1438" s="8">
        <f>COUNTIFS('All Papers'!$D:$D,"*"&amp;$A1438&amp;"*",'All Papers'!$G:$G,"*"&amp;Table1[[#Headers],[Selection]]&amp;"*")</f>
        <v>0</v>
      </c>
      <c r="F1438" s="8">
        <f>COUNTIFS('All Papers'!$D:$D,"*"&amp;$A1438&amp;"*",'All Papers'!$G:$G,"*"&amp;Table1[[#Headers],[Recommendation]]&amp;"*")</f>
        <v>0</v>
      </c>
      <c r="G1438" s="8">
        <f>COUNTIFS('All Papers'!$D:$D,"*"&amp;$A1438&amp;"*",'All Papers'!$G:$G,"*"&amp;Table1[[#Headers],[Resource Management-CS]]&amp;"*")</f>
        <v>1</v>
      </c>
      <c r="H1438" s="8">
        <f>COUNTIFS('All Papers'!$D:$D,"*"&amp;$A1438&amp;"*",'All Papers'!$G:$G,"*"&amp;Table1[[#Headers],[Resource Management-PS]]&amp;"*")</f>
        <v>0</v>
      </c>
      <c r="I1438" s="8">
        <f>COUNTIFS('All Papers'!$D:$D,"*"&amp;$A1438&amp;"*",'All Papers'!$G:$G,"*"&amp;Table1[[#Headers],[SLA Management]]&amp;"*")</f>
        <v>0</v>
      </c>
      <c r="J1438" s="8">
        <f>COUNTIFS('All Papers'!$D:$D,"*"&amp;$A1438&amp;"*",'All Papers'!$G:$G,"*"&amp;Table1[[#Headers],[Big Data]]&amp;"*")</f>
        <v>0</v>
      </c>
      <c r="K1438" s="8">
        <f>COUNTIFS('All Papers'!$D:$D,"*"&amp;$A1438&amp;"*",'All Papers'!$G:$G,"*"&amp;Table1[[#Headers],[Energy Management]]&amp;"*")</f>
        <v>0</v>
      </c>
      <c r="L1438" s="8">
        <f>COUNTIFS('All Papers'!$D:$D,"*"&amp;$A1438&amp;"*",'All Papers'!$G:$G,"*"&amp;Table1[[#Headers],[Monitoring]]&amp;"*")</f>
        <v>0</v>
      </c>
      <c r="M1438" s="8">
        <f>COUNTIFS('All Papers'!$D:$D,"*"&amp;$A1438&amp;"*",'All Papers'!$G:$G,"*"&amp;Table1[[#Headers],[Pricing]]&amp;"*")</f>
        <v>0</v>
      </c>
    </row>
    <row r="1439" spans="1:13" x14ac:dyDescent="0.25">
      <c r="A1439" s="8" t="s">
        <v>3872</v>
      </c>
      <c r="B1439" s="8">
        <f>COUNTIF('All Papers'!D:D,"*"&amp;Table1[[#This Row],[Name]]&amp;"*")</f>
        <v>1</v>
      </c>
      <c r="C1439" s="8">
        <f>COUNTIFS('All Papers'!$D:$D,"*"&amp;$A1439&amp;"*",'All Papers'!$G:$G,"*"&amp;Table1[[#Headers],[Composition]]&amp;"*")</f>
        <v>0</v>
      </c>
      <c r="D1439" s="8">
        <f>COUNTIFS('All Papers'!$D:$D,"*"&amp;$A1439&amp;"*",'All Papers'!$G:$G,"*"&amp;Table1[[#Headers],[Discovery]]&amp;"*")</f>
        <v>0</v>
      </c>
      <c r="E1439" s="8">
        <f>COUNTIFS('All Papers'!$D:$D,"*"&amp;$A1439&amp;"*",'All Papers'!$G:$G,"*"&amp;Table1[[#Headers],[Selection]]&amp;"*")</f>
        <v>0</v>
      </c>
      <c r="F1439" s="8">
        <f>COUNTIFS('All Papers'!$D:$D,"*"&amp;$A1439&amp;"*",'All Papers'!$G:$G,"*"&amp;Table1[[#Headers],[Recommendation]]&amp;"*")</f>
        <v>0</v>
      </c>
      <c r="G1439" s="8">
        <f>COUNTIFS('All Papers'!$D:$D,"*"&amp;$A1439&amp;"*",'All Papers'!$G:$G,"*"&amp;Table1[[#Headers],[Resource Management-CS]]&amp;"*")</f>
        <v>1</v>
      </c>
      <c r="H1439" s="8">
        <f>COUNTIFS('All Papers'!$D:$D,"*"&amp;$A1439&amp;"*",'All Papers'!$G:$G,"*"&amp;Table1[[#Headers],[Resource Management-PS]]&amp;"*")</f>
        <v>0</v>
      </c>
      <c r="I1439" s="8">
        <f>COUNTIFS('All Papers'!$D:$D,"*"&amp;$A1439&amp;"*",'All Papers'!$G:$G,"*"&amp;Table1[[#Headers],[SLA Management]]&amp;"*")</f>
        <v>0</v>
      </c>
      <c r="J1439" s="8">
        <f>COUNTIFS('All Papers'!$D:$D,"*"&amp;$A1439&amp;"*",'All Papers'!$G:$G,"*"&amp;Table1[[#Headers],[Big Data]]&amp;"*")</f>
        <v>0</v>
      </c>
      <c r="K1439" s="8">
        <f>COUNTIFS('All Papers'!$D:$D,"*"&amp;$A1439&amp;"*",'All Papers'!$G:$G,"*"&amp;Table1[[#Headers],[Energy Management]]&amp;"*")</f>
        <v>0</v>
      </c>
      <c r="L1439" s="8">
        <f>COUNTIFS('All Papers'!$D:$D,"*"&amp;$A1439&amp;"*",'All Papers'!$G:$G,"*"&amp;Table1[[#Headers],[Monitoring]]&amp;"*")</f>
        <v>0</v>
      </c>
      <c r="M1439" s="8">
        <f>COUNTIFS('All Papers'!$D:$D,"*"&amp;$A1439&amp;"*",'All Papers'!$G:$G,"*"&amp;Table1[[#Headers],[Pricing]]&amp;"*")</f>
        <v>0</v>
      </c>
    </row>
    <row r="1440" spans="1:13" x14ac:dyDescent="0.25">
      <c r="A1440" s="8" t="s">
        <v>3873</v>
      </c>
      <c r="B1440" s="8">
        <f>COUNTIF('All Papers'!D:D,"*"&amp;Table1[[#This Row],[Name]]&amp;"*")</f>
        <v>1</v>
      </c>
      <c r="C1440" s="8">
        <f>COUNTIFS('All Papers'!$D:$D,"*"&amp;$A1440&amp;"*",'All Papers'!$G:$G,"*"&amp;Table1[[#Headers],[Composition]]&amp;"*")</f>
        <v>0</v>
      </c>
      <c r="D1440" s="8">
        <f>COUNTIFS('All Papers'!$D:$D,"*"&amp;$A1440&amp;"*",'All Papers'!$G:$G,"*"&amp;Table1[[#Headers],[Discovery]]&amp;"*")</f>
        <v>0</v>
      </c>
      <c r="E1440" s="8">
        <f>COUNTIFS('All Papers'!$D:$D,"*"&amp;$A1440&amp;"*",'All Papers'!$G:$G,"*"&amp;Table1[[#Headers],[Selection]]&amp;"*")</f>
        <v>0</v>
      </c>
      <c r="F1440" s="8">
        <f>COUNTIFS('All Papers'!$D:$D,"*"&amp;$A1440&amp;"*",'All Papers'!$G:$G,"*"&amp;Table1[[#Headers],[Recommendation]]&amp;"*")</f>
        <v>0</v>
      </c>
      <c r="G1440" s="8">
        <f>COUNTIFS('All Papers'!$D:$D,"*"&amp;$A1440&amp;"*",'All Papers'!$G:$G,"*"&amp;Table1[[#Headers],[Resource Management-CS]]&amp;"*")</f>
        <v>1</v>
      </c>
      <c r="H1440" s="8">
        <f>COUNTIFS('All Papers'!$D:$D,"*"&amp;$A1440&amp;"*",'All Papers'!$G:$G,"*"&amp;Table1[[#Headers],[Resource Management-PS]]&amp;"*")</f>
        <v>0</v>
      </c>
      <c r="I1440" s="8">
        <f>COUNTIFS('All Papers'!$D:$D,"*"&amp;$A1440&amp;"*",'All Papers'!$G:$G,"*"&amp;Table1[[#Headers],[SLA Management]]&amp;"*")</f>
        <v>0</v>
      </c>
      <c r="J1440" s="8">
        <f>COUNTIFS('All Papers'!$D:$D,"*"&amp;$A1440&amp;"*",'All Papers'!$G:$G,"*"&amp;Table1[[#Headers],[Big Data]]&amp;"*")</f>
        <v>0</v>
      </c>
      <c r="K1440" s="8">
        <f>COUNTIFS('All Papers'!$D:$D,"*"&amp;$A1440&amp;"*",'All Papers'!$G:$G,"*"&amp;Table1[[#Headers],[Energy Management]]&amp;"*")</f>
        <v>0</v>
      </c>
      <c r="L1440" s="8">
        <f>COUNTIFS('All Papers'!$D:$D,"*"&amp;$A1440&amp;"*",'All Papers'!$G:$G,"*"&amp;Table1[[#Headers],[Monitoring]]&amp;"*")</f>
        <v>0</v>
      </c>
      <c r="M1440" s="8">
        <f>COUNTIFS('All Papers'!$D:$D,"*"&amp;$A1440&amp;"*",'All Papers'!$G:$G,"*"&amp;Table1[[#Headers],[Pricing]]&amp;"*")</f>
        <v>0</v>
      </c>
    </row>
    <row r="1441" spans="1:13" x14ac:dyDescent="0.25">
      <c r="A1441" s="8" t="s">
        <v>3874</v>
      </c>
      <c r="B1441" s="8">
        <f>COUNTIF('All Papers'!D:D,"*"&amp;Table1[[#This Row],[Name]]&amp;"*")</f>
        <v>1</v>
      </c>
      <c r="C1441" s="8">
        <f>COUNTIFS('All Papers'!$D:$D,"*"&amp;$A1441&amp;"*",'All Papers'!$G:$G,"*"&amp;Table1[[#Headers],[Composition]]&amp;"*")</f>
        <v>0</v>
      </c>
      <c r="D1441" s="8">
        <f>COUNTIFS('All Papers'!$D:$D,"*"&amp;$A1441&amp;"*",'All Papers'!$G:$G,"*"&amp;Table1[[#Headers],[Discovery]]&amp;"*")</f>
        <v>0</v>
      </c>
      <c r="E1441" s="8">
        <f>COUNTIFS('All Papers'!$D:$D,"*"&amp;$A1441&amp;"*",'All Papers'!$G:$G,"*"&amp;Table1[[#Headers],[Selection]]&amp;"*")</f>
        <v>0</v>
      </c>
      <c r="F1441" s="8">
        <f>COUNTIFS('All Papers'!$D:$D,"*"&amp;$A1441&amp;"*",'All Papers'!$G:$G,"*"&amp;Table1[[#Headers],[Recommendation]]&amp;"*")</f>
        <v>0</v>
      </c>
      <c r="G1441" s="8">
        <f>COUNTIFS('All Papers'!$D:$D,"*"&amp;$A1441&amp;"*",'All Papers'!$G:$G,"*"&amp;Table1[[#Headers],[Resource Management-CS]]&amp;"*")</f>
        <v>1</v>
      </c>
      <c r="H1441" s="8">
        <f>COUNTIFS('All Papers'!$D:$D,"*"&amp;$A1441&amp;"*",'All Papers'!$G:$G,"*"&amp;Table1[[#Headers],[Resource Management-PS]]&amp;"*")</f>
        <v>0</v>
      </c>
      <c r="I1441" s="8">
        <f>COUNTIFS('All Papers'!$D:$D,"*"&amp;$A1441&amp;"*",'All Papers'!$G:$G,"*"&amp;Table1[[#Headers],[SLA Management]]&amp;"*")</f>
        <v>0</v>
      </c>
      <c r="J1441" s="8">
        <f>COUNTIFS('All Papers'!$D:$D,"*"&amp;$A1441&amp;"*",'All Papers'!$G:$G,"*"&amp;Table1[[#Headers],[Big Data]]&amp;"*")</f>
        <v>0</v>
      </c>
      <c r="K1441" s="8">
        <f>COUNTIFS('All Papers'!$D:$D,"*"&amp;$A1441&amp;"*",'All Papers'!$G:$G,"*"&amp;Table1[[#Headers],[Energy Management]]&amp;"*")</f>
        <v>0</v>
      </c>
      <c r="L1441" s="8">
        <f>COUNTIFS('All Papers'!$D:$D,"*"&amp;$A1441&amp;"*",'All Papers'!$G:$G,"*"&amp;Table1[[#Headers],[Monitoring]]&amp;"*")</f>
        <v>0</v>
      </c>
      <c r="M1441" s="8">
        <f>COUNTIFS('All Papers'!$D:$D,"*"&amp;$A1441&amp;"*",'All Papers'!$G:$G,"*"&amp;Table1[[#Headers],[Pricing]]&amp;"*")</f>
        <v>0</v>
      </c>
    </row>
    <row r="1442" spans="1:13" x14ac:dyDescent="0.25">
      <c r="A1442" s="8" t="s">
        <v>3875</v>
      </c>
      <c r="B1442" s="8">
        <f>COUNTIF('All Papers'!D:D,"*"&amp;Table1[[#This Row],[Name]]&amp;"*")</f>
        <v>1</v>
      </c>
      <c r="C1442" s="8">
        <f>COUNTIFS('All Papers'!$D:$D,"*"&amp;$A1442&amp;"*",'All Papers'!$G:$G,"*"&amp;Table1[[#Headers],[Composition]]&amp;"*")</f>
        <v>0</v>
      </c>
      <c r="D1442" s="8">
        <f>COUNTIFS('All Papers'!$D:$D,"*"&amp;$A1442&amp;"*",'All Papers'!$G:$G,"*"&amp;Table1[[#Headers],[Discovery]]&amp;"*")</f>
        <v>0</v>
      </c>
      <c r="E1442" s="8">
        <f>COUNTIFS('All Papers'!$D:$D,"*"&amp;$A1442&amp;"*",'All Papers'!$G:$G,"*"&amp;Table1[[#Headers],[Selection]]&amp;"*")</f>
        <v>0</v>
      </c>
      <c r="F1442" s="8">
        <f>COUNTIFS('All Papers'!$D:$D,"*"&amp;$A1442&amp;"*",'All Papers'!$G:$G,"*"&amp;Table1[[#Headers],[Recommendation]]&amp;"*")</f>
        <v>0</v>
      </c>
      <c r="G1442" s="8">
        <f>COUNTIFS('All Papers'!$D:$D,"*"&amp;$A1442&amp;"*",'All Papers'!$G:$G,"*"&amp;Table1[[#Headers],[Resource Management-CS]]&amp;"*")</f>
        <v>1</v>
      </c>
      <c r="H1442" s="8">
        <f>COUNTIFS('All Papers'!$D:$D,"*"&amp;$A1442&amp;"*",'All Papers'!$G:$G,"*"&amp;Table1[[#Headers],[Resource Management-PS]]&amp;"*")</f>
        <v>0</v>
      </c>
      <c r="I1442" s="8">
        <f>COUNTIFS('All Papers'!$D:$D,"*"&amp;$A1442&amp;"*",'All Papers'!$G:$G,"*"&amp;Table1[[#Headers],[SLA Management]]&amp;"*")</f>
        <v>0</v>
      </c>
      <c r="J1442" s="8">
        <f>COUNTIFS('All Papers'!$D:$D,"*"&amp;$A1442&amp;"*",'All Papers'!$G:$G,"*"&amp;Table1[[#Headers],[Big Data]]&amp;"*")</f>
        <v>0</v>
      </c>
      <c r="K1442" s="8">
        <f>COUNTIFS('All Papers'!$D:$D,"*"&amp;$A1442&amp;"*",'All Papers'!$G:$G,"*"&amp;Table1[[#Headers],[Energy Management]]&amp;"*")</f>
        <v>0</v>
      </c>
      <c r="L1442" s="8">
        <f>COUNTIFS('All Papers'!$D:$D,"*"&amp;$A1442&amp;"*",'All Papers'!$G:$G,"*"&amp;Table1[[#Headers],[Monitoring]]&amp;"*")</f>
        <v>0</v>
      </c>
      <c r="M1442" s="8">
        <f>COUNTIFS('All Papers'!$D:$D,"*"&amp;$A1442&amp;"*",'All Papers'!$G:$G,"*"&amp;Table1[[#Headers],[Pricing]]&amp;"*")</f>
        <v>0</v>
      </c>
    </row>
    <row r="1443" spans="1:13" x14ac:dyDescent="0.25">
      <c r="A1443" s="8" t="s">
        <v>3876</v>
      </c>
      <c r="B1443" s="8">
        <f>COUNTIF('All Papers'!D:D,"*"&amp;Table1[[#This Row],[Name]]&amp;"*")</f>
        <v>1</v>
      </c>
      <c r="C1443" s="8">
        <f>COUNTIFS('All Papers'!$D:$D,"*"&amp;$A1443&amp;"*",'All Papers'!$G:$G,"*"&amp;Table1[[#Headers],[Composition]]&amp;"*")</f>
        <v>0</v>
      </c>
      <c r="D1443" s="8">
        <f>COUNTIFS('All Papers'!$D:$D,"*"&amp;$A1443&amp;"*",'All Papers'!$G:$G,"*"&amp;Table1[[#Headers],[Discovery]]&amp;"*")</f>
        <v>0</v>
      </c>
      <c r="E1443" s="8">
        <f>COUNTIFS('All Papers'!$D:$D,"*"&amp;$A1443&amp;"*",'All Papers'!$G:$G,"*"&amp;Table1[[#Headers],[Selection]]&amp;"*")</f>
        <v>0</v>
      </c>
      <c r="F1443" s="8">
        <f>COUNTIFS('All Papers'!$D:$D,"*"&amp;$A1443&amp;"*",'All Papers'!$G:$G,"*"&amp;Table1[[#Headers],[Recommendation]]&amp;"*")</f>
        <v>0</v>
      </c>
      <c r="G1443" s="8">
        <f>COUNTIFS('All Papers'!$D:$D,"*"&amp;$A1443&amp;"*",'All Papers'!$G:$G,"*"&amp;Table1[[#Headers],[Resource Management-CS]]&amp;"*")</f>
        <v>1</v>
      </c>
      <c r="H1443" s="8">
        <f>COUNTIFS('All Papers'!$D:$D,"*"&amp;$A1443&amp;"*",'All Papers'!$G:$G,"*"&amp;Table1[[#Headers],[Resource Management-PS]]&amp;"*")</f>
        <v>0</v>
      </c>
      <c r="I1443" s="8">
        <f>COUNTIFS('All Papers'!$D:$D,"*"&amp;$A1443&amp;"*",'All Papers'!$G:$G,"*"&amp;Table1[[#Headers],[SLA Management]]&amp;"*")</f>
        <v>0</v>
      </c>
      <c r="J1443" s="8">
        <f>COUNTIFS('All Papers'!$D:$D,"*"&amp;$A1443&amp;"*",'All Papers'!$G:$G,"*"&amp;Table1[[#Headers],[Big Data]]&amp;"*")</f>
        <v>0</v>
      </c>
      <c r="K1443" s="8">
        <f>COUNTIFS('All Papers'!$D:$D,"*"&amp;$A1443&amp;"*",'All Papers'!$G:$G,"*"&amp;Table1[[#Headers],[Energy Management]]&amp;"*")</f>
        <v>0</v>
      </c>
      <c r="L1443" s="8">
        <f>COUNTIFS('All Papers'!$D:$D,"*"&amp;$A1443&amp;"*",'All Papers'!$G:$G,"*"&amp;Table1[[#Headers],[Monitoring]]&amp;"*")</f>
        <v>0</v>
      </c>
      <c r="M1443" s="8">
        <f>COUNTIFS('All Papers'!$D:$D,"*"&amp;$A1443&amp;"*",'All Papers'!$G:$G,"*"&amp;Table1[[#Headers],[Pricing]]&amp;"*")</f>
        <v>0</v>
      </c>
    </row>
    <row r="1444" spans="1:13" x14ac:dyDescent="0.25">
      <c r="A1444" s="8" t="s">
        <v>3877</v>
      </c>
      <c r="B1444" s="8">
        <f>COUNTIF('All Papers'!D:D,"*"&amp;Table1[[#This Row],[Name]]&amp;"*")</f>
        <v>1</v>
      </c>
      <c r="C1444" s="8">
        <f>COUNTIFS('All Papers'!$D:$D,"*"&amp;$A1444&amp;"*",'All Papers'!$G:$G,"*"&amp;Table1[[#Headers],[Composition]]&amp;"*")</f>
        <v>0</v>
      </c>
      <c r="D1444" s="8">
        <f>COUNTIFS('All Papers'!$D:$D,"*"&amp;$A1444&amp;"*",'All Papers'!$G:$G,"*"&amp;Table1[[#Headers],[Discovery]]&amp;"*")</f>
        <v>0</v>
      </c>
      <c r="E1444" s="8">
        <f>COUNTIFS('All Papers'!$D:$D,"*"&amp;$A1444&amp;"*",'All Papers'!$G:$G,"*"&amp;Table1[[#Headers],[Selection]]&amp;"*")</f>
        <v>0</v>
      </c>
      <c r="F1444" s="8">
        <f>COUNTIFS('All Papers'!$D:$D,"*"&amp;$A1444&amp;"*",'All Papers'!$G:$G,"*"&amp;Table1[[#Headers],[Recommendation]]&amp;"*")</f>
        <v>0</v>
      </c>
      <c r="G1444" s="8">
        <f>COUNTIFS('All Papers'!$D:$D,"*"&amp;$A1444&amp;"*",'All Papers'!$G:$G,"*"&amp;Table1[[#Headers],[Resource Management-CS]]&amp;"*")</f>
        <v>1</v>
      </c>
      <c r="H1444" s="8">
        <f>COUNTIFS('All Papers'!$D:$D,"*"&amp;$A1444&amp;"*",'All Papers'!$G:$G,"*"&amp;Table1[[#Headers],[Resource Management-PS]]&amp;"*")</f>
        <v>0</v>
      </c>
      <c r="I1444" s="8">
        <f>COUNTIFS('All Papers'!$D:$D,"*"&amp;$A1444&amp;"*",'All Papers'!$G:$G,"*"&amp;Table1[[#Headers],[SLA Management]]&amp;"*")</f>
        <v>0</v>
      </c>
      <c r="J1444" s="8">
        <f>COUNTIFS('All Papers'!$D:$D,"*"&amp;$A1444&amp;"*",'All Papers'!$G:$G,"*"&amp;Table1[[#Headers],[Big Data]]&amp;"*")</f>
        <v>0</v>
      </c>
      <c r="K1444" s="8">
        <f>COUNTIFS('All Papers'!$D:$D,"*"&amp;$A1444&amp;"*",'All Papers'!$G:$G,"*"&amp;Table1[[#Headers],[Energy Management]]&amp;"*")</f>
        <v>0</v>
      </c>
      <c r="L1444" s="8">
        <f>COUNTIFS('All Papers'!$D:$D,"*"&amp;$A1444&amp;"*",'All Papers'!$G:$G,"*"&amp;Table1[[#Headers],[Monitoring]]&amp;"*")</f>
        <v>0</v>
      </c>
      <c r="M1444" s="8">
        <f>COUNTIFS('All Papers'!$D:$D,"*"&amp;$A1444&amp;"*",'All Papers'!$G:$G,"*"&amp;Table1[[#Headers],[Pricing]]&amp;"*")</f>
        <v>0</v>
      </c>
    </row>
    <row r="1445" spans="1:13" x14ac:dyDescent="0.25">
      <c r="A1445" s="8" t="s">
        <v>3878</v>
      </c>
      <c r="B1445" s="8">
        <f>COUNTIF('All Papers'!D:D,"*"&amp;Table1[[#This Row],[Name]]&amp;"*")</f>
        <v>1</v>
      </c>
      <c r="C1445" s="8">
        <f>COUNTIFS('All Papers'!$D:$D,"*"&amp;$A1445&amp;"*",'All Papers'!$G:$G,"*"&amp;Table1[[#Headers],[Composition]]&amp;"*")</f>
        <v>0</v>
      </c>
      <c r="D1445" s="8">
        <f>COUNTIFS('All Papers'!$D:$D,"*"&amp;$A1445&amp;"*",'All Papers'!$G:$G,"*"&amp;Table1[[#Headers],[Discovery]]&amp;"*")</f>
        <v>0</v>
      </c>
      <c r="E1445" s="8">
        <f>COUNTIFS('All Papers'!$D:$D,"*"&amp;$A1445&amp;"*",'All Papers'!$G:$G,"*"&amp;Table1[[#Headers],[Selection]]&amp;"*")</f>
        <v>0</v>
      </c>
      <c r="F1445" s="8">
        <f>COUNTIFS('All Papers'!$D:$D,"*"&amp;$A1445&amp;"*",'All Papers'!$G:$G,"*"&amp;Table1[[#Headers],[Recommendation]]&amp;"*")</f>
        <v>0</v>
      </c>
      <c r="G1445" s="8">
        <f>COUNTIFS('All Papers'!$D:$D,"*"&amp;$A1445&amp;"*",'All Papers'!$G:$G,"*"&amp;Table1[[#Headers],[Resource Management-CS]]&amp;"*")</f>
        <v>1</v>
      </c>
      <c r="H1445" s="8">
        <f>COUNTIFS('All Papers'!$D:$D,"*"&amp;$A1445&amp;"*",'All Papers'!$G:$G,"*"&amp;Table1[[#Headers],[Resource Management-PS]]&amp;"*")</f>
        <v>0</v>
      </c>
      <c r="I1445" s="8">
        <f>COUNTIFS('All Papers'!$D:$D,"*"&amp;$A1445&amp;"*",'All Papers'!$G:$G,"*"&amp;Table1[[#Headers],[SLA Management]]&amp;"*")</f>
        <v>0</v>
      </c>
      <c r="J1445" s="8">
        <f>COUNTIFS('All Papers'!$D:$D,"*"&amp;$A1445&amp;"*",'All Papers'!$G:$G,"*"&amp;Table1[[#Headers],[Big Data]]&amp;"*")</f>
        <v>0</v>
      </c>
      <c r="K1445" s="8">
        <f>COUNTIFS('All Papers'!$D:$D,"*"&amp;$A1445&amp;"*",'All Papers'!$G:$G,"*"&amp;Table1[[#Headers],[Energy Management]]&amp;"*")</f>
        <v>0</v>
      </c>
      <c r="L1445" s="8">
        <f>COUNTIFS('All Papers'!$D:$D,"*"&amp;$A1445&amp;"*",'All Papers'!$G:$G,"*"&amp;Table1[[#Headers],[Monitoring]]&amp;"*")</f>
        <v>0</v>
      </c>
      <c r="M1445" s="8">
        <f>COUNTIFS('All Papers'!$D:$D,"*"&amp;$A1445&amp;"*",'All Papers'!$G:$G,"*"&amp;Table1[[#Headers],[Pricing]]&amp;"*")</f>
        <v>0</v>
      </c>
    </row>
    <row r="1446" spans="1:13" x14ac:dyDescent="0.25">
      <c r="A1446" s="8" t="s">
        <v>3879</v>
      </c>
      <c r="B1446" s="8">
        <f>COUNTIF('All Papers'!D:D,"*"&amp;Table1[[#This Row],[Name]]&amp;"*")</f>
        <v>1</v>
      </c>
      <c r="C1446" s="8">
        <f>COUNTIFS('All Papers'!$D:$D,"*"&amp;$A1446&amp;"*",'All Papers'!$G:$G,"*"&amp;Table1[[#Headers],[Composition]]&amp;"*")</f>
        <v>0</v>
      </c>
      <c r="D1446" s="8">
        <f>COUNTIFS('All Papers'!$D:$D,"*"&amp;$A1446&amp;"*",'All Papers'!$G:$G,"*"&amp;Table1[[#Headers],[Discovery]]&amp;"*")</f>
        <v>0</v>
      </c>
      <c r="E1446" s="8">
        <f>COUNTIFS('All Papers'!$D:$D,"*"&amp;$A1446&amp;"*",'All Papers'!$G:$G,"*"&amp;Table1[[#Headers],[Selection]]&amp;"*")</f>
        <v>0</v>
      </c>
      <c r="F1446" s="8">
        <f>COUNTIFS('All Papers'!$D:$D,"*"&amp;$A1446&amp;"*",'All Papers'!$G:$G,"*"&amp;Table1[[#Headers],[Recommendation]]&amp;"*")</f>
        <v>0</v>
      </c>
      <c r="G1446" s="8">
        <f>COUNTIFS('All Papers'!$D:$D,"*"&amp;$A1446&amp;"*",'All Papers'!$G:$G,"*"&amp;Table1[[#Headers],[Resource Management-CS]]&amp;"*")</f>
        <v>0</v>
      </c>
      <c r="H1446" s="8">
        <f>COUNTIFS('All Papers'!$D:$D,"*"&amp;$A1446&amp;"*",'All Papers'!$G:$G,"*"&amp;Table1[[#Headers],[Resource Management-PS]]&amp;"*")</f>
        <v>1</v>
      </c>
      <c r="I1446" s="8">
        <f>COUNTIFS('All Papers'!$D:$D,"*"&amp;$A1446&amp;"*",'All Papers'!$G:$G,"*"&amp;Table1[[#Headers],[SLA Management]]&amp;"*")</f>
        <v>0</v>
      </c>
      <c r="J1446" s="8">
        <f>COUNTIFS('All Papers'!$D:$D,"*"&amp;$A1446&amp;"*",'All Papers'!$G:$G,"*"&amp;Table1[[#Headers],[Big Data]]&amp;"*")</f>
        <v>0</v>
      </c>
      <c r="K1446" s="8">
        <f>COUNTIFS('All Papers'!$D:$D,"*"&amp;$A1446&amp;"*",'All Papers'!$G:$G,"*"&amp;Table1[[#Headers],[Energy Management]]&amp;"*")</f>
        <v>0</v>
      </c>
      <c r="L1446" s="8">
        <f>COUNTIFS('All Papers'!$D:$D,"*"&amp;$A1446&amp;"*",'All Papers'!$G:$G,"*"&amp;Table1[[#Headers],[Monitoring]]&amp;"*")</f>
        <v>0</v>
      </c>
      <c r="M1446" s="8">
        <f>COUNTIFS('All Papers'!$D:$D,"*"&amp;$A1446&amp;"*",'All Papers'!$G:$G,"*"&amp;Table1[[#Headers],[Pricing]]&amp;"*")</f>
        <v>0</v>
      </c>
    </row>
    <row r="1447" spans="1:13" x14ac:dyDescent="0.25">
      <c r="A1447" s="8" t="s">
        <v>3880</v>
      </c>
      <c r="B1447" s="8">
        <f>COUNTIF('All Papers'!D:D,"*"&amp;Table1[[#This Row],[Name]]&amp;"*")</f>
        <v>1</v>
      </c>
      <c r="C1447" s="8">
        <f>COUNTIFS('All Papers'!$D:$D,"*"&amp;$A1447&amp;"*",'All Papers'!$G:$G,"*"&amp;Table1[[#Headers],[Composition]]&amp;"*")</f>
        <v>0</v>
      </c>
      <c r="D1447" s="8">
        <f>COUNTIFS('All Papers'!$D:$D,"*"&amp;$A1447&amp;"*",'All Papers'!$G:$G,"*"&amp;Table1[[#Headers],[Discovery]]&amp;"*")</f>
        <v>0</v>
      </c>
      <c r="E1447" s="8">
        <f>COUNTIFS('All Papers'!$D:$D,"*"&amp;$A1447&amp;"*",'All Papers'!$G:$G,"*"&amp;Table1[[#Headers],[Selection]]&amp;"*")</f>
        <v>0</v>
      </c>
      <c r="F1447" s="8">
        <f>COUNTIFS('All Papers'!$D:$D,"*"&amp;$A1447&amp;"*",'All Papers'!$G:$G,"*"&amp;Table1[[#Headers],[Recommendation]]&amp;"*")</f>
        <v>0</v>
      </c>
      <c r="G1447" s="8">
        <f>COUNTIFS('All Papers'!$D:$D,"*"&amp;$A1447&amp;"*",'All Papers'!$G:$G,"*"&amp;Table1[[#Headers],[Resource Management-CS]]&amp;"*")</f>
        <v>0</v>
      </c>
      <c r="H1447" s="8">
        <f>COUNTIFS('All Papers'!$D:$D,"*"&amp;$A1447&amp;"*",'All Papers'!$G:$G,"*"&amp;Table1[[#Headers],[Resource Management-PS]]&amp;"*")</f>
        <v>1</v>
      </c>
      <c r="I1447" s="8">
        <f>COUNTIFS('All Papers'!$D:$D,"*"&amp;$A1447&amp;"*",'All Papers'!$G:$G,"*"&amp;Table1[[#Headers],[SLA Management]]&amp;"*")</f>
        <v>0</v>
      </c>
      <c r="J1447" s="8">
        <f>COUNTIFS('All Papers'!$D:$D,"*"&amp;$A1447&amp;"*",'All Papers'!$G:$G,"*"&amp;Table1[[#Headers],[Big Data]]&amp;"*")</f>
        <v>0</v>
      </c>
      <c r="K1447" s="8">
        <f>COUNTIFS('All Papers'!$D:$D,"*"&amp;$A1447&amp;"*",'All Papers'!$G:$G,"*"&amp;Table1[[#Headers],[Energy Management]]&amp;"*")</f>
        <v>0</v>
      </c>
      <c r="L1447" s="8">
        <f>COUNTIFS('All Papers'!$D:$D,"*"&amp;$A1447&amp;"*",'All Papers'!$G:$G,"*"&amp;Table1[[#Headers],[Monitoring]]&amp;"*")</f>
        <v>0</v>
      </c>
      <c r="M1447" s="8">
        <f>COUNTIFS('All Papers'!$D:$D,"*"&amp;$A1447&amp;"*",'All Papers'!$G:$G,"*"&amp;Table1[[#Headers],[Pricing]]&amp;"*")</f>
        <v>0</v>
      </c>
    </row>
    <row r="1448" spans="1:13" x14ac:dyDescent="0.25">
      <c r="A1448" s="8" t="s">
        <v>3881</v>
      </c>
      <c r="B1448" s="8">
        <f>COUNTIF('All Papers'!D:D,"*"&amp;Table1[[#This Row],[Name]]&amp;"*")</f>
        <v>1</v>
      </c>
      <c r="C1448" s="8">
        <f>COUNTIFS('All Papers'!$D:$D,"*"&amp;$A1448&amp;"*",'All Papers'!$G:$G,"*"&amp;Table1[[#Headers],[Composition]]&amp;"*")</f>
        <v>0</v>
      </c>
      <c r="D1448" s="8">
        <f>COUNTIFS('All Papers'!$D:$D,"*"&amp;$A1448&amp;"*",'All Papers'!$G:$G,"*"&amp;Table1[[#Headers],[Discovery]]&amp;"*")</f>
        <v>0</v>
      </c>
      <c r="E1448" s="8">
        <f>COUNTIFS('All Papers'!$D:$D,"*"&amp;$A1448&amp;"*",'All Papers'!$G:$G,"*"&amp;Table1[[#Headers],[Selection]]&amp;"*")</f>
        <v>0</v>
      </c>
      <c r="F1448" s="8">
        <f>COUNTIFS('All Papers'!$D:$D,"*"&amp;$A1448&amp;"*",'All Papers'!$G:$G,"*"&amp;Table1[[#Headers],[Recommendation]]&amp;"*")</f>
        <v>0</v>
      </c>
      <c r="G1448" s="8">
        <f>COUNTIFS('All Papers'!$D:$D,"*"&amp;$A1448&amp;"*",'All Papers'!$G:$G,"*"&amp;Table1[[#Headers],[Resource Management-CS]]&amp;"*")</f>
        <v>0</v>
      </c>
      <c r="H1448" s="8">
        <f>COUNTIFS('All Papers'!$D:$D,"*"&amp;$A1448&amp;"*",'All Papers'!$G:$G,"*"&amp;Table1[[#Headers],[Resource Management-PS]]&amp;"*")</f>
        <v>1</v>
      </c>
      <c r="I1448" s="8">
        <f>COUNTIFS('All Papers'!$D:$D,"*"&amp;$A1448&amp;"*",'All Papers'!$G:$G,"*"&amp;Table1[[#Headers],[SLA Management]]&amp;"*")</f>
        <v>0</v>
      </c>
      <c r="J1448" s="8">
        <f>COUNTIFS('All Papers'!$D:$D,"*"&amp;$A1448&amp;"*",'All Papers'!$G:$G,"*"&amp;Table1[[#Headers],[Big Data]]&amp;"*")</f>
        <v>0</v>
      </c>
      <c r="K1448" s="8">
        <f>COUNTIFS('All Papers'!$D:$D,"*"&amp;$A1448&amp;"*",'All Papers'!$G:$G,"*"&amp;Table1[[#Headers],[Energy Management]]&amp;"*")</f>
        <v>0</v>
      </c>
      <c r="L1448" s="8">
        <f>COUNTIFS('All Papers'!$D:$D,"*"&amp;$A1448&amp;"*",'All Papers'!$G:$G,"*"&amp;Table1[[#Headers],[Monitoring]]&amp;"*")</f>
        <v>0</v>
      </c>
      <c r="M1448" s="8">
        <f>COUNTIFS('All Papers'!$D:$D,"*"&amp;$A1448&amp;"*",'All Papers'!$G:$G,"*"&amp;Table1[[#Headers],[Pricing]]&amp;"*")</f>
        <v>0</v>
      </c>
    </row>
    <row r="1449" spans="1:13" x14ac:dyDescent="0.25">
      <c r="A1449" s="8" t="s">
        <v>3882</v>
      </c>
      <c r="B1449" s="8">
        <f>COUNTIF('All Papers'!D:D,"*"&amp;Table1[[#This Row],[Name]]&amp;"*")</f>
        <v>1</v>
      </c>
      <c r="C1449" s="8">
        <f>COUNTIFS('All Papers'!$D:$D,"*"&amp;$A1449&amp;"*",'All Papers'!$G:$G,"*"&amp;Table1[[#Headers],[Composition]]&amp;"*")</f>
        <v>0</v>
      </c>
      <c r="D1449" s="8">
        <f>COUNTIFS('All Papers'!$D:$D,"*"&amp;$A1449&amp;"*",'All Papers'!$G:$G,"*"&amp;Table1[[#Headers],[Discovery]]&amp;"*")</f>
        <v>0</v>
      </c>
      <c r="E1449" s="8">
        <f>COUNTIFS('All Papers'!$D:$D,"*"&amp;$A1449&amp;"*",'All Papers'!$G:$G,"*"&amp;Table1[[#Headers],[Selection]]&amp;"*")</f>
        <v>1</v>
      </c>
      <c r="F1449" s="8">
        <f>COUNTIFS('All Papers'!$D:$D,"*"&amp;$A1449&amp;"*",'All Papers'!$G:$G,"*"&amp;Table1[[#Headers],[Recommendation]]&amp;"*")</f>
        <v>0</v>
      </c>
      <c r="G1449" s="8">
        <f>COUNTIFS('All Papers'!$D:$D,"*"&amp;$A1449&amp;"*",'All Papers'!$G:$G,"*"&amp;Table1[[#Headers],[Resource Management-CS]]&amp;"*")</f>
        <v>0</v>
      </c>
      <c r="H1449" s="8">
        <f>COUNTIFS('All Papers'!$D:$D,"*"&amp;$A1449&amp;"*",'All Papers'!$G:$G,"*"&amp;Table1[[#Headers],[Resource Management-PS]]&amp;"*")</f>
        <v>0</v>
      </c>
      <c r="I1449" s="8">
        <f>COUNTIFS('All Papers'!$D:$D,"*"&amp;$A1449&amp;"*",'All Papers'!$G:$G,"*"&amp;Table1[[#Headers],[SLA Management]]&amp;"*")</f>
        <v>0</v>
      </c>
      <c r="J1449" s="8">
        <f>COUNTIFS('All Papers'!$D:$D,"*"&amp;$A1449&amp;"*",'All Papers'!$G:$G,"*"&amp;Table1[[#Headers],[Big Data]]&amp;"*")</f>
        <v>0</v>
      </c>
      <c r="K1449" s="8">
        <f>COUNTIFS('All Papers'!$D:$D,"*"&amp;$A1449&amp;"*",'All Papers'!$G:$G,"*"&amp;Table1[[#Headers],[Energy Management]]&amp;"*")</f>
        <v>0</v>
      </c>
      <c r="L1449" s="8">
        <f>COUNTIFS('All Papers'!$D:$D,"*"&amp;$A1449&amp;"*",'All Papers'!$G:$G,"*"&amp;Table1[[#Headers],[Monitoring]]&amp;"*")</f>
        <v>0</v>
      </c>
      <c r="M1449" s="8">
        <f>COUNTIFS('All Papers'!$D:$D,"*"&amp;$A1449&amp;"*",'All Papers'!$G:$G,"*"&amp;Table1[[#Headers],[Pricing]]&amp;"*")</f>
        <v>0</v>
      </c>
    </row>
    <row r="1450" spans="1:13" x14ac:dyDescent="0.25">
      <c r="A1450" s="8" t="s">
        <v>3883</v>
      </c>
      <c r="B1450" s="8">
        <f>COUNTIF('All Papers'!D:D,"*"&amp;Table1[[#This Row],[Name]]&amp;"*")</f>
        <v>1</v>
      </c>
      <c r="C1450" s="8">
        <f>COUNTIFS('All Papers'!$D:$D,"*"&amp;$A1450&amp;"*",'All Papers'!$G:$G,"*"&amp;Table1[[#Headers],[Composition]]&amp;"*")</f>
        <v>0</v>
      </c>
      <c r="D1450" s="8">
        <f>COUNTIFS('All Papers'!$D:$D,"*"&amp;$A1450&amp;"*",'All Papers'!$G:$G,"*"&amp;Table1[[#Headers],[Discovery]]&amp;"*")</f>
        <v>0</v>
      </c>
      <c r="E1450" s="8">
        <f>COUNTIFS('All Papers'!$D:$D,"*"&amp;$A1450&amp;"*",'All Papers'!$G:$G,"*"&amp;Table1[[#Headers],[Selection]]&amp;"*")</f>
        <v>1</v>
      </c>
      <c r="F1450" s="8">
        <f>COUNTIFS('All Papers'!$D:$D,"*"&amp;$A1450&amp;"*",'All Papers'!$G:$G,"*"&amp;Table1[[#Headers],[Recommendation]]&amp;"*")</f>
        <v>0</v>
      </c>
      <c r="G1450" s="8">
        <f>COUNTIFS('All Papers'!$D:$D,"*"&amp;$A1450&amp;"*",'All Papers'!$G:$G,"*"&amp;Table1[[#Headers],[Resource Management-CS]]&amp;"*")</f>
        <v>0</v>
      </c>
      <c r="H1450" s="8">
        <f>COUNTIFS('All Papers'!$D:$D,"*"&amp;$A1450&amp;"*",'All Papers'!$G:$G,"*"&amp;Table1[[#Headers],[Resource Management-PS]]&amp;"*")</f>
        <v>0</v>
      </c>
      <c r="I1450" s="8">
        <f>COUNTIFS('All Papers'!$D:$D,"*"&amp;$A1450&amp;"*",'All Papers'!$G:$G,"*"&amp;Table1[[#Headers],[SLA Management]]&amp;"*")</f>
        <v>0</v>
      </c>
      <c r="J1450" s="8">
        <f>COUNTIFS('All Papers'!$D:$D,"*"&amp;$A1450&amp;"*",'All Papers'!$G:$G,"*"&amp;Table1[[#Headers],[Big Data]]&amp;"*")</f>
        <v>0</v>
      </c>
      <c r="K1450" s="8">
        <f>COUNTIFS('All Papers'!$D:$D,"*"&amp;$A1450&amp;"*",'All Papers'!$G:$G,"*"&amp;Table1[[#Headers],[Energy Management]]&amp;"*")</f>
        <v>0</v>
      </c>
      <c r="L1450" s="8">
        <f>COUNTIFS('All Papers'!$D:$D,"*"&amp;$A1450&amp;"*",'All Papers'!$G:$G,"*"&amp;Table1[[#Headers],[Monitoring]]&amp;"*")</f>
        <v>0</v>
      </c>
      <c r="M1450" s="8">
        <f>COUNTIFS('All Papers'!$D:$D,"*"&amp;$A1450&amp;"*",'All Papers'!$G:$G,"*"&amp;Table1[[#Headers],[Pricing]]&amp;"*")</f>
        <v>0</v>
      </c>
    </row>
    <row r="1451" spans="1:13" x14ac:dyDescent="0.25">
      <c r="A1451" s="8" t="s">
        <v>3884</v>
      </c>
      <c r="B1451" s="8">
        <f>COUNTIF('All Papers'!D:D,"*"&amp;Table1[[#This Row],[Name]]&amp;"*")</f>
        <v>1</v>
      </c>
      <c r="C1451" s="8">
        <f>COUNTIFS('All Papers'!$D:$D,"*"&amp;$A1451&amp;"*",'All Papers'!$G:$G,"*"&amp;Table1[[#Headers],[Composition]]&amp;"*")</f>
        <v>0</v>
      </c>
      <c r="D1451" s="8">
        <f>COUNTIFS('All Papers'!$D:$D,"*"&amp;$A1451&amp;"*",'All Papers'!$G:$G,"*"&amp;Table1[[#Headers],[Discovery]]&amp;"*")</f>
        <v>0</v>
      </c>
      <c r="E1451" s="8">
        <f>COUNTIFS('All Papers'!$D:$D,"*"&amp;$A1451&amp;"*",'All Papers'!$G:$G,"*"&amp;Table1[[#Headers],[Selection]]&amp;"*")</f>
        <v>1</v>
      </c>
      <c r="F1451" s="8">
        <f>COUNTIFS('All Papers'!$D:$D,"*"&amp;$A1451&amp;"*",'All Papers'!$G:$G,"*"&amp;Table1[[#Headers],[Recommendation]]&amp;"*")</f>
        <v>0</v>
      </c>
      <c r="G1451" s="8">
        <f>COUNTIFS('All Papers'!$D:$D,"*"&amp;$A1451&amp;"*",'All Papers'!$G:$G,"*"&amp;Table1[[#Headers],[Resource Management-CS]]&amp;"*")</f>
        <v>0</v>
      </c>
      <c r="H1451" s="8">
        <f>COUNTIFS('All Papers'!$D:$D,"*"&amp;$A1451&amp;"*",'All Papers'!$G:$G,"*"&amp;Table1[[#Headers],[Resource Management-PS]]&amp;"*")</f>
        <v>0</v>
      </c>
      <c r="I1451" s="8">
        <f>COUNTIFS('All Papers'!$D:$D,"*"&amp;$A1451&amp;"*",'All Papers'!$G:$G,"*"&amp;Table1[[#Headers],[SLA Management]]&amp;"*")</f>
        <v>0</v>
      </c>
      <c r="J1451" s="8">
        <f>COUNTIFS('All Papers'!$D:$D,"*"&amp;$A1451&amp;"*",'All Papers'!$G:$G,"*"&amp;Table1[[#Headers],[Big Data]]&amp;"*")</f>
        <v>0</v>
      </c>
      <c r="K1451" s="8">
        <f>COUNTIFS('All Papers'!$D:$D,"*"&amp;$A1451&amp;"*",'All Papers'!$G:$G,"*"&amp;Table1[[#Headers],[Energy Management]]&amp;"*")</f>
        <v>0</v>
      </c>
      <c r="L1451" s="8">
        <f>COUNTIFS('All Papers'!$D:$D,"*"&amp;$A1451&amp;"*",'All Papers'!$G:$G,"*"&amp;Table1[[#Headers],[Monitoring]]&amp;"*")</f>
        <v>0</v>
      </c>
      <c r="M1451" s="8">
        <f>COUNTIFS('All Papers'!$D:$D,"*"&amp;$A1451&amp;"*",'All Papers'!$G:$G,"*"&amp;Table1[[#Headers],[Pricing]]&amp;"*")</f>
        <v>0</v>
      </c>
    </row>
    <row r="1452" spans="1:13" x14ac:dyDescent="0.25">
      <c r="A1452" s="8" t="s">
        <v>3885</v>
      </c>
      <c r="B1452" s="8">
        <f>COUNTIF('All Papers'!D:D,"*"&amp;Table1[[#This Row],[Name]]&amp;"*")</f>
        <v>1</v>
      </c>
      <c r="C1452" s="8">
        <f>COUNTIFS('All Papers'!$D:$D,"*"&amp;$A1452&amp;"*",'All Papers'!$G:$G,"*"&amp;Table1[[#Headers],[Composition]]&amp;"*")</f>
        <v>0</v>
      </c>
      <c r="D1452" s="8">
        <f>COUNTIFS('All Papers'!$D:$D,"*"&amp;$A1452&amp;"*",'All Papers'!$G:$G,"*"&amp;Table1[[#Headers],[Discovery]]&amp;"*")</f>
        <v>0</v>
      </c>
      <c r="E1452" s="8">
        <f>COUNTIFS('All Papers'!$D:$D,"*"&amp;$A1452&amp;"*",'All Papers'!$G:$G,"*"&amp;Table1[[#Headers],[Selection]]&amp;"*")</f>
        <v>1</v>
      </c>
      <c r="F1452" s="8">
        <f>COUNTIFS('All Papers'!$D:$D,"*"&amp;$A1452&amp;"*",'All Papers'!$G:$G,"*"&amp;Table1[[#Headers],[Recommendation]]&amp;"*")</f>
        <v>0</v>
      </c>
      <c r="G1452" s="8">
        <f>COUNTIFS('All Papers'!$D:$D,"*"&amp;$A1452&amp;"*",'All Papers'!$G:$G,"*"&amp;Table1[[#Headers],[Resource Management-CS]]&amp;"*")</f>
        <v>0</v>
      </c>
      <c r="H1452" s="8">
        <f>COUNTIFS('All Papers'!$D:$D,"*"&amp;$A1452&amp;"*",'All Papers'!$G:$G,"*"&amp;Table1[[#Headers],[Resource Management-PS]]&amp;"*")</f>
        <v>0</v>
      </c>
      <c r="I1452" s="8">
        <f>COUNTIFS('All Papers'!$D:$D,"*"&amp;$A1452&amp;"*",'All Papers'!$G:$G,"*"&amp;Table1[[#Headers],[SLA Management]]&amp;"*")</f>
        <v>0</v>
      </c>
      <c r="J1452" s="8">
        <f>COUNTIFS('All Papers'!$D:$D,"*"&amp;$A1452&amp;"*",'All Papers'!$G:$G,"*"&amp;Table1[[#Headers],[Big Data]]&amp;"*")</f>
        <v>0</v>
      </c>
      <c r="K1452" s="8">
        <f>COUNTIFS('All Papers'!$D:$D,"*"&amp;$A1452&amp;"*",'All Papers'!$G:$G,"*"&amp;Table1[[#Headers],[Energy Management]]&amp;"*")</f>
        <v>0</v>
      </c>
      <c r="L1452" s="8">
        <f>COUNTIFS('All Papers'!$D:$D,"*"&amp;$A1452&amp;"*",'All Papers'!$G:$G,"*"&amp;Table1[[#Headers],[Monitoring]]&amp;"*")</f>
        <v>0</v>
      </c>
      <c r="M1452" s="8">
        <f>COUNTIFS('All Papers'!$D:$D,"*"&amp;$A1452&amp;"*",'All Papers'!$G:$G,"*"&amp;Table1[[#Headers],[Pricing]]&amp;"*")</f>
        <v>0</v>
      </c>
    </row>
    <row r="1453" spans="1:13" x14ac:dyDescent="0.25">
      <c r="A1453" s="8" t="s">
        <v>3886</v>
      </c>
      <c r="B1453" s="8">
        <f>COUNTIF('All Papers'!D:D,"*"&amp;Table1[[#This Row],[Name]]&amp;"*")</f>
        <v>1</v>
      </c>
      <c r="C1453" s="8">
        <f>COUNTIFS('All Papers'!$D:$D,"*"&amp;$A1453&amp;"*",'All Papers'!$G:$G,"*"&amp;Table1[[#Headers],[Composition]]&amp;"*")</f>
        <v>0</v>
      </c>
      <c r="D1453" s="8">
        <f>COUNTIFS('All Papers'!$D:$D,"*"&amp;$A1453&amp;"*",'All Papers'!$G:$G,"*"&amp;Table1[[#Headers],[Discovery]]&amp;"*")</f>
        <v>0</v>
      </c>
      <c r="E1453" s="8">
        <f>COUNTIFS('All Papers'!$D:$D,"*"&amp;$A1453&amp;"*",'All Papers'!$G:$G,"*"&amp;Table1[[#Headers],[Selection]]&amp;"*")</f>
        <v>1</v>
      </c>
      <c r="F1453" s="8">
        <f>COUNTIFS('All Papers'!$D:$D,"*"&amp;$A1453&amp;"*",'All Papers'!$G:$G,"*"&amp;Table1[[#Headers],[Recommendation]]&amp;"*")</f>
        <v>0</v>
      </c>
      <c r="G1453" s="8">
        <f>COUNTIFS('All Papers'!$D:$D,"*"&amp;$A1453&amp;"*",'All Papers'!$G:$G,"*"&amp;Table1[[#Headers],[Resource Management-CS]]&amp;"*")</f>
        <v>0</v>
      </c>
      <c r="H1453" s="8">
        <f>COUNTIFS('All Papers'!$D:$D,"*"&amp;$A1453&amp;"*",'All Papers'!$G:$G,"*"&amp;Table1[[#Headers],[Resource Management-PS]]&amp;"*")</f>
        <v>0</v>
      </c>
      <c r="I1453" s="8">
        <f>COUNTIFS('All Papers'!$D:$D,"*"&amp;$A1453&amp;"*",'All Papers'!$G:$G,"*"&amp;Table1[[#Headers],[SLA Management]]&amp;"*")</f>
        <v>0</v>
      </c>
      <c r="J1453" s="8">
        <f>COUNTIFS('All Papers'!$D:$D,"*"&amp;$A1453&amp;"*",'All Papers'!$G:$G,"*"&amp;Table1[[#Headers],[Big Data]]&amp;"*")</f>
        <v>0</v>
      </c>
      <c r="K1453" s="8">
        <f>COUNTIFS('All Papers'!$D:$D,"*"&amp;$A1453&amp;"*",'All Papers'!$G:$G,"*"&amp;Table1[[#Headers],[Energy Management]]&amp;"*")</f>
        <v>0</v>
      </c>
      <c r="L1453" s="8">
        <f>COUNTIFS('All Papers'!$D:$D,"*"&amp;$A1453&amp;"*",'All Papers'!$G:$G,"*"&amp;Table1[[#Headers],[Monitoring]]&amp;"*")</f>
        <v>0</v>
      </c>
      <c r="M1453" s="8">
        <f>COUNTIFS('All Papers'!$D:$D,"*"&amp;$A1453&amp;"*",'All Papers'!$G:$G,"*"&amp;Table1[[#Headers],[Pricing]]&amp;"*")</f>
        <v>0</v>
      </c>
    </row>
    <row r="1454" spans="1:13" x14ac:dyDescent="0.25">
      <c r="A1454" s="8" t="s">
        <v>3887</v>
      </c>
      <c r="B1454" s="8">
        <f>COUNTIF('All Papers'!D:D,"*"&amp;Table1[[#This Row],[Name]]&amp;"*")</f>
        <v>1</v>
      </c>
      <c r="C1454" s="8">
        <f>COUNTIFS('All Papers'!$D:$D,"*"&amp;$A1454&amp;"*",'All Papers'!$G:$G,"*"&amp;Table1[[#Headers],[Composition]]&amp;"*")</f>
        <v>0</v>
      </c>
      <c r="D1454" s="8">
        <f>COUNTIFS('All Papers'!$D:$D,"*"&amp;$A1454&amp;"*",'All Papers'!$G:$G,"*"&amp;Table1[[#Headers],[Discovery]]&amp;"*")</f>
        <v>0</v>
      </c>
      <c r="E1454" s="8">
        <f>COUNTIFS('All Papers'!$D:$D,"*"&amp;$A1454&amp;"*",'All Papers'!$G:$G,"*"&amp;Table1[[#Headers],[Selection]]&amp;"*")</f>
        <v>1</v>
      </c>
      <c r="F1454" s="8">
        <f>COUNTIFS('All Papers'!$D:$D,"*"&amp;$A1454&amp;"*",'All Papers'!$G:$G,"*"&amp;Table1[[#Headers],[Recommendation]]&amp;"*")</f>
        <v>0</v>
      </c>
      <c r="G1454" s="8">
        <f>COUNTIFS('All Papers'!$D:$D,"*"&amp;$A1454&amp;"*",'All Papers'!$G:$G,"*"&amp;Table1[[#Headers],[Resource Management-CS]]&amp;"*")</f>
        <v>0</v>
      </c>
      <c r="H1454" s="8">
        <f>COUNTIFS('All Papers'!$D:$D,"*"&amp;$A1454&amp;"*",'All Papers'!$G:$G,"*"&amp;Table1[[#Headers],[Resource Management-PS]]&amp;"*")</f>
        <v>0</v>
      </c>
      <c r="I1454" s="8">
        <f>COUNTIFS('All Papers'!$D:$D,"*"&amp;$A1454&amp;"*",'All Papers'!$G:$G,"*"&amp;Table1[[#Headers],[SLA Management]]&amp;"*")</f>
        <v>0</v>
      </c>
      <c r="J1454" s="8">
        <f>COUNTIFS('All Papers'!$D:$D,"*"&amp;$A1454&amp;"*",'All Papers'!$G:$G,"*"&amp;Table1[[#Headers],[Big Data]]&amp;"*")</f>
        <v>0</v>
      </c>
      <c r="K1454" s="8">
        <f>COUNTIFS('All Papers'!$D:$D,"*"&amp;$A1454&amp;"*",'All Papers'!$G:$G,"*"&amp;Table1[[#Headers],[Energy Management]]&amp;"*")</f>
        <v>0</v>
      </c>
      <c r="L1454" s="8">
        <f>COUNTIFS('All Papers'!$D:$D,"*"&amp;$A1454&amp;"*",'All Papers'!$G:$G,"*"&amp;Table1[[#Headers],[Monitoring]]&amp;"*")</f>
        <v>0</v>
      </c>
      <c r="M1454" s="8">
        <f>COUNTIFS('All Papers'!$D:$D,"*"&amp;$A1454&amp;"*",'All Papers'!$G:$G,"*"&amp;Table1[[#Headers],[Pricing]]&amp;"*")</f>
        <v>0</v>
      </c>
    </row>
    <row r="1455" spans="1:13" x14ac:dyDescent="0.25">
      <c r="A1455" s="8" t="s">
        <v>3888</v>
      </c>
      <c r="B1455" s="8">
        <f>COUNTIF('All Papers'!D:D,"*"&amp;Table1[[#This Row],[Name]]&amp;"*")</f>
        <v>1</v>
      </c>
      <c r="C1455" s="8">
        <f>COUNTIFS('All Papers'!$D:$D,"*"&amp;$A1455&amp;"*",'All Papers'!$G:$G,"*"&amp;Table1[[#Headers],[Composition]]&amp;"*")</f>
        <v>0</v>
      </c>
      <c r="D1455" s="8">
        <f>COUNTIFS('All Papers'!$D:$D,"*"&amp;$A1455&amp;"*",'All Papers'!$G:$G,"*"&amp;Table1[[#Headers],[Discovery]]&amp;"*")</f>
        <v>0</v>
      </c>
      <c r="E1455" s="8">
        <f>COUNTIFS('All Papers'!$D:$D,"*"&amp;$A1455&amp;"*",'All Papers'!$G:$G,"*"&amp;Table1[[#Headers],[Selection]]&amp;"*")</f>
        <v>1</v>
      </c>
      <c r="F1455" s="8">
        <f>COUNTIFS('All Papers'!$D:$D,"*"&amp;$A1455&amp;"*",'All Papers'!$G:$G,"*"&amp;Table1[[#Headers],[Recommendation]]&amp;"*")</f>
        <v>0</v>
      </c>
      <c r="G1455" s="8">
        <f>COUNTIFS('All Papers'!$D:$D,"*"&amp;$A1455&amp;"*",'All Papers'!$G:$G,"*"&amp;Table1[[#Headers],[Resource Management-CS]]&amp;"*")</f>
        <v>0</v>
      </c>
      <c r="H1455" s="8">
        <f>COUNTIFS('All Papers'!$D:$D,"*"&amp;$A1455&amp;"*",'All Papers'!$G:$G,"*"&amp;Table1[[#Headers],[Resource Management-PS]]&amp;"*")</f>
        <v>0</v>
      </c>
      <c r="I1455" s="8">
        <f>COUNTIFS('All Papers'!$D:$D,"*"&amp;$A1455&amp;"*",'All Papers'!$G:$G,"*"&amp;Table1[[#Headers],[SLA Management]]&amp;"*")</f>
        <v>0</v>
      </c>
      <c r="J1455" s="8">
        <f>COUNTIFS('All Papers'!$D:$D,"*"&amp;$A1455&amp;"*",'All Papers'!$G:$G,"*"&amp;Table1[[#Headers],[Big Data]]&amp;"*")</f>
        <v>0</v>
      </c>
      <c r="K1455" s="8">
        <f>COUNTIFS('All Papers'!$D:$D,"*"&amp;$A1455&amp;"*",'All Papers'!$G:$G,"*"&amp;Table1[[#Headers],[Energy Management]]&amp;"*")</f>
        <v>0</v>
      </c>
      <c r="L1455" s="8">
        <f>COUNTIFS('All Papers'!$D:$D,"*"&amp;$A1455&amp;"*",'All Papers'!$G:$G,"*"&amp;Table1[[#Headers],[Monitoring]]&amp;"*")</f>
        <v>0</v>
      </c>
      <c r="M1455" s="8">
        <f>COUNTIFS('All Papers'!$D:$D,"*"&amp;$A1455&amp;"*",'All Papers'!$G:$G,"*"&amp;Table1[[#Headers],[Pricing]]&amp;"*")</f>
        <v>0</v>
      </c>
    </row>
    <row r="1456" spans="1:13" x14ac:dyDescent="0.25">
      <c r="A1456" s="8" t="s">
        <v>3889</v>
      </c>
      <c r="B1456" s="8">
        <f>COUNTIF('All Papers'!D:D,"*"&amp;Table1[[#This Row],[Name]]&amp;"*")</f>
        <v>1</v>
      </c>
      <c r="C1456" s="8">
        <f>COUNTIFS('All Papers'!$D:$D,"*"&amp;$A1456&amp;"*",'All Papers'!$G:$G,"*"&amp;Table1[[#Headers],[Composition]]&amp;"*")</f>
        <v>0</v>
      </c>
      <c r="D1456" s="8">
        <f>COUNTIFS('All Papers'!$D:$D,"*"&amp;$A1456&amp;"*",'All Papers'!$G:$G,"*"&amp;Table1[[#Headers],[Discovery]]&amp;"*")</f>
        <v>0</v>
      </c>
      <c r="E1456" s="8">
        <f>COUNTIFS('All Papers'!$D:$D,"*"&amp;$A1456&amp;"*",'All Papers'!$G:$G,"*"&amp;Table1[[#Headers],[Selection]]&amp;"*")</f>
        <v>1</v>
      </c>
      <c r="F1456" s="8">
        <f>COUNTIFS('All Papers'!$D:$D,"*"&amp;$A1456&amp;"*",'All Papers'!$G:$G,"*"&amp;Table1[[#Headers],[Recommendation]]&amp;"*")</f>
        <v>0</v>
      </c>
      <c r="G1456" s="8">
        <f>COUNTIFS('All Papers'!$D:$D,"*"&amp;$A1456&amp;"*",'All Papers'!$G:$G,"*"&amp;Table1[[#Headers],[Resource Management-CS]]&amp;"*")</f>
        <v>0</v>
      </c>
      <c r="H1456" s="8">
        <f>COUNTIFS('All Papers'!$D:$D,"*"&amp;$A1456&amp;"*",'All Papers'!$G:$G,"*"&amp;Table1[[#Headers],[Resource Management-PS]]&amp;"*")</f>
        <v>0</v>
      </c>
      <c r="I1456" s="8">
        <f>COUNTIFS('All Papers'!$D:$D,"*"&amp;$A1456&amp;"*",'All Papers'!$G:$G,"*"&amp;Table1[[#Headers],[SLA Management]]&amp;"*")</f>
        <v>0</v>
      </c>
      <c r="J1456" s="8">
        <f>COUNTIFS('All Papers'!$D:$D,"*"&amp;$A1456&amp;"*",'All Papers'!$G:$G,"*"&amp;Table1[[#Headers],[Big Data]]&amp;"*")</f>
        <v>0</v>
      </c>
      <c r="K1456" s="8">
        <f>COUNTIFS('All Papers'!$D:$D,"*"&amp;$A1456&amp;"*",'All Papers'!$G:$G,"*"&amp;Table1[[#Headers],[Energy Management]]&amp;"*")</f>
        <v>0</v>
      </c>
      <c r="L1456" s="8">
        <f>COUNTIFS('All Papers'!$D:$D,"*"&amp;$A1456&amp;"*",'All Papers'!$G:$G,"*"&amp;Table1[[#Headers],[Monitoring]]&amp;"*")</f>
        <v>0</v>
      </c>
      <c r="M1456" s="8">
        <f>COUNTIFS('All Papers'!$D:$D,"*"&amp;$A1456&amp;"*",'All Papers'!$G:$G,"*"&amp;Table1[[#Headers],[Pricing]]&amp;"*")</f>
        <v>0</v>
      </c>
    </row>
    <row r="1457" spans="1:13" x14ac:dyDescent="0.25">
      <c r="A1457" s="8" t="s">
        <v>3890</v>
      </c>
      <c r="B1457" s="8">
        <f>COUNTIF('All Papers'!D:D,"*"&amp;Table1[[#This Row],[Name]]&amp;"*")</f>
        <v>1</v>
      </c>
      <c r="C1457" s="8">
        <f>COUNTIFS('All Papers'!$D:$D,"*"&amp;$A1457&amp;"*",'All Papers'!$G:$G,"*"&amp;Table1[[#Headers],[Composition]]&amp;"*")</f>
        <v>0</v>
      </c>
      <c r="D1457" s="8">
        <f>COUNTIFS('All Papers'!$D:$D,"*"&amp;$A1457&amp;"*",'All Papers'!$G:$G,"*"&amp;Table1[[#Headers],[Discovery]]&amp;"*")</f>
        <v>0</v>
      </c>
      <c r="E1457" s="8">
        <f>COUNTIFS('All Papers'!$D:$D,"*"&amp;$A1457&amp;"*",'All Papers'!$G:$G,"*"&amp;Table1[[#Headers],[Selection]]&amp;"*")</f>
        <v>1</v>
      </c>
      <c r="F1457" s="8">
        <f>COUNTIFS('All Papers'!$D:$D,"*"&amp;$A1457&amp;"*",'All Papers'!$G:$G,"*"&amp;Table1[[#Headers],[Recommendation]]&amp;"*")</f>
        <v>0</v>
      </c>
      <c r="G1457" s="8">
        <f>COUNTIFS('All Papers'!$D:$D,"*"&amp;$A1457&amp;"*",'All Papers'!$G:$G,"*"&amp;Table1[[#Headers],[Resource Management-CS]]&amp;"*")</f>
        <v>0</v>
      </c>
      <c r="H1457" s="8">
        <f>COUNTIFS('All Papers'!$D:$D,"*"&amp;$A1457&amp;"*",'All Papers'!$G:$G,"*"&amp;Table1[[#Headers],[Resource Management-PS]]&amp;"*")</f>
        <v>0</v>
      </c>
      <c r="I1457" s="8">
        <f>COUNTIFS('All Papers'!$D:$D,"*"&amp;$A1457&amp;"*",'All Papers'!$G:$G,"*"&amp;Table1[[#Headers],[SLA Management]]&amp;"*")</f>
        <v>0</v>
      </c>
      <c r="J1457" s="8">
        <f>COUNTIFS('All Papers'!$D:$D,"*"&amp;$A1457&amp;"*",'All Papers'!$G:$G,"*"&amp;Table1[[#Headers],[Big Data]]&amp;"*")</f>
        <v>0</v>
      </c>
      <c r="K1457" s="8">
        <f>COUNTIFS('All Papers'!$D:$D,"*"&amp;$A1457&amp;"*",'All Papers'!$G:$G,"*"&amp;Table1[[#Headers],[Energy Management]]&amp;"*")</f>
        <v>0</v>
      </c>
      <c r="L1457" s="8">
        <f>COUNTIFS('All Papers'!$D:$D,"*"&amp;$A1457&amp;"*",'All Papers'!$G:$G,"*"&amp;Table1[[#Headers],[Monitoring]]&amp;"*")</f>
        <v>0</v>
      </c>
      <c r="M1457" s="8">
        <f>COUNTIFS('All Papers'!$D:$D,"*"&amp;$A1457&amp;"*",'All Papers'!$G:$G,"*"&amp;Table1[[#Headers],[Pricing]]&amp;"*")</f>
        <v>0</v>
      </c>
    </row>
    <row r="1458" spans="1:13" x14ac:dyDescent="0.25">
      <c r="A1458" s="8" t="s">
        <v>3891</v>
      </c>
      <c r="B1458" s="8">
        <f>COUNTIF('All Papers'!D:D,"*"&amp;Table1[[#This Row],[Name]]&amp;"*")</f>
        <v>1</v>
      </c>
      <c r="C1458" s="8">
        <f>COUNTIFS('All Papers'!$D:$D,"*"&amp;$A1458&amp;"*",'All Papers'!$G:$G,"*"&amp;Table1[[#Headers],[Composition]]&amp;"*")</f>
        <v>0</v>
      </c>
      <c r="D1458" s="8">
        <f>COUNTIFS('All Papers'!$D:$D,"*"&amp;$A1458&amp;"*",'All Papers'!$G:$G,"*"&amp;Table1[[#Headers],[Discovery]]&amp;"*")</f>
        <v>0</v>
      </c>
      <c r="E1458" s="8">
        <f>COUNTIFS('All Papers'!$D:$D,"*"&amp;$A1458&amp;"*",'All Papers'!$G:$G,"*"&amp;Table1[[#Headers],[Selection]]&amp;"*")</f>
        <v>1</v>
      </c>
      <c r="F1458" s="8">
        <f>COUNTIFS('All Papers'!$D:$D,"*"&amp;$A1458&amp;"*",'All Papers'!$G:$G,"*"&amp;Table1[[#Headers],[Recommendation]]&amp;"*")</f>
        <v>0</v>
      </c>
      <c r="G1458" s="8">
        <f>COUNTIFS('All Papers'!$D:$D,"*"&amp;$A1458&amp;"*",'All Papers'!$G:$G,"*"&amp;Table1[[#Headers],[Resource Management-CS]]&amp;"*")</f>
        <v>0</v>
      </c>
      <c r="H1458" s="8">
        <f>COUNTIFS('All Papers'!$D:$D,"*"&amp;$A1458&amp;"*",'All Papers'!$G:$G,"*"&amp;Table1[[#Headers],[Resource Management-PS]]&amp;"*")</f>
        <v>0</v>
      </c>
      <c r="I1458" s="8">
        <f>COUNTIFS('All Papers'!$D:$D,"*"&amp;$A1458&amp;"*",'All Papers'!$G:$G,"*"&amp;Table1[[#Headers],[SLA Management]]&amp;"*")</f>
        <v>0</v>
      </c>
      <c r="J1458" s="8">
        <f>COUNTIFS('All Papers'!$D:$D,"*"&amp;$A1458&amp;"*",'All Papers'!$G:$G,"*"&amp;Table1[[#Headers],[Big Data]]&amp;"*")</f>
        <v>0</v>
      </c>
      <c r="K1458" s="8">
        <f>COUNTIFS('All Papers'!$D:$D,"*"&amp;$A1458&amp;"*",'All Papers'!$G:$G,"*"&amp;Table1[[#Headers],[Energy Management]]&amp;"*")</f>
        <v>0</v>
      </c>
      <c r="L1458" s="8">
        <f>COUNTIFS('All Papers'!$D:$D,"*"&amp;$A1458&amp;"*",'All Papers'!$G:$G,"*"&amp;Table1[[#Headers],[Monitoring]]&amp;"*")</f>
        <v>0</v>
      </c>
      <c r="M1458" s="8">
        <f>COUNTIFS('All Papers'!$D:$D,"*"&amp;$A1458&amp;"*",'All Papers'!$G:$G,"*"&amp;Table1[[#Headers],[Pricing]]&amp;"*")</f>
        <v>0</v>
      </c>
    </row>
    <row r="1459" spans="1:13" x14ac:dyDescent="0.25">
      <c r="A1459" s="8" t="s">
        <v>3892</v>
      </c>
      <c r="B1459" s="8">
        <f>COUNTIF('All Papers'!D:D,"*"&amp;Table1[[#This Row],[Name]]&amp;"*")</f>
        <v>1</v>
      </c>
      <c r="C1459" s="8">
        <f>COUNTIFS('All Papers'!$D:$D,"*"&amp;$A1459&amp;"*",'All Papers'!$G:$G,"*"&amp;Table1[[#Headers],[Composition]]&amp;"*")</f>
        <v>0</v>
      </c>
      <c r="D1459" s="8">
        <f>COUNTIFS('All Papers'!$D:$D,"*"&amp;$A1459&amp;"*",'All Papers'!$G:$G,"*"&amp;Table1[[#Headers],[Discovery]]&amp;"*")</f>
        <v>0</v>
      </c>
      <c r="E1459" s="8">
        <f>COUNTIFS('All Papers'!$D:$D,"*"&amp;$A1459&amp;"*",'All Papers'!$G:$G,"*"&amp;Table1[[#Headers],[Selection]]&amp;"*")</f>
        <v>1</v>
      </c>
      <c r="F1459" s="8">
        <f>COUNTIFS('All Papers'!$D:$D,"*"&amp;$A1459&amp;"*",'All Papers'!$G:$G,"*"&amp;Table1[[#Headers],[Recommendation]]&amp;"*")</f>
        <v>0</v>
      </c>
      <c r="G1459" s="8">
        <f>COUNTIFS('All Papers'!$D:$D,"*"&amp;$A1459&amp;"*",'All Papers'!$G:$G,"*"&amp;Table1[[#Headers],[Resource Management-CS]]&amp;"*")</f>
        <v>0</v>
      </c>
      <c r="H1459" s="8">
        <f>COUNTIFS('All Papers'!$D:$D,"*"&amp;$A1459&amp;"*",'All Papers'!$G:$G,"*"&amp;Table1[[#Headers],[Resource Management-PS]]&amp;"*")</f>
        <v>0</v>
      </c>
      <c r="I1459" s="8">
        <f>COUNTIFS('All Papers'!$D:$D,"*"&amp;$A1459&amp;"*",'All Papers'!$G:$G,"*"&amp;Table1[[#Headers],[SLA Management]]&amp;"*")</f>
        <v>0</v>
      </c>
      <c r="J1459" s="8">
        <f>COUNTIFS('All Papers'!$D:$D,"*"&amp;$A1459&amp;"*",'All Papers'!$G:$G,"*"&amp;Table1[[#Headers],[Big Data]]&amp;"*")</f>
        <v>0</v>
      </c>
      <c r="K1459" s="8">
        <f>COUNTIFS('All Papers'!$D:$D,"*"&amp;$A1459&amp;"*",'All Papers'!$G:$G,"*"&amp;Table1[[#Headers],[Energy Management]]&amp;"*")</f>
        <v>0</v>
      </c>
      <c r="L1459" s="8">
        <f>COUNTIFS('All Papers'!$D:$D,"*"&amp;$A1459&amp;"*",'All Papers'!$G:$G,"*"&amp;Table1[[#Headers],[Monitoring]]&amp;"*")</f>
        <v>0</v>
      </c>
      <c r="M1459" s="8">
        <f>COUNTIFS('All Papers'!$D:$D,"*"&amp;$A1459&amp;"*",'All Papers'!$G:$G,"*"&amp;Table1[[#Headers],[Pricing]]&amp;"*")</f>
        <v>0</v>
      </c>
    </row>
    <row r="1460" spans="1:13" x14ac:dyDescent="0.25">
      <c r="A1460" s="8" t="s">
        <v>3893</v>
      </c>
      <c r="B1460" s="8">
        <f>COUNTIF('All Papers'!D:D,"*"&amp;Table1[[#This Row],[Name]]&amp;"*")</f>
        <v>1</v>
      </c>
      <c r="C1460" s="8">
        <f>COUNTIFS('All Papers'!$D:$D,"*"&amp;$A1460&amp;"*",'All Papers'!$G:$G,"*"&amp;Table1[[#Headers],[Composition]]&amp;"*")</f>
        <v>1</v>
      </c>
      <c r="D1460" s="8">
        <f>COUNTIFS('All Papers'!$D:$D,"*"&amp;$A1460&amp;"*",'All Papers'!$G:$G,"*"&amp;Table1[[#Headers],[Discovery]]&amp;"*")</f>
        <v>0</v>
      </c>
      <c r="E1460" s="8">
        <f>COUNTIFS('All Papers'!$D:$D,"*"&amp;$A1460&amp;"*",'All Papers'!$G:$G,"*"&amp;Table1[[#Headers],[Selection]]&amp;"*")</f>
        <v>0</v>
      </c>
      <c r="F1460" s="8">
        <f>COUNTIFS('All Papers'!$D:$D,"*"&amp;$A1460&amp;"*",'All Papers'!$G:$G,"*"&amp;Table1[[#Headers],[Recommendation]]&amp;"*")</f>
        <v>0</v>
      </c>
      <c r="G1460" s="8">
        <f>COUNTIFS('All Papers'!$D:$D,"*"&amp;$A1460&amp;"*",'All Papers'!$G:$G,"*"&amp;Table1[[#Headers],[Resource Management-CS]]&amp;"*")</f>
        <v>1</v>
      </c>
      <c r="H1460" s="8">
        <f>COUNTIFS('All Papers'!$D:$D,"*"&amp;$A1460&amp;"*",'All Papers'!$G:$G,"*"&amp;Table1[[#Headers],[Resource Management-PS]]&amp;"*")</f>
        <v>0</v>
      </c>
      <c r="I1460" s="8">
        <f>COUNTIFS('All Papers'!$D:$D,"*"&amp;$A1460&amp;"*",'All Papers'!$G:$G,"*"&amp;Table1[[#Headers],[SLA Management]]&amp;"*")</f>
        <v>0</v>
      </c>
      <c r="J1460" s="8">
        <f>COUNTIFS('All Papers'!$D:$D,"*"&amp;$A1460&amp;"*",'All Papers'!$G:$G,"*"&amp;Table1[[#Headers],[Big Data]]&amp;"*")</f>
        <v>0</v>
      </c>
      <c r="K1460" s="8">
        <f>COUNTIFS('All Papers'!$D:$D,"*"&amp;$A1460&amp;"*",'All Papers'!$G:$G,"*"&amp;Table1[[#Headers],[Energy Management]]&amp;"*")</f>
        <v>0</v>
      </c>
      <c r="L1460" s="8">
        <f>COUNTIFS('All Papers'!$D:$D,"*"&amp;$A1460&amp;"*",'All Papers'!$G:$G,"*"&amp;Table1[[#Headers],[Monitoring]]&amp;"*")</f>
        <v>1</v>
      </c>
      <c r="M1460" s="8">
        <f>COUNTIFS('All Papers'!$D:$D,"*"&amp;$A1460&amp;"*",'All Papers'!$G:$G,"*"&amp;Table1[[#Headers],[Pricing]]&amp;"*")</f>
        <v>0</v>
      </c>
    </row>
    <row r="1461" spans="1:13" x14ac:dyDescent="0.25">
      <c r="A1461" s="8" t="s">
        <v>3894</v>
      </c>
      <c r="B1461" s="8">
        <f>COUNTIF('All Papers'!D:D,"*"&amp;Table1[[#This Row],[Name]]&amp;"*")</f>
        <v>1</v>
      </c>
      <c r="C1461" s="8">
        <f>COUNTIFS('All Papers'!$D:$D,"*"&amp;$A1461&amp;"*",'All Papers'!$G:$G,"*"&amp;Table1[[#Headers],[Composition]]&amp;"*")</f>
        <v>1</v>
      </c>
      <c r="D1461" s="8">
        <f>COUNTIFS('All Papers'!$D:$D,"*"&amp;$A1461&amp;"*",'All Papers'!$G:$G,"*"&amp;Table1[[#Headers],[Discovery]]&amp;"*")</f>
        <v>0</v>
      </c>
      <c r="E1461" s="8">
        <f>COUNTIFS('All Papers'!$D:$D,"*"&amp;$A1461&amp;"*",'All Papers'!$G:$G,"*"&amp;Table1[[#Headers],[Selection]]&amp;"*")</f>
        <v>0</v>
      </c>
      <c r="F1461" s="8">
        <f>COUNTIFS('All Papers'!$D:$D,"*"&amp;$A1461&amp;"*",'All Papers'!$G:$G,"*"&amp;Table1[[#Headers],[Recommendation]]&amp;"*")</f>
        <v>0</v>
      </c>
      <c r="G1461" s="8">
        <f>COUNTIFS('All Papers'!$D:$D,"*"&amp;$A1461&amp;"*",'All Papers'!$G:$G,"*"&amp;Table1[[#Headers],[Resource Management-CS]]&amp;"*")</f>
        <v>1</v>
      </c>
      <c r="H1461" s="8">
        <f>COUNTIFS('All Papers'!$D:$D,"*"&amp;$A1461&amp;"*",'All Papers'!$G:$G,"*"&amp;Table1[[#Headers],[Resource Management-PS]]&amp;"*")</f>
        <v>0</v>
      </c>
      <c r="I1461" s="8">
        <f>COUNTIFS('All Papers'!$D:$D,"*"&amp;$A1461&amp;"*",'All Papers'!$G:$G,"*"&amp;Table1[[#Headers],[SLA Management]]&amp;"*")</f>
        <v>0</v>
      </c>
      <c r="J1461" s="8">
        <f>COUNTIFS('All Papers'!$D:$D,"*"&amp;$A1461&amp;"*",'All Papers'!$G:$G,"*"&amp;Table1[[#Headers],[Big Data]]&amp;"*")</f>
        <v>0</v>
      </c>
      <c r="K1461" s="8">
        <f>COUNTIFS('All Papers'!$D:$D,"*"&amp;$A1461&amp;"*",'All Papers'!$G:$G,"*"&amp;Table1[[#Headers],[Energy Management]]&amp;"*")</f>
        <v>0</v>
      </c>
      <c r="L1461" s="8">
        <f>COUNTIFS('All Papers'!$D:$D,"*"&amp;$A1461&amp;"*",'All Papers'!$G:$G,"*"&amp;Table1[[#Headers],[Monitoring]]&amp;"*")</f>
        <v>1</v>
      </c>
      <c r="M1461" s="8">
        <f>COUNTIFS('All Papers'!$D:$D,"*"&amp;$A1461&amp;"*",'All Papers'!$G:$G,"*"&amp;Table1[[#Headers],[Pricing]]&amp;"*")</f>
        <v>0</v>
      </c>
    </row>
    <row r="1462" spans="1:13" x14ac:dyDescent="0.25">
      <c r="A1462" s="8" t="s">
        <v>3895</v>
      </c>
      <c r="B1462" s="8">
        <f>COUNTIF('All Papers'!D:D,"*"&amp;Table1[[#This Row],[Name]]&amp;"*")</f>
        <v>1</v>
      </c>
      <c r="C1462" s="8">
        <f>COUNTIFS('All Papers'!$D:$D,"*"&amp;$A1462&amp;"*",'All Papers'!$G:$G,"*"&amp;Table1[[#Headers],[Composition]]&amp;"*")</f>
        <v>1</v>
      </c>
      <c r="D1462" s="8">
        <f>COUNTIFS('All Papers'!$D:$D,"*"&amp;$A1462&amp;"*",'All Papers'!$G:$G,"*"&amp;Table1[[#Headers],[Discovery]]&amp;"*")</f>
        <v>0</v>
      </c>
      <c r="E1462" s="8">
        <f>COUNTIFS('All Papers'!$D:$D,"*"&amp;$A1462&amp;"*",'All Papers'!$G:$G,"*"&amp;Table1[[#Headers],[Selection]]&amp;"*")</f>
        <v>0</v>
      </c>
      <c r="F1462" s="8">
        <f>COUNTIFS('All Papers'!$D:$D,"*"&amp;$A1462&amp;"*",'All Papers'!$G:$G,"*"&amp;Table1[[#Headers],[Recommendation]]&amp;"*")</f>
        <v>0</v>
      </c>
      <c r="G1462" s="8">
        <f>COUNTIFS('All Papers'!$D:$D,"*"&amp;$A1462&amp;"*",'All Papers'!$G:$G,"*"&amp;Table1[[#Headers],[Resource Management-CS]]&amp;"*")</f>
        <v>0</v>
      </c>
      <c r="H1462" s="8">
        <f>COUNTIFS('All Papers'!$D:$D,"*"&amp;$A1462&amp;"*",'All Papers'!$G:$G,"*"&amp;Table1[[#Headers],[Resource Management-PS]]&amp;"*")</f>
        <v>0</v>
      </c>
      <c r="I1462" s="8">
        <f>COUNTIFS('All Papers'!$D:$D,"*"&amp;$A1462&amp;"*",'All Papers'!$G:$G,"*"&amp;Table1[[#Headers],[SLA Management]]&amp;"*")</f>
        <v>0</v>
      </c>
      <c r="J1462" s="8">
        <f>COUNTIFS('All Papers'!$D:$D,"*"&amp;$A1462&amp;"*",'All Papers'!$G:$G,"*"&amp;Table1[[#Headers],[Big Data]]&amp;"*")</f>
        <v>0</v>
      </c>
      <c r="K1462" s="8">
        <f>COUNTIFS('All Papers'!$D:$D,"*"&amp;$A1462&amp;"*",'All Papers'!$G:$G,"*"&amp;Table1[[#Headers],[Energy Management]]&amp;"*")</f>
        <v>0</v>
      </c>
      <c r="L1462" s="8">
        <f>COUNTIFS('All Papers'!$D:$D,"*"&amp;$A1462&amp;"*",'All Papers'!$G:$G,"*"&amp;Table1[[#Headers],[Monitoring]]&amp;"*")</f>
        <v>0</v>
      </c>
      <c r="M1462" s="8">
        <f>COUNTIFS('All Papers'!$D:$D,"*"&amp;$A1462&amp;"*",'All Papers'!$G:$G,"*"&amp;Table1[[#Headers],[Pricing]]&amp;"*")</f>
        <v>0</v>
      </c>
    </row>
    <row r="1463" spans="1:13" x14ac:dyDescent="0.25">
      <c r="A1463" s="8" t="s">
        <v>3896</v>
      </c>
      <c r="B1463" s="8">
        <f>COUNTIF('All Papers'!D:D,"*"&amp;Table1[[#This Row],[Name]]&amp;"*")</f>
        <v>1</v>
      </c>
      <c r="C1463" s="8">
        <f>COUNTIFS('All Papers'!$D:$D,"*"&amp;$A1463&amp;"*",'All Papers'!$G:$G,"*"&amp;Table1[[#Headers],[Composition]]&amp;"*")</f>
        <v>1</v>
      </c>
      <c r="D1463" s="8">
        <f>COUNTIFS('All Papers'!$D:$D,"*"&amp;$A1463&amp;"*",'All Papers'!$G:$G,"*"&amp;Table1[[#Headers],[Discovery]]&amp;"*")</f>
        <v>0</v>
      </c>
      <c r="E1463" s="8">
        <f>COUNTIFS('All Papers'!$D:$D,"*"&amp;$A1463&amp;"*",'All Papers'!$G:$G,"*"&amp;Table1[[#Headers],[Selection]]&amp;"*")</f>
        <v>0</v>
      </c>
      <c r="F1463" s="8">
        <f>COUNTIFS('All Papers'!$D:$D,"*"&amp;$A1463&amp;"*",'All Papers'!$G:$G,"*"&amp;Table1[[#Headers],[Recommendation]]&amp;"*")</f>
        <v>0</v>
      </c>
      <c r="G1463" s="8">
        <f>COUNTIFS('All Papers'!$D:$D,"*"&amp;$A1463&amp;"*",'All Papers'!$G:$G,"*"&amp;Table1[[#Headers],[Resource Management-CS]]&amp;"*")</f>
        <v>0</v>
      </c>
      <c r="H1463" s="8">
        <f>COUNTIFS('All Papers'!$D:$D,"*"&amp;$A1463&amp;"*",'All Papers'!$G:$G,"*"&amp;Table1[[#Headers],[Resource Management-PS]]&amp;"*")</f>
        <v>0</v>
      </c>
      <c r="I1463" s="8">
        <f>COUNTIFS('All Papers'!$D:$D,"*"&amp;$A1463&amp;"*",'All Papers'!$G:$G,"*"&amp;Table1[[#Headers],[SLA Management]]&amp;"*")</f>
        <v>0</v>
      </c>
      <c r="J1463" s="8">
        <f>COUNTIFS('All Papers'!$D:$D,"*"&amp;$A1463&amp;"*",'All Papers'!$G:$G,"*"&amp;Table1[[#Headers],[Big Data]]&amp;"*")</f>
        <v>0</v>
      </c>
      <c r="K1463" s="8">
        <f>COUNTIFS('All Papers'!$D:$D,"*"&amp;$A1463&amp;"*",'All Papers'!$G:$G,"*"&amp;Table1[[#Headers],[Energy Management]]&amp;"*")</f>
        <v>0</v>
      </c>
      <c r="L1463" s="8">
        <f>COUNTIFS('All Papers'!$D:$D,"*"&amp;$A1463&amp;"*",'All Papers'!$G:$G,"*"&amp;Table1[[#Headers],[Monitoring]]&amp;"*")</f>
        <v>0</v>
      </c>
      <c r="M1463" s="8">
        <f>COUNTIFS('All Papers'!$D:$D,"*"&amp;$A1463&amp;"*",'All Papers'!$G:$G,"*"&amp;Table1[[#Headers],[Pricing]]&amp;"*")</f>
        <v>0</v>
      </c>
    </row>
    <row r="1464" spans="1:13" x14ac:dyDescent="0.25">
      <c r="A1464" s="8" t="s">
        <v>3897</v>
      </c>
      <c r="B1464" s="8">
        <f>COUNTIF('All Papers'!D:D,"*"&amp;Table1[[#This Row],[Name]]&amp;"*")</f>
        <v>1</v>
      </c>
      <c r="C1464" s="8">
        <f>COUNTIFS('All Papers'!$D:$D,"*"&amp;$A1464&amp;"*",'All Papers'!$G:$G,"*"&amp;Table1[[#Headers],[Composition]]&amp;"*")</f>
        <v>1</v>
      </c>
      <c r="D1464" s="8">
        <f>COUNTIFS('All Papers'!$D:$D,"*"&amp;$A1464&amp;"*",'All Papers'!$G:$G,"*"&amp;Table1[[#Headers],[Discovery]]&amp;"*")</f>
        <v>0</v>
      </c>
      <c r="E1464" s="8">
        <f>COUNTIFS('All Papers'!$D:$D,"*"&amp;$A1464&amp;"*",'All Papers'!$G:$G,"*"&amp;Table1[[#Headers],[Selection]]&amp;"*")</f>
        <v>0</v>
      </c>
      <c r="F1464" s="8">
        <f>COUNTIFS('All Papers'!$D:$D,"*"&amp;$A1464&amp;"*",'All Papers'!$G:$G,"*"&amp;Table1[[#Headers],[Recommendation]]&amp;"*")</f>
        <v>0</v>
      </c>
      <c r="G1464" s="8">
        <f>COUNTIFS('All Papers'!$D:$D,"*"&amp;$A1464&amp;"*",'All Papers'!$G:$G,"*"&amp;Table1[[#Headers],[Resource Management-CS]]&amp;"*")</f>
        <v>0</v>
      </c>
      <c r="H1464" s="8">
        <f>COUNTIFS('All Papers'!$D:$D,"*"&amp;$A1464&amp;"*",'All Papers'!$G:$G,"*"&amp;Table1[[#Headers],[Resource Management-PS]]&amp;"*")</f>
        <v>0</v>
      </c>
      <c r="I1464" s="8">
        <f>COUNTIFS('All Papers'!$D:$D,"*"&amp;$A1464&amp;"*",'All Papers'!$G:$G,"*"&amp;Table1[[#Headers],[SLA Management]]&amp;"*")</f>
        <v>0</v>
      </c>
      <c r="J1464" s="8">
        <f>COUNTIFS('All Papers'!$D:$D,"*"&amp;$A1464&amp;"*",'All Papers'!$G:$G,"*"&amp;Table1[[#Headers],[Big Data]]&amp;"*")</f>
        <v>0</v>
      </c>
      <c r="K1464" s="8">
        <f>COUNTIFS('All Papers'!$D:$D,"*"&amp;$A1464&amp;"*",'All Papers'!$G:$G,"*"&amp;Table1[[#Headers],[Energy Management]]&amp;"*")</f>
        <v>0</v>
      </c>
      <c r="L1464" s="8">
        <f>COUNTIFS('All Papers'!$D:$D,"*"&amp;$A1464&amp;"*",'All Papers'!$G:$G,"*"&amp;Table1[[#Headers],[Monitoring]]&amp;"*")</f>
        <v>0</v>
      </c>
      <c r="M1464" s="8">
        <f>COUNTIFS('All Papers'!$D:$D,"*"&amp;$A1464&amp;"*",'All Papers'!$G:$G,"*"&amp;Table1[[#Headers],[Pricing]]&amp;"*")</f>
        <v>0</v>
      </c>
    </row>
    <row r="1465" spans="1:13" x14ac:dyDescent="0.25">
      <c r="A1465" s="8" t="s">
        <v>3898</v>
      </c>
      <c r="B1465" s="8">
        <f>COUNTIF('All Papers'!D:D,"*"&amp;Table1[[#This Row],[Name]]&amp;"*")</f>
        <v>1</v>
      </c>
      <c r="C1465" s="8">
        <f>COUNTIFS('All Papers'!$D:$D,"*"&amp;$A1465&amp;"*",'All Papers'!$G:$G,"*"&amp;Table1[[#Headers],[Composition]]&amp;"*")</f>
        <v>1</v>
      </c>
      <c r="D1465" s="8">
        <f>COUNTIFS('All Papers'!$D:$D,"*"&amp;$A1465&amp;"*",'All Papers'!$G:$G,"*"&amp;Table1[[#Headers],[Discovery]]&amp;"*")</f>
        <v>0</v>
      </c>
      <c r="E1465" s="8">
        <f>COUNTIFS('All Papers'!$D:$D,"*"&amp;$A1465&amp;"*",'All Papers'!$G:$G,"*"&amp;Table1[[#Headers],[Selection]]&amp;"*")</f>
        <v>0</v>
      </c>
      <c r="F1465" s="8">
        <f>COUNTIFS('All Papers'!$D:$D,"*"&amp;$A1465&amp;"*",'All Papers'!$G:$G,"*"&amp;Table1[[#Headers],[Recommendation]]&amp;"*")</f>
        <v>0</v>
      </c>
      <c r="G1465" s="8">
        <f>COUNTIFS('All Papers'!$D:$D,"*"&amp;$A1465&amp;"*",'All Papers'!$G:$G,"*"&amp;Table1[[#Headers],[Resource Management-CS]]&amp;"*")</f>
        <v>0</v>
      </c>
      <c r="H1465" s="8">
        <f>COUNTIFS('All Papers'!$D:$D,"*"&amp;$A1465&amp;"*",'All Papers'!$G:$G,"*"&amp;Table1[[#Headers],[Resource Management-PS]]&amp;"*")</f>
        <v>0</v>
      </c>
      <c r="I1465" s="8">
        <f>COUNTIFS('All Papers'!$D:$D,"*"&amp;$A1465&amp;"*",'All Papers'!$G:$G,"*"&amp;Table1[[#Headers],[SLA Management]]&amp;"*")</f>
        <v>0</v>
      </c>
      <c r="J1465" s="8">
        <f>COUNTIFS('All Papers'!$D:$D,"*"&amp;$A1465&amp;"*",'All Papers'!$G:$G,"*"&amp;Table1[[#Headers],[Big Data]]&amp;"*")</f>
        <v>0</v>
      </c>
      <c r="K1465" s="8">
        <f>COUNTIFS('All Papers'!$D:$D,"*"&amp;$A1465&amp;"*",'All Papers'!$G:$G,"*"&amp;Table1[[#Headers],[Energy Management]]&amp;"*")</f>
        <v>0</v>
      </c>
      <c r="L1465" s="8">
        <f>COUNTIFS('All Papers'!$D:$D,"*"&amp;$A1465&amp;"*",'All Papers'!$G:$G,"*"&amp;Table1[[#Headers],[Monitoring]]&amp;"*")</f>
        <v>0</v>
      </c>
      <c r="M1465" s="8">
        <f>COUNTIFS('All Papers'!$D:$D,"*"&amp;$A1465&amp;"*",'All Papers'!$G:$G,"*"&amp;Table1[[#Headers],[Pricing]]&amp;"*")</f>
        <v>0</v>
      </c>
    </row>
    <row r="1466" spans="1:13" x14ac:dyDescent="0.25">
      <c r="A1466" s="8" t="s">
        <v>3899</v>
      </c>
      <c r="B1466" s="8">
        <f>COUNTIF('All Papers'!D:D,"*"&amp;Table1[[#This Row],[Name]]&amp;"*")</f>
        <v>1</v>
      </c>
      <c r="C1466" s="8">
        <f>COUNTIFS('All Papers'!$D:$D,"*"&amp;$A1466&amp;"*",'All Papers'!$G:$G,"*"&amp;Table1[[#Headers],[Composition]]&amp;"*")</f>
        <v>1</v>
      </c>
      <c r="D1466" s="8">
        <f>COUNTIFS('All Papers'!$D:$D,"*"&amp;$A1466&amp;"*",'All Papers'!$G:$G,"*"&amp;Table1[[#Headers],[Discovery]]&amp;"*")</f>
        <v>0</v>
      </c>
      <c r="E1466" s="8">
        <f>COUNTIFS('All Papers'!$D:$D,"*"&amp;$A1466&amp;"*",'All Papers'!$G:$G,"*"&amp;Table1[[#Headers],[Selection]]&amp;"*")</f>
        <v>0</v>
      </c>
      <c r="F1466" s="8">
        <f>COUNTIFS('All Papers'!$D:$D,"*"&amp;$A1466&amp;"*",'All Papers'!$G:$G,"*"&amp;Table1[[#Headers],[Recommendation]]&amp;"*")</f>
        <v>0</v>
      </c>
      <c r="G1466" s="8">
        <f>COUNTIFS('All Papers'!$D:$D,"*"&amp;$A1466&amp;"*",'All Papers'!$G:$G,"*"&amp;Table1[[#Headers],[Resource Management-CS]]&amp;"*")</f>
        <v>0</v>
      </c>
      <c r="H1466" s="8">
        <f>COUNTIFS('All Papers'!$D:$D,"*"&amp;$A1466&amp;"*",'All Papers'!$G:$G,"*"&amp;Table1[[#Headers],[Resource Management-PS]]&amp;"*")</f>
        <v>0</v>
      </c>
      <c r="I1466" s="8">
        <f>COUNTIFS('All Papers'!$D:$D,"*"&amp;$A1466&amp;"*",'All Papers'!$G:$G,"*"&amp;Table1[[#Headers],[SLA Management]]&amp;"*")</f>
        <v>0</v>
      </c>
      <c r="J1466" s="8">
        <f>COUNTIFS('All Papers'!$D:$D,"*"&amp;$A1466&amp;"*",'All Papers'!$G:$G,"*"&amp;Table1[[#Headers],[Big Data]]&amp;"*")</f>
        <v>0</v>
      </c>
      <c r="K1466" s="8">
        <f>COUNTIFS('All Papers'!$D:$D,"*"&amp;$A1466&amp;"*",'All Papers'!$G:$G,"*"&amp;Table1[[#Headers],[Energy Management]]&amp;"*")</f>
        <v>0</v>
      </c>
      <c r="L1466" s="8">
        <f>COUNTIFS('All Papers'!$D:$D,"*"&amp;$A1466&amp;"*",'All Papers'!$G:$G,"*"&amp;Table1[[#Headers],[Monitoring]]&amp;"*")</f>
        <v>0</v>
      </c>
      <c r="M1466" s="8">
        <f>COUNTIFS('All Papers'!$D:$D,"*"&amp;$A1466&amp;"*",'All Papers'!$G:$G,"*"&amp;Table1[[#Headers],[Pricing]]&amp;"*")</f>
        <v>0</v>
      </c>
    </row>
    <row r="1467" spans="1:13" x14ac:dyDescent="0.25">
      <c r="A1467" s="8" t="s">
        <v>3900</v>
      </c>
      <c r="B1467" s="8">
        <f>COUNTIF('All Papers'!D:D,"*"&amp;Table1[[#This Row],[Name]]&amp;"*")</f>
        <v>1</v>
      </c>
      <c r="C1467" s="8">
        <f>COUNTIFS('All Papers'!$D:$D,"*"&amp;$A1467&amp;"*",'All Papers'!$G:$G,"*"&amp;Table1[[#Headers],[Composition]]&amp;"*")</f>
        <v>1</v>
      </c>
      <c r="D1467" s="8">
        <f>COUNTIFS('All Papers'!$D:$D,"*"&amp;$A1467&amp;"*",'All Papers'!$G:$G,"*"&amp;Table1[[#Headers],[Discovery]]&amp;"*")</f>
        <v>0</v>
      </c>
      <c r="E1467" s="8">
        <f>COUNTIFS('All Papers'!$D:$D,"*"&amp;$A1467&amp;"*",'All Papers'!$G:$G,"*"&amp;Table1[[#Headers],[Selection]]&amp;"*")</f>
        <v>0</v>
      </c>
      <c r="F1467" s="8">
        <f>COUNTIFS('All Papers'!$D:$D,"*"&amp;$A1467&amp;"*",'All Papers'!$G:$G,"*"&amp;Table1[[#Headers],[Recommendation]]&amp;"*")</f>
        <v>0</v>
      </c>
      <c r="G1467" s="8">
        <f>COUNTIFS('All Papers'!$D:$D,"*"&amp;$A1467&amp;"*",'All Papers'!$G:$G,"*"&amp;Table1[[#Headers],[Resource Management-CS]]&amp;"*")</f>
        <v>0</v>
      </c>
      <c r="H1467" s="8">
        <f>COUNTIFS('All Papers'!$D:$D,"*"&amp;$A1467&amp;"*",'All Papers'!$G:$G,"*"&amp;Table1[[#Headers],[Resource Management-PS]]&amp;"*")</f>
        <v>0</v>
      </c>
      <c r="I1467" s="8">
        <f>COUNTIFS('All Papers'!$D:$D,"*"&amp;$A1467&amp;"*",'All Papers'!$G:$G,"*"&amp;Table1[[#Headers],[SLA Management]]&amp;"*")</f>
        <v>0</v>
      </c>
      <c r="J1467" s="8">
        <f>COUNTIFS('All Papers'!$D:$D,"*"&amp;$A1467&amp;"*",'All Papers'!$G:$G,"*"&amp;Table1[[#Headers],[Big Data]]&amp;"*")</f>
        <v>0</v>
      </c>
      <c r="K1467" s="8">
        <f>COUNTIFS('All Papers'!$D:$D,"*"&amp;$A1467&amp;"*",'All Papers'!$G:$G,"*"&amp;Table1[[#Headers],[Energy Management]]&amp;"*")</f>
        <v>0</v>
      </c>
      <c r="L1467" s="8">
        <f>COUNTIFS('All Papers'!$D:$D,"*"&amp;$A1467&amp;"*",'All Papers'!$G:$G,"*"&amp;Table1[[#Headers],[Monitoring]]&amp;"*")</f>
        <v>0</v>
      </c>
      <c r="M1467" s="8">
        <f>COUNTIFS('All Papers'!$D:$D,"*"&amp;$A1467&amp;"*",'All Papers'!$G:$G,"*"&amp;Table1[[#Headers],[Pricing]]&amp;"*")</f>
        <v>0</v>
      </c>
    </row>
    <row r="1468" spans="1:13" x14ac:dyDescent="0.25">
      <c r="A1468" s="8" t="s">
        <v>3901</v>
      </c>
      <c r="B1468" s="8">
        <f>COUNTIF('All Papers'!D:D,"*"&amp;Table1[[#This Row],[Name]]&amp;"*")</f>
        <v>1</v>
      </c>
      <c r="C1468" s="8">
        <f>COUNTIFS('All Papers'!$D:$D,"*"&amp;$A1468&amp;"*",'All Papers'!$G:$G,"*"&amp;Table1[[#Headers],[Composition]]&amp;"*")</f>
        <v>0</v>
      </c>
      <c r="D1468" s="8">
        <f>COUNTIFS('All Papers'!$D:$D,"*"&amp;$A1468&amp;"*",'All Papers'!$G:$G,"*"&amp;Table1[[#Headers],[Discovery]]&amp;"*")</f>
        <v>0</v>
      </c>
      <c r="E1468" s="8">
        <f>COUNTIFS('All Papers'!$D:$D,"*"&amp;$A1468&amp;"*",'All Papers'!$G:$G,"*"&amp;Table1[[#Headers],[Selection]]&amp;"*")</f>
        <v>0</v>
      </c>
      <c r="F1468" s="8">
        <f>COUNTIFS('All Papers'!$D:$D,"*"&amp;$A1468&amp;"*",'All Papers'!$G:$G,"*"&amp;Table1[[#Headers],[Recommendation]]&amp;"*")</f>
        <v>0</v>
      </c>
      <c r="G1468" s="8">
        <f>COUNTIFS('All Papers'!$D:$D,"*"&amp;$A1468&amp;"*",'All Papers'!$G:$G,"*"&amp;Table1[[#Headers],[Resource Management-CS]]&amp;"*")</f>
        <v>0</v>
      </c>
      <c r="H1468" s="8">
        <f>COUNTIFS('All Papers'!$D:$D,"*"&amp;$A1468&amp;"*",'All Papers'!$G:$G,"*"&amp;Table1[[#Headers],[Resource Management-PS]]&amp;"*")</f>
        <v>1</v>
      </c>
      <c r="I1468" s="8">
        <f>COUNTIFS('All Papers'!$D:$D,"*"&amp;$A1468&amp;"*",'All Papers'!$G:$G,"*"&amp;Table1[[#Headers],[SLA Management]]&amp;"*")</f>
        <v>0</v>
      </c>
      <c r="J1468" s="8">
        <f>COUNTIFS('All Papers'!$D:$D,"*"&amp;$A1468&amp;"*",'All Papers'!$G:$G,"*"&amp;Table1[[#Headers],[Big Data]]&amp;"*")</f>
        <v>0</v>
      </c>
      <c r="K1468" s="8">
        <f>COUNTIFS('All Papers'!$D:$D,"*"&amp;$A1468&amp;"*",'All Papers'!$G:$G,"*"&amp;Table1[[#Headers],[Energy Management]]&amp;"*")</f>
        <v>0</v>
      </c>
      <c r="L1468" s="8">
        <f>COUNTIFS('All Papers'!$D:$D,"*"&amp;$A1468&amp;"*",'All Papers'!$G:$G,"*"&amp;Table1[[#Headers],[Monitoring]]&amp;"*")</f>
        <v>0</v>
      </c>
      <c r="M1468" s="8">
        <f>COUNTIFS('All Papers'!$D:$D,"*"&amp;$A1468&amp;"*",'All Papers'!$G:$G,"*"&amp;Table1[[#Headers],[Pricing]]&amp;"*")</f>
        <v>0</v>
      </c>
    </row>
    <row r="1469" spans="1:13" x14ac:dyDescent="0.25">
      <c r="A1469" s="8" t="s">
        <v>3902</v>
      </c>
      <c r="B1469" s="8">
        <f>COUNTIF('All Papers'!D:D,"*"&amp;Table1[[#This Row],[Name]]&amp;"*")</f>
        <v>1</v>
      </c>
      <c r="C1469" s="8">
        <f>COUNTIFS('All Papers'!$D:$D,"*"&amp;$A1469&amp;"*",'All Papers'!$G:$G,"*"&amp;Table1[[#Headers],[Composition]]&amp;"*")</f>
        <v>0</v>
      </c>
      <c r="D1469" s="8">
        <f>COUNTIFS('All Papers'!$D:$D,"*"&amp;$A1469&amp;"*",'All Papers'!$G:$G,"*"&amp;Table1[[#Headers],[Discovery]]&amp;"*")</f>
        <v>0</v>
      </c>
      <c r="E1469" s="8">
        <f>COUNTIFS('All Papers'!$D:$D,"*"&amp;$A1469&amp;"*",'All Papers'!$G:$G,"*"&amp;Table1[[#Headers],[Selection]]&amp;"*")</f>
        <v>0</v>
      </c>
      <c r="F1469" s="8">
        <f>COUNTIFS('All Papers'!$D:$D,"*"&amp;$A1469&amp;"*",'All Papers'!$G:$G,"*"&amp;Table1[[#Headers],[Recommendation]]&amp;"*")</f>
        <v>0</v>
      </c>
      <c r="G1469" s="8">
        <f>COUNTIFS('All Papers'!$D:$D,"*"&amp;$A1469&amp;"*",'All Papers'!$G:$G,"*"&amp;Table1[[#Headers],[Resource Management-CS]]&amp;"*")</f>
        <v>0</v>
      </c>
      <c r="H1469" s="8">
        <f>COUNTIFS('All Papers'!$D:$D,"*"&amp;$A1469&amp;"*",'All Papers'!$G:$G,"*"&amp;Table1[[#Headers],[Resource Management-PS]]&amp;"*")</f>
        <v>1</v>
      </c>
      <c r="I1469" s="8">
        <f>COUNTIFS('All Papers'!$D:$D,"*"&amp;$A1469&amp;"*",'All Papers'!$G:$G,"*"&amp;Table1[[#Headers],[SLA Management]]&amp;"*")</f>
        <v>0</v>
      </c>
      <c r="J1469" s="8">
        <f>COUNTIFS('All Papers'!$D:$D,"*"&amp;$A1469&amp;"*",'All Papers'!$G:$G,"*"&amp;Table1[[#Headers],[Big Data]]&amp;"*")</f>
        <v>0</v>
      </c>
      <c r="K1469" s="8">
        <f>COUNTIFS('All Papers'!$D:$D,"*"&amp;$A1469&amp;"*",'All Papers'!$G:$G,"*"&amp;Table1[[#Headers],[Energy Management]]&amp;"*")</f>
        <v>0</v>
      </c>
      <c r="L1469" s="8">
        <f>COUNTIFS('All Papers'!$D:$D,"*"&amp;$A1469&amp;"*",'All Papers'!$G:$G,"*"&amp;Table1[[#Headers],[Monitoring]]&amp;"*")</f>
        <v>0</v>
      </c>
      <c r="M1469" s="8">
        <f>COUNTIFS('All Papers'!$D:$D,"*"&amp;$A1469&amp;"*",'All Papers'!$G:$G,"*"&amp;Table1[[#Headers],[Pricing]]&amp;"*")</f>
        <v>0</v>
      </c>
    </row>
    <row r="1470" spans="1:13" x14ac:dyDescent="0.25">
      <c r="A1470" s="8" t="s">
        <v>3903</v>
      </c>
      <c r="B1470" s="8">
        <f>COUNTIF('All Papers'!D:D,"*"&amp;Table1[[#This Row],[Name]]&amp;"*")</f>
        <v>1</v>
      </c>
      <c r="C1470" s="8">
        <f>COUNTIFS('All Papers'!$D:$D,"*"&amp;$A1470&amp;"*",'All Papers'!$G:$G,"*"&amp;Table1[[#Headers],[Composition]]&amp;"*")</f>
        <v>0</v>
      </c>
      <c r="D1470" s="8">
        <f>COUNTIFS('All Papers'!$D:$D,"*"&amp;$A1470&amp;"*",'All Papers'!$G:$G,"*"&amp;Table1[[#Headers],[Discovery]]&amp;"*")</f>
        <v>0</v>
      </c>
      <c r="E1470" s="8">
        <f>COUNTIFS('All Papers'!$D:$D,"*"&amp;$A1470&amp;"*",'All Papers'!$G:$G,"*"&amp;Table1[[#Headers],[Selection]]&amp;"*")</f>
        <v>0</v>
      </c>
      <c r="F1470" s="8">
        <f>COUNTIFS('All Papers'!$D:$D,"*"&amp;$A1470&amp;"*",'All Papers'!$G:$G,"*"&amp;Table1[[#Headers],[Recommendation]]&amp;"*")</f>
        <v>0</v>
      </c>
      <c r="G1470" s="8">
        <f>COUNTIFS('All Papers'!$D:$D,"*"&amp;$A1470&amp;"*",'All Papers'!$G:$G,"*"&amp;Table1[[#Headers],[Resource Management-CS]]&amp;"*")</f>
        <v>0</v>
      </c>
      <c r="H1470" s="8">
        <f>COUNTIFS('All Papers'!$D:$D,"*"&amp;$A1470&amp;"*",'All Papers'!$G:$G,"*"&amp;Table1[[#Headers],[Resource Management-PS]]&amp;"*")</f>
        <v>1</v>
      </c>
      <c r="I1470" s="8">
        <f>COUNTIFS('All Papers'!$D:$D,"*"&amp;$A1470&amp;"*",'All Papers'!$G:$G,"*"&amp;Table1[[#Headers],[SLA Management]]&amp;"*")</f>
        <v>0</v>
      </c>
      <c r="J1470" s="8">
        <f>COUNTIFS('All Papers'!$D:$D,"*"&amp;$A1470&amp;"*",'All Papers'!$G:$G,"*"&amp;Table1[[#Headers],[Big Data]]&amp;"*")</f>
        <v>0</v>
      </c>
      <c r="K1470" s="8">
        <f>COUNTIFS('All Papers'!$D:$D,"*"&amp;$A1470&amp;"*",'All Papers'!$G:$G,"*"&amp;Table1[[#Headers],[Energy Management]]&amp;"*")</f>
        <v>0</v>
      </c>
      <c r="L1470" s="8">
        <f>COUNTIFS('All Papers'!$D:$D,"*"&amp;$A1470&amp;"*",'All Papers'!$G:$G,"*"&amp;Table1[[#Headers],[Monitoring]]&amp;"*")</f>
        <v>0</v>
      </c>
      <c r="M1470" s="8">
        <f>COUNTIFS('All Papers'!$D:$D,"*"&amp;$A1470&amp;"*",'All Papers'!$G:$G,"*"&amp;Table1[[#Headers],[Pricing]]&amp;"*")</f>
        <v>0</v>
      </c>
    </row>
    <row r="1471" spans="1:13" x14ac:dyDescent="0.25">
      <c r="A1471" s="8" t="s">
        <v>3904</v>
      </c>
      <c r="B1471" s="8">
        <f>COUNTIF('All Papers'!D:D,"*"&amp;Table1[[#This Row],[Name]]&amp;"*")</f>
        <v>1</v>
      </c>
      <c r="C1471" s="8">
        <f>COUNTIFS('All Papers'!$D:$D,"*"&amp;$A1471&amp;"*",'All Papers'!$G:$G,"*"&amp;Table1[[#Headers],[Composition]]&amp;"*")</f>
        <v>0</v>
      </c>
      <c r="D1471" s="8">
        <f>COUNTIFS('All Papers'!$D:$D,"*"&amp;$A1471&amp;"*",'All Papers'!$G:$G,"*"&amp;Table1[[#Headers],[Discovery]]&amp;"*")</f>
        <v>1</v>
      </c>
      <c r="E1471" s="8">
        <f>COUNTIFS('All Papers'!$D:$D,"*"&amp;$A1471&amp;"*",'All Papers'!$G:$G,"*"&amp;Table1[[#Headers],[Selection]]&amp;"*")</f>
        <v>0</v>
      </c>
      <c r="F1471" s="8">
        <f>COUNTIFS('All Papers'!$D:$D,"*"&amp;$A1471&amp;"*",'All Papers'!$G:$G,"*"&amp;Table1[[#Headers],[Recommendation]]&amp;"*")</f>
        <v>0</v>
      </c>
      <c r="G1471" s="8">
        <f>COUNTIFS('All Papers'!$D:$D,"*"&amp;$A1471&amp;"*",'All Papers'!$G:$G,"*"&amp;Table1[[#Headers],[Resource Management-CS]]&amp;"*")</f>
        <v>0</v>
      </c>
      <c r="H1471" s="8">
        <f>COUNTIFS('All Papers'!$D:$D,"*"&amp;$A1471&amp;"*",'All Papers'!$G:$G,"*"&amp;Table1[[#Headers],[Resource Management-PS]]&amp;"*")</f>
        <v>0</v>
      </c>
      <c r="I1471" s="8">
        <f>COUNTIFS('All Papers'!$D:$D,"*"&amp;$A1471&amp;"*",'All Papers'!$G:$G,"*"&amp;Table1[[#Headers],[SLA Management]]&amp;"*")</f>
        <v>0</v>
      </c>
      <c r="J1471" s="8">
        <f>COUNTIFS('All Papers'!$D:$D,"*"&amp;$A1471&amp;"*",'All Papers'!$G:$G,"*"&amp;Table1[[#Headers],[Big Data]]&amp;"*")</f>
        <v>0</v>
      </c>
      <c r="K1471" s="8">
        <f>COUNTIFS('All Papers'!$D:$D,"*"&amp;$A1471&amp;"*",'All Papers'!$G:$G,"*"&amp;Table1[[#Headers],[Energy Management]]&amp;"*")</f>
        <v>0</v>
      </c>
      <c r="L1471" s="8">
        <f>COUNTIFS('All Papers'!$D:$D,"*"&amp;$A1471&amp;"*",'All Papers'!$G:$G,"*"&amp;Table1[[#Headers],[Monitoring]]&amp;"*")</f>
        <v>0</v>
      </c>
      <c r="M1471" s="8">
        <f>COUNTIFS('All Papers'!$D:$D,"*"&amp;$A1471&amp;"*",'All Papers'!$G:$G,"*"&amp;Table1[[#Headers],[Pricing]]&amp;"*")</f>
        <v>0</v>
      </c>
    </row>
    <row r="1472" spans="1:13" x14ac:dyDescent="0.25">
      <c r="A1472" s="8" t="s">
        <v>3905</v>
      </c>
      <c r="B1472" s="8">
        <f>COUNTIF('All Papers'!D:D,"*"&amp;Table1[[#This Row],[Name]]&amp;"*")</f>
        <v>1</v>
      </c>
      <c r="C1472" s="8">
        <f>COUNTIFS('All Papers'!$D:$D,"*"&amp;$A1472&amp;"*",'All Papers'!$G:$G,"*"&amp;Table1[[#Headers],[Composition]]&amp;"*")</f>
        <v>0</v>
      </c>
      <c r="D1472" s="8">
        <f>COUNTIFS('All Papers'!$D:$D,"*"&amp;$A1472&amp;"*",'All Papers'!$G:$G,"*"&amp;Table1[[#Headers],[Discovery]]&amp;"*")</f>
        <v>1</v>
      </c>
      <c r="E1472" s="8">
        <f>COUNTIFS('All Papers'!$D:$D,"*"&amp;$A1472&amp;"*",'All Papers'!$G:$G,"*"&amp;Table1[[#Headers],[Selection]]&amp;"*")</f>
        <v>0</v>
      </c>
      <c r="F1472" s="8">
        <f>COUNTIFS('All Papers'!$D:$D,"*"&amp;$A1472&amp;"*",'All Papers'!$G:$G,"*"&amp;Table1[[#Headers],[Recommendation]]&amp;"*")</f>
        <v>0</v>
      </c>
      <c r="G1472" s="8">
        <f>COUNTIFS('All Papers'!$D:$D,"*"&amp;$A1472&amp;"*",'All Papers'!$G:$G,"*"&amp;Table1[[#Headers],[Resource Management-CS]]&amp;"*")</f>
        <v>0</v>
      </c>
      <c r="H1472" s="8">
        <f>COUNTIFS('All Papers'!$D:$D,"*"&amp;$A1472&amp;"*",'All Papers'!$G:$G,"*"&amp;Table1[[#Headers],[Resource Management-PS]]&amp;"*")</f>
        <v>0</v>
      </c>
      <c r="I1472" s="8">
        <f>COUNTIFS('All Papers'!$D:$D,"*"&amp;$A1472&amp;"*",'All Papers'!$G:$G,"*"&amp;Table1[[#Headers],[SLA Management]]&amp;"*")</f>
        <v>0</v>
      </c>
      <c r="J1472" s="8">
        <f>COUNTIFS('All Papers'!$D:$D,"*"&amp;$A1472&amp;"*",'All Papers'!$G:$G,"*"&amp;Table1[[#Headers],[Big Data]]&amp;"*")</f>
        <v>0</v>
      </c>
      <c r="K1472" s="8">
        <f>COUNTIFS('All Papers'!$D:$D,"*"&amp;$A1472&amp;"*",'All Papers'!$G:$G,"*"&amp;Table1[[#Headers],[Energy Management]]&amp;"*")</f>
        <v>0</v>
      </c>
      <c r="L1472" s="8">
        <f>COUNTIFS('All Papers'!$D:$D,"*"&amp;$A1472&amp;"*",'All Papers'!$G:$G,"*"&amp;Table1[[#Headers],[Monitoring]]&amp;"*")</f>
        <v>0</v>
      </c>
      <c r="M1472" s="8">
        <f>COUNTIFS('All Papers'!$D:$D,"*"&amp;$A1472&amp;"*",'All Papers'!$G:$G,"*"&amp;Table1[[#Headers],[Pricing]]&amp;"*")</f>
        <v>0</v>
      </c>
    </row>
    <row r="1473" spans="1:13" x14ac:dyDescent="0.25">
      <c r="A1473" s="8" t="s">
        <v>3906</v>
      </c>
      <c r="B1473" s="8">
        <f>COUNTIF('All Papers'!D:D,"*"&amp;Table1[[#This Row],[Name]]&amp;"*")</f>
        <v>1</v>
      </c>
      <c r="C1473" s="8">
        <f>COUNTIFS('All Papers'!$D:$D,"*"&amp;$A1473&amp;"*",'All Papers'!$G:$G,"*"&amp;Table1[[#Headers],[Composition]]&amp;"*")</f>
        <v>0</v>
      </c>
      <c r="D1473" s="8">
        <f>COUNTIFS('All Papers'!$D:$D,"*"&amp;$A1473&amp;"*",'All Papers'!$G:$G,"*"&amp;Table1[[#Headers],[Discovery]]&amp;"*")</f>
        <v>1</v>
      </c>
      <c r="E1473" s="8">
        <f>COUNTIFS('All Papers'!$D:$D,"*"&amp;$A1473&amp;"*",'All Papers'!$G:$G,"*"&amp;Table1[[#Headers],[Selection]]&amp;"*")</f>
        <v>0</v>
      </c>
      <c r="F1473" s="8">
        <f>COUNTIFS('All Papers'!$D:$D,"*"&amp;$A1473&amp;"*",'All Papers'!$G:$G,"*"&amp;Table1[[#Headers],[Recommendation]]&amp;"*")</f>
        <v>0</v>
      </c>
      <c r="G1473" s="8">
        <f>COUNTIFS('All Papers'!$D:$D,"*"&amp;$A1473&amp;"*",'All Papers'!$G:$G,"*"&amp;Table1[[#Headers],[Resource Management-CS]]&amp;"*")</f>
        <v>0</v>
      </c>
      <c r="H1473" s="8">
        <f>COUNTIFS('All Papers'!$D:$D,"*"&amp;$A1473&amp;"*",'All Papers'!$G:$G,"*"&amp;Table1[[#Headers],[Resource Management-PS]]&amp;"*")</f>
        <v>0</v>
      </c>
      <c r="I1473" s="8">
        <f>COUNTIFS('All Papers'!$D:$D,"*"&amp;$A1473&amp;"*",'All Papers'!$G:$G,"*"&amp;Table1[[#Headers],[SLA Management]]&amp;"*")</f>
        <v>0</v>
      </c>
      <c r="J1473" s="8">
        <f>COUNTIFS('All Papers'!$D:$D,"*"&amp;$A1473&amp;"*",'All Papers'!$G:$G,"*"&amp;Table1[[#Headers],[Big Data]]&amp;"*")</f>
        <v>0</v>
      </c>
      <c r="K1473" s="8">
        <f>COUNTIFS('All Papers'!$D:$D,"*"&amp;$A1473&amp;"*",'All Papers'!$G:$G,"*"&amp;Table1[[#Headers],[Energy Management]]&amp;"*")</f>
        <v>0</v>
      </c>
      <c r="L1473" s="8">
        <f>COUNTIFS('All Papers'!$D:$D,"*"&amp;$A1473&amp;"*",'All Papers'!$G:$G,"*"&amp;Table1[[#Headers],[Monitoring]]&amp;"*")</f>
        <v>0</v>
      </c>
      <c r="M1473" s="8">
        <f>COUNTIFS('All Papers'!$D:$D,"*"&amp;$A1473&amp;"*",'All Papers'!$G:$G,"*"&amp;Table1[[#Headers],[Pricing]]&amp;"*")</f>
        <v>0</v>
      </c>
    </row>
    <row r="1474" spans="1:13" x14ac:dyDescent="0.25">
      <c r="A1474" s="8" t="s">
        <v>3907</v>
      </c>
      <c r="B1474" s="8">
        <f>COUNTIF('All Papers'!D:D,"*"&amp;Table1[[#This Row],[Name]]&amp;"*")</f>
        <v>1</v>
      </c>
      <c r="C1474" s="8">
        <f>COUNTIFS('All Papers'!$D:$D,"*"&amp;$A1474&amp;"*",'All Papers'!$G:$G,"*"&amp;Table1[[#Headers],[Composition]]&amp;"*")</f>
        <v>0</v>
      </c>
      <c r="D1474" s="8">
        <f>COUNTIFS('All Papers'!$D:$D,"*"&amp;$A1474&amp;"*",'All Papers'!$G:$G,"*"&amp;Table1[[#Headers],[Discovery]]&amp;"*")</f>
        <v>1</v>
      </c>
      <c r="E1474" s="8">
        <f>COUNTIFS('All Papers'!$D:$D,"*"&amp;$A1474&amp;"*",'All Papers'!$G:$G,"*"&amp;Table1[[#Headers],[Selection]]&amp;"*")</f>
        <v>0</v>
      </c>
      <c r="F1474" s="8">
        <f>COUNTIFS('All Papers'!$D:$D,"*"&amp;$A1474&amp;"*",'All Papers'!$G:$G,"*"&amp;Table1[[#Headers],[Recommendation]]&amp;"*")</f>
        <v>0</v>
      </c>
      <c r="G1474" s="8">
        <f>COUNTIFS('All Papers'!$D:$D,"*"&amp;$A1474&amp;"*",'All Papers'!$G:$G,"*"&amp;Table1[[#Headers],[Resource Management-CS]]&amp;"*")</f>
        <v>0</v>
      </c>
      <c r="H1474" s="8">
        <f>COUNTIFS('All Papers'!$D:$D,"*"&amp;$A1474&amp;"*",'All Papers'!$G:$G,"*"&amp;Table1[[#Headers],[Resource Management-PS]]&amp;"*")</f>
        <v>0</v>
      </c>
      <c r="I1474" s="8">
        <f>COUNTIFS('All Papers'!$D:$D,"*"&amp;$A1474&amp;"*",'All Papers'!$G:$G,"*"&amp;Table1[[#Headers],[SLA Management]]&amp;"*")</f>
        <v>0</v>
      </c>
      <c r="J1474" s="8">
        <f>COUNTIFS('All Papers'!$D:$D,"*"&amp;$A1474&amp;"*",'All Papers'!$G:$G,"*"&amp;Table1[[#Headers],[Big Data]]&amp;"*")</f>
        <v>0</v>
      </c>
      <c r="K1474" s="8">
        <f>COUNTIFS('All Papers'!$D:$D,"*"&amp;$A1474&amp;"*",'All Papers'!$G:$G,"*"&amp;Table1[[#Headers],[Energy Management]]&amp;"*")</f>
        <v>0</v>
      </c>
      <c r="L1474" s="8">
        <f>COUNTIFS('All Papers'!$D:$D,"*"&amp;$A1474&amp;"*",'All Papers'!$G:$G,"*"&amp;Table1[[#Headers],[Monitoring]]&amp;"*")</f>
        <v>0</v>
      </c>
      <c r="M1474" s="8">
        <f>COUNTIFS('All Papers'!$D:$D,"*"&amp;$A1474&amp;"*",'All Papers'!$G:$G,"*"&amp;Table1[[#Headers],[Pricing]]&amp;"*")</f>
        <v>0</v>
      </c>
    </row>
    <row r="1475" spans="1:13" x14ac:dyDescent="0.25">
      <c r="A1475" s="8" t="s">
        <v>3908</v>
      </c>
      <c r="B1475" s="8">
        <f>COUNTIF('All Papers'!D:D,"*"&amp;Table1[[#This Row],[Name]]&amp;"*")</f>
        <v>1</v>
      </c>
      <c r="C1475" s="8">
        <f>COUNTIFS('All Papers'!$D:$D,"*"&amp;$A1475&amp;"*",'All Papers'!$G:$G,"*"&amp;Table1[[#Headers],[Composition]]&amp;"*")</f>
        <v>0</v>
      </c>
      <c r="D1475" s="8">
        <f>COUNTIFS('All Papers'!$D:$D,"*"&amp;$A1475&amp;"*",'All Papers'!$G:$G,"*"&amp;Table1[[#Headers],[Discovery]]&amp;"*")</f>
        <v>1</v>
      </c>
      <c r="E1475" s="8">
        <f>COUNTIFS('All Papers'!$D:$D,"*"&amp;$A1475&amp;"*",'All Papers'!$G:$G,"*"&amp;Table1[[#Headers],[Selection]]&amp;"*")</f>
        <v>0</v>
      </c>
      <c r="F1475" s="8">
        <f>COUNTIFS('All Papers'!$D:$D,"*"&amp;$A1475&amp;"*",'All Papers'!$G:$G,"*"&amp;Table1[[#Headers],[Recommendation]]&amp;"*")</f>
        <v>0</v>
      </c>
      <c r="G1475" s="8">
        <f>COUNTIFS('All Papers'!$D:$D,"*"&amp;$A1475&amp;"*",'All Papers'!$G:$G,"*"&amp;Table1[[#Headers],[Resource Management-CS]]&amp;"*")</f>
        <v>0</v>
      </c>
      <c r="H1475" s="8">
        <f>COUNTIFS('All Papers'!$D:$D,"*"&amp;$A1475&amp;"*",'All Papers'!$G:$G,"*"&amp;Table1[[#Headers],[Resource Management-PS]]&amp;"*")</f>
        <v>0</v>
      </c>
      <c r="I1475" s="8">
        <f>COUNTIFS('All Papers'!$D:$D,"*"&amp;$A1475&amp;"*",'All Papers'!$G:$G,"*"&amp;Table1[[#Headers],[SLA Management]]&amp;"*")</f>
        <v>0</v>
      </c>
      <c r="J1475" s="8">
        <f>COUNTIFS('All Papers'!$D:$D,"*"&amp;$A1475&amp;"*",'All Papers'!$G:$G,"*"&amp;Table1[[#Headers],[Big Data]]&amp;"*")</f>
        <v>0</v>
      </c>
      <c r="K1475" s="8">
        <f>COUNTIFS('All Papers'!$D:$D,"*"&amp;$A1475&amp;"*",'All Papers'!$G:$G,"*"&amp;Table1[[#Headers],[Energy Management]]&amp;"*")</f>
        <v>0</v>
      </c>
      <c r="L1475" s="8">
        <f>COUNTIFS('All Papers'!$D:$D,"*"&amp;$A1475&amp;"*",'All Papers'!$G:$G,"*"&amp;Table1[[#Headers],[Monitoring]]&amp;"*")</f>
        <v>0</v>
      </c>
      <c r="M1475" s="8">
        <f>COUNTIFS('All Papers'!$D:$D,"*"&amp;$A1475&amp;"*",'All Papers'!$G:$G,"*"&amp;Table1[[#Headers],[Pricing]]&amp;"*")</f>
        <v>0</v>
      </c>
    </row>
    <row r="1476" spans="1:13" x14ac:dyDescent="0.25">
      <c r="A1476" s="8" t="s">
        <v>3909</v>
      </c>
      <c r="B1476" s="8">
        <f>COUNTIF('All Papers'!D:D,"*"&amp;Table1[[#This Row],[Name]]&amp;"*")</f>
        <v>1</v>
      </c>
      <c r="C1476" s="8">
        <f>COUNTIFS('All Papers'!$D:$D,"*"&amp;$A1476&amp;"*",'All Papers'!$G:$G,"*"&amp;Table1[[#Headers],[Composition]]&amp;"*")</f>
        <v>0</v>
      </c>
      <c r="D1476" s="8">
        <f>COUNTIFS('All Papers'!$D:$D,"*"&amp;$A1476&amp;"*",'All Papers'!$G:$G,"*"&amp;Table1[[#Headers],[Discovery]]&amp;"*")</f>
        <v>1</v>
      </c>
      <c r="E1476" s="8">
        <f>COUNTIFS('All Papers'!$D:$D,"*"&amp;$A1476&amp;"*",'All Papers'!$G:$G,"*"&amp;Table1[[#Headers],[Selection]]&amp;"*")</f>
        <v>0</v>
      </c>
      <c r="F1476" s="8">
        <f>COUNTIFS('All Papers'!$D:$D,"*"&amp;$A1476&amp;"*",'All Papers'!$G:$G,"*"&amp;Table1[[#Headers],[Recommendation]]&amp;"*")</f>
        <v>0</v>
      </c>
      <c r="G1476" s="8">
        <f>COUNTIFS('All Papers'!$D:$D,"*"&amp;$A1476&amp;"*",'All Papers'!$G:$G,"*"&amp;Table1[[#Headers],[Resource Management-CS]]&amp;"*")</f>
        <v>0</v>
      </c>
      <c r="H1476" s="8">
        <f>COUNTIFS('All Papers'!$D:$D,"*"&amp;$A1476&amp;"*",'All Papers'!$G:$G,"*"&amp;Table1[[#Headers],[Resource Management-PS]]&amp;"*")</f>
        <v>0</v>
      </c>
      <c r="I1476" s="8">
        <f>COUNTIFS('All Papers'!$D:$D,"*"&amp;$A1476&amp;"*",'All Papers'!$G:$G,"*"&amp;Table1[[#Headers],[SLA Management]]&amp;"*")</f>
        <v>0</v>
      </c>
      <c r="J1476" s="8">
        <f>COUNTIFS('All Papers'!$D:$D,"*"&amp;$A1476&amp;"*",'All Papers'!$G:$G,"*"&amp;Table1[[#Headers],[Big Data]]&amp;"*")</f>
        <v>0</v>
      </c>
      <c r="K1476" s="8">
        <f>COUNTIFS('All Papers'!$D:$D,"*"&amp;$A1476&amp;"*",'All Papers'!$G:$G,"*"&amp;Table1[[#Headers],[Energy Management]]&amp;"*")</f>
        <v>0</v>
      </c>
      <c r="L1476" s="8">
        <f>COUNTIFS('All Papers'!$D:$D,"*"&amp;$A1476&amp;"*",'All Papers'!$G:$G,"*"&amp;Table1[[#Headers],[Monitoring]]&amp;"*")</f>
        <v>0</v>
      </c>
      <c r="M1476" s="8">
        <f>COUNTIFS('All Papers'!$D:$D,"*"&amp;$A1476&amp;"*",'All Papers'!$G:$G,"*"&amp;Table1[[#Headers],[Pricing]]&amp;"*")</f>
        <v>0</v>
      </c>
    </row>
    <row r="1477" spans="1:13" x14ac:dyDescent="0.25">
      <c r="A1477" s="8" t="s">
        <v>3910</v>
      </c>
      <c r="B1477" s="8">
        <f>COUNTIF('All Papers'!D:D,"*"&amp;Table1[[#This Row],[Name]]&amp;"*")</f>
        <v>1</v>
      </c>
      <c r="C1477" s="8">
        <f>COUNTIFS('All Papers'!$D:$D,"*"&amp;$A1477&amp;"*",'All Papers'!$G:$G,"*"&amp;Table1[[#Headers],[Composition]]&amp;"*")</f>
        <v>0</v>
      </c>
      <c r="D1477" s="8">
        <f>COUNTIFS('All Papers'!$D:$D,"*"&amp;$A1477&amp;"*",'All Papers'!$G:$G,"*"&amp;Table1[[#Headers],[Discovery]]&amp;"*")</f>
        <v>1</v>
      </c>
      <c r="E1477" s="8">
        <f>COUNTIFS('All Papers'!$D:$D,"*"&amp;$A1477&amp;"*",'All Papers'!$G:$G,"*"&amp;Table1[[#Headers],[Selection]]&amp;"*")</f>
        <v>0</v>
      </c>
      <c r="F1477" s="8">
        <f>COUNTIFS('All Papers'!$D:$D,"*"&amp;$A1477&amp;"*",'All Papers'!$G:$G,"*"&amp;Table1[[#Headers],[Recommendation]]&amp;"*")</f>
        <v>0</v>
      </c>
      <c r="G1477" s="8">
        <f>COUNTIFS('All Papers'!$D:$D,"*"&amp;$A1477&amp;"*",'All Papers'!$G:$G,"*"&amp;Table1[[#Headers],[Resource Management-CS]]&amp;"*")</f>
        <v>0</v>
      </c>
      <c r="H1477" s="8">
        <f>COUNTIFS('All Papers'!$D:$D,"*"&amp;$A1477&amp;"*",'All Papers'!$G:$G,"*"&amp;Table1[[#Headers],[Resource Management-PS]]&amp;"*")</f>
        <v>0</v>
      </c>
      <c r="I1477" s="8">
        <f>COUNTIFS('All Papers'!$D:$D,"*"&amp;$A1477&amp;"*",'All Papers'!$G:$G,"*"&amp;Table1[[#Headers],[SLA Management]]&amp;"*")</f>
        <v>0</v>
      </c>
      <c r="J1477" s="8">
        <f>COUNTIFS('All Papers'!$D:$D,"*"&amp;$A1477&amp;"*",'All Papers'!$G:$G,"*"&amp;Table1[[#Headers],[Big Data]]&amp;"*")</f>
        <v>0</v>
      </c>
      <c r="K1477" s="8">
        <f>COUNTIFS('All Papers'!$D:$D,"*"&amp;$A1477&amp;"*",'All Papers'!$G:$G,"*"&amp;Table1[[#Headers],[Energy Management]]&amp;"*")</f>
        <v>0</v>
      </c>
      <c r="L1477" s="8">
        <f>COUNTIFS('All Papers'!$D:$D,"*"&amp;$A1477&amp;"*",'All Papers'!$G:$G,"*"&amp;Table1[[#Headers],[Monitoring]]&amp;"*")</f>
        <v>0</v>
      </c>
      <c r="M1477" s="8">
        <f>COUNTIFS('All Papers'!$D:$D,"*"&amp;$A1477&amp;"*",'All Papers'!$G:$G,"*"&amp;Table1[[#Headers],[Pricing]]&amp;"*")</f>
        <v>0</v>
      </c>
    </row>
    <row r="1478" spans="1:13" x14ac:dyDescent="0.25">
      <c r="A1478" s="8" t="s">
        <v>3911</v>
      </c>
      <c r="B1478" s="8">
        <f>COUNTIF('All Papers'!D:D,"*"&amp;Table1[[#This Row],[Name]]&amp;"*")</f>
        <v>1</v>
      </c>
      <c r="C1478" s="8">
        <f>COUNTIFS('All Papers'!$D:$D,"*"&amp;$A1478&amp;"*",'All Papers'!$G:$G,"*"&amp;Table1[[#Headers],[Composition]]&amp;"*")</f>
        <v>0</v>
      </c>
      <c r="D1478" s="8">
        <f>COUNTIFS('All Papers'!$D:$D,"*"&amp;$A1478&amp;"*",'All Papers'!$G:$G,"*"&amp;Table1[[#Headers],[Discovery]]&amp;"*")</f>
        <v>1</v>
      </c>
      <c r="E1478" s="8">
        <f>COUNTIFS('All Papers'!$D:$D,"*"&amp;$A1478&amp;"*",'All Papers'!$G:$G,"*"&amp;Table1[[#Headers],[Selection]]&amp;"*")</f>
        <v>0</v>
      </c>
      <c r="F1478" s="8">
        <f>COUNTIFS('All Papers'!$D:$D,"*"&amp;$A1478&amp;"*",'All Papers'!$G:$G,"*"&amp;Table1[[#Headers],[Recommendation]]&amp;"*")</f>
        <v>0</v>
      </c>
      <c r="G1478" s="8">
        <f>COUNTIFS('All Papers'!$D:$D,"*"&amp;$A1478&amp;"*",'All Papers'!$G:$G,"*"&amp;Table1[[#Headers],[Resource Management-CS]]&amp;"*")</f>
        <v>0</v>
      </c>
      <c r="H1478" s="8">
        <f>COUNTIFS('All Papers'!$D:$D,"*"&amp;$A1478&amp;"*",'All Papers'!$G:$G,"*"&amp;Table1[[#Headers],[Resource Management-PS]]&amp;"*")</f>
        <v>0</v>
      </c>
      <c r="I1478" s="8">
        <f>COUNTIFS('All Papers'!$D:$D,"*"&amp;$A1478&amp;"*",'All Papers'!$G:$G,"*"&amp;Table1[[#Headers],[SLA Management]]&amp;"*")</f>
        <v>0</v>
      </c>
      <c r="J1478" s="8">
        <f>COUNTIFS('All Papers'!$D:$D,"*"&amp;$A1478&amp;"*",'All Papers'!$G:$G,"*"&amp;Table1[[#Headers],[Big Data]]&amp;"*")</f>
        <v>0</v>
      </c>
      <c r="K1478" s="8">
        <f>COUNTIFS('All Papers'!$D:$D,"*"&amp;$A1478&amp;"*",'All Papers'!$G:$G,"*"&amp;Table1[[#Headers],[Energy Management]]&amp;"*")</f>
        <v>0</v>
      </c>
      <c r="L1478" s="8">
        <f>COUNTIFS('All Papers'!$D:$D,"*"&amp;$A1478&amp;"*",'All Papers'!$G:$G,"*"&amp;Table1[[#Headers],[Monitoring]]&amp;"*")</f>
        <v>0</v>
      </c>
      <c r="M1478" s="8">
        <f>COUNTIFS('All Papers'!$D:$D,"*"&amp;$A1478&amp;"*",'All Papers'!$G:$G,"*"&amp;Table1[[#Headers],[Pricing]]&amp;"*")</f>
        <v>0</v>
      </c>
    </row>
    <row r="1479" spans="1:13" x14ac:dyDescent="0.25">
      <c r="A1479" s="8" t="s">
        <v>3912</v>
      </c>
      <c r="B1479" s="8">
        <f>COUNTIF('All Papers'!D:D,"*"&amp;Table1[[#This Row],[Name]]&amp;"*")</f>
        <v>1</v>
      </c>
      <c r="C1479" s="8">
        <f>COUNTIFS('All Papers'!$D:$D,"*"&amp;$A1479&amp;"*",'All Papers'!$G:$G,"*"&amp;Table1[[#Headers],[Composition]]&amp;"*")</f>
        <v>0</v>
      </c>
      <c r="D1479" s="8">
        <f>COUNTIFS('All Papers'!$D:$D,"*"&amp;$A1479&amp;"*",'All Papers'!$G:$G,"*"&amp;Table1[[#Headers],[Discovery]]&amp;"*")</f>
        <v>1</v>
      </c>
      <c r="E1479" s="8">
        <f>COUNTIFS('All Papers'!$D:$D,"*"&amp;$A1479&amp;"*",'All Papers'!$G:$G,"*"&amp;Table1[[#Headers],[Selection]]&amp;"*")</f>
        <v>0</v>
      </c>
      <c r="F1479" s="8">
        <f>COUNTIFS('All Papers'!$D:$D,"*"&amp;$A1479&amp;"*",'All Papers'!$G:$G,"*"&amp;Table1[[#Headers],[Recommendation]]&amp;"*")</f>
        <v>0</v>
      </c>
      <c r="G1479" s="8">
        <f>COUNTIFS('All Papers'!$D:$D,"*"&amp;$A1479&amp;"*",'All Papers'!$G:$G,"*"&amp;Table1[[#Headers],[Resource Management-CS]]&amp;"*")</f>
        <v>0</v>
      </c>
      <c r="H1479" s="8">
        <f>COUNTIFS('All Papers'!$D:$D,"*"&amp;$A1479&amp;"*",'All Papers'!$G:$G,"*"&amp;Table1[[#Headers],[Resource Management-PS]]&amp;"*")</f>
        <v>0</v>
      </c>
      <c r="I1479" s="8">
        <f>COUNTIFS('All Papers'!$D:$D,"*"&amp;$A1479&amp;"*",'All Papers'!$G:$G,"*"&amp;Table1[[#Headers],[SLA Management]]&amp;"*")</f>
        <v>0</v>
      </c>
      <c r="J1479" s="8">
        <f>COUNTIFS('All Papers'!$D:$D,"*"&amp;$A1479&amp;"*",'All Papers'!$G:$G,"*"&amp;Table1[[#Headers],[Big Data]]&amp;"*")</f>
        <v>0</v>
      </c>
      <c r="K1479" s="8">
        <f>COUNTIFS('All Papers'!$D:$D,"*"&amp;$A1479&amp;"*",'All Papers'!$G:$G,"*"&amp;Table1[[#Headers],[Energy Management]]&amp;"*")</f>
        <v>0</v>
      </c>
      <c r="L1479" s="8">
        <f>COUNTIFS('All Papers'!$D:$D,"*"&amp;$A1479&amp;"*",'All Papers'!$G:$G,"*"&amp;Table1[[#Headers],[Monitoring]]&amp;"*")</f>
        <v>0</v>
      </c>
      <c r="M1479" s="8">
        <f>COUNTIFS('All Papers'!$D:$D,"*"&amp;$A1479&amp;"*",'All Papers'!$G:$G,"*"&amp;Table1[[#Headers],[Pricing]]&amp;"*")</f>
        <v>0</v>
      </c>
    </row>
    <row r="1480" spans="1:13" x14ac:dyDescent="0.25">
      <c r="A1480" s="8" t="s">
        <v>3913</v>
      </c>
      <c r="B1480" s="8">
        <f>COUNTIF('All Papers'!D:D,"*"&amp;Table1[[#This Row],[Name]]&amp;"*")</f>
        <v>1</v>
      </c>
      <c r="C1480" s="8">
        <f>COUNTIFS('All Papers'!$D:$D,"*"&amp;$A1480&amp;"*",'All Papers'!$G:$G,"*"&amp;Table1[[#Headers],[Composition]]&amp;"*")</f>
        <v>0</v>
      </c>
      <c r="D1480" s="8">
        <f>COUNTIFS('All Papers'!$D:$D,"*"&amp;$A1480&amp;"*",'All Papers'!$G:$G,"*"&amp;Table1[[#Headers],[Discovery]]&amp;"*")</f>
        <v>1</v>
      </c>
      <c r="E1480" s="8">
        <f>COUNTIFS('All Papers'!$D:$D,"*"&amp;$A1480&amp;"*",'All Papers'!$G:$G,"*"&amp;Table1[[#Headers],[Selection]]&amp;"*")</f>
        <v>0</v>
      </c>
      <c r="F1480" s="8">
        <f>COUNTIFS('All Papers'!$D:$D,"*"&amp;$A1480&amp;"*",'All Papers'!$G:$G,"*"&amp;Table1[[#Headers],[Recommendation]]&amp;"*")</f>
        <v>0</v>
      </c>
      <c r="G1480" s="8">
        <f>COUNTIFS('All Papers'!$D:$D,"*"&amp;$A1480&amp;"*",'All Papers'!$G:$G,"*"&amp;Table1[[#Headers],[Resource Management-CS]]&amp;"*")</f>
        <v>0</v>
      </c>
      <c r="H1480" s="8">
        <f>COUNTIFS('All Papers'!$D:$D,"*"&amp;$A1480&amp;"*",'All Papers'!$G:$G,"*"&amp;Table1[[#Headers],[Resource Management-PS]]&amp;"*")</f>
        <v>1</v>
      </c>
      <c r="I1480" s="8">
        <f>COUNTIFS('All Papers'!$D:$D,"*"&amp;$A1480&amp;"*",'All Papers'!$G:$G,"*"&amp;Table1[[#Headers],[SLA Management]]&amp;"*")</f>
        <v>0</v>
      </c>
      <c r="J1480" s="8">
        <f>COUNTIFS('All Papers'!$D:$D,"*"&amp;$A1480&amp;"*",'All Papers'!$G:$G,"*"&amp;Table1[[#Headers],[Big Data]]&amp;"*")</f>
        <v>0</v>
      </c>
      <c r="K1480" s="8">
        <f>COUNTIFS('All Papers'!$D:$D,"*"&amp;$A1480&amp;"*",'All Papers'!$G:$G,"*"&amp;Table1[[#Headers],[Energy Management]]&amp;"*")</f>
        <v>0</v>
      </c>
      <c r="L1480" s="8">
        <f>COUNTIFS('All Papers'!$D:$D,"*"&amp;$A1480&amp;"*",'All Papers'!$G:$G,"*"&amp;Table1[[#Headers],[Monitoring]]&amp;"*")</f>
        <v>1</v>
      </c>
      <c r="M1480" s="8">
        <f>COUNTIFS('All Papers'!$D:$D,"*"&amp;$A1480&amp;"*",'All Papers'!$G:$G,"*"&amp;Table1[[#Headers],[Pricing]]&amp;"*")</f>
        <v>0</v>
      </c>
    </row>
    <row r="1481" spans="1:13" x14ac:dyDescent="0.25">
      <c r="A1481" s="8" t="s">
        <v>3914</v>
      </c>
      <c r="B1481" s="8">
        <f>COUNTIF('All Papers'!D:D,"*"&amp;Table1[[#This Row],[Name]]&amp;"*")</f>
        <v>1</v>
      </c>
      <c r="C1481" s="8">
        <f>COUNTIFS('All Papers'!$D:$D,"*"&amp;$A1481&amp;"*",'All Papers'!$G:$G,"*"&amp;Table1[[#Headers],[Composition]]&amp;"*")</f>
        <v>0</v>
      </c>
      <c r="D1481" s="8">
        <f>COUNTIFS('All Papers'!$D:$D,"*"&amp;$A1481&amp;"*",'All Papers'!$G:$G,"*"&amp;Table1[[#Headers],[Discovery]]&amp;"*")</f>
        <v>0</v>
      </c>
      <c r="E1481" s="8">
        <f>COUNTIFS('All Papers'!$D:$D,"*"&amp;$A1481&amp;"*",'All Papers'!$G:$G,"*"&amp;Table1[[#Headers],[Selection]]&amp;"*")</f>
        <v>0</v>
      </c>
      <c r="F1481" s="8">
        <f>COUNTIFS('All Papers'!$D:$D,"*"&amp;$A1481&amp;"*",'All Papers'!$G:$G,"*"&amp;Table1[[#Headers],[Recommendation]]&amp;"*")</f>
        <v>0</v>
      </c>
      <c r="G1481" s="8">
        <f>COUNTIFS('All Papers'!$D:$D,"*"&amp;$A1481&amp;"*",'All Papers'!$G:$G,"*"&amp;Table1[[#Headers],[Resource Management-CS]]&amp;"*")</f>
        <v>1</v>
      </c>
      <c r="H1481" s="8">
        <f>COUNTIFS('All Papers'!$D:$D,"*"&amp;$A1481&amp;"*",'All Papers'!$G:$G,"*"&amp;Table1[[#Headers],[Resource Management-PS]]&amp;"*")</f>
        <v>0</v>
      </c>
      <c r="I1481" s="8">
        <f>COUNTIFS('All Papers'!$D:$D,"*"&amp;$A1481&amp;"*",'All Papers'!$G:$G,"*"&amp;Table1[[#Headers],[SLA Management]]&amp;"*")</f>
        <v>0</v>
      </c>
      <c r="J1481" s="8">
        <f>COUNTIFS('All Papers'!$D:$D,"*"&amp;$A1481&amp;"*",'All Papers'!$G:$G,"*"&amp;Table1[[#Headers],[Big Data]]&amp;"*")</f>
        <v>0</v>
      </c>
      <c r="K1481" s="8">
        <f>COUNTIFS('All Papers'!$D:$D,"*"&amp;$A1481&amp;"*",'All Papers'!$G:$G,"*"&amp;Table1[[#Headers],[Energy Management]]&amp;"*")</f>
        <v>0</v>
      </c>
      <c r="L1481" s="8">
        <f>COUNTIFS('All Papers'!$D:$D,"*"&amp;$A1481&amp;"*",'All Papers'!$G:$G,"*"&amp;Table1[[#Headers],[Monitoring]]&amp;"*")</f>
        <v>0</v>
      </c>
      <c r="M1481" s="8">
        <f>COUNTIFS('All Papers'!$D:$D,"*"&amp;$A1481&amp;"*",'All Papers'!$G:$G,"*"&amp;Table1[[#Headers],[Pricing]]&amp;"*")</f>
        <v>0</v>
      </c>
    </row>
    <row r="1482" spans="1:13" x14ac:dyDescent="0.25">
      <c r="A1482" s="8" t="s">
        <v>3915</v>
      </c>
      <c r="B1482" s="8">
        <f>COUNTIF('All Papers'!D:D,"*"&amp;Table1[[#This Row],[Name]]&amp;"*")</f>
        <v>1</v>
      </c>
      <c r="C1482" s="8">
        <f>COUNTIFS('All Papers'!$D:$D,"*"&amp;$A1482&amp;"*",'All Papers'!$G:$G,"*"&amp;Table1[[#Headers],[Composition]]&amp;"*")</f>
        <v>0</v>
      </c>
      <c r="D1482" s="8">
        <f>COUNTIFS('All Papers'!$D:$D,"*"&amp;$A1482&amp;"*",'All Papers'!$G:$G,"*"&amp;Table1[[#Headers],[Discovery]]&amp;"*")</f>
        <v>0</v>
      </c>
      <c r="E1482" s="8">
        <f>COUNTIFS('All Papers'!$D:$D,"*"&amp;$A1482&amp;"*",'All Papers'!$G:$G,"*"&amp;Table1[[#Headers],[Selection]]&amp;"*")</f>
        <v>0</v>
      </c>
      <c r="F1482" s="8">
        <f>COUNTIFS('All Papers'!$D:$D,"*"&amp;$A1482&amp;"*",'All Papers'!$G:$G,"*"&amp;Table1[[#Headers],[Recommendation]]&amp;"*")</f>
        <v>0</v>
      </c>
      <c r="G1482" s="8">
        <f>COUNTIFS('All Papers'!$D:$D,"*"&amp;$A1482&amp;"*",'All Papers'!$G:$G,"*"&amp;Table1[[#Headers],[Resource Management-CS]]&amp;"*")</f>
        <v>0</v>
      </c>
      <c r="H1482" s="8">
        <f>COUNTIFS('All Papers'!$D:$D,"*"&amp;$A1482&amp;"*",'All Papers'!$G:$G,"*"&amp;Table1[[#Headers],[Resource Management-PS]]&amp;"*")</f>
        <v>1</v>
      </c>
      <c r="I1482" s="8">
        <f>COUNTIFS('All Papers'!$D:$D,"*"&amp;$A1482&amp;"*",'All Papers'!$G:$G,"*"&amp;Table1[[#Headers],[SLA Management]]&amp;"*")</f>
        <v>0</v>
      </c>
      <c r="J1482" s="8">
        <f>COUNTIFS('All Papers'!$D:$D,"*"&amp;$A1482&amp;"*",'All Papers'!$G:$G,"*"&amp;Table1[[#Headers],[Big Data]]&amp;"*")</f>
        <v>0</v>
      </c>
      <c r="K1482" s="8">
        <f>COUNTIFS('All Papers'!$D:$D,"*"&amp;$A1482&amp;"*",'All Papers'!$G:$G,"*"&amp;Table1[[#Headers],[Energy Management]]&amp;"*")</f>
        <v>0</v>
      </c>
      <c r="L1482" s="8">
        <f>COUNTIFS('All Papers'!$D:$D,"*"&amp;$A1482&amp;"*",'All Papers'!$G:$G,"*"&amp;Table1[[#Headers],[Monitoring]]&amp;"*")</f>
        <v>0</v>
      </c>
      <c r="M1482" s="8">
        <f>COUNTIFS('All Papers'!$D:$D,"*"&amp;$A1482&amp;"*",'All Papers'!$G:$G,"*"&amp;Table1[[#Headers],[Pricing]]&amp;"*")</f>
        <v>0</v>
      </c>
    </row>
    <row r="1483" spans="1:13" x14ac:dyDescent="0.25">
      <c r="A1483" s="8" t="s">
        <v>3916</v>
      </c>
      <c r="B1483" s="8">
        <f>COUNTIF('All Papers'!D:D,"*"&amp;Table1[[#This Row],[Name]]&amp;"*")</f>
        <v>1</v>
      </c>
      <c r="C1483" s="8">
        <f>COUNTIFS('All Papers'!$D:$D,"*"&amp;$A1483&amp;"*",'All Papers'!$G:$G,"*"&amp;Table1[[#Headers],[Composition]]&amp;"*")</f>
        <v>0</v>
      </c>
      <c r="D1483" s="8">
        <f>COUNTIFS('All Papers'!$D:$D,"*"&amp;$A1483&amp;"*",'All Papers'!$G:$G,"*"&amp;Table1[[#Headers],[Discovery]]&amp;"*")</f>
        <v>0</v>
      </c>
      <c r="E1483" s="8">
        <f>COUNTIFS('All Papers'!$D:$D,"*"&amp;$A1483&amp;"*",'All Papers'!$G:$G,"*"&amp;Table1[[#Headers],[Selection]]&amp;"*")</f>
        <v>0</v>
      </c>
      <c r="F1483" s="8">
        <f>COUNTIFS('All Papers'!$D:$D,"*"&amp;$A1483&amp;"*",'All Papers'!$G:$G,"*"&amp;Table1[[#Headers],[Recommendation]]&amp;"*")</f>
        <v>0</v>
      </c>
      <c r="G1483" s="8">
        <f>COUNTIFS('All Papers'!$D:$D,"*"&amp;$A1483&amp;"*",'All Papers'!$G:$G,"*"&amp;Table1[[#Headers],[Resource Management-CS]]&amp;"*")</f>
        <v>0</v>
      </c>
      <c r="H1483" s="8">
        <f>COUNTIFS('All Papers'!$D:$D,"*"&amp;$A1483&amp;"*",'All Papers'!$G:$G,"*"&amp;Table1[[#Headers],[Resource Management-PS]]&amp;"*")</f>
        <v>1</v>
      </c>
      <c r="I1483" s="8">
        <f>COUNTIFS('All Papers'!$D:$D,"*"&amp;$A1483&amp;"*",'All Papers'!$G:$G,"*"&amp;Table1[[#Headers],[SLA Management]]&amp;"*")</f>
        <v>0</v>
      </c>
      <c r="J1483" s="8">
        <f>COUNTIFS('All Papers'!$D:$D,"*"&amp;$A1483&amp;"*",'All Papers'!$G:$G,"*"&amp;Table1[[#Headers],[Big Data]]&amp;"*")</f>
        <v>0</v>
      </c>
      <c r="K1483" s="8">
        <f>COUNTIFS('All Papers'!$D:$D,"*"&amp;$A1483&amp;"*",'All Papers'!$G:$G,"*"&amp;Table1[[#Headers],[Energy Management]]&amp;"*")</f>
        <v>0</v>
      </c>
      <c r="L1483" s="8">
        <f>COUNTIFS('All Papers'!$D:$D,"*"&amp;$A1483&amp;"*",'All Papers'!$G:$G,"*"&amp;Table1[[#Headers],[Monitoring]]&amp;"*")</f>
        <v>0</v>
      </c>
      <c r="M1483" s="8">
        <f>COUNTIFS('All Papers'!$D:$D,"*"&amp;$A1483&amp;"*",'All Papers'!$G:$G,"*"&amp;Table1[[#Headers],[Pricing]]&amp;"*")</f>
        <v>0</v>
      </c>
    </row>
    <row r="1484" spans="1:13" x14ac:dyDescent="0.25">
      <c r="A1484" s="8" t="s">
        <v>3917</v>
      </c>
      <c r="B1484" s="8">
        <f>COUNTIF('All Papers'!D:D,"*"&amp;Table1[[#This Row],[Name]]&amp;"*")</f>
        <v>1</v>
      </c>
      <c r="C1484" s="8">
        <f>COUNTIFS('All Papers'!$D:$D,"*"&amp;$A1484&amp;"*",'All Papers'!$G:$G,"*"&amp;Table1[[#Headers],[Composition]]&amp;"*")</f>
        <v>0</v>
      </c>
      <c r="D1484" s="8">
        <f>COUNTIFS('All Papers'!$D:$D,"*"&amp;$A1484&amp;"*",'All Papers'!$G:$G,"*"&amp;Table1[[#Headers],[Discovery]]&amp;"*")</f>
        <v>0</v>
      </c>
      <c r="E1484" s="8">
        <f>COUNTIFS('All Papers'!$D:$D,"*"&amp;$A1484&amp;"*",'All Papers'!$G:$G,"*"&amp;Table1[[#Headers],[Selection]]&amp;"*")</f>
        <v>0</v>
      </c>
      <c r="F1484" s="8">
        <f>COUNTIFS('All Papers'!$D:$D,"*"&amp;$A1484&amp;"*",'All Papers'!$G:$G,"*"&amp;Table1[[#Headers],[Recommendation]]&amp;"*")</f>
        <v>0</v>
      </c>
      <c r="G1484" s="8">
        <f>COUNTIFS('All Papers'!$D:$D,"*"&amp;$A1484&amp;"*",'All Papers'!$G:$G,"*"&amp;Table1[[#Headers],[Resource Management-CS]]&amp;"*")</f>
        <v>0</v>
      </c>
      <c r="H1484" s="8">
        <f>COUNTIFS('All Papers'!$D:$D,"*"&amp;$A1484&amp;"*",'All Papers'!$G:$G,"*"&amp;Table1[[#Headers],[Resource Management-PS]]&amp;"*")</f>
        <v>1</v>
      </c>
      <c r="I1484" s="8">
        <f>COUNTIFS('All Papers'!$D:$D,"*"&amp;$A1484&amp;"*",'All Papers'!$G:$G,"*"&amp;Table1[[#Headers],[SLA Management]]&amp;"*")</f>
        <v>0</v>
      </c>
      <c r="J1484" s="8">
        <f>COUNTIFS('All Papers'!$D:$D,"*"&amp;$A1484&amp;"*",'All Papers'!$G:$G,"*"&amp;Table1[[#Headers],[Big Data]]&amp;"*")</f>
        <v>0</v>
      </c>
      <c r="K1484" s="8">
        <f>COUNTIFS('All Papers'!$D:$D,"*"&amp;$A1484&amp;"*",'All Papers'!$G:$G,"*"&amp;Table1[[#Headers],[Energy Management]]&amp;"*")</f>
        <v>0</v>
      </c>
      <c r="L1484" s="8">
        <f>COUNTIFS('All Papers'!$D:$D,"*"&amp;$A1484&amp;"*",'All Papers'!$G:$G,"*"&amp;Table1[[#Headers],[Monitoring]]&amp;"*")</f>
        <v>0</v>
      </c>
      <c r="M1484" s="8">
        <f>COUNTIFS('All Papers'!$D:$D,"*"&amp;$A1484&amp;"*",'All Papers'!$G:$G,"*"&amp;Table1[[#Headers],[Pricing]]&amp;"*")</f>
        <v>0</v>
      </c>
    </row>
    <row r="1485" spans="1:13" x14ac:dyDescent="0.25">
      <c r="A1485" s="8" t="s">
        <v>3918</v>
      </c>
      <c r="B1485" s="8">
        <f>COUNTIF('All Papers'!D:D,"*"&amp;Table1[[#This Row],[Name]]&amp;"*")</f>
        <v>1</v>
      </c>
      <c r="C1485" s="8">
        <f>COUNTIFS('All Papers'!$D:$D,"*"&amp;$A1485&amp;"*",'All Papers'!$G:$G,"*"&amp;Table1[[#Headers],[Composition]]&amp;"*")</f>
        <v>0</v>
      </c>
      <c r="D1485" s="8">
        <f>COUNTIFS('All Papers'!$D:$D,"*"&amp;$A1485&amp;"*",'All Papers'!$G:$G,"*"&amp;Table1[[#Headers],[Discovery]]&amp;"*")</f>
        <v>0</v>
      </c>
      <c r="E1485" s="8">
        <f>COUNTIFS('All Papers'!$D:$D,"*"&amp;$A1485&amp;"*",'All Papers'!$G:$G,"*"&amp;Table1[[#Headers],[Selection]]&amp;"*")</f>
        <v>0</v>
      </c>
      <c r="F1485" s="8">
        <f>COUNTIFS('All Papers'!$D:$D,"*"&amp;$A1485&amp;"*",'All Papers'!$G:$G,"*"&amp;Table1[[#Headers],[Recommendation]]&amp;"*")</f>
        <v>0</v>
      </c>
      <c r="G1485" s="8">
        <f>COUNTIFS('All Papers'!$D:$D,"*"&amp;$A1485&amp;"*",'All Papers'!$G:$G,"*"&amp;Table1[[#Headers],[Resource Management-CS]]&amp;"*")</f>
        <v>0</v>
      </c>
      <c r="H1485" s="8">
        <f>COUNTIFS('All Papers'!$D:$D,"*"&amp;$A1485&amp;"*",'All Papers'!$G:$G,"*"&amp;Table1[[#Headers],[Resource Management-PS]]&amp;"*")</f>
        <v>1</v>
      </c>
      <c r="I1485" s="8">
        <f>COUNTIFS('All Papers'!$D:$D,"*"&amp;$A1485&amp;"*",'All Papers'!$G:$G,"*"&amp;Table1[[#Headers],[SLA Management]]&amp;"*")</f>
        <v>0</v>
      </c>
      <c r="J1485" s="8">
        <f>COUNTIFS('All Papers'!$D:$D,"*"&amp;$A1485&amp;"*",'All Papers'!$G:$G,"*"&amp;Table1[[#Headers],[Big Data]]&amp;"*")</f>
        <v>0</v>
      </c>
      <c r="K1485" s="8">
        <f>COUNTIFS('All Papers'!$D:$D,"*"&amp;$A1485&amp;"*",'All Papers'!$G:$G,"*"&amp;Table1[[#Headers],[Energy Management]]&amp;"*")</f>
        <v>0</v>
      </c>
      <c r="L1485" s="8">
        <f>COUNTIFS('All Papers'!$D:$D,"*"&amp;$A1485&amp;"*",'All Papers'!$G:$G,"*"&amp;Table1[[#Headers],[Monitoring]]&amp;"*")</f>
        <v>0</v>
      </c>
      <c r="M1485" s="8">
        <f>COUNTIFS('All Papers'!$D:$D,"*"&amp;$A1485&amp;"*",'All Papers'!$G:$G,"*"&amp;Table1[[#Headers],[Pricing]]&amp;"*")</f>
        <v>0</v>
      </c>
    </row>
    <row r="1486" spans="1:13" x14ac:dyDescent="0.25">
      <c r="A1486" s="8" t="s">
        <v>3919</v>
      </c>
      <c r="B1486" s="8">
        <f>COUNTIF('All Papers'!D:D,"*"&amp;Table1[[#This Row],[Name]]&amp;"*")</f>
        <v>1</v>
      </c>
      <c r="C1486" s="8">
        <f>COUNTIFS('All Papers'!$D:$D,"*"&amp;$A1486&amp;"*",'All Papers'!$G:$G,"*"&amp;Table1[[#Headers],[Composition]]&amp;"*")</f>
        <v>1</v>
      </c>
      <c r="D1486" s="8">
        <f>COUNTIFS('All Papers'!$D:$D,"*"&amp;$A1486&amp;"*",'All Papers'!$G:$G,"*"&amp;Table1[[#Headers],[Discovery]]&amp;"*")</f>
        <v>0</v>
      </c>
      <c r="E1486" s="8">
        <f>COUNTIFS('All Papers'!$D:$D,"*"&amp;$A1486&amp;"*",'All Papers'!$G:$G,"*"&amp;Table1[[#Headers],[Selection]]&amp;"*")</f>
        <v>0</v>
      </c>
      <c r="F1486" s="8">
        <f>COUNTIFS('All Papers'!$D:$D,"*"&amp;$A1486&amp;"*",'All Papers'!$G:$G,"*"&amp;Table1[[#Headers],[Recommendation]]&amp;"*")</f>
        <v>0</v>
      </c>
      <c r="G1486" s="8">
        <f>COUNTIFS('All Papers'!$D:$D,"*"&amp;$A1486&amp;"*",'All Papers'!$G:$G,"*"&amp;Table1[[#Headers],[Resource Management-CS]]&amp;"*")</f>
        <v>0</v>
      </c>
      <c r="H1486" s="8">
        <f>COUNTIFS('All Papers'!$D:$D,"*"&amp;$A1486&amp;"*",'All Papers'!$G:$G,"*"&amp;Table1[[#Headers],[Resource Management-PS]]&amp;"*")</f>
        <v>1</v>
      </c>
      <c r="I1486" s="8">
        <f>COUNTIFS('All Papers'!$D:$D,"*"&amp;$A1486&amp;"*",'All Papers'!$G:$G,"*"&amp;Table1[[#Headers],[SLA Management]]&amp;"*")</f>
        <v>1</v>
      </c>
      <c r="J1486" s="8">
        <f>COUNTIFS('All Papers'!$D:$D,"*"&amp;$A1486&amp;"*",'All Papers'!$G:$G,"*"&amp;Table1[[#Headers],[Big Data]]&amp;"*")</f>
        <v>0</v>
      </c>
      <c r="K1486" s="8">
        <f>COUNTIFS('All Papers'!$D:$D,"*"&amp;$A1486&amp;"*",'All Papers'!$G:$G,"*"&amp;Table1[[#Headers],[Energy Management]]&amp;"*")</f>
        <v>0</v>
      </c>
      <c r="L1486" s="8">
        <f>COUNTIFS('All Papers'!$D:$D,"*"&amp;$A1486&amp;"*",'All Papers'!$G:$G,"*"&amp;Table1[[#Headers],[Monitoring]]&amp;"*")</f>
        <v>0</v>
      </c>
      <c r="M1486" s="8">
        <f>COUNTIFS('All Papers'!$D:$D,"*"&amp;$A1486&amp;"*",'All Papers'!$G:$G,"*"&amp;Table1[[#Headers],[Pricing]]&amp;"*")</f>
        <v>1</v>
      </c>
    </row>
    <row r="1487" spans="1:13" x14ac:dyDescent="0.25">
      <c r="A1487" s="8" t="s">
        <v>3920</v>
      </c>
      <c r="B1487" s="8">
        <f>COUNTIF('All Papers'!D:D,"*"&amp;Table1[[#This Row],[Name]]&amp;"*")</f>
        <v>1</v>
      </c>
      <c r="C1487" s="8">
        <f>COUNTIFS('All Papers'!$D:$D,"*"&amp;$A1487&amp;"*",'All Papers'!$G:$G,"*"&amp;Table1[[#Headers],[Composition]]&amp;"*")</f>
        <v>1</v>
      </c>
      <c r="D1487" s="8">
        <f>COUNTIFS('All Papers'!$D:$D,"*"&amp;$A1487&amp;"*",'All Papers'!$G:$G,"*"&amp;Table1[[#Headers],[Discovery]]&amp;"*")</f>
        <v>0</v>
      </c>
      <c r="E1487" s="8">
        <f>COUNTIFS('All Papers'!$D:$D,"*"&amp;$A1487&amp;"*",'All Papers'!$G:$G,"*"&amp;Table1[[#Headers],[Selection]]&amp;"*")</f>
        <v>0</v>
      </c>
      <c r="F1487" s="8">
        <f>COUNTIFS('All Papers'!$D:$D,"*"&amp;$A1487&amp;"*",'All Papers'!$G:$G,"*"&amp;Table1[[#Headers],[Recommendation]]&amp;"*")</f>
        <v>0</v>
      </c>
      <c r="G1487" s="8">
        <f>COUNTIFS('All Papers'!$D:$D,"*"&amp;$A1487&amp;"*",'All Papers'!$G:$G,"*"&amp;Table1[[#Headers],[Resource Management-CS]]&amp;"*")</f>
        <v>0</v>
      </c>
      <c r="H1487" s="8">
        <f>COUNTIFS('All Papers'!$D:$D,"*"&amp;$A1487&amp;"*",'All Papers'!$G:$G,"*"&amp;Table1[[#Headers],[Resource Management-PS]]&amp;"*")</f>
        <v>1</v>
      </c>
      <c r="I1487" s="8">
        <f>COUNTIFS('All Papers'!$D:$D,"*"&amp;$A1487&amp;"*",'All Papers'!$G:$G,"*"&amp;Table1[[#Headers],[SLA Management]]&amp;"*")</f>
        <v>1</v>
      </c>
      <c r="J1487" s="8">
        <f>COUNTIFS('All Papers'!$D:$D,"*"&amp;$A1487&amp;"*",'All Papers'!$G:$G,"*"&amp;Table1[[#Headers],[Big Data]]&amp;"*")</f>
        <v>0</v>
      </c>
      <c r="K1487" s="8">
        <f>COUNTIFS('All Papers'!$D:$D,"*"&amp;$A1487&amp;"*",'All Papers'!$G:$G,"*"&amp;Table1[[#Headers],[Energy Management]]&amp;"*")</f>
        <v>0</v>
      </c>
      <c r="L1487" s="8">
        <f>COUNTIFS('All Papers'!$D:$D,"*"&amp;$A1487&amp;"*",'All Papers'!$G:$G,"*"&amp;Table1[[#Headers],[Monitoring]]&amp;"*")</f>
        <v>0</v>
      </c>
      <c r="M1487" s="8">
        <f>COUNTIFS('All Papers'!$D:$D,"*"&amp;$A1487&amp;"*",'All Papers'!$G:$G,"*"&amp;Table1[[#Headers],[Pricing]]&amp;"*")</f>
        <v>1</v>
      </c>
    </row>
    <row r="1488" spans="1:13" x14ac:dyDescent="0.25">
      <c r="A1488" s="8" t="s">
        <v>3921</v>
      </c>
      <c r="B1488" s="8">
        <f>COUNTIF('All Papers'!D:D,"*"&amp;Table1[[#This Row],[Name]]&amp;"*")</f>
        <v>1</v>
      </c>
      <c r="C1488" s="8">
        <f>COUNTIFS('All Papers'!$D:$D,"*"&amp;$A1488&amp;"*",'All Papers'!$G:$G,"*"&amp;Table1[[#Headers],[Composition]]&amp;"*")</f>
        <v>1</v>
      </c>
      <c r="D1488" s="8">
        <f>COUNTIFS('All Papers'!$D:$D,"*"&amp;$A1488&amp;"*",'All Papers'!$G:$G,"*"&amp;Table1[[#Headers],[Discovery]]&amp;"*")</f>
        <v>0</v>
      </c>
      <c r="E1488" s="8">
        <f>COUNTIFS('All Papers'!$D:$D,"*"&amp;$A1488&amp;"*",'All Papers'!$G:$G,"*"&amp;Table1[[#Headers],[Selection]]&amp;"*")</f>
        <v>0</v>
      </c>
      <c r="F1488" s="8">
        <f>COUNTIFS('All Papers'!$D:$D,"*"&amp;$A1488&amp;"*",'All Papers'!$G:$G,"*"&amp;Table1[[#Headers],[Recommendation]]&amp;"*")</f>
        <v>0</v>
      </c>
      <c r="G1488" s="8">
        <f>COUNTIFS('All Papers'!$D:$D,"*"&amp;$A1488&amp;"*",'All Papers'!$G:$G,"*"&amp;Table1[[#Headers],[Resource Management-CS]]&amp;"*")</f>
        <v>0</v>
      </c>
      <c r="H1488" s="8">
        <f>COUNTIFS('All Papers'!$D:$D,"*"&amp;$A1488&amp;"*",'All Papers'!$G:$G,"*"&amp;Table1[[#Headers],[Resource Management-PS]]&amp;"*")</f>
        <v>1</v>
      </c>
      <c r="I1488" s="8">
        <f>COUNTIFS('All Papers'!$D:$D,"*"&amp;$A1488&amp;"*",'All Papers'!$G:$G,"*"&amp;Table1[[#Headers],[SLA Management]]&amp;"*")</f>
        <v>1</v>
      </c>
      <c r="J1488" s="8">
        <f>COUNTIFS('All Papers'!$D:$D,"*"&amp;$A1488&amp;"*",'All Papers'!$G:$G,"*"&amp;Table1[[#Headers],[Big Data]]&amp;"*")</f>
        <v>0</v>
      </c>
      <c r="K1488" s="8">
        <f>COUNTIFS('All Papers'!$D:$D,"*"&amp;$A1488&amp;"*",'All Papers'!$G:$G,"*"&amp;Table1[[#Headers],[Energy Management]]&amp;"*")</f>
        <v>0</v>
      </c>
      <c r="L1488" s="8">
        <f>COUNTIFS('All Papers'!$D:$D,"*"&amp;$A1488&amp;"*",'All Papers'!$G:$G,"*"&amp;Table1[[#Headers],[Monitoring]]&amp;"*")</f>
        <v>0</v>
      </c>
      <c r="M1488" s="8">
        <f>COUNTIFS('All Papers'!$D:$D,"*"&amp;$A1488&amp;"*",'All Papers'!$G:$G,"*"&amp;Table1[[#Headers],[Pricing]]&amp;"*")</f>
        <v>1</v>
      </c>
    </row>
    <row r="1489" spans="1:13" x14ac:dyDescent="0.25">
      <c r="A1489" s="8" t="s">
        <v>3922</v>
      </c>
      <c r="B1489" s="8">
        <f>COUNTIF('All Papers'!D:D,"*"&amp;Table1[[#This Row],[Name]]&amp;"*")</f>
        <v>1</v>
      </c>
      <c r="C1489" s="8">
        <f>COUNTIFS('All Papers'!$D:$D,"*"&amp;$A1489&amp;"*",'All Papers'!$G:$G,"*"&amp;Table1[[#Headers],[Composition]]&amp;"*")</f>
        <v>0</v>
      </c>
      <c r="D1489" s="8">
        <f>COUNTIFS('All Papers'!$D:$D,"*"&amp;$A1489&amp;"*",'All Papers'!$G:$G,"*"&amp;Table1[[#Headers],[Discovery]]&amp;"*")</f>
        <v>0</v>
      </c>
      <c r="E1489" s="8">
        <f>COUNTIFS('All Papers'!$D:$D,"*"&amp;$A1489&amp;"*",'All Papers'!$G:$G,"*"&amp;Table1[[#Headers],[Selection]]&amp;"*")</f>
        <v>0</v>
      </c>
      <c r="F1489" s="8">
        <f>COUNTIFS('All Papers'!$D:$D,"*"&amp;$A1489&amp;"*",'All Papers'!$G:$G,"*"&amp;Table1[[#Headers],[Recommendation]]&amp;"*")</f>
        <v>0</v>
      </c>
      <c r="G1489" s="8">
        <f>COUNTIFS('All Papers'!$D:$D,"*"&amp;$A1489&amp;"*",'All Papers'!$G:$G,"*"&amp;Table1[[#Headers],[Resource Management-CS]]&amp;"*")</f>
        <v>1</v>
      </c>
      <c r="H1489" s="8">
        <f>COUNTIFS('All Papers'!$D:$D,"*"&amp;$A1489&amp;"*",'All Papers'!$G:$G,"*"&amp;Table1[[#Headers],[Resource Management-PS]]&amp;"*")</f>
        <v>0</v>
      </c>
      <c r="I1489" s="8">
        <f>COUNTIFS('All Papers'!$D:$D,"*"&amp;$A1489&amp;"*",'All Papers'!$G:$G,"*"&amp;Table1[[#Headers],[SLA Management]]&amp;"*")</f>
        <v>0</v>
      </c>
      <c r="J1489" s="8">
        <f>COUNTIFS('All Papers'!$D:$D,"*"&amp;$A1489&amp;"*",'All Papers'!$G:$G,"*"&amp;Table1[[#Headers],[Big Data]]&amp;"*")</f>
        <v>0</v>
      </c>
      <c r="K1489" s="8">
        <f>COUNTIFS('All Papers'!$D:$D,"*"&amp;$A1489&amp;"*",'All Papers'!$G:$G,"*"&amp;Table1[[#Headers],[Energy Management]]&amp;"*")</f>
        <v>0</v>
      </c>
      <c r="L1489" s="8">
        <f>COUNTIFS('All Papers'!$D:$D,"*"&amp;$A1489&amp;"*",'All Papers'!$G:$G,"*"&amp;Table1[[#Headers],[Monitoring]]&amp;"*")</f>
        <v>0</v>
      </c>
      <c r="M1489" s="8">
        <f>COUNTIFS('All Papers'!$D:$D,"*"&amp;$A1489&amp;"*",'All Papers'!$G:$G,"*"&amp;Table1[[#Headers],[Pricing]]&amp;"*")</f>
        <v>0</v>
      </c>
    </row>
    <row r="1490" spans="1:13" x14ac:dyDescent="0.25">
      <c r="A1490" s="8" t="s">
        <v>3923</v>
      </c>
      <c r="B1490" s="8">
        <f>COUNTIF('All Papers'!D:D,"*"&amp;Table1[[#This Row],[Name]]&amp;"*")</f>
        <v>1</v>
      </c>
      <c r="C1490" s="8">
        <f>COUNTIFS('All Papers'!$D:$D,"*"&amp;$A1490&amp;"*",'All Papers'!$G:$G,"*"&amp;Table1[[#Headers],[Composition]]&amp;"*")</f>
        <v>0</v>
      </c>
      <c r="D1490" s="8">
        <f>COUNTIFS('All Papers'!$D:$D,"*"&amp;$A1490&amp;"*",'All Papers'!$G:$G,"*"&amp;Table1[[#Headers],[Discovery]]&amp;"*")</f>
        <v>0</v>
      </c>
      <c r="E1490" s="8">
        <f>COUNTIFS('All Papers'!$D:$D,"*"&amp;$A1490&amp;"*",'All Papers'!$G:$G,"*"&amp;Table1[[#Headers],[Selection]]&amp;"*")</f>
        <v>0</v>
      </c>
      <c r="F1490" s="8">
        <f>COUNTIFS('All Papers'!$D:$D,"*"&amp;$A1490&amp;"*",'All Papers'!$G:$G,"*"&amp;Table1[[#Headers],[Recommendation]]&amp;"*")</f>
        <v>0</v>
      </c>
      <c r="G1490" s="8">
        <f>COUNTIFS('All Papers'!$D:$D,"*"&amp;$A1490&amp;"*",'All Papers'!$G:$G,"*"&amp;Table1[[#Headers],[Resource Management-CS]]&amp;"*")</f>
        <v>1</v>
      </c>
      <c r="H1490" s="8">
        <f>COUNTIFS('All Papers'!$D:$D,"*"&amp;$A1490&amp;"*",'All Papers'!$G:$G,"*"&amp;Table1[[#Headers],[Resource Management-PS]]&amp;"*")</f>
        <v>0</v>
      </c>
      <c r="I1490" s="8">
        <f>COUNTIFS('All Papers'!$D:$D,"*"&amp;$A1490&amp;"*",'All Papers'!$G:$G,"*"&amp;Table1[[#Headers],[SLA Management]]&amp;"*")</f>
        <v>0</v>
      </c>
      <c r="J1490" s="8">
        <f>COUNTIFS('All Papers'!$D:$D,"*"&amp;$A1490&amp;"*",'All Papers'!$G:$G,"*"&amp;Table1[[#Headers],[Big Data]]&amp;"*")</f>
        <v>0</v>
      </c>
      <c r="K1490" s="8">
        <f>COUNTIFS('All Papers'!$D:$D,"*"&amp;$A1490&amp;"*",'All Papers'!$G:$G,"*"&amp;Table1[[#Headers],[Energy Management]]&amp;"*")</f>
        <v>0</v>
      </c>
      <c r="L1490" s="8">
        <f>COUNTIFS('All Papers'!$D:$D,"*"&amp;$A1490&amp;"*",'All Papers'!$G:$G,"*"&amp;Table1[[#Headers],[Monitoring]]&amp;"*")</f>
        <v>0</v>
      </c>
      <c r="M1490" s="8">
        <f>COUNTIFS('All Papers'!$D:$D,"*"&amp;$A1490&amp;"*",'All Papers'!$G:$G,"*"&amp;Table1[[#Headers],[Pricing]]&amp;"*")</f>
        <v>0</v>
      </c>
    </row>
    <row r="1491" spans="1:13" x14ac:dyDescent="0.25">
      <c r="A1491" s="8" t="s">
        <v>3924</v>
      </c>
      <c r="B1491" s="8">
        <f>COUNTIF('All Papers'!D:D,"*"&amp;Table1[[#This Row],[Name]]&amp;"*")</f>
        <v>1</v>
      </c>
      <c r="C1491" s="8">
        <f>COUNTIFS('All Papers'!$D:$D,"*"&amp;$A1491&amp;"*",'All Papers'!$G:$G,"*"&amp;Table1[[#Headers],[Composition]]&amp;"*")</f>
        <v>0</v>
      </c>
      <c r="D1491" s="8">
        <f>COUNTIFS('All Papers'!$D:$D,"*"&amp;$A1491&amp;"*",'All Papers'!$G:$G,"*"&amp;Table1[[#Headers],[Discovery]]&amp;"*")</f>
        <v>0</v>
      </c>
      <c r="E1491" s="8">
        <f>COUNTIFS('All Papers'!$D:$D,"*"&amp;$A1491&amp;"*",'All Papers'!$G:$G,"*"&amp;Table1[[#Headers],[Selection]]&amp;"*")</f>
        <v>0</v>
      </c>
      <c r="F1491" s="8">
        <f>COUNTIFS('All Papers'!$D:$D,"*"&amp;$A1491&amp;"*",'All Papers'!$G:$G,"*"&amp;Table1[[#Headers],[Recommendation]]&amp;"*")</f>
        <v>0</v>
      </c>
      <c r="G1491" s="8">
        <f>COUNTIFS('All Papers'!$D:$D,"*"&amp;$A1491&amp;"*",'All Papers'!$G:$G,"*"&amp;Table1[[#Headers],[Resource Management-CS]]&amp;"*")</f>
        <v>1</v>
      </c>
      <c r="H1491" s="8">
        <f>COUNTIFS('All Papers'!$D:$D,"*"&amp;$A1491&amp;"*",'All Papers'!$G:$G,"*"&amp;Table1[[#Headers],[Resource Management-PS]]&amp;"*")</f>
        <v>0</v>
      </c>
      <c r="I1491" s="8">
        <f>COUNTIFS('All Papers'!$D:$D,"*"&amp;$A1491&amp;"*",'All Papers'!$G:$G,"*"&amp;Table1[[#Headers],[SLA Management]]&amp;"*")</f>
        <v>0</v>
      </c>
      <c r="J1491" s="8">
        <f>COUNTIFS('All Papers'!$D:$D,"*"&amp;$A1491&amp;"*",'All Papers'!$G:$G,"*"&amp;Table1[[#Headers],[Big Data]]&amp;"*")</f>
        <v>0</v>
      </c>
      <c r="K1491" s="8">
        <f>COUNTIFS('All Papers'!$D:$D,"*"&amp;$A1491&amp;"*",'All Papers'!$G:$G,"*"&amp;Table1[[#Headers],[Energy Management]]&amp;"*")</f>
        <v>0</v>
      </c>
      <c r="L1491" s="8">
        <f>COUNTIFS('All Papers'!$D:$D,"*"&amp;$A1491&amp;"*",'All Papers'!$G:$G,"*"&amp;Table1[[#Headers],[Monitoring]]&amp;"*")</f>
        <v>0</v>
      </c>
      <c r="M1491" s="8">
        <f>COUNTIFS('All Papers'!$D:$D,"*"&amp;$A1491&amp;"*",'All Papers'!$G:$G,"*"&amp;Table1[[#Headers],[Pricing]]&amp;"*")</f>
        <v>0</v>
      </c>
    </row>
    <row r="1492" spans="1:13" x14ac:dyDescent="0.25">
      <c r="A1492" s="8" t="s">
        <v>3925</v>
      </c>
      <c r="B1492" s="8">
        <f>COUNTIF('All Papers'!D:D,"*"&amp;Table1[[#This Row],[Name]]&amp;"*")</f>
        <v>1</v>
      </c>
      <c r="C1492" s="8">
        <f>COUNTIFS('All Papers'!$D:$D,"*"&amp;$A1492&amp;"*",'All Papers'!$G:$G,"*"&amp;Table1[[#Headers],[Composition]]&amp;"*")</f>
        <v>0</v>
      </c>
      <c r="D1492" s="8">
        <f>COUNTIFS('All Papers'!$D:$D,"*"&amp;$A1492&amp;"*",'All Papers'!$G:$G,"*"&amp;Table1[[#Headers],[Discovery]]&amp;"*")</f>
        <v>0</v>
      </c>
      <c r="E1492" s="8">
        <f>COUNTIFS('All Papers'!$D:$D,"*"&amp;$A1492&amp;"*",'All Papers'!$G:$G,"*"&amp;Table1[[#Headers],[Selection]]&amp;"*")</f>
        <v>0</v>
      </c>
      <c r="F1492" s="8">
        <f>COUNTIFS('All Papers'!$D:$D,"*"&amp;$A1492&amp;"*",'All Papers'!$G:$G,"*"&amp;Table1[[#Headers],[Recommendation]]&amp;"*")</f>
        <v>0</v>
      </c>
      <c r="G1492" s="8">
        <f>COUNTIFS('All Papers'!$D:$D,"*"&amp;$A1492&amp;"*",'All Papers'!$G:$G,"*"&amp;Table1[[#Headers],[Resource Management-CS]]&amp;"*")</f>
        <v>1</v>
      </c>
      <c r="H1492" s="8">
        <f>COUNTIFS('All Papers'!$D:$D,"*"&amp;$A1492&amp;"*",'All Papers'!$G:$G,"*"&amp;Table1[[#Headers],[Resource Management-PS]]&amp;"*")</f>
        <v>0</v>
      </c>
      <c r="I1492" s="8">
        <f>COUNTIFS('All Papers'!$D:$D,"*"&amp;$A1492&amp;"*",'All Papers'!$G:$G,"*"&amp;Table1[[#Headers],[SLA Management]]&amp;"*")</f>
        <v>0</v>
      </c>
      <c r="J1492" s="8">
        <f>COUNTIFS('All Papers'!$D:$D,"*"&amp;$A1492&amp;"*",'All Papers'!$G:$G,"*"&amp;Table1[[#Headers],[Big Data]]&amp;"*")</f>
        <v>0</v>
      </c>
      <c r="K1492" s="8">
        <f>COUNTIFS('All Papers'!$D:$D,"*"&amp;$A1492&amp;"*",'All Papers'!$G:$G,"*"&amp;Table1[[#Headers],[Energy Management]]&amp;"*")</f>
        <v>0</v>
      </c>
      <c r="L1492" s="8">
        <f>COUNTIFS('All Papers'!$D:$D,"*"&amp;$A1492&amp;"*",'All Papers'!$G:$G,"*"&amp;Table1[[#Headers],[Monitoring]]&amp;"*")</f>
        <v>0</v>
      </c>
      <c r="M1492" s="8">
        <f>COUNTIFS('All Papers'!$D:$D,"*"&amp;$A1492&amp;"*",'All Papers'!$G:$G,"*"&amp;Table1[[#Headers],[Pricing]]&amp;"*")</f>
        <v>0</v>
      </c>
    </row>
    <row r="1493" spans="1:13" x14ac:dyDescent="0.25">
      <c r="A1493" s="8" t="s">
        <v>3926</v>
      </c>
      <c r="B1493" s="8">
        <f>COUNTIF('All Papers'!D:D,"*"&amp;Table1[[#This Row],[Name]]&amp;"*")</f>
        <v>1</v>
      </c>
      <c r="C1493" s="8">
        <f>COUNTIFS('All Papers'!$D:$D,"*"&amp;$A1493&amp;"*",'All Papers'!$G:$G,"*"&amp;Table1[[#Headers],[Composition]]&amp;"*")</f>
        <v>0</v>
      </c>
      <c r="D1493" s="8">
        <f>COUNTIFS('All Papers'!$D:$D,"*"&amp;$A1493&amp;"*",'All Papers'!$G:$G,"*"&amp;Table1[[#Headers],[Discovery]]&amp;"*")</f>
        <v>0</v>
      </c>
      <c r="E1493" s="8">
        <f>COUNTIFS('All Papers'!$D:$D,"*"&amp;$A1493&amp;"*",'All Papers'!$G:$G,"*"&amp;Table1[[#Headers],[Selection]]&amp;"*")</f>
        <v>0</v>
      </c>
      <c r="F1493" s="8">
        <f>COUNTIFS('All Papers'!$D:$D,"*"&amp;$A1493&amp;"*",'All Papers'!$G:$G,"*"&amp;Table1[[#Headers],[Recommendation]]&amp;"*")</f>
        <v>0</v>
      </c>
      <c r="G1493" s="8">
        <f>COUNTIFS('All Papers'!$D:$D,"*"&amp;$A1493&amp;"*",'All Papers'!$G:$G,"*"&amp;Table1[[#Headers],[Resource Management-CS]]&amp;"*")</f>
        <v>1</v>
      </c>
      <c r="H1493" s="8">
        <f>COUNTIFS('All Papers'!$D:$D,"*"&amp;$A1493&amp;"*",'All Papers'!$G:$G,"*"&amp;Table1[[#Headers],[Resource Management-PS]]&amp;"*")</f>
        <v>0</v>
      </c>
      <c r="I1493" s="8">
        <f>COUNTIFS('All Papers'!$D:$D,"*"&amp;$A1493&amp;"*",'All Papers'!$G:$G,"*"&amp;Table1[[#Headers],[SLA Management]]&amp;"*")</f>
        <v>0</v>
      </c>
      <c r="J1493" s="8">
        <f>COUNTIFS('All Papers'!$D:$D,"*"&amp;$A1493&amp;"*",'All Papers'!$G:$G,"*"&amp;Table1[[#Headers],[Big Data]]&amp;"*")</f>
        <v>0</v>
      </c>
      <c r="K1493" s="8">
        <f>COUNTIFS('All Papers'!$D:$D,"*"&amp;$A1493&amp;"*",'All Papers'!$G:$G,"*"&amp;Table1[[#Headers],[Energy Management]]&amp;"*")</f>
        <v>0</v>
      </c>
      <c r="L1493" s="8">
        <f>COUNTIFS('All Papers'!$D:$D,"*"&amp;$A1493&amp;"*",'All Papers'!$G:$G,"*"&amp;Table1[[#Headers],[Monitoring]]&amp;"*")</f>
        <v>0</v>
      </c>
      <c r="M1493" s="8">
        <f>COUNTIFS('All Papers'!$D:$D,"*"&amp;$A1493&amp;"*",'All Papers'!$G:$G,"*"&amp;Table1[[#Headers],[Pricing]]&amp;"*")</f>
        <v>0</v>
      </c>
    </row>
    <row r="1494" spans="1:13" x14ac:dyDescent="0.25">
      <c r="A1494" s="8" t="s">
        <v>3927</v>
      </c>
      <c r="B1494" s="8">
        <f>COUNTIF('All Papers'!D:D,"*"&amp;Table1[[#This Row],[Name]]&amp;"*")</f>
        <v>1</v>
      </c>
      <c r="C1494" s="8">
        <f>COUNTIFS('All Papers'!$D:$D,"*"&amp;$A1494&amp;"*",'All Papers'!$G:$G,"*"&amp;Table1[[#Headers],[Composition]]&amp;"*")</f>
        <v>0</v>
      </c>
      <c r="D1494" s="8">
        <f>COUNTIFS('All Papers'!$D:$D,"*"&amp;$A1494&amp;"*",'All Papers'!$G:$G,"*"&amp;Table1[[#Headers],[Discovery]]&amp;"*")</f>
        <v>0</v>
      </c>
      <c r="E1494" s="8">
        <f>COUNTIFS('All Papers'!$D:$D,"*"&amp;$A1494&amp;"*",'All Papers'!$G:$G,"*"&amp;Table1[[#Headers],[Selection]]&amp;"*")</f>
        <v>1</v>
      </c>
      <c r="F1494" s="8">
        <f>COUNTIFS('All Papers'!$D:$D,"*"&amp;$A1494&amp;"*",'All Papers'!$G:$G,"*"&amp;Table1[[#Headers],[Recommendation]]&amp;"*")</f>
        <v>0</v>
      </c>
      <c r="G1494" s="8">
        <f>COUNTIFS('All Papers'!$D:$D,"*"&amp;$A1494&amp;"*",'All Papers'!$G:$G,"*"&amp;Table1[[#Headers],[Resource Management-CS]]&amp;"*")</f>
        <v>0</v>
      </c>
      <c r="H1494" s="8">
        <f>COUNTIFS('All Papers'!$D:$D,"*"&amp;$A1494&amp;"*",'All Papers'!$G:$G,"*"&amp;Table1[[#Headers],[Resource Management-PS]]&amp;"*")</f>
        <v>0</v>
      </c>
      <c r="I1494" s="8">
        <f>COUNTIFS('All Papers'!$D:$D,"*"&amp;$A1494&amp;"*",'All Papers'!$G:$G,"*"&amp;Table1[[#Headers],[SLA Management]]&amp;"*")</f>
        <v>0</v>
      </c>
      <c r="J1494" s="8">
        <f>COUNTIFS('All Papers'!$D:$D,"*"&amp;$A1494&amp;"*",'All Papers'!$G:$G,"*"&amp;Table1[[#Headers],[Big Data]]&amp;"*")</f>
        <v>0</v>
      </c>
      <c r="K1494" s="8">
        <f>COUNTIFS('All Papers'!$D:$D,"*"&amp;$A1494&amp;"*",'All Papers'!$G:$G,"*"&amp;Table1[[#Headers],[Energy Management]]&amp;"*")</f>
        <v>0</v>
      </c>
      <c r="L1494" s="8">
        <f>COUNTIFS('All Papers'!$D:$D,"*"&amp;$A1494&amp;"*",'All Papers'!$G:$G,"*"&amp;Table1[[#Headers],[Monitoring]]&amp;"*")</f>
        <v>0</v>
      </c>
      <c r="M1494" s="8">
        <f>COUNTIFS('All Papers'!$D:$D,"*"&amp;$A1494&amp;"*",'All Papers'!$G:$G,"*"&amp;Table1[[#Headers],[Pricing]]&amp;"*")</f>
        <v>0</v>
      </c>
    </row>
    <row r="1495" spans="1:13" x14ac:dyDescent="0.25">
      <c r="A1495" s="8" t="s">
        <v>3928</v>
      </c>
      <c r="B1495" s="8">
        <f>COUNTIF('All Papers'!D:D,"*"&amp;Table1[[#This Row],[Name]]&amp;"*")</f>
        <v>1</v>
      </c>
      <c r="C1495" s="8">
        <f>COUNTIFS('All Papers'!$D:$D,"*"&amp;$A1495&amp;"*",'All Papers'!$G:$G,"*"&amp;Table1[[#Headers],[Composition]]&amp;"*")</f>
        <v>0</v>
      </c>
      <c r="D1495" s="8">
        <f>COUNTIFS('All Papers'!$D:$D,"*"&amp;$A1495&amp;"*",'All Papers'!$G:$G,"*"&amp;Table1[[#Headers],[Discovery]]&amp;"*")</f>
        <v>0</v>
      </c>
      <c r="E1495" s="8">
        <f>COUNTIFS('All Papers'!$D:$D,"*"&amp;$A1495&amp;"*",'All Papers'!$G:$G,"*"&amp;Table1[[#Headers],[Selection]]&amp;"*")</f>
        <v>1</v>
      </c>
      <c r="F1495" s="8">
        <f>COUNTIFS('All Papers'!$D:$D,"*"&amp;$A1495&amp;"*",'All Papers'!$G:$G,"*"&amp;Table1[[#Headers],[Recommendation]]&amp;"*")</f>
        <v>0</v>
      </c>
      <c r="G1495" s="8">
        <f>COUNTIFS('All Papers'!$D:$D,"*"&amp;$A1495&amp;"*",'All Papers'!$G:$G,"*"&amp;Table1[[#Headers],[Resource Management-CS]]&amp;"*")</f>
        <v>0</v>
      </c>
      <c r="H1495" s="8">
        <f>COUNTIFS('All Papers'!$D:$D,"*"&amp;$A1495&amp;"*",'All Papers'!$G:$G,"*"&amp;Table1[[#Headers],[Resource Management-PS]]&amp;"*")</f>
        <v>0</v>
      </c>
      <c r="I1495" s="8">
        <f>COUNTIFS('All Papers'!$D:$D,"*"&amp;$A1495&amp;"*",'All Papers'!$G:$G,"*"&amp;Table1[[#Headers],[SLA Management]]&amp;"*")</f>
        <v>0</v>
      </c>
      <c r="J1495" s="8">
        <f>COUNTIFS('All Papers'!$D:$D,"*"&amp;$A1495&amp;"*",'All Papers'!$G:$G,"*"&amp;Table1[[#Headers],[Big Data]]&amp;"*")</f>
        <v>0</v>
      </c>
      <c r="K1495" s="8">
        <f>COUNTIFS('All Papers'!$D:$D,"*"&amp;$A1495&amp;"*",'All Papers'!$G:$G,"*"&amp;Table1[[#Headers],[Energy Management]]&amp;"*")</f>
        <v>0</v>
      </c>
      <c r="L1495" s="8">
        <f>COUNTIFS('All Papers'!$D:$D,"*"&amp;$A1495&amp;"*",'All Papers'!$G:$G,"*"&amp;Table1[[#Headers],[Monitoring]]&amp;"*")</f>
        <v>0</v>
      </c>
      <c r="M1495" s="8">
        <f>COUNTIFS('All Papers'!$D:$D,"*"&amp;$A1495&amp;"*",'All Papers'!$G:$G,"*"&amp;Table1[[#Headers],[Pricing]]&amp;"*")</f>
        <v>0</v>
      </c>
    </row>
    <row r="1496" spans="1:13" x14ac:dyDescent="0.25">
      <c r="A1496" s="8" t="s">
        <v>3929</v>
      </c>
      <c r="B1496" s="8">
        <f>COUNTIF('All Papers'!D:D,"*"&amp;Table1[[#This Row],[Name]]&amp;"*")</f>
        <v>1</v>
      </c>
      <c r="C1496" s="8">
        <f>COUNTIFS('All Papers'!$D:$D,"*"&amp;$A1496&amp;"*",'All Papers'!$G:$G,"*"&amp;Table1[[#Headers],[Composition]]&amp;"*")</f>
        <v>0</v>
      </c>
      <c r="D1496" s="8">
        <f>COUNTIFS('All Papers'!$D:$D,"*"&amp;$A1496&amp;"*",'All Papers'!$G:$G,"*"&amp;Table1[[#Headers],[Discovery]]&amp;"*")</f>
        <v>0</v>
      </c>
      <c r="E1496" s="8">
        <f>COUNTIFS('All Papers'!$D:$D,"*"&amp;$A1496&amp;"*",'All Papers'!$G:$G,"*"&amp;Table1[[#Headers],[Selection]]&amp;"*")</f>
        <v>1</v>
      </c>
      <c r="F1496" s="8">
        <f>COUNTIFS('All Papers'!$D:$D,"*"&amp;$A1496&amp;"*",'All Papers'!$G:$G,"*"&amp;Table1[[#Headers],[Recommendation]]&amp;"*")</f>
        <v>0</v>
      </c>
      <c r="G1496" s="8">
        <f>COUNTIFS('All Papers'!$D:$D,"*"&amp;$A1496&amp;"*",'All Papers'!$G:$G,"*"&amp;Table1[[#Headers],[Resource Management-CS]]&amp;"*")</f>
        <v>0</v>
      </c>
      <c r="H1496" s="8">
        <f>COUNTIFS('All Papers'!$D:$D,"*"&amp;$A1496&amp;"*",'All Papers'!$G:$G,"*"&amp;Table1[[#Headers],[Resource Management-PS]]&amp;"*")</f>
        <v>0</v>
      </c>
      <c r="I1496" s="8">
        <f>COUNTIFS('All Papers'!$D:$D,"*"&amp;$A1496&amp;"*",'All Papers'!$G:$G,"*"&amp;Table1[[#Headers],[SLA Management]]&amp;"*")</f>
        <v>0</v>
      </c>
      <c r="J1496" s="8">
        <f>COUNTIFS('All Papers'!$D:$D,"*"&amp;$A1496&amp;"*",'All Papers'!$G:$G,"*"&amp;Table1[[#Headers],[Big Data]]&amp;"*")</f>
        <v>0</v>
      </c>
      <c r="K1496" s="8">
        <f>COUNTIFS('All Papers'!$D:$D,"*"&amp;$A1496&amp;"*",'All Papers'!$G:$G,"*"&amp;Table1[[#Headers],[Energy Management]]&amp;"*")</f>
        <v>0</v>
      </c>
      <c r="L1496" s="8">
        <f>COUNTIFS('All Papers'!$D:$D,"*"&amp;$A1496&amp;"*",'All Papers'!$G:$G,"*"&amp;Table1[[#Headers],[Monitoring]]&amp;"*")</f>
        <v>0</v>
      </c>
      <c r="M1496" s="8">
        <f>COUNTIFS('All Papers'!$D:$D,"*"&amp;$A1496&amp;"*",'All Papers'!$G:$G,"*"&amp;Table1[[#Headers],[Pricing]]&amp;"*")</f>
        <v>0</v>
      </c>
    </row>
    <row r="1497" spans="1:13" x14ac:dyDescent="0.25">
      <c r="A1497" s="8" t="s">
        <v>3930</v>
      </c>
      <c r="B1497" s="8">
        <f>COUNTIF('All Papers'!D:D,"*"&amp;Table1[[#This Row],[Name]]&amp;"*")</f>
        <v>1</v>
      </c>
      <c r="C1497" s="8">
        <f>COUNTIFS('All Papers'!$D:$D,"*"&amp;$A1497&amp;"*",'All Papers'!$G:$G,"*"&amp;Table1[[#Headers],[Composition]]&amp;"*")</f>
        <v>0</v>
      </c>
      <c r="D1497" s="8">
        <f>COUNTIFS('All Papers'!$D:$D,"*"&amp;$A1497&amp;"*",'All Papers'!$G:$G,"*"&amp;Table1[[#Headers],[Discovery]]&amp;"*")</f>
        <v>0</v>
      </c>
      <c r="E1497" s="8">
        <f>COUNTIFS('All Papers'!$D:$D,"*"&amp;$A1497&amp;"*",'All Papers'!$G:$G,"*"&amp;Table1[[#Headers],[Selection]]&amp;"*")</f>
        <v>1</v>
      </c>
      <c r="F1497" s="8">
        <f>COUNTIFS('All Papers'!$D:$D,"*"&amp;$A1497&amp;"*",'All Papers'!$G:$G,"*"&amp;Table1[[#Headers],[Recommendation]]&amp;"*")</f>
        <v>0</v>
      </c>
      <c r="G1497" s="8">
        <f>COUNTIFS('All Papers'!$D:$D,"*"&amp;$A1497&amp;"*",'All Papers'!$G:$G,"*"&amp;Table1[[#Headers],[Resource Management-CS]]&amp;"*")</f>
        <v>0</v>
      </c>
      <c r="H1497" s="8">
        <f>COUNTIFS('All Papers'!$D:$D,"*"&amp;$A1497&amp;"*",'All Papers'!$G:$G,"*"&amp;Table1[[#Headers],[Resource Management-PS]]&amp;"*")</f>
        <v>0</v>
      </c>
      <c r="I1497" s="8">
        <f>COUNTIFS('All Papers'!$D:$D,"*"&amp;$A1497&amp;"*",'All Papers'!$G:$G,"*"&amp;Table1[[#Headers],[SLA Management]]&amp;"*")</f>
        <v>0</v>
      </c>
      <c r="J1497" s="8">
        <f>COUNTIFS('All Papers'!$D:$D,"*"&amp;$A1497&amp;"*",'All Papers'!$G:$G,"*"&amp;Table1[[#Headers],[Big Data]]&amp;"*")</f>
        <v>0</v>
      </c>
      <c r="K1497" s="8">
        <f>COUNTIFS('All Papers'!$D:$D,"*"&amp;$A1497&amp;"*",'All Papers'!$G:$G,"*"&amp;Table1[[#Headers],[Energy Management]]&amp;"*")</f>
        <v>0</v>
      </c>
      <c r="L1497" s="8">
        <f>COUNTIFS('All Papers'!$D:$D,"*"&amp;$A1497&amp;"*",'All Papers'!$G:$G,"*"&amp;Table1[[#Headers],[Monitoring]]&amp;"*")</f>
        <v>0</v>
      </c>
      <c r="M1497" s="8">
        <f>COUNTIFS('All Papers'!$D:$D,"*"&amp;$A1497&amp;"*",'All Papers'!$G:$G,"*"&amp;Table1[[#Headers],[Pricing]]&amp;"*")</f>
        <v>0</v>
      </c>
    </row>
    <row r="1498" spans="1:13" x14ac:dyDescent="0.25">
      <c r="A1498" s="8" t="s">
        <v>3931</v>
      </c>
      <c r="B1498" s="8">
        <f>COUNTIF('All Papers'!D:D,"*"&amp;Table1[[#This Row],[Name]]&amp;"*")</f>
        <v>1</v>
      </c>
      <c r="C1498" s="8">
        <f>COUNTIFS('All Papers'!$D:$D,"*"&amp;$A1498&amp;"*",'All Papers'!$G:$G,"*"&amp;Table1[[#Headers],[Composition]]&amp;"*")</f>
        <v>1</v>
      </c>
      <c r="D1498" s="8">
        <f>COUNTIFS('All Papers'!$D:$D,"*"&amp;$A1498&amp;"*",'All Papers'!$G:$G,"*"&amp;Table1[[#Headers],[Discovery]]&amp;"*")</f>
        <v>0</v>
      </c>
      <c r="E1498" s="8">
        <f>COUNTIFS('All Papers'!$D:$D,"*"&amp;$A1498&amp;"*",'All Papers'!$G:$G,"*"&amp;Table1[[#Headers],[Selection]]&amp;"*")</f>
        <v>0</v>
      </c>
      <c r="F1498" s="8">
        <f>COUNTIFS('All Papers'!$D:$D,"*"&amp;$A1498&amp;"*",'All Papers'!$G:$G,"*"&amp;Table1[[#Headers],[Recommendation]]&amp;"*")</f>
        <v>0</v>
      </c>
      <c r="G1498" s="8">
        <f>COUNTIFS('All Papers'!$D:$D,"*"&amp;$A1498&amp;"*",'All Papers'!$G:$G,"*"&amp;Table1[[#Headers],[Resource Management-CS]]&amp;"*")</f>
        <v>0</v>
      </c>
      <c r="H1498" s="8">
        <f>COUNTIFS('All Papers'!$D:$D,"*"&amp;$A1498&amp;"*",'All Papers'!$G:$G,"*"&amp;Table1[[#Headers],[Resource Management-PS]]&amp;"*")</f>
        <v>0</v>
      </c>
      <c r="I1498" s="8">
        <f>COUNTIFS('All Papers'!$D:$D,"*"&amp;$A1498&amp;"*",'All Papers'!$G:$G,"*"&amp;Table1[[#Headers],[SLA Management]]&amp;"*")</f>
        <v>0</v>
      </c>
      <c r="J1498" s="8">
        <f>COUNTIFS('All Papers'!$D:$D,"*"&amp;$A1498&amp;"*",'All Papers'!$G:$G,"*"&amp;Table1[[#Headers],[Big Data]]&amp;"*")</f>
        <v>0</v>
      </c>
      <c r="K1498" s="8">
        <f>COUNTIFS('All Papers'!$D:$D,"*"&amp;$A1498&amp;"*",'All Papers'!$G:$G,"*"&amp;Table1[[#Headers],[Energy Management]]&amp;"*")</f>
        <v>0</v>
      </c>
      <c r="L1498" s="8">
        <f>COUNTIFS('All Papers'!$D:$D,"*"&amp;$A1498&amp;"*",'All Papers'!$G:$G,"*"&amp;Table1[[#Headers],[Monitoring]]&amp;"*")</f>
        <v>0</v>
      </c>
      <c r="M1498" s="8">
        <f>COUNTIFS('All Papers'!$D:$D,"*"&amp;$A1498&amp;"*",'All Papers'!$G:$G,"*"&amp;Table1[[#Headers],[Pricing]]&amp;"*")</f>
        <v>0</v>
      </c>
    </row>
    <row r="1499" spans="1:13" x14ac:dyDescent="0.25">
      <c r="A1499" s="8" t="s">
        <v>3932</v>
      </c>
      <c r="B1499" s="8">
        <f>COUNTIF('All Papers'!D:D,"*"&amp;Table1[[#This Row],[Name]]&amp;"*")</f>
        <v>1</v>
      </c>
      <c r="C1499" s="8">
        <f>COUNTIFS('All Papers'!$D:$D,"*"&amp;$A1499&amp;"*",'All Papers'!$G:$G,"*"&amp;Table1[[#Headers],[Composition]]&amp;"*")</f>
        <v>0</v>
      </c>
      <c r="D1499" s="8">
        <f>COUNTIFS('All Papers'!$D:$D,"*"&amp;$A1499&amp;"*",'All Papers'!$G:$G,"*"&amp;Table1[[#Headers],[Discovery]]&amp;"*")</f>
        <v>0</v>
      </c>
      <c r="E1499" s="8">
        <f>COUNTIFS('All Papers'!$D:$D,"*"&amp;$A1499&amp;"*",'All Papers'!$G:$G,"*"&amp;Table1[[#Headers],[Selection]]&amp;"*")</f>
        <v>0</v>
      </c>
      <c r="F1499" s="8">
        <f>COUNTIFS('All Papers'!$D:$D,"*"&amp;$A1499&amp;"*",'All Papers'!$G:$G,"*"&amp;Table1[[#Headers],[Recommendation]]&amp;"*")</f>
        <v>0</v>
      </c>
      <c r="G1499" s="8">
        <f>COUNTIFS('All Papers'!$D:$D,"*"&amp;$A1499&amp;"*",'All Papers'!$G:$G,"*"&amp;Table1[[#Headers],[Resource Management-CS]]&amp;"*")</f>
        <v>1</v>
      </c>
      <c r="H1499" s="8">
        <f>COUNTIFS('All Papers'!$D:$D,"*"&amp;$A1499&amp;"*",'All Papers'!$G:$G,"*"&amp;Table1[[#Headers],[Resource Management-PS]]&amp;"*")</f>
        <v>0</v>
      </c>
      <c r="I1499" s="8">
        <f>COUNTIFS('All Papers'!$D:$D,"*"&amp;$A1499&amp;"*",'All Papers'!$G:$G,"*"&amp;Table1[[#Headers],[SLA Management]]&amp;"*")</f>
        <v>0</v>
      </c>
      <c r="J1499" s="8">
        <f>COUNTIFS('All Papers'!$D:$D,"*"&amp;$A1499&amp;"*",'All Papers'!$G:$G,"*"&amp;Table1[[#Headers],[Big Data]]&amp;"*")</f>
        <v>0</v>
      </c>
      <c r="K1499" s="8">
        <f>COUNTIFS('All Papers'!$D:$D,"*"&amp;$A1499&amp;"*",'All Papers'!$G:$G,"*"&amp;Table1[[#Headers],[Energy Management]]&amp;"*")</f>
        <v>0</v>
      </c>
      <c r="L1499" s="8">
        <f>COUNTIFS('All Papers'!$D:$D,"*"&amp;$A1499&amp;"*",'All Papers'!$G:$G,"*"&amp;Table1[[#Headers],[Monitoring]]&amp;"*")</f>
        <v>0</v>
      </c>
      <c r="M1499" s="8">
        <f>COUNTIFS('All Papers'!$D:$D,"*"&amp;$A1499&amp;"*",'All Papers'!$G:$G,"*"&amp;Table1[[#Headers],[Pricing]]&amp;"*")</f>
        <v>0</v>
      </c>
    </row>
    <row r="1500" spans="1:13" x14ac:dyDescent="0.25">
      <c r="A1500" s="8" t="s">
        <v>3933</v>
      </c>
      <c r="B1500" s="8">
        <f>COUNTIF('All Papers'!D:D,"*"&amp;Table1[[#This Row],[Name]]&amp;"*")</f>
        <v>1</v>
      </c>
      <c r="C1500" s="8">
        <f>COUNTIFS('All Papers'!$D:$D,"*"&amp;$A1500&amp;"*",'All Papers'!$G:$G,"*"&amp;Table1[[#Headers],[Composition]]&amp;"*")</f>
        <v>0</v>
      </c>
      <c r="D1500" s="8">
        <f>COUNTIFS('All Papers'!$D:$D,"*"&amp;$A1500&amp;"*",'All Papers'!$G:$G,"*"&amp;Table1[[#Headers],[Discovery]]&amp;"*")</f>
        <v>0</v>
      </c>
      <c r="E1500" s="8">
        <f>COUNTIFS('All Papers'!$D:$D,"*"&amp;$A1500&amp;"*",'All Papers'!$G:$G,"*"&amp;Table1[[#Headers],[Selection]]&amp;"*")</f>
        <v>0</v>
      </c>
      <c r="F1500" s="8">
        <f>COUNTIFS('All Papers'!$D:$D,"*"&amp;$A1500&amp;"*",'All Papers'!$G:$G,"*"&amp;Table1[[#Headers],[Recommendation]]&amp;"*")</f>
        <v>0</v>
      </c>
      <c r="G1500" s="8">
        <f>COUNTIFS('All Papers'!$D:$D,"*"&amp;$A1500&amp;"*",'All Papers'!$G:$G,"*"&amp;Table1[[#Headers],[Resource Management-CS]]&amp;"*")</f>
        <v>1</v>
      </c>
      <c r="H1500" s="8">
        <f>COUNTIFS('All Papers'!$D:$D,"*"&amp;$A1500&amp;"*",'All Papers'!$G:$G,"*"&amp;Table1[[#Headers],[Resource Management-PS]]&amp;"*")</f>
        <v>0</v>
      </c>
      <c r="I1500" s="8">
        <f>COUNTIFS('All Papers'!$D:$D,"*"&amp;$A1500&amp;"*",'All Papers'!$G:$G,"*"&amp;Table1[[#Headers],[SLA Management]]&amp;"*")</f>
        <v>0</v>
      </c>
      <c r="J1500" s="8">
        <f>COUNTIFS('All Papers'!$D:$D,"*"&amp;$A1500&amp;"*",'All Papers'!$G:$G,"*"&amp;Table1[[#Headers],[Big Data]]&amp;"*")</f>
        <v>0</v>
      </c>
      <c r="K1500" s="8">
        <f>COUNTIFS('All Papers'!$D:$D,"*"&amp;$A1500&amp;"*",'All Papers'!$G:$G,"*"&amp;Table1[[#Headers],[Energy Management]]&amp;"*")</f>
        <v>0</v>
      </c>
      <c r="L1500" s="8">
        <f>COUNTIFS('All Papers'!$D:$D,"*"&amp;$A1500&amp;"*",'All Papers'!$G:$G,"*"&amp;Table1[[#Headers],[Monitoring]]&amp;"*")</f>
        <v>0</v>
      </c>
      <c r="M1500" s="8">
        <f>COUNTIFS('All Papers'!$D:$D,"*"&amp;$A1500&amp;"*",'All Papers'!$G:$G,"*"&amp;Table1[[#Headers],[Pricing]]&amp;"*")</f>
        <v>0</v>
      </c>
    </row>
    <row r="1501" spans="1:13" x14ac:dyDescent="0.25">
      <c r="A1501" s="8" t="s">
        <v>3934</v>
      </c>
      <c r="B1501" s="8">
        <f>COUNTIF('All Papers'!D:D,"*"&amp;Table1[[#This Row],[Name]]&amp;"*")</f>
        <v>1</v>
      </c>
      <c r="C1501" s="8">
        <f>COUNTIFS('All Papers'!$D:$D,"*"&amp;$A1501&amp;"*",'All Papers'!$G:$G,"*"&amp;Table1[[#Headers],[Composition]]&amp;"*")</f>
        <v>0</v>
      </c>
      <c r="D1501" s="8">
        <f>COUNTIFS('All Papers'!$D:$D,"*"&amp;$A1501&amp;"*",'All Papers'!$G:$G,"*"&amp;Table1[[#Headers],[Discovery]]&amp;"*")</f>
        <v>0</v>
      </c>
      <c r="E1501" s="8">
        <f>COUNTIFS('All Papers'!$D:$D,"*"&amp;$A1501&amp;"*",'All Papers'!$G:$G,"*"&amp;Table1[[#Headers],[Selection]]&amp;"*")</f>
        <v>0</v>
      </c>
      <c r="F1501" s="8">
        <f>COUNTIFS('All Papers'!$D:$D,"*"&amp;$A1501&amp;"*",'All Papers'!$G:$G,"*"&amp;Table1[[#Headers],[Recommendation]]&amp;"*")</f>
        <v>0</v>
      </c>
      <c r="G1501" s="8">
        <f>COUNTIFS('All Papers'!$D:$D,"*"&amp;$A1501&amp;"*",'All Papers'!$G:$G,"*"&amp;Table1[[#Headers],[Resource Management-CS]]&amp;"*")</f>
        <v>1</v>
      </c>
      <c r="H1501" s="8">
        <f>COUNTIFS('All Papers'!$D:$D,"*"&amp;$A1501&amp;"*",'All Papers'!$G:$G,"*"&amp;Table1[[#Headers],[Resource Management-PS]]&amp;"*")</f>
        <v>0</v>
      </c>
      <c r="I1501" s="8">
        <f>COUNTIFS('All Papers'!$D:$D,"*"&amp;$A1501&amp;"*",'All Papers'!$G:$G,"*"&amp;Table1[[#Headers],[SLA Management]]&amp;"*")</f>
        <v>0</v>
      </c>
      <c r="J1501" s="8">
        <f>COUNTIFS('All Papers'!$D:$D,"*"&amp;$A1501&amp;"*",'All Papers'!$G:$G,"*"&amp;Table1[[#Headers],[Big Data]]&amp;"*")</f>
        <v>0</v>
      </c>
      <c r="K1501" s="8">
        <f>COUNTIFS('All Papers'!$D:$D,"*"&amp;$A1501&amp;"*",'All Papers'!$G:$G,"*"&amp;Table1[[#Headers],[Energy Management]]&amp;"*")</f>
        <v>0</v>
      </c>
      <c r="L1501" s="8">
        <f>COUNTIFS('All Papers'!$D:$D,"*"&amp;$A1501&amp;"*",'All Papers'!$G:$G,"*"&amp;Table1[[#Headers],[Monitoring]]&amp;"*")</f>
        <v>0</v>
      </c>
      <c r="M1501" s="8">
        <f>COUNTIFS('All Papers'!$D:$D,"*"&amp;$A1501&amp;"*",'All Papers'!$G:$G,"*"&amp;Table1[[#Headers],[Pricing]]&amp;"*")</f>
        <v>0</v>
      </c>
    </row>
    <row r="1502" spans="1:13" x14ac:dyDescent="0.25">
      <c r="A1502" s="8" t="s">
        <v>3935</v>
      </c>
      <c r="B1502" s="8">
        <f>COUNTIF('All Papers'!D:D,"*"&amp;Table1[[#This Row],[Name]]&amp;"*")</f>
        <v>1</v>
      </c>
      <c r="C1502" s="8">
        <f>COUNTIFS('All Papers'!$D:$D,"*"&amp;$A1502&amp;"*",'All Papers'!$G:$G,"*"&amp;Table1[[#Headers],[Composition]]&amp;"*")</f>
        <v>0</v>
      </c>
      <c r="D1502" s="8">
        <f>COUNTIFS('All Papers'!$D:$D,"*"&amp;$A1502&amp;"*",'All Papers'!$G:$G,"*"&amp;Table1[[#Headers],[Discovery]]&amp;"*")</f>
        <v>0</v>
      </c>
      <c r="E1502" s="8">
        <f>COUNTIFS('All Papers'!$D:$D,"*"&amp;$A1502&amp;"*",'All Papers'!$G:$G,"*"&amp;Table1[[#Headers],[Selection]]&amp;"*")</f>
        <v>0</v>
      </c>
      <c r="F1502" s="8">
        <f>COUNTIFS('All Papers'!$D:$D,"*"&amp;$A1502&amp;"*",'All Papers'!$G:$G,"*"&amp;Table1[[#Headers],[Recommendation]]&amp;"*")</f>
        <v>0</v>
      </c>
      <c r="G1502" s="8">
        <f>COUNTIFS('All Papers'!$D:$D,"*"&amp;$A1502&amp;"*",'All Papers'!$G:$G,"*"&amp;Table1[[#Headers],[Resource Management-CS]]&amp;"*")</f>
        <v>1</v>
      </c>
      <c r="H1502" s="8">
        <f>COUNTIFS('All Papers'!$D:$D,"*"&amp;$A1502&amp;"*",'All Papers'!$G:$G,"*"&amp;Table1[[#Headers],[Resource Management-PS]]&amp;"*")</f>
        <v>0</v>
      </c>
      <c r="I1502" s="8">
        <f>COUNTIFS('All Papers'!$D:$D,"*"&amp;$A1502&amp;"*",'All Papers'!$G:$G,"*"&amp;Table1[[#Headers],[SLA Management]]&amp;"*")</f>
        <v>0</v>
      </c>
      <c r="J1502" s="8">
        <f>COUNTIFS('All Papers'!$D:$D,"*"&amp;$A1502&amp;"*",'All Papers'!$G:$G,"*"&amp;Table1[[#Headers],[Big Data]]&amp;"*")</f>
        <v>0</v>
      </c>
      <c r="K1502" s="8">
        <f>COUNTIFS('All Papers'!$D:$D,"*"&amp;$A1502&amp;"*",'All Papers'!$G:$G,"*"&amp;Table1[[#Headers],[Energy Management]]&amp;"*")</f>
        <v>0</v>
      </c>
      <c r="L1502" s="8">
        <f>COUNTIFS('All Papers'!$D:$D,"*"&amp;$A1502&amp;"*",'All Papers'!$G:$G,"*"&amp;Table1[[#Headers],[Monitoring]]&amp;"*")</f>
        <v>0</v>
      </c>
      <c r="M1502" s="8">
        <f>COUNTIFS('All Papers'!$D:$D,"*"&amp;$A1502&amp;"*",'All Papers'!$G:$G,"*"&amp;Table1[[#Headers],[Pricing]]&amp;"*")</f>
        <v>0</v>
      </c>
    </row>
    <row r="1503" spans="1:13" x14ac:dyDescent="0.25">
      <c r="A1503" s="8" t="s">
        <v>3936</v>
      </c>
      <c r="B1503" s="8">
        <f>COUNTIF('All Papers'!D:D,"*"&amp;Table1[[#This Row],[Name]]&amp;"*")</f>
        <v>1</v>
      </c>
      <c r="C1503" s="8">
        <f>COUNTIFS('All Papers'!$D:$D,"*"&amp;$A1503&amp;"*",'All Papers'!$G:$G,"*"&amp;Table1[[#Headers],[Composition]]&amp;"*")</f>
        <v>0</v>
      </c>
      <c r="D1503" s="8">
        <f>COUNTIFS('All Papers'!$D:$D,"*"&amp;$A1503&amp;"*",'All Papers'!$G:$G,"*"&amp;Table1[[#Headers],[Discovery]]&amp;"*")</f>
        <v>0</v>
      </c>
      <c r="E1503" s="8">
        <f>COUNTIFS('All Papers'!$D:$D,"*"&amp;$A1503&amp;"*",'All Papers'!$G:$G,"*"&amp;Table1[[#Headers],[Selection]]&amp;"*")</f>
        <v>0</v>
      </c>
      <c r="F1503" s="8">
        <f>COUNTIFS('All Papers'!$D:$D,"*"&amp;$A1503&amp;"*",'All Papers'!$G:$G,"*"&amp;Table1[[#Headers],[Recommendation]]&amp;"*")</f>
        <v>0</v>
      </c>
      <c r="G1503" s="8">
        <f>COUNTIFS('All Papers'!$D:$D,"*"&amp;$A1503&amp;"*",'All Papers'!$G:$G,"*"&amp;Table1[[#Headers],[Resource Management-CS]]&amp;"*")</f>
        <v>1</v>
      </c>
      <c r="H1503" s="8">
        <f>COUNTIFS('All Papers'!$D:$D,"*"&amp;$A1503&amp;"*",'All Papers'!$G:$G,"*"&amp;Table1[[#Headers],[Resource Management-PS]]&amp;"*")</f>
        <v>0</v>
      </c>
      <c r="I1503" s="8">
        <f>COUNTIFS('All Papers'!$D:$D,"*"&amp;$A1503&amp;"*",'All Papers'!$G:$G,"*"&amp;Table1[[#Headers],[SLA Management]]&amp;"*")</f>
        <v>0</v>
      </c>
      <c r="J1503" s="8">
        <f>COUNTIFS('All Papers'!$D:$D,"*"&amp;$A1503&amp;"*",'All Papers'!$G:$G,"*"&amp;Table1[[#Headers],[Big Data]]&amp;"*")</f>
        <v>0</v>
      </c>
      <c r="K1503" s="8">
        <f>COUNTIFS('All Papers'!$D:$D,"*"&amp;$A1503&amp;"*",'All Papers'!$G:$G,"*"&amp;Table1[[#Headers],[Energy Management]]&amp;"*")</f>
        <v>0</v>
      </c>
      <c r="L1503" s="8">
        <f>COUNTIFS('All Papers'!$D:$D,"*"&amp;$A1503&amp;"*",'All Papers'!$G:$G,"*"&amp;Table1[[#Headers],[Monitoring]]&amp;"*")</f>
        <v>0</v>
      </c>
      <c r="M1503" s="8">
        <f>COUNTIFS('All Papers'!$D:$D,"*"&amp;$A1503&amp;"*",'All Papers'!$G:$G,"*"&amp;Table1[[#Headers],[Pricing]]&amp;"*")</f>
        <v>0</v>
      </c>
    </row>
    <row r="1504" spans="1:13" x14ac:dyDescent="0.25">
      <c r="A1504" s="8" t="s">
        <v>3937</v>
      </c>
      <c r="B1504" s="8">
        <f>COUNTIF('All Papers'!D:D,"*"&amp;Table1[[#This Row],[Name]]&amp;"*")</f>
        <v>1</v>
      </c>
      <c r="C1504" s="8">
        <f>COUNTIFS('All Papers'!$D:$D,"*"&amp;$A1504&amp;"*",'All Papers'!$G:$G,"*"&amp;Table1[[#Headers],[Composition]]&amp;"*")</f>
        <v>0</v>
      </c>
      <c r="D1504" s="8">
        <f>COUNTIFS('All Papers'!$D:$D,"*"&amp;$A1504&amp;"*",'All Papers'!$G:$G,"*"&amp;Table1[[#Headers],[Discovery]]&amp;"*")</f>
        <v>0</v>
      </c>
      <c r="E1504" s="8">
        <f>COUNTIFS('All Papers'!$D:$D,"*"&amp;$A1504&amp;"*",'All Papers'!$G:$G,"*"&amp;Table1[[#Headers],[Selection]]&amp;"*")</f>
        <v>0</v>
      </c>
      <c r="F1504" s="8">
        <f>COUNTIFS('All Papers'!$D:$D,"*"&amp;$A1504&amp;"*",'All Papers'!$G:$G,"*"&amp;Table1[[#Headers],[Recommendation]]&amp;"*")</f>
        <v>0</v>
      </c>
      <c r="G1504" s="8">
        <f>COUNTIFS('All Papers'!$D:$D,"*"&amp;$A1504&amp;"*",'All Papers'!$G:$G,"*"&amp;Table1[[#Headers],[Resource Management-CS]]&amp;"*")</f>
        <v>1</v>
      </c>
      <c r="H1504" s="8">
        <f>COUNTIFS('All Papers'!$D:$D,"*"&amp;$A1504&amp;"*",'All Papers'!$G:$G,"*"&amp;Table1[[#Headers],[Resource Management-PS]]&amp;"*")</f>
        <v>0</v>
      </c>
      <c r="I1504" s="8">
        <f>COUNTIFS('All Papers'!$D:$D,"*"&amp;$A1504&amp;"*",'All Papers'!$G:$G,"*"&amp;Table1[[#Headers],[SLA Management]]&amp;"*")</f>
        <v>0</v>
      </c>
      <c r="J1504" s="8">
        <f>COUNTIFS('All Papers'!$D:$D,"*"&amp;$A1504&amp;"*",'All Papers'!$G:$G,"*"&amp;Table1[[#Headers],[Big Data]]&amp;"*")</f>
        <v>0</v>
      </c>
      <c r="K1504" s="8">
        <f>COUNTIFS('All Papers'!$D:$D,"*"&amp;$A1504&amp;"*",'All Papers'!$G:$G,"*"&amp;Table1[[#Headers],[Energy Management]]&amp;"*")</f>
        <v>0</v>
      </c>
      <c r="L1504" s="8">
        <f>COUNTIFS('All Papers'!$D:$D,"*"&amp;$A1504&amp;"*",'All Papers'!$G:$G,"*"&amp;Table1[[#Headers],[Monitoring]]&amp;"*")</f>
        <v>0</v>
      </c>
      <c r="M1504" s="8">
        <f>COUNTIFS('All Papers'!$D:$D,"*"&amp;$A1504&amp;"*",'All Papers'!$G:$G,"*"&amp;Table1[[#Headers],[Pricing]]&amp;"*")</f>
        <v>0</v>
      </c>
    </row>
    <row r="1505" spans="1:13" x14ac:dyDescent="0.25">
      <c r="A1505" s="8" t="s">
        <v>3938</v>
      </c>
      <c r="B1505" s="8">
        <f>COUNTIF('All Papers'!D:D,"*"&amp;Table1[[#This Row],[Name]]&amp;"*")</f>
        <v>1</v>
      </c>
      <c r="C1505" s="8">
        <f>COUNTIFS('All Papers'!$D:$D,"*"&amp;$A1505&amp;"*",'All Papers'!$G:$G,"*"&amp;Table1[[#Headers],[Composition]]&amp;"*")</f>
        <v>0</v>
      </c>
      <c r="D1505" s="8">
        <f>COUNTIFS('All Papers'!$D:$D,"*"&amp;$A1505&amp;"*",'All Papers'!$G:$G,"*"&amp;Table1[[#Headers],[Discovery]]&amp;"*")</f>
        <v>0</v>
      </c>
      <c r="E1505" s="8">
        <f>COUNTIFS('All Papers'!$D:$D,"*"&amp;$A1505&amp;"*",'All Papers'!$G:$G,"*"&amp;Table1[[#Headers],[Selection]]&amp;"*")</f>
        <v>0</v>
      </c>
      <c r="F1505" s="8">
        <f>COUNTIFS('All Papers'!$D:$D,"*"&amp;$A1505&amp;"*",'All Papers'!$G:$G,"*"&amp;Table1[[#Headers],[Recommendation]]&amp;"*")</f>
        <v>0</v>
      </c>
      <c r="G1505" s="8">
        <f>COUNTIFS('All Papers'!$D:$D,"*"&amp;$A1505&amp;"*",'All Papers'!$G:$G,"*"&amp;Table1[[#Headers],[Resource Management-CS]]&amp;"*")</f>
        <v>1</v>
      </c>
      <c r="H1505" s="8">
        <f>COUNTIFS('All Papers'!$D:$D,"*"&amp;$A1505&amp;"*",'All Papers'!$G:$G,"*"&amp;Table1[[#Headers],[Resource Management-PS]]&amp;"*")</f>
        <v>0</v>
      </c>
      <c r="I1505" s="8">
        <f>COUNTIFS('All Papers'!$D:$D,"*"&amp;$A1505&amp;"*",'All Papers'!$G:$G,"*"&amp;Table1[[#Headers],[SLA Management]]&amp;"*")</f>
        <v>0</v>
      </c>
      <c r="J1505" s="8">
        <f>COUNTIFS('All Papers'!$D:$D,"*"&amp;$A1505&amp;"*",'All Papers'!$G:$G,"*"&amp;Table1[[#Headers],[Big Data]]&amp;"*")</f>
        <v>0</v>
      </c>
      <c r="K1505" s="8">
        <f>COUNTIFS('All Papers'!$D:$D,"*"&amp;$A1505&amp;"*",'All Papers'!$G:$G,"*"&amp;Table1[[#Headers],[Energy Management]]&amp;"*")</f>
        <v>0</v>
      </c>
      <c r="L1505" s="8">
        <f>COUNTIFS('All Papers'!$D:$D,"*"&amp;$A1505&amp;"*",'All Papers'!$G:$G,"*"&amp;Table1[[#Headers],[Monitoring]]&amp;"*")</f>
        <v>0</v>
      </c>
      <c r="M1505" s="8">
        <f>COUNTIFS('All Papers'!$D:$D,"*"&amp;$A1505&amp;"*",'All Papers'!$G:$G,"*"&amp;Table1[[#Headers],[Pricing]]&amp;"*")</f>
        <v>0</v>
      </c>
    </row>
    <row r="1506" spans="1:13" x14ac:dyDescent="0.25">
      <c r="A1506" s="8" t="s">
        <v>3939</v>
      </c>
      <c r="B1506" s="8">
        <f>COUNTIF('All Papers'!D:D,"*"&amp;Table1[[#This Row],[Name]]&amp;"*")</f>
        <v>1</v>
      </c>
      <c r="C1506" s="8">
        <f>COUNTIFS('All Papers'!$D:$D,"*"&amp;$A1506&amp;"*",'All Papers'!$G:$G,"*"&amp;Table1[[#Headers],[Composition]]&amp;"*")</f>
        <v>0</v>
      </c>
      <c r="D1506" s="8">
        <f>COUNTIFS('All Papers'!$D:$D,"*"&amp;$A1506&amp;"*",'All Papers'!$G:$G,"*"&amp;Table1[[#Headers],[Discovery]]&amp;"*")</f>
        <v>0</v>
      </c>
      <c r="E1506" s="8">
        <f>COUNTIFS('All Papers'!$D:$D,"*"&amp;$A1506&amp;"*",'All Papers'!$G:$G,"*"&amp;Table1[[#Headers],[Selection]]&amp;"*")</f>
        <v>0</v>
      </c>
      <c r="F1506" s="8">
        <f>COUNTIFS('All Papers'!$D:$D,"*"&amp;$A1506&amp;"*",'All Papers'!$G:$G,"*"&amp;Table1[[#Headers],[Recommendation]]&amp;"*")</f>
        <v>0</v>
      </c>
      <c r="G1506" s="8">
        <f>COUNTIFS('All Papers'!$D:$D,"*"&amp;$A1506&amp;"*",'All Papers'!$G:$G,"*"&amp;Table1[[#Headers],[Resource Management-CS]]&amp;"*")</f>
        <v>1</v>
      </c>
      <c r="H1506" s="8">
        <f>COUNTIFS('All Papers'!$D:$D,"*"&amp;$A1506&amp;"*",'All Papers'!$G:$G,"*"&amp;Table1[[#Headers],[Resource Management-PS]]&amp;"*")</f>
        <v>0</v>
      </c>
      <c r="I1506" s="8">
        <f>COUNTIFS('All Papers'!$D:$D,"*"&amp;$A1506&amp;"*",'All Papers'!$G:$G,"*"&amp;Table1[[#Headers],[SLA Management]]&amp;"*")</f>
        <v>0</v>
      </c>
      <c r="J1506" s="8">
        <f>COUNTIFS('All Papers'!$D:$D,"*"&amp;$A1506&amp;"*",'All Papers'!$G:$G,"*"&amp;Table1[[#Headers],[Big Data]]&amp;"*")</f>
        <v>0</v>
      </c>
      <c r="K1506" s="8">
        <f>COUNTIFS('All Papers'!$D:$D,"*"&amp;$A1506&amp;"*",'All Papers'!$G:$G,"*"&amp;Table1[[#Headers],[Energy Management]]&amp;"*")</f>
        <v>0</v>
      </c>
      <c r="L1506" s="8">
        <f>COUNTIFS('All Papers'!$D:$D,"*"&amp;$A1506&amp;"*",'All Papers'!$G:$G,"*"&amp;Table1[[#Headers],[Monitoring]]&amp;"*")</f>
        <v>0</v>
      </c>
      <c r="M1506" s="8">
        <f>COUNTIFS('All Papers'!$D:$D,"*"&amp;$A1506&amp;"*",'All Papers'!$G:$G,"*"&amp;Table1[[#Headers],[Pricing]]&amp;"*")</f>
        <v>0</v>
      </c>
    </row>
    <row r="1507" spans="1:13" x14ac:dyDescent="0.25">
      <c r="A1507" s="8" t="s">
        <v>3940</v>
      </c>
      <c r="B1507" s="8">
        <f>COUNTIF('All Papers'!D:D,"*"&amp;Table1[[#This Row],[Name]]&amp;"*")</f>
        <v>1</v>
      </c>
      <c r="C1507" s="8">
        <f>COUNTIFS('All Papers'!$D:$D,"*"&amp;$A1507&amp;"*",'All Papers'!$G:$G,"*"&amp;Table1[[#Headers],[Composition]]&amp;"*")</f>
        <v>0</v>
      </c>
      <c r="D1507" s="8">
        <f>COUNTIFS('All Papers'!$D:$D,"*"&amp;$A1507&amp;"*",'All Papers'!$G:$G,"*"&amp;Table1[[#Headers],[Discovery]]&amp;"*")</f>
        <v>0</v>
      </c>
      <c r="E1507" s="8">
        <f>COUNTIFS('All Papers'!$D:$D,"*"&amp;$A1507&amp;"*",'All Papers'!$G:$G,"*"&amp;Table1[[#Headers],[Selection]]&amp;"*")</f>
        <v>0</v>
      </c>
      <c r="F1507" s="8">
        <f>COUNTIFS('All Papers'!$D:$D,"*"&amp;$A1507&amp;"*",'All Papers'!$G:$G,"*"&amp;Table1[[#Headers],[Recommendation]]&amp;"*")</f>
        <v>0</v>
      </c>
      <c r="G1507" s="8">
        <f>COUNTIFS('All Papers'!$D:$D,"*"&amp;$A1507&amp;"*",'All Papers'!$G:$G,"*"&amp;Table1[[#Headers],[Resource Management-CS]]&amp;"*")</f>
        <v>1</v>
      </c>
      <c r="H1507" s="8">
        <f>COUNTIFS('All Papers'!$D:$D,"*"&amp;$A1507&amp;"*",'All Papers'!$G:$G,"*"&amp;Table1[[#Headers],[Resource Management-PS]]&amp;"*")</f>
        <v>0</v>
      </c>
      <c r="I1507" s="8">
        <f>COUNTIFS('All Papers'!$D:$D,"*"&amp;$A1507&amp;"*",'All Papers'!$G:$G,"*"&amp;Table1[[#Headers],[SLA Management]]&amp;"*")</f>
        <v>0</v>
      </c>
      <c r="J1507" s="8">
        <f>COUNTIFS('All Papers'!$D:$D,"*"&amp;$A1507&amp;"*",'All Papers'!$G:$G,"*"&amp;Table1[[#Headers],[Big Data]]&amp;"*")</f>
        <v>0</v>
      </c>
      <c r="K1507" s="8">
        <f>COUNTIFS('All Papers'!$D:$D,"*"&amp;$A1507&amp;"*",'All Papers'!$G:$G,"*"&amp;Table1[[#Headers],[Energy Management]]&amp;"*")</f>
        <v>0</v>
      </c>
      <c r="L1507" s="8">
        <f>COUNTIFS('All Papers'!$D:$D,"*"&amp;$A1507&amp;"*",'All Papers'!$G:$G,"*"&amp;Table1[[#Headers],[Monitoring]]&amp;"*")</f>
        <v>0</v>
      </c>
      <c r="M1507" s="8">
        <f>COUNTIFS('All Papers'!$D:$D,"*"&amp;$A1507&amp;"*",'All Papers'!$G:$G,"*"&amp;Table1[[#Headers],[Pricing]]&amp;"*")</f>
        <v>0</v>
      </c>
    </row>
    <row r="1508" spans="1:13" x14ac:dyDescent="0.25">
      <c r="A1508" s="8" t="s">
        <v>3941</v>
      </c>
      <c r="B1508" s="8">
        <f>COUNTIF('All Papers'!D:D,"*"&amp;Table1[[#This Row],[Name]]&amp;"*")</f>
        <v>1</v>
      </c>
      <c r="C1508" s="8">
        <f>COUNTIFS('All Papers'!$D:$D,"*"&amp;$A1508&amp;"*",'All Papers'!$G:$G,"*"&amp;Table1[[#Headers],[Composition]]&amp;"*")</f>
        <v>0</v>
      </c>
      <c r="D1508" s="8">
        <f>COUNTIFS('All Papers'!$D:$D,"*"&amp;$A1508&amp;"*",'All Papers'!$G:$G,"*"&amp;Table1[[#Headers],[Discovery]]&amp;"*")</f>
        <v>0</v>
      </c>
      <c r="E1508" s="8">
        <f>COUNTIFS('All Papers'!$D:$D,"*"&amp;$A1508&amp;"*",'All Papers'!$G:$G,"*"&amp;Table1[[#Headers],[Selection]]&amp;"*")</f>
        <v>0</v>
      </c>
      <c r="F1508" s="8">
        <f>COUNTIFS('All Papers'!$D:$D,"*"&amp;$A1508&amp;"*",'All Papers'!$G:$G,"*"&amp;Table1[[#Headers],[Recommendation]]&amp;"*")</f>
        <v>0</v>
      </c>
      <c r="G1508" s="8">
        <f>COUNTIFS('All Papers'!$D:$D,"*"&amp;$A1508&amp;"*",'All Papers'!$G:$G,"*"&amp;Table1[[#Headers],[Resource Management-CS]]&amp;"*")</f>
        <v>1</v>
      </c>
      <c r="H1508" s="8">
        <f>COUNTIFS('All Papers'!$D:$D,"*"&amp;$A1508&amp;"*",'All Papers'!$G:$G,"*"&amp;Table1[[#Headers],[Resource Management-PS]]&amp;"*")</f>
        <v>0</v>
      </c>
      <c r="I1508" s="8">
        <f>COUNTIFS('All Papers'!$D:$D,"*"&amp;$A1508&amp;"*",'All Papers'!$G:$G,"*"&amp;Table1[[#Headers],[SLA Management]]&amp;"*")</f>
        <v>0</v>
      </c>
      <c r="J1508" s="8">
        <f>COUNTIFS('All Papers'!$D:$D,"*"&amp;$A1508&amp;"*",'All Papers'!$G:$G,"*"&amp;Table1[[#Headers],[Big Data]]&amp;"*")</f>
        <v>0</v>
      </c>
      <c r="K1508" s="8">
        <f>COUNTIFS('All Papers'!$D:$D,"*"&amp;$A1508&amp;"*",'All Papers'!$G:$G,"*"&amp;Table1[[#Headers],[Energy Management]]&amp;"*")</f>
        <v>0</v>
      </c>
      <c r="L1508" s="8">
        <f>COUNTIFS('All Papers'!$D:$D,"*"&amp;$A1508&amp;"*",'All Papers'!$G:$G,"*"&amp;Table1[[#Headers],[Monitoring]]&amp;"*")</f>
        <v>0</v>
      </c>
      <c r="M1508" s="8">
        <f>COUNTIFS('All Papers'!$D:$D,"*"&amp;$A1508&amp;"*",'All Papers'!$G:$G,"*"&amp;Table1[[#Headers],[Pricing]]&amp;"*")</f>
        <v>0</v>
      </c>
    </row>
    <row r="1509" spans="1:13" x14ac:dyDescent="0.25">
      <c r="A1509" s="8" t="s">
        <v>3942</v>
      </c>
      <c r="B1509" s="8">
        <f>COUNTIF('All Papers'!D:D,"*"&amp;Table1[[#This Row],[Name]]&amp;"*")</f>
        <v>1</v>
      </c>
      <c r="C1509" s="8">
        <f>COUNTIFS('All Papers'!$D:$D,"*"&amp;$A1509&amp;"*",'All Papers'!$G:$G,"*"&amp;Table1[[#Headers],[Composition]]&amp;"*")</f>
        <v>0</v>
      </c>
      <c r="D1509" s="8">
        <f>COUNTIFS('All Papers'!$D:$D,"*"&amp;$A1509&amp;"*",'All Papers'!$G:$G,"*"&amp;Table1[[#Headers],[Discovery]]&amp;"*")</f>
        <v>0</v>
      </c>
      <c r="E1509" s="8">
        <f>COUNTIFS('All Papers'!$D:$D,"*"&amp;$A1509&amp;"*",'All Papers'!$G:$G,"*"&amp;Table1[[#Headers],[Selection]]&amp;"*")</f>
        <v>0</v>
      </c>
      <c r="F1509" s="8">
        <f>COUNTIFS('All Papers'!$D:$D,"*"&amp;$A1509&amp;"*",'All Papers'!$G:$G,"*"&amp;Table1[[#Headers],[Recommendation]]&amp;"*")</f>
        <v>0</v>
      </c>
      <c r="G1509" s="8">
        <f>COUNTIFS('All Papers'!$D:$D,"*"&amp;$A1509&amp;"*",'All Papers'!$G:$G,"*"&amp;Table1[[#Headers],[Resource Management-CS]]&amp;"*")</f>
        <v>1</v>
      </c>
      <c r="H1509" s="8">
        <f>COUNTIFS('All Papers'!$D:$D,"*"&amp;$A1509&amp;"*",'All Papers'!$G:$G,"*"&amp;Table1[[#Headers],[Resource Management-PS]]&amp;"*")</f>
        <v>0</v>
      </c>
      <c r="I1509" s="8">
        <f>COUNTIFS('All Papers'!$D:$D,"*"&amp;$A1509&amp;"*",'All Papers'!$G:$G,"*"&amp;Table1[[#Headers],[SLA Management]]&amp;"*")</f>
        <v>0</v>
      </c>
      <c r="J1509" s="8">
        <f>COUNTIFS('All Papers'!$D:$D,"*"&amp;$A1509&amp;"*",'All Papers'!$G:$G,"*"&amp;Table1[[#Headers],[Big Data]]&amp;"*")</f>
        <v>0</v>
      </c>
      <c r="K1509" s="8">
        <f>COUNTIFS('All Papers'!$D:$D,"*"&amp;$A1509&amp;"*",'All Papers'!$G:$G,"*"&amp;Table1[[#Headers],[Energy Management]]&amp;"*")</f>
        <v>0</v>
      </c>
      <c r="L1509" s="8">
        <f>COUNTIFS('All Papers'!$D:$D,"*"&amp;$A1509&amp;"*",'All Papers'!$G:$G,"*"&amp;Table1[[#Headers],[Monitoring]]&amp;"*")</f>
        <v>0</v>
      </c>
      <c r="M1509" s="8">
        <f>COUNTIFS('All Papers'!$D:$D,"*"&amp;$A1509&amp;"*",'All Papers'!$G:$G,"*"&amp;Table1[[#Headers],[Pricing]]&amp;"*")</f>
        <v>0</v>
      </c>
    </row>
    <row r="1510" spans="1:13" x14ac:dyDescent="0.25">
      <c r="A1510" s="8" t="s">
        <v>3943</v>
      </c>
      <c r="B1510" s="8">
        <f>COUNTIF('All Papers'!D:D,"*"&amp;Table1[[#This Row],[Name]]&amp;"*")</f>
        <v>1</v>
      </c>
      <c r="C1510" s="8">
        <f>COUNTIFS('All Papers'!$D:$D,"*"&amp;$A1510&amp;"*",'All Papers'!$G:$G,"*"&amp;Table1[[#Headers],[Composition]]&amp;"*")</f>
        <v>0</v>
      </c>
      <c r="D1510" s="8">
        <f>COUNTIFS('All Papers'!$D:$D,"*"&amp;$A1510&amp;"*",'All Papers'!$G:$G,"*"&amp;Table1[[#Headers],[Discovery]]&amp;"*")</f>
        <v>0</v>
      </c>
      <c r="E1510" s="8">
        <f>COUNTIFS('All Papers'!$D:$D,"*"&amp;$A1510&amp;"*",'All Papers'!$G:$G,"*"&amp;Table1[[#Headers],[Selection]]&amp;"*")</f>
        <v>0</v>
      </c>
      <c r="F1510" s="8">
        <f>COUNTIFS('All Papers'!$D:$D,"*"&amp;$A1510&amp;"*",'All Papers'!$G:$G,"*"&amp;Table1[[#Headers],[Recommendation]]&amp;"*")</f>
        <v>0</v>
      </c>
      <c r="G1510" s="8">
        <f>COUNTIFS('All Papers'!$D:$D,"*"&amp;$A1510&amp;"*",'All Papers'!$G:$G,"*"&amp;Table1[[#Headers],[Resource Management-CS]]&amp;"*")</f>
        <v>1</v>
      </c>
      <c r="H1510" s="8">
        <f>COUNTIFS('All Papers'!$D:$D,"*"&amp;$A1510&amp;"*",'All Papers'!$G:$G,"*"&amp;Table1[[#Headers],[Resource Management-PS]]&amp;"*")</f>
        <v>0</v>
      </c>
      <c r="I1510" s="8">
        <f>COUNTIFS('All Papers'!$D:$D,"*"&amp;$A1510&amp;"*",'All Papers'!$G:$G,"*"&amp;Table1[[#Headers],[SLA Management]]&amp;"*")</f>
        <v>0</v>
      </c>
      <c r="J1510" s="8">
        <f>COUNTIFS('All Papers'!$D:$D,"*"&amp;$A1510&amp;"*",'All Papers'!$G:$G,"*"&amp;Table1[[#Headers],[Big Data]]&amp;"*")</f>
        <v>0</v>
      </c>
      <c r="K1510" s="8">
        <f>COUNTIFS('All Papers'!$D:$D,"*"&amp;$A1510&amp;"*",'All Papers'!$G:$G,"*"&amp;Table1[[#Headers],[Energy Management]]&amp;"*")</f>
        <v>0</v>
      </c>
      <c r="L1510" s="8">
        <f>COUNTIFS('All Papers'!$D:$D,"*"&amp;$A1510&amp;"*",'All Papers'!$G:$G,"*"&amp;Table1[[#Headers],[Monitoring]]&amp;"*")</f>
        <v>0</v>
      </c>
      <c r="M1510" s="8">
        <f>COUNTIFS('All Papers'!$D:$D,"*"&amp;$A1510&amp;"*",'All Papers'!$G:$G,"*"&amp;Table1[[#Headers],[Pricing]]&amp;"*")</f>
        <v>0</v>
      </c>
    </row>
    <row r="1511" spans="1:13" x14ac:dyDescent="0.25">
      <c r="A1511" s="8" t="s">
        <v>3944</v>
      </c>
      <c r="B1511" s="8">
        <f>COUNTIF('All Papers'!D:D,"*"&amp;Table1[[#This Row],[Name]]&amp;"*")</f>
        <v>1</v>
      </c>
      <c r="C1511" s="8">
        <f>COUNTIFS('All Papers'!$D:$D,"*"&amp;$A1511&amp;"*",'All Papers'!$G:$G,"*"&amp;Table1[[#Headers],[Composition]]&amp;"*")</f>
        <v>0</v>
      </c>
      <c r="D1511" s="8">
        <f>COUNTIFS('All Papers'!$D:$D,"*"&amp;$A1511&amp;"*",'All Papers'!$G:$G,"*"&amp;Table1[[#Headers],[Discovery]]&amp;"*")</f>
        <v>0</v>
      </c>
      <c r="E1511" s="8">
        <f>COUNTIFS('All Papers'!$D:$D,"*"&amp;$A1511&amp;"*",'All Papers'!$G:$G,"*"&amp;Table1[[#Headers],[Selection]]&amp;"*")</f>
        <v>0</v>
      </c>
      <c r="F1511" s="8">
        <f>COUNTIFS('All Papers'!$D:$D,"*"&amp;$A1511&amp;"*",'All Papers'!$G:$G,"*"&amp;Table1[[#Headers],[Recommendation]]&amp;"*")</f>
        <v>0</v>
      </c>
      <c r="G1511" s="8">
        <f>COUNTIFS('All Papers'!$D:$D,"*"&amp;$A1511&amp;"*",'All Papers'!$G:$G,"*"&amp;Table1[[#Headers],[Resource Management-CS]]&amp;"*")</f>
        <v>1</v>
      </c>
      <c r="H1511" s="8">
        <f>COUNTIFS('All Papers'!$D:$D,"*"&amp;$A1511&amp;"*",'All Papers'!$G:$G,"*"&amp;Table1[[#Headers],[Resource Management-PS]]&amp;"*")</f>
        <v>0</v>
      </c>
      <c r="I1511" s="8">
        <f>COUNTIFS('All Papers'!$D:$D,"*"&amp;$A1511&amp;"*",'All Papers'!$G:$G,"*"&amp;Table1[[#Headers],[SLA Management]]&amp;"*")</f>
        <v>0</v>
      </c>
      <c r="J1511" s="8">
        <f>COUNTIFS('All Papers'!$D:$D,"*"&amp;$A1511&amp;"*",'All Papers'!$G:$G,"*"&amp;Table1[[#Headers],[Big Data]]&amp;"*")</f>
        <v>0</v>
      </c>
      <c r="K1511" s="8">
        <f>COUNTIFS('All Papers'!$D:$D,"*"&amp;$A1511&amp;"*",'All Papers'!$G:$G,"*"&amp;Table1[[#Headers],[Energy Management]]&amp;"*")</f>
        <v>0</v>
      </c>
      <c r="L1511" s="8">
        <f>COUNTIFS('All Papers'!$D:$D,"*"&amp;$A1511&amp;"*",'All Papers'!$G:$G,"*"&amp;Table1[[#Headers],[Monitoring]]&amp;"*")</f>
        <v>0</v>
      </c>
      <c r="M1511" s="8">
        <f>COUNTIFS('All Papers'!$D:$D,"*"&amp;$A1511&amp;"*",'All Papers'!$G:$G,"*"&amp;Table1[[#Headers],[Pricing]]&amp;"*")</f>
        <v>0</v>
      </c>
    </row>
    <row r="1512" spans="1:13" x14ac:dyDescent="0.25">
      <c r="A1512" s="8" t="s">
        <v>3945</v>
      </c>
      <c r="B1512" s="8">
        <f>COUNTIF('All Papers'!D:D,"*"&amp;Table1[[#This Row],[Name]]&amp;"*")</f>
        <v>1</v>
      </c>
      <c r="C1512" s="8">
        <f>COUNTIFS('All Papers'!$D:$D,"*"&amp;$A1512&amp;"*",'All Papers'!$G:$G,"*"&amp;Table1[[#Headers],[Composition]]&amp;"*")</f>
        <v>0</v>
      </c>
      <c r="D1512" s="8">
        <f>COUNTIFS('All Papers'!$D:$D,"*"&amp;$A1512&amp;"*",'All Papers'!$G:$G,"*"&amp;Table1[[#Headers],[Discovery]]&amp;"*")</f>
        <v>0</v>
      </c>
      <c r="E1512" s="8">
        <f>COUNTIFS('All Papers'!$D:$D,"*"&amp;$A1512&amp;"*",'All Papers'!$G:$G,"*"&amp;Table1[[#Headers],[Selection]]&amp;"*")</f>
        <v>0</v>
      </c>
      <c r="F1512" s="8">
        <f>COUNTIFS('All Papers'!$D:$D,"*"&amp;$A1512&amp;"*",'All Papers'!$G:$G,"*"&amp;Table1[[#Headers],[Recommendation]]&amp;"*")</f>
        <v>0</v>
      </c>
      <c r="G1512" s="8">
        <f>COUNTIFS('All Papers'!$D:$D,"*"&amp;$A1512&amp;"*",'All Papers'!$G:$G,"*"&amp;Table1[[#Headers],[Resource Management-CS]]&amp;"*")</f>
        <v>1</v>
      </c>
      <c r="H1512" s="8">
        <f>COUNTIFS('All Papers'!$D:$D,"*"&amp;$A1512&amp;"*",'All Papers'!$G:$G,"*"&amp;Table1[[#Headers],[Resource Management-PS]]&amp;"*")</f>
        <v>0</v>
      </c>
      <c r="I1512" s="8">
        <f>COUNTIFS('All Papers'!$D:$D,"*"&amp;$A1512&amp;"*",'All Papers'!$G:$G,"*"&amp;Table1[[#Headers],[SLA Management]]&amp;"*")</f>
        <v>0</v>
      </c>
      <c r="J1512" s="8">
        <f>COUNTIFS('All Papers'!$D:$D,"*"&amp;$A1512&amp;"*",'All Papers'!$G:$G,"*"&amp;Table1[[#Headers],[Big Data]]&amp;"*")</f>
        <v>0</v>
      </c>
      <c r="K1512" s="8">
        <f>COUNTIFS('All Papers'!$D:$D,"*"&amp;$A1512&amp;"*",'All Papers'!$G:$G,"*"&amp;Table1[[#Headers],[Energy Management]]&amp;"*")</f>
        <v>0</v>
      </c>
      <c r="L1512" s="8">
        <f>COUNTIFS('All Papers'!$D:$D,"*"&amp;$A1512&amp;"*",'All Papers'!$G:$G,"*"&amp;Table1[[#Headers],[Monitoring]]&amp;"*")</f>
        <v>0</v>
      </c>
      <c r="M1512" s="8">
        <f>COUNTIFS('All Papers'!$D:$D,"*"&amp;$A1512&amp;"*",'All Papers'!$G:$G,"*"&amp;Table1[[#Headers],[Pricing]]&amp;"*")</f>
        <v>0</v>
      </c>
    </row>
    <row r="1513" spans="1:13" x14ac:dyDescent="0.25">
      <c r="A1513" s="8" t="s">
        <v>3946</v>
      </c>
      <c r="B1513" s="8">
        <f>COUNTIF('All Papers'!D:D,"*"&amp;Table1[[#This Row],[Name]]&amp;"*")</f>
        <v>1</v>
      </c>
      <c r="C1513" s="8">
        <f>COUNTIFS('All Papers'!$D:$D,"*"&amp;$A1513&amp;"*",'All Papers'!$G:$G,"*"&amp;Table1[[#Headers],[Composition]]&amp;"*")</f>
        <v>0</v>
      </c>
      <c r="D1513" s="8">
        <f>COUNTIFS('All Papers'!$D:$D,"*"&amp;$A1513&amp;"*",'All Papers'!$G:$G,"*"&amp;Table1[[#Headers],[Discovery]]&amp;"*")</f>
        <v>0</v>
      </c>
      <c r="E1513" s="8">
        <f>COUNTIFS('All Papers'!$D:$D,"*"&amp;$A1513&amp;"*",'All Papers'!$G:$G,"*"&amp;Table1[[#Headers],[Selection]]&amp;"*")</f>
        <v>0</v>
      </c>
      <c r="F1513" s="8">
        <f>COUNTIFS('All Papers'!$D:$D,"*"&amp;$A1513&amp;"*",'All Papers'!$G:$G,"*"&amp;Table1[[#Headers],[Recommendation]]&amp;"*")</f>
        <v>0</v>
      </c>
      <c r="G1513" s="8">
        <f>COUNTIFS('All Papers'!$D:$D,"*"&amp;$A1513&amp;"*",'All Papers'!$G:$G,"*"&amp;Table1[[#Headers],[Resource Management-CS]]&amp;"*")</f>
        <v>1</v>
      </c>
      <c r="H1513" s="8">
        <f>COUNTIFS('All Papers'!$D:$D,"*"&amp;$A1513&amp;"*",'All Papers'!$G:$G,"*"&amp;Table1[[#Headers],[Resource Management-PS]]&amp;"*")</f>
        <v>0</v>
      </c>
      <c r="I1513" s="8">
        <f>COUNTIFS('All Papers'!$D:$D,"*"&amp;$A1513&amp;"*",'All Papers'!$G:$G,"*"&amp;Table1[[#Headers],[SLA Management]]&amp;"*")</f>
        <v>0</v>
      </c>
      <c r="J1513" s="8">
        <f>COUNTIFS('All Papers'!$D:$D,"*"&amp;$A1513&amp;"*",'All Papers'!$G:$G,"*"&amp;Table1[[#Headers],[Big Data]]&amp;"*")</f>
        <v>0</v>
      </c>
      <c r="K1513" s="8">
        <f>COUNTIFS('All Papers'!$D:$D,"*"&amp;$A1513&amp;"*",'All Papers'!$G:$G,"*"&amp;Table1[[#Headers],[Energy Management]]&amp;"*")</f>
        <v>0</v>
      </c>
      <c r="L1513" s="8">
        <f>COUNTIFS('All Papers'!$D:$D,"*"&amp;$A1513&amp;"*",'All Papers'!$G:$G,"*"&amp;Table1[[#Headers],[Monitoring]]&amp;"*")</f>
        <v>0</v>
      </c>
      <c r="M1513" s="8">
        <f>COUNTIFS('All Papers'!$D:$D,"*"&amp;$A1513&amp;"*",'All Papers'!$G:$G,"*"&amp;Table1[[#Headers],[Pricing]]&amp;"*")</f>
        <v>0</v>
      </c>
    </row>
    <row r="1514" spans="1:13" x14ac:dyDescent="0.25">
      <c r="A1514" s="8" t="s">
        <v>3947</v>
      </c>
      <c r="B1514" s="8">
        <f>COUNTIF('All Papers'!D:D,"*"&amp;Table1[[#This Row],[Name]]&amp;"*")</f>
        <v>1</v>
      </c>
      <c r="C1514" s="8">
        <f>COUNTIFS('All Papers'!$D:$D,"*"&amp;$A1514&amp;"*",'All Papers'!$G:$G,"*"&amp;Table1[[#Headers],[Composition]]&amp;"*")</f>
        <v>0</v>
      </c>
      <c r="D1514" s="8">
        <f>COUNTIFS('All Papers'!$D:$D,"*"&amp;$A1514&amp;"*",'All Papers'!$G:$G,"*"&amp;Table1[[#Headers],[Discovery]]&amp;"*")</f>
        <v>0</v>
      </c>
      <c r="E1514" s="8">
        <f>COUNTIFS('All Papers'!$D:$D,"*"&amp;$A1514&amp;"*",'All Papers'!$G:$G,"*"&amp;Table1[[#Headers],[Selection]]&amp;"*")</f>
        <v>0</v>
      </c>
      <c r="F1514" s="8">
        <f>COUNTIFS('All Papers'!$D:$D,"*"&amp;$A1514&amp;"*",'All Papers'!$G:$G,"*"&amp;Table1[[#Headers],[Recommendation]]&amp;"*")</f>
        <v>0</v>
      </c>
      <c r="G1514" s="8">
        <f>COUNTIFS('All Papers'!$D:$D,"*"&amp;$A1514&amp;"*",'All Papers'!$G:$G,"*"&amp;Table1[[#Headers],[Resource Management-CS]]&amp;"*")</f>
        <v>1</v>
      </c>
      <c r="H1514" s="8">
        <f>COUNTIFS('All Papers'!$D:$D,"*"&amp;$A1514&amp;"*",'All Papers'!$G:$G,"*"&amp;Table1[[#Headers],[Resource Management-PS]]&amp;"*")</f>
        <v>0</v>
      </c>
      <c r="I1514" s="8">
        <f>COUNTIFS('All Papers'!$D:$D,"*"&amp;$A1514&amp;"*",'All Papers'!$G:$G,"*"&amp;Table1[[#Headers],[SLA Management]]&amp;"*")</f>
        <v>0</v>
      </c>
      <c r="J1514" s="8">
        <f>COUNTIFS('All Papers'!$D:$D,"*"&amp;$A1514&amp;"*",'All Papers'!$G:$G,"*"&amp;Table1[[#Headers],[Big Data]]&amp;"*")</f>
        <v>0</v>
      </c>
      <c r="K1514" s="8">
        <f>COUNTIFS('All Papers'!$D:$D,"*"&amp;$A1514&amp;"*",'All Papers'!$G:$G,"*"&amp;Table1[[#Headers],[Energy Management]]&amp;"*")</f>
        <v>0</v>
      </c>
      <c r="L1514" s="8">
        <f>COUNTIFS('All Papers'!$D:$D,"*"&amp;$A1514&amp;"*",'All Papers'!$G:$G,"*"&amp;Table1[[#Headers],[Monitoring]]&amp;"*")</f>
        <v>0</v>
      </c>
      <c r="M1514" s="8">
        <f>COUNTIFS('All Papers'!$D:$D,"*"&amp;$A1514&amp;"*",'All Papers'!$G:$G,"*"&amp;Table1[[#Headers],[Pricing]]&amp;"*")</f>
        <v>0</v>
      </c>
    </row>
    <row r="1515" spans="1:13" x14ac:dyDescent="0.25">
      <c r="A1515" s="8" t="s">
        <v>3948</v>
      </c>
      <c r="B1515" s="8">
        <f>COUNTIF('All Papers'!D:D,"*"&amp;Table1[[#This Row],[Name]]&amp;"*")</f>
        <v>1</v>
      </c>
      <c r="C1515" s="8">
        <f>COUNTIFS('All Papers'!$D:$D,"*"&amp;$A1515&amp;"*",'All Papers'!$G:$G,"*"&amp;Table1[[#Headers],[Composition]]&amp;"*")</f>
        <v>0</v>
      </c>
      <c r="D1515" s="8">
        <f>COUNTIFS('All Papers'!$D:$D,"*"&amp;$A1515&amp;"*",'All Papers'!$G:$G,"*"&amp;Table1[[#Headers],[Discovery]]&amp;"*")</f>
        <v>0</v>
      </c>
      <c r="E1515" s="8">
        <f>COUNTIFS('All Papers'!$D:$D,"*"&amp;$A1515&amp;"*",'All Papers'!$G:$G,"*"&amp;Table1[[#Headers],[Selection]]&amp;"*")</f>
        <v>0</v>
      </c>
      <c r="F1515" s="8">
        <f>COUNTIFS('All Papers'!$D:$D,"*"&amp;$A1515&amp;"*",'All Papers'!$G:$G,"*"&amp;Table1[[#Headers],[Recommendation]]&amp;"*")</f>
        <v>0</v>
      </c>
      <c r="G1515" s="8">
        <f>COUNTIFS('All Papers'!$D:$D,"*"&amp;$A1515&amp;"*",'All Papers'!$G:$G,"*"&amp;Table1[[#Headers],[Resource Management-CS]]&amp;"*")</f>
        <v>1</v>
      </c>
      <c r="H1515" s="8">
        <f>COUNTIFS('All Papers'!$D:$D,"*"&amp;$A1515&amp;"*",'All Papers'!$G:$G,"*"&amp;Table1[[#Headers],[Resource Management-PS]]&amp;"*")</f>
        <v>0</v>
      </c>
      <c r="I1515" s="8">
        <f>COUNTIFS('All Papers'!$D:$D,"*"&amp;$A1515&amp;"*",'All Papers'!$G:$G,"*"&amp;Table1[[#Headers],[SLA Management]]&amp;"*")</f>
        <v>0</v>
      </c>
      <c r="J1515" s="8">
        <f>COUNTIFS('All Papers'!$D:$D,"*"&amp;$A1515&amp;"*",'All Papers'!$G:$G,"*"&amp;Table1[[#Headers],[Big Data]]&amp;"*")</f>
        <v>0</v>
      </c>
      <c r="K1515" s="8">
        <f>COUNTIFS('All Papers'!$D:$D,"*"&amp;$A1515&amp;"*",'All Papers'!$G:$G,"*"&amp;Table1[[#Headers],[Energy Management]]&amp;"*")</f>
        <v>0</v>
      </c>
      <c r="L1515" s="8">
        <f>COUNTIFS('All Papers'!$D:$D,"*"&amp;$A1515&amp;"*",'All Papers'!$G:$G,"*"&amp;Table1[[#Headers],[Monitoring]]&amp;"*")</f>
        <v>0</v>
      </c>
      <c r="M1515" s="8">
        <f>COUNTIFS('All Papers'!$D:$D,"*"&amp;$A1515&amp;"*",'All Papers'!$G:$G,"*"&amp;Table1[[#Headers],[Pricing]]&amp;"*")</f>
        <v>0</v>
      </c>
    </row>
    <row r="1516" spans="1:13" x14ac:dyDescent="0.25">
      <c r="A1516" s="8" t="s">
        <v>3949</v>
      </c>
      <c r="B1516" s="8">
        <f>COUNTIF('All Papers'!D:D,"*"&amp;Table1[[#This Row],[Name]]&amp;"*")</f>
        <v>1</v>
      </c>
      <c r="C1516" s="8">
        <f>COUNTIFS('All Papers'!$D:$D,"*"&amp;$A1516&amp;"*",'All Papers'!$G:$G,"*"&amp;Table1[[#Headers],[Composition]]&amp;"*")</f>
        <v>0</v>
      </c>
      <c r="D1516" s="8">
        <f>COUNTIFS('All Papers'!$D:$D,"*"&amp;$A1516&amp;"*",'All Papers'!$G:$G,"*"&amp;Table1[[#Headers],[Discovery]]&amp;"*")</f>
        <v>0</v>
      </c>
      <c r="E1516" s="8">
        <f>COUNTIFS('All Papers'!$D:$D,"*"&amp;$A1516&amp;"*",'All Papers'!$G:$G,"*"&amp;Table1[[#Headers],[Selection]]&amp;"*")</f>
        <v>0</v>
      </c>
      <c r="F1516" s="8">
        <f>COUNTIFS('All Papers'!$D:$D,"*"&amp;$A1516&amp;"*",'All Papers'!$G:$G,"*"&amp;Table1[[#Headers],[Recommendation]]&amp;"*")</f>
        <v>0</v>
      </c>
      <c r="G1516" s="8">
        <f>COUNTIFS('All Papers'!$D:$D,"*"&amp;$A1516&amp;"*",'All Papers'!$G:$G,"*"&amp;Table1[[#Headers],[Resource Management-CS]]&amp;"*")</f>
        <v>1</v>
      </c>
      <c r="H1516" s="8">
        <f>COUNTIFS('All Papers'!$D:$D,"*"&amp;$A1516&amp;"*",'All Papers'!$G:$G,"*"&amp;Table1[[#Headers],[Resource Management-PS]]&amp;"*")</f>
        <v>0</v>
      </c>
      <c r="I1516" s="8">
        <f>COUNTIFS('All Papers'!$D:$D,"*"&amp;$A1516&amp;"*",'All Papers'!$G:$G,"*"&amp;Table1[[#Headers],[SLA Management]]&amp;"*")</f>
        <v>0</v>
      </c>
      <c r="J1516" s="8">
        <f>COUNTIFS('All Papers'!$D:$D,"*"&amp;$A1516&amp;"*",'All Papers'!$G:$G,"*"&amp;Table1[[#Headers],[Big Data]]&amp;"*")</f>
        <v>0</v>
      </c>
      <c r="K1516" s="8">
        <f>COUNTIFS('All Papers'!$D:$D,"*"&amp;$A1516&amp;"*",'All Papers'!$G:$G,"*"&amp;Table1[[#Headers],[Energy Management]]&amp;"*")</f>
        <v>0</v>
      </c>
      <c r="L1516" s="8">
        <f>COUNTIFS('All Papers'!$D:$D,"*"&amp;$A1516&amp;"*",'All Papers'!$G:$G,"*"&amp;Table1[[#Headers],[Monitoring]]&amp;"*")</f>
        <v>0</v>
      </c>
      <c r="M1516" s="8">
        <f>COUNTIFS('All Papers'!$D:$D,"*"&amp;$A1516&amp;"*",'All Papers'!$G:$G,"*"&amp;Table1[[#Headers],[Pricing]]&amp;"*")</f>
        <v>0</v>
      </c>
    </row>
    <row r="1517" spans="1:13" x14ac:dyDescent="0.25">
      <c r="A1517" s="8" t="s">
        <v>3950</v>
      </c>
      <c r="B1517" s="8">
        <f>COUNTIF('All Papers'!D:D,"*"&amp;Table1[[#This Row],[Name]]&amp;"*")</f>
        <v>1</v>
      </c>
      <c r="C1517" s="8">
        <f>COUNTIFS('All Papers'!$D:$D,"*"&amp;$A1517&amp;"*",'All Papers'!$G:$G,"*"&amp;Table1[[#Headers],[Composition]]&amp;"*")</f>
        <v>0</v>
      </c>
      <c r="D1517" s="8">
        <f>COUNTIFS('All Papers'!$D:$D,"*"&amp;$A1517&amp;"*",'All Papers'!$G:$G,"*"&amp;Table1[[#Headers],[Discovery]]&amp;"*")</f>
        <v>0</v>
      </c>
      <c r="E1517" s="8">
        <f>COUNTIFS('All Papers'!$D:$D,"*"&amp;$A1517&amp;"*",'All Papers'!$G:$G,"*"&amp;Table1[[#Headers],[Selection]]&amp;"*")</f>
        <v>0</v>
      </c>
      <c r="F1517" s="8">
        <f>COUNTIFS('All Papers'!$D:$D,"*"&amp;$A1517&amp;"*",'All Papers'!$G:$G,"*"&amp;Table1[[#Headers],[Recommendation]]&amp;"*")</f>
        <v>0</v>
      </c>
      <c r="G1517" s="8">
        <f>COUNTIFS('All Papers'!$D:$D,"*"&amp;$A1517&amp;"*",'All Papers'!$G:$G,"*"&amp;Table1[[#Headers],[Resource Management-CS]]&amp;"*")</f>
        <v>1</v>
      </c>
      <c r="H1517" s="8">
        <f>COUNTIFS('All Papers'!$D:$D,"*"&amp;$A1517&amp;"*",'All Papers'!$G:$G,"*"&amp;Table1[[#Headers],[Resource Management-PS]]&amp;"*")</f>
        <v>0</v>
      </c>
      <c r="I1517" s="8">
        <f>COUNTIFS('All Papers'!$D:$D,"*"&amp;$A1517&amp;"*",'All Papers'!$G:$G,"*"&amp;Table1[[#Headers],[SLA Management]]&amp;"*")</f>
        <v>0</v>
      </c>
      <c r="J1517" s="8">
        <f>COUNTIFS('All Papers'!$D:$D,"*"&amp;$A1517&amp;"*",'All Papers'!$G:$G,"*"&amp;Table1[[#Headers],[Big Data]]&amp;"*")</f>
        <v>0</v>
      </c>
      <c r="K1517" s="8">
        <f>COUNTIFS('All Papers'!$D:$D,"*"&amp;$A1517&amp;"*",'All Papers'!$G:$G,"*"&amp;Table1[[#Headers],[Energy Management]]&amp;"*")</f>
        <v>0</v>
      </c>
      <c r="L1517" s="8">
        <f>COUNTIFS('All Papers'!$D:$D,"*"&amp;$A1517&amp;"*",'All Papers'!$G:$G,"*"&amp;Table1[[#Headers],[Monitoring]]&amp;"*")</f>
        <v>0</v>
      </c>
      <c r="M1517" s="8">
        <f>COUNTIFS('All Papers'!$D:$D,"*"&amp;$A1517&amp;"*",'All Papers'!$G:$G,"*"&amp;Table1[[#Headers],[Pricing]]&amp;"*")</f>
        <v>0</v>
      </c>
    </row>
    <row r="1518" spans="1:13" x14ac:dyDescent="0.25">
      <c r="A1518" s="8" t="s">
        <v>3951</v>
      </c>
      <c r="B1518" s="8">
        <f>COUNTIF('All Papers'!D:D,"*"&amp;Table1[[#This Row],[Name]]&amp;"*")</f>
        <v>1</v>
      </c>
      <c r="C1518" s="8">
        <f>COUNTIFS('All Papers'!$D:$D,"*"&amp;$A1518&amp;"*",'All Papers'!$G:$G,"*"&amp;Table1[[#Headers],[Composition]]&amp;"*")</f>
        <v>0</v>
      </c>
      <c r="D1518" s="8">
        <f>COUNTIFS('All Papers'!$D:$D,"*"&amp;$A1518&amp;"*",'All Papers'!$G:$G,"*"&amp;Table1[[#Headers],[Discovery]]&amp;"*")</f>
        <v>0</v>
      </c>
      <c r="E1518" s="8">
        <f>COUNTIFS('All Papers'!$D:$D,"*"&amp;$A1518&amp;"*",'All Papers'!$G:$G,"*"&amp;Table1[[#Headers],[Selection]]&amp;"*")</f>
        <v>0</v>
      </c>
      <c r="F1518" s="8">
        <f>COUNTIFS('All Papers'!$D:$D,"*"&amp;$A1518&amp;"*",'All Papers'!$G:$G,"*"&amp;Table1[[#Headers],[Recommendation]]&amp;"*")</f>
        <v>0</v>
      </c>
      <c r="G1518" s="8">
        <f>COUNTIFS('All Papers'!$D:$D,"*"&amp;$A1518&amp;"*",'All Papers'!$G:$G,"*"&amp;Table1[[#Headers],[Resource Management-CS]]&amp;"*")</f>
        <v>1</v>
      </c>
      <c r="H1518" s="8">
        <f>COUNTIFS('All Papers'!$D:$D,"*"&amp;$A1518&amp;"*",'All Papers'!$G:$G,"*"&amp;Table1[[#Headers],[Resource Management-PS]]&amp;"*")</f>
        <v>0</v>
      </c>
      <c r="I1518" s="8">
        <f>COUNTIFS('All Papers'!$D:$D,"*"&amp;$A1518&amp;"*",'All Papers'!$G:$G,"*"&amp;Table1[[#Headers],[SLA Management]]&amp;"*")</f>
        <v>0</v>
      </c>
      <c r="J1518" s="8">
        <f>COUNTIFS('All Papers'!$D:$D,"*"&amp;$A1518&amp;"*",'All Papers'!$G:$G,"*"&amp;Table1[[#Headers],[Big Data]]&amp;"*")</f>
        <v>0</v>
      </c>
      <c r="K1518" s="8">
        <f>COUNTIFS('All Papers'!$D:$D,"*"&amp;$A1518&amp;"*",'All Papers'!$G:$G,"*"&amp;Table1[[#Headers],[Energy Management]]&amp;"*")</f>
        <v>0</v>
      </c>
      <c r="L1518" s="8">
        <f>COUNTIFS('All Papers'!$D:$D,"*"&amp;$A1518&amp;"*",'All Papers'!$G:$G,"*"&amp;Table1[[#Headers],[Monitoring]]&amp;"*")</f>
        <v>0</v>
      </c>
      <c r="M1518" s="8">
        <f>COUNTIFS('All Papers'!$D:$D,"*"&amp;$A1518&amp;"*",'All Papers'!$G:$G,"*"&amp;Table1[[#Headers],[Pricing]]&amp;"*")</f>
        <v>0</v>
      </c>
    </row>
    <row r="1519" spans="1:13" x14ac:dyDescent="0.25">
      <c r="A1519" s="8" t="s">
        <v>3952</v>
      </c>
      <c r="B1519" s="8">
        <f>COUNTIF('All Papers'!D:D,"*"&amp;Table1[[#This Row],[Name]]&amp;"*")</f>
        <v>1</v>
      </c>
      <c r="C1519" s="8">
        <f>COUNTIFS('All Papers'!$D:$D,"*"&amp;$A1519&amp;"*",'All Papers'!$G:$G,"*"&amp;Table1[[#Headers],[Composition]]&amp;"*")</f>
        <v>0</v>
      </c>
      <c r="D1519" s="8">
        <f>COUNTIFS('All Papers'!$D:$D,"*"&amp;$A1519&amp;"*",'All Papers'!$G:$G,"*"&amp;Table1[[#Headers],[Discovery]]&amp;"*")</f>
        <v>0</v>
      </c>
      <c r="E1519" s="8">
        <f>COUNTIFS('All Papers'!$D:$D,"*"&amp;$A1519&amp;"*",'All Papers'!$G:$G,"*"&amp;Table1[[#Headers],[Selection]]&amp;"*")</f>
        <v>0</v>
      </c>
      <c r="F1519" s="8">
        <f>COUNTIFS('All Papers'!$D:$D,"*"&amp;$A1519&amp;"*",'All Papers'!$G:$G,"*"&amp;Table1[[#Headers],[Recommendation]]&amp;"*")</f>
        <v>0</v>
      </c>
      <c r="G1519" s="8">
        <f>COUNTIFS('All Papers'!$D:$D,"*"&amp;$A1519&amp;"*",'All Papers'!$G:$G,"*"&amp;Table1[[#Headers],[Resource Management-CS]]&amp;"*")</f>
        <v>1</v>
      </c>
      <c r="H1519" s="8">
        <f>COUNTIFS('All Papers'!$D:$D,"*"&amp;$A1519&amp;"*",'All Papers'!$G:$G,"*"&amp;Table1[[#Headers],[Resource Management-PS]]&amp;"*")</f>
        <v>0</v>
      </c>
      <c r="I1519" s="8">
        <f>COUNTIFS('All Papers'!$D:$D,"*"&amp;$A1519&amp;"*",'All Papers'!$G:$G,"*"&amp;Table1[[#Headers],[SLA Management]]&amp;"*")</f>
        <v>0</v>
      </c>
      <c r="J1519" s="8">
        <f>COUNTIFS('All Papers'!$D:$D,"*"&amp;$A1519&amp;"*",'All Papers'!$G:$G,"*"&amp;Table1[[#Headers],[Big Data]]&amp;"*")</f>
        <v>0</v>
      </c>
      <c r="K1519" s="8">
        <f>COUNTIFS('All Papers'!$D:$D,"*"&amp;$A1519&amp;"*",'All Papers'!$G:$G,"*"&amp;Table1[[#Headers],[Energy Management]]&amp;"*")</f>
        <v>0</v>
      </c>
      <c r="L1519" s="8">
        <f>COUNTIFS('All Papers'!$D:$D,"*"&amp;$A1519&amp;"*",'All Papers'!$G:$G,"*"&amp;Table1[[#Headers],[Monitoring]]&amp;"*")</f>
        <v>0</v>
      </c>
      <c r="M1519" s="8">
        <f>COUNTIFS('All Papers'!$D:$D,"*"&amp;$A1519&amp;"*",'All Papers'!$G:$G,"*"&amp;Table1[[#Headers],[Pricing]]&amp;"*")</f>
        <v>1</v>
      </c>
    </row>
    <row r="1520" spans="1:13" x14ac:dyDescent="0.25">
      <c r="A1520" s="8" t="s">
        <v>3953</v>
      </c>
      <c r="B1520" s="8">
        <f>COUNTIF('All Papers'!D:D,"*"&amp;Table1[[#This Row],[Name]]&amp;"*")</f>
        <v>1</v>
      </c>
      <c r="C1520" s="8">
        <f>COUNTIFS('All Papers'!$D:$D,"*"&amp;$A1520&amp;"*",'All Papers'!$G:$G,"*"&amp;Table1[[#Headers],[Composition]]&amp;"*")</f>
        <v>0</v>
      </c>
      <c r="D1520" s="8">
        <f>COUNTIFS('All Papers'!$D:$D,"*"&amp;$A1520&amp;"*",'All Papers'!$G:$G,"*"&amp;Table1[[#Headers],[Discovery]]&amp;"*")</f>
        <v>0</v>
      </c>
      <c r="E1520" s="8">
        <f>COUNTIFS('All Papers'!$D:$D,"*"&amp;$A1520&amp;"*",'All Papers'!$G:$G,"*"&amp;Table1[[#Headers],[Selection]]&amp;"*")</f>
        <v>0</v>
      </c>
      <c r="F1520" s="8">
        <f>COUNTIFS('All Papers'!$D:$D,"*"&amp;$A1520&amp;"*",'All Papers'!$G:$G,"*"&amp;Table1[[#Headers],[Recommendation]]&amp;"*")</f>
        <v>0</v>
      </c>
      <c r="G1520" s="8">
        <f>COUNTIFS('All Papers'!$D:$D,"*"&amp;$A1520&amp;"*",'All Papers'!$G:$G,"*"&amp;Table1[[#Headers],[Resource Management-CS]]&amp;"*")</f>
        <v>1</v>
      </c>
      <c r="H1520" s="8">
        <f>COUNTIFS('All Papers'!$D:$D,"*"&amp;$A1520&amp;"*",'All Papers'!$G:$G,"*"&amp;Table1[[#Headers],[Resource Management-PS]]&amp;"*")</f>
        <v>0</v>
      </c>
      <c r="I1520" s="8">
        <f>COUNTIFS('All Papers'!$D:$D,"*"&amp;$A1520&amp;"*",'All Papers'!$G:$G,"*"&amp;Table1[[#Headers],[SLA Management]]&amp;"*")</f>
        <v>0</v>
      </c>
      <c r="J1520" s="8">
        <f>COUNTIFS('All Papers'!$D:$D,"*"&amp;$A1520&amp;"*",'All Papers'!$G:$G,"*"&amp;Table1[[#Headers],[Big Data]]&amp;"*")</f>
        <v>0</v>
      </c>
      <c r="K1520" s="8">
        <f>COUNTIFS('All Papers'!$D:$D,"*"&amp;$A1520&amp;"*",'All Papers'!$G:$G,"*"&amp;Table1[[#Headers],[Energy Management]]&amp;"*")</f>
        <v>0</v>
      </c>
      <c r="L1520" s="8">
        <f>COUNTIFS('All Papers'!$D:$D,"*"&amp;$A1520&amp;"*",'All Papers'!$G:$G,"*"&amp;Table1[[#Headers],[Monitoring]]&amp;"*")</f>
        <v>0</v>
      </c>
      <c r="M1520" s="8">
        <f>COUNTIFS('All Papers'!$D:$D,"*"&amp;$A1520&amp;"*",'All Papers'!$G:$G,"*"&amp;Table1[[#Headers],[Pricing]]&amp;"*")</f>
        <v>1</v>
      </c>
    </row>
    <row r="1521" spans="1:13" x14ac:dyDescent="0.25">
      <c r="A1521" s="8" t="s">
        <v>3954</v>
      </c>
      <c r="B1521" s="8">
        <f>COUNTIF('All Papers'!D:D,"*"&amp;Table1[[#This Row],[Name]]&amp;"*")</f>
        <v>1</v>
      </c>
      <c r="C1521" s="8">
        <f>COUNTIFS('All Papers'!$D:$D,"*"&amp;$A1521&amp;"*",'All Papers'!$G:$G,"*"&amp;Table1[[#Headers],[Composition]]&amp;"*")</f>
        <v>0</v>
      </c>
      <c r="D1521" s="8">
        <f>COUNTIFS('All Papers'!$D:$D,"*"&amp;$A1521&amp;"*",'All Papers'!$G:$G,"*"&amp;Table1[[#Headers],[Discovery]]&amp;"*")</f>
        <v>0</v>
      </c>
      <c r="E1521" s="8">
        <f>COUNTIFS('All Papers'!$D:$D,"*"&amp;$A1521&amp;"*",'All Papers'!$G:$G,"*"&amp;Table1[[#Headers],[Selection]]&amp;"*")</f>
        <v>0</v>
      </c>
      <c r="F1521" s="8">
        <f>COUNTIFS('All Papers'!$D:$D,"*"&amp;$A1521&amp;"*",'All Papers'!$G:$G,"*"&amp;Table1[[#Headers],[Recommendation]]&amp;"*")</f>
        <v>0</v>
      </c>
      <c r="G1521" s="8">
        <f>COUNTIFS('All Papers'!$D:$D,"*"&amp;$A1521&amp;"*",'All Papers'!$G:$G,"*"&amp;Table1[[#Headers],[Resource Management-CS]]&amp;"*")</f>
        <v>1</v>
      </c>
      <c r="H1521" s="8">
        <f>COUNTIFS('All Papers'!$D:$D,"*"&amp;$A1521&amp;"*",'All Papers'!$G:$G,"*"&amp;Table1[[#Headers],[Resource Management-PS]]&amp;"*")</f>
        <v>0</v>
      </c>
      <c r="I1521" s="8">
        <f>COUNTIFS('All Papers'!$D:$D,"*"&amp;$A1521&amp;"*",'All Papers'!$G:$G,"*"&amp;Table1[[#Headers],[SLA Management]]&amp;"*")</f>
        <v>0</v>
      </c>
      <c r="J1521" s="8">
        <f>COUNTIFS('All Papers'!$D:$D,"*"&amp;$A1521&amp;"*",'All Papers'!$G:$G,"*"&amp;Table1[[#Headers],[Big Data]]&amp;"*")</f>
        <v>0</v>
      </c>
      <c r="K1521" s="8">
        <f>COUNTIFS('All Papers'!$D:$D,"*"&amp;$A1521&amp;"*",'All Papers'!$G:$G,"*"&amp;Table1[[#Headers],[Energy Management]]&amp;"*")</f>
        <v>0</v>
      </c>
      <c r="L1521" s="8">
        <f>COUNTIFS('All Papers'!$D:$D,"*"&amp;$A1521&amp;"*",'All Papers'!$G:$G,"*"&amp;Table1[[#Headers],[Monitoring]]&amp;"*")</f>
        <v>0</v>
      </c>
      <c r="M1521" s="8">
        <f>COUNTIFS('All Papers'!$D:$D,"*"&amp;$A1521&amp;"*",'All Papers'!$G:$G,"*"&amp;Table1[[#Headers],[Pricing]]&amp;"*")</f>
        <v>1</v>
      </c>
    </row>
    <row r="1522" spans="1:13" x14ac:dyDescent="0.25">
      <c r="A1522" s="8" t="s">
        <v>3955</v>
      </c>
      <c r="B1522" s="8">
        <f>COUNTIF('All Papers'!D:D,"*"&amp;Table1[[#This Row],[Name]]&amp;"*")</f>
        <v>1</v>
      </c>
      <c r="C1522" s="8">
        <f>COUNTIFS('All Papers'!$D:$D,"*"&amp;$A1522&amp;"*",'All Papers'!$G:$G,"*"&amp;Table1[[#Headers],[Composition]]&amp;"*")</f>
        <v>0</v>
      </c>
      <c r="D1522" s="8">
        <f>COUNTIFS('All Papers'!$D:$D,"*"&amp;$A1522&amp;"*",'All Papers'!$G:$G,"*"&amp;Table1[[#Headers],[Discovery]]&amp;"*")</f>
        <v>0</v>
      </c>
      <c r="E1522" s="8">
        <f>COUNTIFS('All Papers'!$D:$D,"*"&amp;$A1522&amp;"*",'All Papers'!$G:$G,"*"&amp;Table1[[#Headers],[Selection]]&amp;"*")</f>
        <v>0</v>
      </c>
      <c r="F1522" s="8">
        <f>COUNTIFS('All Papers'!$D:$D,"*"&amp;$A1522&amp;"*",'All Papers'!$G:$G,"*"&amp;Table1[[#Headers],[Recommendation]]&amp;"*")</f>
        <v>0</v>
      </c>
      <c r="G1522" s="8">
        <f>COUNTIFS('All Papers'!$D:$D,"*"&amp;$A1522&amp;"*",'All Papers'!$G:$G,"*"&amp;Table1[[#Headers],[Resource Management-CS]]&amp;"*")</f>
        <v>1</v>
      </c>
      <c r="H1522" s="8">
        <f>COUNTIFS('All Papers'!$D:$D,"*"&amp;$A1522&amp;"*",'All Papers'!$G:$G,"*"&amp;Table1[[#Headers],[Resource Management-PS]]&amp;"*")</f>
        <v>0</v>
      </c>
      <c r="I1522" s="8">
        <f>COUNTIFS('All Papers'!$D:$D,"*"&amp;$A1522&amp;"*",'All Papers'!$G:$G,"*"&amp;Table1[[#Headers],[SLA Management]]&amp;"*")</f>
        <v>0</v>
      </c>
      <c r="J1522" s="8">
        <f>COUNTIFS('All Papers'!$D:$D,"*"&amp;$A1522&amp;"*",'All Papers'!$G:$G,"*"&amp;Table1[[#Headers],[Big Data]]&amp;"*")</f>
        <v>0</v>
      </c>
      <c r="K1522" s="8">
        <f>COUNTIFS('All Papers'!$D:$D,"*"&amp;$A1522&amp;"*",'All Papers'!$G:$G,"*"&amp;Table1[[#Headers],[Energy Management]]&amp;"*")</f>
        <v>0</v>
      </c>
      <c r="L1522" s="8">
        <f>COUNTIFS('All Papers'!$D:$D,"*"&amp;$A1522&amp;"*",'All Papers'!$G:$G,"*"&amp;Table1[[#Headers],[Monitoring]]&amp;"*")</f>
        <v>0</v>
      </c>
      <c r="M1522" s="8">
        <f>COUNTIFS('All Papers'!$D:$D,"*"&amp;$A1522&amp;"*",'All Papers'!$G:$G,"*"&amp;Table1[[#Headers],[Pricing]]&amp;"*")</f>
        <v>1</v>
      </c>
    </row>
    <row r="1523" spans="1:13" x14ac:dyDescent="0.25">
      <c r="A1523" s="8" t="s">
        <v>3956</v>
      </c>
      <c r="B1523" s="8">
        <f>COUNTIF('All Papers'!D:D,"*"&amp;Table1[[#This Row],[Name]]&amp;"*")</f>
        <v>1</v>
      </c>
      <c r="C1523" s="8">
        <f>COUNTIFS('All Papers'!$D:$D,"*"&amp;$A1523&amp;"*",'All Papers'!$G:$G,"*"&amp;Table1[[#Headers],[Composition]]&amp;"*")</f>
        <v>0</v>
      </c>
      <c r="D1523" s="8">
        <f>COUNTIFS('All Papers'!$D:$D,"*"&amp;$A1523&amp;"*",'All Papers'!$G:$G,"*"&amp;Table1[[#Headers],[Discovery]]&amp;"*")</f>
        <v>0</v>
      </c>
      <c r="E1523" s="8">
        <f>COUNTIFS('All Papers'!$D:$D,"*"&amp;$A1523&amp;"*",'All Papers'!$G:$G,"*"&amp;Table1[[#Headers],[Selection]]&amp;"*")</f>
        <v>0</v>
      </c>
      <c r="F1523" s="8">
        <f>COUNTIFS('All Papers'!$D:$D,"*"&amp;$A1523&amp;"*",'All Papers'!$G:$G,"*"&amp;Table1[[#Headers],[Recommendation]]&amp;"*")</f>
        <v>0</v>
      </c>
      <c r="G1523" s="8">
        <f>COUNTIFS('All Papers'!$D:$D,"*"&amp;$A1523&amp;"*",'All Papers'!$G:$G,"*"&amp;Table1[[#Headers],[Resource Management-CS]]&amp;"*")</f>
        <v>1</v>
      </c>
      <c r="H1523" s="8">
        <f>COUNTIFS('All Papers'!$D:$D,"*"&amp;$A1523&amp;"*",'All Papers'!$G:$G,"*"&amp;Table1[[#Headers],[Resource Management-PS]]&amp;"*")</f>
        <v>0</v>
      </c>
      <c r="I1523" s="8">
        <f>COUNTIFS('All Papers'!$D:$D,"*"&amp;$A1523&amp;"*",'All Papers'!$G:$G,"*"&amp;Table1[[#Headers],[SLA Management]]&amp;"*")</f>
        <v>0</v>
      </c>
      <c r="J1523" s="8">
        <f>COUNTIFS('All Papers'!$D:$D,"*"&amp;$A1523&amp;"*",'All Papers'!$G:$G,"*"&amp;Table1[[#Headers],[Big Data]]&amp;"*")</f>
        <v>0</v>
      </c>
      <c r="K1523" s="8">
        <f>COUNTIFS('All Papers'!$D:$D,"*"&amp;$A1523&amp;"*",'All Papers'!$G:$G,"*"&amp;Table1[[#Headers],[Energy Management]]&amp;"*")</f>
        <v>0</v>
      </c>
      <c r="L1523" s="8">
        <f>COUNTIFS('All Papers'!$D:$D,"*"&amp;$A1523&amp;"*",'All Papers'!$G:$G,"*"&amp;Table1[[#Headers],[Monitoring]]&amp;"*")</f>
        <v>0</v>
      </c>
      <c r="M1523" s="8">
        <f>COUNTIFS('All Papers'!$D:$D,"*"&amp;$A1523&amp;"*",'All Papers'!$G:$G,"*"&amp;Table1[[#Headers],[Pricing]]&amp;"*")</f>
        <v>1</v>
      </c>
    </row>
    <row r="1524" spans="1:13" x14ac:dyDescent="0.25">
      <c r="A1524" s="8" t="s">
        <v>3957</v>
      </c>
      <c r="B1524" s="8">
        <f>COUNTIF('All Papers'!D:D,"*"&amp;Table1[[#This Row],[Name]]&amp;"*")</f>
        <v>1</v>
      </c>
      <c r="C1524" s="8">
        <f>COUNTIFS('All Papers'!$D:$D,"*"&amp;$A1524&amp;"*",'All Papers'!$G:$G,"*"&amp;Table1[[#Headers],[Composition]]&amp;"*")</f>
        <v>0</v>
      </c>
      <c r="D1524" s="8">
        <f>COUNTIFS('All Papers'!$D:$D,"*"&amp;$A1524&amp;"*",'All Papers'!$G:$G,"*"&amp;Table1[[#Headers],[Discovery]]&amp;"*")</f>
        <v>0</v>
      </c>
      <c r="E1524" s="8">
        <f>COUNTIFS('All Papers'!$D:$D,"*"&amp;$A1524&amp;"*",'All Papers'!$G:$G,"*"&amp;Table1[[#Headers],[Selection]]&amp;"*")</f>
        <v>0</v>
      </c>
      <c r="F1524" s="8">
        <f>COUNTIFS('All Papers'!$D:$D,"*"&amp;$A1524&amp;"*",'All Papers'!$G:$G,"*"&amp;Table1[[#Headers],[Recommendation]]&amp;"*")</f>
        <v>0</v>
      </c>
      <c r="G1524" s="8">
        <f>COUNTIFS('All Papers'!$D:$D,"*"&amp;$A1524&amp;"*",'All Papers'!$G:$G,"*"&amp;Table1[[#Headers],[Resource Management-CS]]&amp;"*")</f>
        <v>0</v>
      </c>
      <c r="H1524" s="8">
        <f>COUNTIFS('All Papers'!$D:$D,"*"&amp;$A1524&amp;"*",'All Papers'!$G:$G,"*"&amp;Table1[[#Headers],[Resource Management-PS]]&amp;"*")</f>
        <v>1</v>
      </c>
      <c r="I1524" s="8">
        <f>COUNTIFS('All Papers'!$D:$D,"*"&amp;$A1524&amp;"*",'All Papers'!$G:$G,"*"&amp;Table1[[#Headers],[SLA Management]]&amp;"*")</f>
        <v>0</v>
      </c>
      <c r="J1524" s="8">
        <f>COUNTIFS('All Papers'!$D:$D,"*"&amp;$A1524&amp;"*",'All Papers'!$G:$G,"*"&amp;Table1[[#Headers],[Big Data]]&amp;"*")</f>
        <v>0</v>
      </c>
      <c r="K1524" s="8">
        <f>COUNTIFS('All Papers'!$D:$D,"*"&amp;$A1524&amp;"*",'All Papers'!$G:$G,"*"&amp;Table1[[#Headers],[Energy Management]]&amp;"*")</f>
        <v>0</v>
      </c>
      <c r="L1524" s="8">
        <f>COUNTIFS('All Papers'!$D:$D,"*"&amp;$A1524&amp;"*",'All Papers'!$G:$G,"*"&amp;Table1[[#Headers],[Monitoring]]&amp;"*")</f>
        <v>0</v>
      </c>
      <c r="M1524" s="8">
        <f>COUNTIFS('All Papers'!$D:$D,"*"&amp;$A1524&amp;"*",'All Papers'!$G:$G,"*"&amp;Table1[[#Headers],[Pricing]]&amp;"*")</f>
        <v>0</v>
      </c>
    </row>
    <row r="1525" spans="1:13" x14ac:dyDescent="0.25">
      <c r="A1525" s="8" t="s">
        <v>3958</v>
      </c>
      <c r="B1525" s="8">
        <f>COUNTIF('All Papers'!D:D,"*"&amp;Table1[[#This Row],[Name]]&amp;"*")</f>
        <v>1</v>
      </c>
      <c r="C1525" s="8">
        <f>COUNTIFS('All Papers'!$D:$D,"*"&amp;$A1525&amp;"*",'All Papers'!$G:$G,"*"&amp;Table1[[#Headers],[Composition]]&amp;"*")</f>
        <v>0</v>
      </c>
      <c r="D1525" s="8">
        <f>COUNTIFS('All Papers'!$D:$D,"*"&amp;$A1525&amp;"*",'All Papers'!$G:$G,"*"&amp;Table1[[#Headers],[Discovery]]&amp;"*")</f>
        <v>0</v>
      </c>
      <c r="E1525" s="8">
        <f>COUNTIFS('All Papers'!$D:$D,"*"&amp;$A1525&amp;"*",'All Papers'!$G:$G,"*"&amp;Table1[[#Headers],[Selection]]&amp;"*")</f>
        <v>0</v>
      </c>
      <c r="F1525" s="8">
        <f>COUNTIFS('All Papers'!$D:$D,"*"&amp;$A1525&amp;"*",'All Papers'!$G:$G,"*"&amp;Table1[[#Headers],[Recommendation]]&amp;"*")</f>
        <v>0</v>
      </c>
      <c r="G1525" s="8">
        <f>COUNTIFS('All Papers'!$D:$D,"*"&amp;$A1525&amp;"*",'All Papers'!$G:$G,"*"&amp;Table1[[#Headers],[Resource Management-CS]]&amp;"*")</f>
        <v>0</v>
      </c>
      <c r="H1525" s="8">
        <f>COUNTIFS('All Papers'!$D:$D,"*"&amp;$A1525&amp;"*",'All Papers'!$G:$G,"*"&amp;Table1[[#Headers],[Resource Management-PS]]&amp;"*")</f>
        <v>1</v>
      </c>
      <c r="I1525" s="8">
        <f>COUNTIFS('All Papers'!$D:$D,"*"&amp;$A1525&amp;"*",'All Papers'!$G:$G,"*"&amp;Table1[[#Headers],[SLA Management]]&amp;"*")</f>
        <v>0</v>
      </c>
      <c r="J1525" s="8">
        <f>COUNTIFS('All Papers'!$D:$D,"*"&amp;$A1525&amp;"*",'All Papers'!$G:$G,"*"&amp;Table1[[#Headers],[Big Data]]&amp;"*")</f>
        <v>0</v>
      </c>
      <c r="K1525" s="8">
        <f>COUNTIFS('All Papers'!$D:$D,"*"&amp;$A1525&amp;"*",'All Papers'!$G:$G,"*"&amp;Table1[[#Headers],[Energy Management]]&amp;"*")</f>
        <v>0</v>
      </c>
      <c r="L1525" s="8">
        <f>COUNTIFS('All Papers'!$D:$D,"*"&amp;$A1525&amp;"*",'All Papers'!$G:$G,"*"&amp;Table1[[#Headers],[Monitoring]]&amp;"*")</f>
        <v>0</v>
      </c>
      <c r="M1525" s="8">
        <f>COUNTIFS('All Papers'!$D:$D,"*"&amp;$A1525&amp;"*",'All Papers'!$G:$G,"*"&amp;Table1[[#Headers],[Pricing]]&amp;"*")</f>
        <v>0</v>
      </c>
    </row>
    <row r="1526" spans="1:13" x14ac:dyDescent="0.25">
      <c r="A1526" s="8" t="s">
        <v>3959</v>
      </c>
      <c r="B1526" s="8">
        <f>COUNTIF('All Papers'!D:D,"*"&amp;Table1[[#This Row],[Name]]&amp;"*")</f>
        <v>1</v>
      </c>
      <c r="C1526" s="8">
        <f>COUNTIFS('All Papers'!$D:$D,"*"&amp;$A1526&amp;"*",'All Papers'!$G:$G,"*"&amp;Table1[[#Headers],[Composition]]&amp;"*")</f>
        <v>0</v>
      </c>
      <c r="D1526" s="8">
        <f>COUNTIFS('All Papers'!$D:$D,"*"&amp;$A1526&amp;"*",'All Papers'!$G:$G,"*"&amp;Table1[[#Headers],[Discovery]]&amp;"*")</f>
        <v>0</v>
      </c>
      <c r="E1526" s="8">
        <f>COUNTIFS('All Papers'!$D:$D,"*"&amp;$A1526&amp;"*",'All Papers'!$G:$G,"*"&amp;Table1[[#Headers],[Selection]]&amp;"*")</f>
        <v>0</v>
      </c>
      <c r="F1526" s="8">
        <f>COUNTIFS('All Papers'!$D:$D,"*"&amp;$A1526&amp;"*",'All Papers'!$G:$G,"*"&amp;Table1[[#Headers],[Recommendation]]&amp;"*")</f>
        <v>0</v>
      </c>
      <c r="G1526" s="8">
        <f>COUNTIFS('All Papers'!$D:$D,"*"&amp;$A1526&amp;"*",'All Papers'!$G:$G,"*"&amp;Table1[[#Headers],[Resource Management-CS]]&amp;"*")</f>
        <v>0</v>
      </c>
      <c r="H1526" s="8">
        <f>COUNTIFS('All Papers'!$D:$D,"*"&amp;$A1526&amp;"*",'All Papers'!$G:$G,"*"&amp;Table1[[#Headers],[Resource Management-PS]]&amp;"*")</f>
        <v>1</v>
      </c>
      <c r="I1526" s="8">
        <f>COUNTIFS('All Papers'!$D:$D,"*"&amp;$A1526&amp;"*",'All Papers'!$G:$G,"*"&amp;Table1[[#Headers],[SLA Management]]&amp;"*")</f>
        <v>0</v>
      </c>
      <c r="J1526" s="8">
        <f>COUNTIFS('All Papers'!$D:$D,"*"&amp;$A1526&amp;"*",'All Papers'!$G:$G,"*"&amp;Table1[[#Headers],[Big Data]]&amp;"*")</f>
        <v>0</v>
      </c>
      <c r="K1526" s="8">
        <f>COUNTIFS('All Papers'!$D:$D,"*"&amp;$A1526&amp;"*",'All Papers'!$G:$G,"*"&amp;Table1[[#Headers],[Energy Management]]&amp;"*")</f>
        <v>0</v>
      </c>
      <c r="L1526" s="8">
        <f>COUNTIFS('All Papers'!$D:$D,"*"&amp;$A1526&amp;"*",'All Papers'!$G:$G,"*"&amp;Table1[[#Headers],[Monitoring]]&amp;"*")</f>
        <v>0</v>
      </c>
      <c r="M1526" s="8">
        <f>COUNTIFS('All Papers'!$D:$D,"*"&amp;$A1526&amp;"*",'All Papers'!$G:$G,"*"&amp;Table1[[#Headers],[Pricing]]&amp;"*")</f>
        <v>0</v>
      </c>
    </row>
    <row r="1527" spans="1:13" x14ac:dyDescent="0.25">
      <c r="A1527" s="8" t="s">
        <v>3960</v>
      </c>
      <c r="B1527" s="8">
        <f>COUNTIF('All Papers'!D:D,"*"&amp;Table1[[#This Row],[Name]]&amp;"*")</f>
        <v>1</v>
      </c>
      <c r="C1527" s="8">
        <f>COUNTIFS('All Papers'!$D:$D,"*"&amp;$A1527&amp;"*",'All Papers'!$G:$G,"*"&amp;Table1[[#Headers],[Composition]]&amp;"*")</f>
        <v>0</v>
      </c>
      <c r="D1527" s="8">
        <f>COUNTIFS('All Papers'!$D:$D,"*"&amp;$A1527&amp;"*",'All Papers'!$G:$G,"*"&amp;Table1[[#Headers],[Discovery]]&amp;"*")</f>
        <v>0</v>
      </c>
      <c r="E1527" s="8">
        <f>COUNTIFS('All Papers'!$D:$D,"*"&amp;$A1527&amp;"*",'All Papers'!$G:$G,"*"&amp;Table1[[#Headers],[Selection]]&amp;"*")</f>
        <v>0</v>
      </c>
      <c r="F1527" s="8">
        <f>COUNTIFS('All Papers'!$D:$D,"*"&amp;$A1527&amp;"*",'All Papers'!$G:$G,"*"&amp;Table1[[#Headers],[Recommendation]]&amp;"*")</f>
        <v>0</v>
      </c>
      <c r="G1527" s="8">
        <f>COUNTIFS('All Papers'!$D:$D,"*"&amp;$A1527&amp;"*",'All Papers'!$G:$G,"*"&amp;Table1[[#Headers],[Resource Management-CS]]&amp;"*")</f>
        <v>0</v>
      </c>
      <c r="H1527" s="8">
        <f>COUNTIFS('All Papers'!$D:$D,"*"&amp;$A1527&amp;"*",'All Papers'!$G:$G,"*"&amp;Table1[[#Headers],[Resource Management-PS]]&amp;"*")</f>
        <v>1</v>
      </c>
      <c r="I1527" s="8">
        <f>COUNTIFS('All Papers'!$D:$D,"*"&amp;$A1527&amp;"*",'All Papers'!$G:$G,"*"&amp;Table1[[#Headers],[SLA Management]]&amp;"*")</f>
        <v>0</v>
      </c>
      <c r="J1527" s="8">
        <f>COUNTIFS('All Papers'!$D:$D,"*"&amp;$A1527&amp;"*",'All Papers'!$G:$G,"*"&amp;Table1[[#Headers],[Big Data]]&amp;"*")</f>
        <v>0</v>
      </c>
      <c r="K1527" s="8">
        <f>COUNTIFS('All Papers'!$D:$D,"*"&amp;$A1527&amp;"*",'All Papers'!$G:$G,"*"&amp;Table1[[#Headers],[Energy Management]]&amp;"*")</f>
        <v>0</v>
      </c>
      <c r="L1527" s="8">
        <f>COUNTIFS('All Papers'!$D:$D,"*"&amp;$A1527&amp;"*",'All Papers'!$G:$G,"*"&amp;Table1[[#Headers],[Monitoring]]&amp;"*")</f>
        <v>0</v>
      </c>
      <c r="M1527" s="8">
        <f>COUNTIFS('All Papers'!$D:$D,"*"&amp;$A1527&amp;"*",'All Papers'!$G:$G,"*"&amp;Table1[[#Headers],[Pricing]]&amp;"*")</f>
        <v>0</v>
      </c>
    </row>
    <row r="1528" spans="1:13" x14ac:dyDescent="0.25">
      <c r="A1528" s="8" t="s">
        <v>3961</v>
      </c>
      <c r="B1528" s="8">
        <f>COUNTIF('All Papers'!D:D,"*"&amp;Table1[[#This Row],[Name]]&amp;"*")</f>
        <v>1</v>
      </c>
      <c r="C1528" s="8">
        <f>COUNTIFS('All Papers'!$D:$D,"*"&amp;$A1528&amp;"*",'All Papers'!$G:$G,"*"&amp;Table1[[#Headers],[Composition]]&amp;"*")</f>
        <v>0</v>
      </c>
      <c r="D1528" s="8">
        <f>COUNTIFS('All Papers'!$D:$D,"*"&amp;$A1528&amp;"*",'All Papers'!$G:$G,"*"&amp;Table1[[#Headers],[Discovery]]&amp;"*")</f>
        <v>0</v>
      </c>
      <c r="E1528" s="8">
        <f>COUNTIFS('All Papers'!$D:$D,"*"&amp;$A1528&amp;"*",'All Papers'!$G:$G,"*"&amp;Table1[[#Headers],[Selection]]&amp;"*")</f>
        <v>0</v>
      </c>
      <c r="F1528" s="8">
        <f>COUNTIFS('All Papers'!$D:$D,"*"&amp;$A1528&amp;"*",'All Papers'!$G:$G,"*"&amp;Table1[[#Headers],[Recommendation]]&amp;"*")</f>
        <v>0</v>
      </c>
      <c r="G1528" s="8">
        <f>COUNTIFS('All Papers'!$D:$D,"*"&amp;$A1528&amp;"*",'All Papers'!$G:$G,"*"&amp;Table1[[#Headers],[Resource Management-CS]]&amp;"*")</f>
        <v>0</v>
      </c>
      <c r="H1528" s="8">
        <f>COUNTIFS('All Papers'!$D:$D,"*"&amp;$A1528&amp;"*",'All Papers'!$G:$G,"*"&amp;Table1[[#Headers],[Resource Management-PS]]&amp;"*")</f>
        <v>0</v>
      </c>
      <c r="I1528" s="8">
        <f>COUNTIFS('All Papers'!$D:$D,"*"&amp;$A1528&amp;"*",'All Papers'!$G:$G,"*"&amp;Table1[[#Headers],[SLA Management]]&amp;"*")</f>
        <v>0</v>
      </c>
      <c r="J1528" s="8">
        <f>COUNTIFS('All Papers'!$D:$D,"*"&amp;$A1528&amp;"*",'All Papers'!$G:$G,"*"&amp;Table1[[#Headers],[Big Data]]&amp;"*")</f>
        <v>1</v>
      </c>
      <c r="K1528" s="8">
        <f>COUNTIFS('All Papers'!$D:$D,"*"&amp;$A1528&amp;"*",'All Papers'!$G:$G,"*"&amp;Table1[[#Headers],[Energy Management]]&amp;"*")</f>
        <v>0</v>
      </c>
      <c r="L1528" s="8">
        <f>COUNTIFS('All Papers'!$D:$D,"*"&amp;$A1528&amp;"*",'All Papers'!$G:$G,"*"&amp;Table1[[#Headers],[Monitoring]]&amp;"*")</f>
        <v>0</v>
      </c>
      <c r="M1528" s="8">
        <f>COUNTIFS('All Papers'!$D:$D,"*"&amp;$A1528&amp;"*",'All Papers'!$G:$G,"*"&amp;Table1[[#Headers],[Pricing]]&amp;"*")</f>
        <v>0</v>
      </c>
    </row>
    <row r="1529" spans="1:13" x14ac:dyDescent="0.25">
      <c r="A1529" s="8" t="s">
        <v>3962</v>
      </c>
      <c r="B1529" s="8">
        <f>COUNTIF('All Papers'!D:D,"*"&amp;Table1[[#This Row],[Name]]&amp;"*")</f>
        <v>1</v>
      </c>
      <c r="C1529" s="8">
        <f>COUNTIFS('All Papers'!$D:$D,"*"&amp;$A1529&amp;"*",'All Papers'!$G:$G,"*"&amp;Table1[[#Headers],[Composition]]&amp;"*")</f>
        <v>0</v>
      </c>
      <c r="D1529" s="8">
        <f>COUNTIFS('All Papers'!$D:$D,"*"&amp;$A1529&amp;"*",'All Papers'!$G:$G,"*"&amp;Table1[[#Headers],[Discovery]]&amp;"*")</f>
        <v>0</v>
      </c>
      <c r="E1529" s="8">
        <f>COUNTIFS('All Papers'!$D:$D,"*"&amp;$A1529&amp;"*",'All Papers'!$G:$G,"*"&amp;Table1[[#Headers],[Selection]]&amp;"*")</f>
        <v>0</v>
      </c>
      <c r="F1529" s="8">
        <f>COUNTIFS('All Papers'!$D:$D,"*"&amp;$A1529&amp;"*",'All Papers'!$G:$G,"*"&amp;Table1[[#Headers],[Recommendation]]&amp;"*")</f>
        <v>0</v>
      </c>
      <c r="G1529" s="8">
        <f>COUNTIFS('All Papers'!$D:$D,"*"&amp;$A1529&amp;"*",'All Papers'!$G:$G,"*"&amp;Table1[[#Headers],[Resource Management-CS]]&amp;"*")</f>
        <v>0</v>
      </c>
      <c r="H1529" s="8">
        <f>COUNTIFS('All Papers'!$D:$D,"*"&amp;$A1529&amp;"*",'All Papers'!$G:$G,"*"&amp;Table1[[#Headers],[Resource Management-PS]]&amp;"*")</f>
        <v>0</v>
      </c>
      <c r="I1529" s="8">
        <f>COUNTIFS('All Papers'!$D:$D,"*"&amp;$A1529&amp;"*",'All Papers'!$G:$G,"*"&amp;Table1[[#Headers],[SLA Management]]&amp;"*")</f>
        <v>0</v>
      </c>
      <c r="J1529" s="8">
        <f>COUNTIFS('All Papers'!$D:$D,"*"&amp;$A1529&amp;"*",'All Papers'!$G:$G,"*"&amp;Table1[[#Headers],[Big Data]]&amp;"*")</f>
        <v>1</v>
      </c>
      <c r="K1529" s="8">
        <f>COUNTIFS('All Papers'!$D:$D,"*"&amp;$A1529&amp;"*",'All Papers'!$G:$G,"*"&amp;Table1[[#Headers],[Energy Management]]&amp;"*")</f>
        <v>0</v>
      </c>
      <c r="L1529" s="8">
        <f>COUNTIFS('All Papers'!$D:$D,"*"&amp;$A1529&amp;"*",'All Papers'!$G:$G,"*"&amp;Table1[[#Headers],[Monitoring]]&amp;"*")</f>
        <v>0</v>
      </c>
      <c r="M1529" s="8">
        <f>COUNTIFS('All Papers'!$D:$D,"*"&amp;$A1529&amp;"*",'All Papers'!$G:$G,"*"&amp;Table1[[#Headers],[Pricing]]&amp;"*")</f>
        <v>0</v>
      </c>
    </row>
    <row r="1530" spans="1:13" x14ac:dyDescent="0.25">
      <c r="A1530" s="8" t="s">
        <v>3963</v>
      </c>
      <c r="B1530" s="8">
        <f>COUNTIF('All Papers'!D:D,"*"&amp;Table1[[#This Row],[Name]]&amp;"*")</f>
        <v>1</v>
      </c>
      <c r="C1530" s="8">
        <f>COUNTIFS('All Papers'!$D:$D,"*"&amp;$A1530&amp;"*",'All Papers'!$G:$G,"*"&amp;Table1[[#Headers],[Composition]]&amp;"*")</f>
        <v>0</v>
      </c>
      <c r="D1530" s="8">
        <f>COUNTIFS('All Papers'!$D:$D,"*"&amp;$A1530&amp;"*",'All Papers'!$G:$G,"*"&amp;Table1[[#Headers],[Discovery]]&amp;"*")</f>
        <v>0</v>
      </c>
      <c r="E1530" s="8">
        <f>COUNTIFS('All Papers'!$D:$D,"*"&amp;$A1530&amp;"*",'All Papers'!$G:$G,"*"&amp;Table1[[#Headers],[Selection]]&amp;"*")</f>
        <v>0</v>
      </c>
      <c r="F1530" s="8">
        <f>COUNTIFS('All Papers'!$D:$D,"*"&amp;$A1530&amp;"*",'All Papers'!$G:$G,"*"&amp;Table1[[#Headers],[Recommendation]]&amp;"*")</f>
        <v>0</v>
      </c>
      <c r="G1530" s="8">
        <f>COUNTIFS('All Papers'!$D:$D,"*"&amp;$A1530&amp;"*",'All Papers'!$G:$G,"*"&amp;Table1[[#Headers],[Resource Management-CS]]&amp;"*")</f>
        <v>0</v>
      </c>
      <c r="H1530" s="8">
        <f>COUNTIFS('All Papers'!$D:$D,"*"&amp;$A1530&amp;"*",'All Papers'!$G:$G,"*"&amp;Table1[[#Headers],[Resource Management-PS]]&amp;"*")</f>
        <v>0</v>
      </c>
      <c r="I1530" s="8">
        <f>COUNTIFS('All Papers'!$D:$D,"*"&amp;$A1530&amp;"*",'All Papers'!$G:$G,"*"&amp;Table1[[#Headers],[SLA Management]]&amp;"*")</f>
        <v>0</v>
      </c>
      <c r="J1530" s="8">
        <f>COUNTIFS('All Papers'!$D:$D,"*"&amp;$A1530&amp;"*",'All Papers'!$G:$G,"*"&amp;Table1[[#Headers],[Big Data]]&amp;"*")</f>
        <v>1</v>
      </c>
      <c r="K1530" s="8">
        <f>COUNTIFS('All Papers'!$D:$D,"*"&amp;$A1530&amp;"*",'All Papers'!$G:$G,"*"&amp;Table1[[#Headers],[Energy Management]]&amp;"*")</f>
        <v>0</v>
      </c>
      <c r="L1530" s="8">
        <f>COUNTIFS('All Papers'!$D:$D,"*"&amp;$A1530&amp;"*",'All Papers'!$G:$G,"*"&amp;Table1[[#Headers],[Monitoring]]&amp;"*")</f>
        <v>0</v>
      </c>
      <c r="M1530" s="8">
        <f>COUNTIFS('All Papers'!$D:$D,"*"&amp;$A1530&amp;"*",'All Papers'!$G:$G,"*"&amp;Table1[[#Headers],[Pricing]]&amp;"*")</f>
        <v>0</v>
      </c>
    </row>
    <row r="1531" spans="1:13" x14ac:dyDescent="0.25">
      <c r="A1531" s="8" t="s">
        <v>3964</v>
      </c>
      <c r="B1531" s="8">
        <f>COUNTIF('All Papers'!D:D,"*"&amp;Table1[[#This Row],[Name]]&amp;"*")</f>
        <v>1</v>
      </c>
      <c r="C1531" s="8">
        <f>COUNTIFS('All Papers'!$D:$D,"*"&amp;$A1531&amp;"*",'All Papers'!$G:$G,"*"&amp;Table1[[#Headers],[Composition]]&amp;"*")</f>
        <v>0</v>
      </c>
      <c r="D1531" s="8">
        <f>COUNTIFS('All Papers'!$D:$D,"*"&amp;$A1531&amp;"*",'All Papers'!$G:$G,"*"&amp;Table1[[#Headers],[Discovery]]&amp;"*")</f>
        <v>0</v>
      </c>
      <c r="E1531" s="8">
        <f>COUNTIFS('All Papers'!$D:$D,"*"&amp;$A1531&amp;"*",'All Papers'!$G:$G,"*"&amp;Table1[[#Headers],[Selection]]&amp;"*")</f>
        <v>0</v>
      </c>
      <c r="F1531" s="8">
        <f>COUNTIFS('All Papers'!$D:$D,"*"&amp;$A1531&amp;"*",'All Papers'!$G:$G,"*"&amp;Table1[[#Headers],[Recommendation]]&amp;"*")</f>
        <v>0</v>
      </c>
      <c r="G1531" s="8">
        <f>COUNTIFS('All Papers'!$D:$D,"*"&amp;$A1531&amp;"*",'All Papers'!$G:$G,"*"&amp;Table1[[#Headers],[Resource Management-CS]]&amp;"*")</f>
        <v>0</v>
      </c>
      <c r="H1531" s="8">
        <f>COUNTIFS('All Papers'!$D:$D,"*"&amp;$A1531&amp;"*",'All Papers'!$G:$G,"*"&amp;Table1[[#Headers],[Resource Management-PS]]&amp;"*")</f>
        <v>0</v>
      </c>
      <c r="I1531" s="8">
        <f>COUNTIFS('All Papers'!$D:$D,"*"&amp;$A1531&amp;"*",'All Papers'!$G:$G,"*"&amp;Table1[[#Headers],[SLA Management]]&amp;"*")</f>
        <v>0</v>
      </c>
      <c r="J1531" s="8">
        <f>COUNTIFS('All Papers'!$D:$D,"*"&amp;$A1531&amp;"*",'All Papers'!$G:$G,"*"&amp;Table1[[#Headers],[Big Data]]&amp;"*")</f>
        <v>1</v>
      </c>
      <c r="K1531" s="8">
        <f>COUNTIFS('All Papers'!$D:$D,"*"&amp;$A1531&amp;"*",'All Papers'!$G:$G,"*"&amp;Table1[[#Headers],[Energy Management]]&amp;"*")</f>
        <v>0</v>
      </c>
      <c r="L1531" s="8">
        <f>COUNTIFS('All Papers'!$D:$D,"*"&amp;$A1531&amp;"*",'All Papers'!$G:$G,"*"&amp;Table1[[#Headers],[Monitoring]]&amp;"*")</f>
        <v>0</v>
      </c>
      <c r="M1531" s="8">
        <f>COUNTIFS('All Papers'!$D:$D,"*"&amp;$A1531&amp;"*",'All Papers'!$G:$G,"*"&amp;Table1[[#Headers],[Pricing]]&amp;"*")</f>
        <v>0</v>
      </c>
    </row>
    <row r="1532" spans="1:13" x14ac:dyDescent="0.25">
      <c r="A1532" s="8" t="s">
        <v>3965</v>
      </c>
      <c r="B1532" s="8">
        <f>COUNTIF('All Papers'!D:D,"*"&amp;Table1[[#This Row],[Name]]&amp;"*")</f>
        <v>1</v>
      </c>
      <c r="C1532" s="8">
        <f>COUNTIFS('All Papers'!$D:$D,"*"&amp;$A1532&amp;"*",'All Papers'!$G:$G,"*"&amp;Table1[[#Headers],[Composition]]&amp;"*")</f>
        <v>0</v>
      </c>
      <c r="D1532" s="8">
        <f>COUNTIFS('All Papers'!$D:$D,"*"&amp;$A1532&amp;"*",'All Papers'!$G:$G,"*"&amp;Table1[[#Headers],[Discovery]]&amp;"*")</f>
        <v>0</v>
      </c>
      <c r="E1532" s="8">
        <f>COUNTIFS('All Papers'!$D:$D,"*"&amp;$A1532&amp;"*",'All Papers'!$G:$G,"*"&amp;Table1[[#Headers],[Selection]]&amp;"*")</f>
        <v>0</v>
      </c>
      <c r="F1532" s="8">
        <f>COUNTIFS('All Papers'!$D:$D,"*"&amp;$A1532&amp;"*",'All Papers'!$G:$G,"*"&amp;Table1[[#Headers],[Recommendation]]&amp;"*")</f>
        <v>0</v>
      </c>
      <c r="G1532" s="8">
        <f>COUNTIFS('All Papers'!$D:$D,"*"&amp;$A1532&amp;"*",'All Papers'!$G:$G,"*"&amp;Table1[[#Headers],[Resource Management-CS]]&amp;"*")</f>
        <v>0</v>
      </c>
      <c r="H1532" s="8">
        <f>COUNTIFS('All Papers'!$D:$D,"*"&amp;$A1532&amp;"*",'All Papers'!$G:$G,"*"&amp;Table1[[#Headers],[Resource Management-PS]]&amp;"*")</f>
        <v>0</v>
      </c>
      <c r="I1532" s="8">
        <f>COUNTIFS('All Papers'!$D:$D,"*"&amp;$A1532&amp;"*",'All Papers'!$G:$G,"*"&amp;Table1[[#Headers],[SLA Management]]&amp;"*")</f>
        <v>0</v>
      </c>
      <c r="J1532" s="8">
        <f>COUNTIFS('All Papers'!$D:$D,"*"&amp;$A1532&amp;"*",'All Papers'!$G:$G,"*"&amp;Table1[[#Headers],[Big Data]]&amp;"*")</f>
        <v>1</v>
      </c>
      <c r="K1532" s="8">
        <f>COUNTIFS('All Papers'!$D:$D,"*"&amp;$A1532&amp;"*",'All Papers'!$G:$G,"*"&amp;Table1[[#Headers],[Energy Management]]&amp;"*")</f>
        <v>0</v>
      </c>
      <c r="L1532" s="8">
        <f>COUNTIFS('All Papers'!$D:$D,"*"&amp;$A1532&amp;"*",'All Papers'!$G:$G,"*"&amp;Table1[[#Headers],[Monitoring]]&amp;"*")</f>
        <v>0</v>
      </c>
      <c r="M1532" s="8">
        <f>COUNTIFS('All Papers'!$D:$D,"*"&amp;$A1532&amp;"*",'All Papers'!$G:$G,"*"&amp;Table1[[#Headers],[Pricing]]&amp;"*")</f>
        <v>0</v>
      </c>
    </row>
    <row r="1533" spans="1:13" x14ac:dyDescent="0.25">
      <c r="A1533" s="8" t="s">
        <v>3966</v>
      </c>
      <c r="B1533" s="8">
        <f>COUNTIF('All Papers'!D:D,"*"&amp;Table1[[#This Row],[Name]]&amp;"*")</f>
        <v>1</v>
      </c>
      <c r="C1533" s="8">
        <f>COUNTIFS('All Papers'!$D:$D,"*"&amp;$A1533&amp;"*",'All Papers'!$G:$G,"*"&amp;Table1[[#Headers],[Composition]]&amp;"*")</f>
        <v>0</v>
      </c>
      <c r="D1533" s="8">
        <f>COUNTIFS('All Papers'!$D:$D,"*"&amp;$A1533&amp;"*",'All Papers'!$G:$G,"*"&amp;Table1[[#Headers],[Discovery]]&amp;"*")</f>
        <v>0</v>
      </c>
      <c r="E1533" s="8">
        <f>COUNTIFS('All Papers'!$D:$D,"*"&amp;$A1533&amp;"*",'All Papers'!$G:$G,"*"&amp;Table1[[#Headers],[Selection]]&amp;"*")</f>
        <v>0</v>
      </c>
      <c r="F1533" s="8">
        <f>COUNTIFS('All Papers'!$D:$D,"*"&amp;$A1533&amp;"*",'All Papers'!$G:$G,"*"&amp;Table1[[#Headers],[Recommendation]]&amp;"*")</f>
        <v>0</v>
      </c>
      <c r="G1533" s="8">
        <f>COUNTIFS('All Papers'!$D:$D,"*"&amp;$A1533&amp;"*",'All Papers'!$G:$G,"*"&amp;Table1[[#Headers],[Resource Management-CS]]&amp;"*")</f>
        <v>0</v>
      </c>
      <c r="H1533" s="8">
        <f>COUNTIFS('All Papers'!$D:$D,"*"&amp;$A1533&amp;"*",'All Papers'!$G:$G,"*"&amp;Table1[[#Headers],[Resource Management-PS]]&amp;"*")</f>
        <v>0</v>
      </c>
      <c r="I1533" s="8">
        <f>COUNTIFS('All Papers'!$D:$D,"*"&amp;$A1533&amp;"*",'All Papers'!$G:$G,"*"&amp;Table1[[#Headers],[SLA Management]]&amp;"*")</f>
        <v>0</v>
      </c>
      <c r="J1533" s="8">
        <f>COUNTIFS('All Papers'!$D:$D,"*"&amp;$A1533&amp;"*",'All Papers'!$G:$G,"*"&amp;Table1[[#Headers],[Big Data]]&amp;"*")</f>
        <v>1</v>
      </c>
      <c r="K1533" s="8">
        <f>COUNTIFS('All Papers'!$D:$D,"*"&amp;$A1533&amp;"*",'All Papers'!$G:$G,"*"&amp;Table1[[#Headers],[Energy Management]]&amp;"*")</f>
        <v>0</v>
      </c>
      <c r="L1533" s="8">
        <f>COUNTIFS('All Papers'!$D:$D,"*"&amp;$A1533&amp;"*",'All Papers'!$G:$G,"*"&amp;Table1[[#Headers],[Monitoring]]&amp;"*")</f>
        <v>0</v>
      </c>
      <c r="M1533" s="8">
        <f>COUNTIFS('All Papers'!$D:$D,"*"&amp;$A1533&amp;"*",'All Papers'!$G:$G,"*"&amp;Table1[[#Headers],[Pricing]]&amp;"*")</f>
        <v>0</v>
      </c>
    </row>
    <row r="1534" spans="1:13" x14ac:dyDescent="0.25">
      <c r="A1534" s="8" t="s">
        <v>3967</v>
      </c>
      <c r="B1534" s="8">
        <f>COUNTIF('All Papers'!D:D,"*"&amp;Table1[[#This Row],[Name]]&amp;"*")</f>
        <v>1</v>
      </c>
      <c r="C1534" s="8">
        <f>COUNTIFS('All Papers'!$D:$D,"*"&amp;$A1534&amp;"*",'All Papers'!$G:$G,"*"&amp;Table1[[#Headers],[Composition]]&amp;"*")</f>
        <v>0</v>
      </c>
      <c r="D1534" s="8">
        <f>COUNTIFS('All Papers'!$D:$D,"*"&amp;$A1534&amp;"*",'All Papers'!$G:$G,"*"&amp;Table1[[#Headers],[Discovery]]&amp;"*")</f>
        <v>0</v>
      </c>
      <c r="E1534" s="8">
        <f>COUNTIFS('All Papers'!$D:$D,"*"&amp;$A1534&amp;"*",'All Papers'!$G:$G,"*"&amp;Table1[[#Headers],[Selection]]&amp;"*")</f>
        <v>0</v>
      </c>
      <c r="F1534" s="8">
        <f>COUNTIFS('All Papers'!$D:$D,"*"&amp;$A1534&amp;"*",'All Papers'!$G:$G,"*"&amp;Table1[[#Headers],[Recommendation]]&amp;"*")</f>
        <v>0</v>
      </c>
      <c r="G1534" s="8">
        <f>COUNTIFS('All Papers'!$D:$D,"*"&amp;$A1534&amp;"*",'All Papers'!$G:$G,"*"&amp;Table1[[#Headers],[Resource Management-CS]]&amp;"*")</f>
        <v>0</v>
      </c>
      <c r="H1534" s="8">
        <f>COUNTIFS('All Papers'!$D:$D,"*"&amp;$A1534&amp;"*",'All Papers'!$G:$G,"*"&amp;Table1[[#Headers],[Resource Management-PS]]&amp;"*")</f>
        <v>0</v>
      </c>
      <c r="I1534" s="8">
        <f>COUNTIFS('All Papers'!$D:$D,"*"&amp;$A1534&amp;"*",'All Papers'!$G:$G,"*"&amp;Table1[[#Headers],[SLA Management]]&amp;"*")</f>
        <v>0</v>
      </c>
      <c r="J1534" s="8">
        <f>COUNTIFS('All Papers'!$D:$D,"*"&amp;$A1534&amp;"*",'All Papers'!$G:$G,"*"&amp;Table1[[#Headers],[Big Data]]&amp;"*")</f>
        <v>1</v>
      </c>
      <c r="K1534" s="8">
        <f>COUNTIFS('All Papers'!$D:$D,"*"&amp;$A1534&amp;"*",'All Papers'!$G:$G,"*"&amp;Table1[[#Headers],[Energy Management]]&amp;"*")</f>
        <v>0</v>
      </c>
      <c r="L1534" s="8">
        <f>COUNTIFS('All Papers'!$D:$D,"*"&amp;$A1534&amp;"*",'All Papers'!$G:$G,"*"&amp;Table1[[#Headers],[Monitoring]]&amp;"*")</f>
        <v>0</v>
      </c>
      <c r="M1534" s="8">
        <f>COUNTIFS('All Papers'!$D:$D,"*"&amp;$A1534&amp;"*",'All Papers'!$G:$G,"*"&amp;Table1[[#Headers],[Pricing]]&amp;"*")</f>
        <v>0</v>
      </c>
    </row>
    <row r="1535" spans="1:13" x14ac:dyDescent="0.25">
      <c r="A1535" s="8" t="s">
        <v>3968</v>
      </c>
      <c r="B1535" s="8">
        <f>COUNTIF('All Papers'!D:D,"*"&amp;Table1[[#This Row],[Name]]&amp;"*")</f>
        <v>1</v>
      </c>
      <c r="C1535" s="8">
        <f>COUNTIFS('All Papers'!$D:$D,"*"&amp;$A1535&amp;"*",'All Papers'!$G:$G,"*"&amp;Table1[[#Headers],[Composition]]&amp;"*")</f>
        <v>0</v>
      </c>
      <c r="D1535" s="8">
        <f>COUNTIFS('All Papers'!$D:$D,"*"&amp;$A1535&amp;"*",'All Papers'!$G:$G,"*"&amp;Table1[[#Headers],[Discovery]]&amp;"*")</f>
        <v>0</v>
      </c>
      <c r="E1535" s="8">
        <f>COUNTIFS('All Papers'!$D:$D,"*"&amp;$A1535&amp;"*",'All Papers'!$G:$G,"*"&amp;Table1[[#Headers],[Selection]]&amp;"*")</f>
        <v>0</v>
      </c>
      <c r="F1535" s="8">
        <f>COUNTIFS('All Papers'!$D:$D,"*"&amp;$A1535&amp;"*",'All Papers'!$G:$G,"*"&amp;Table1[[#Headers],[Recommendation]]&amp;"*")</f>
        <v>0</v>
      </c>
      <c r="G1535" s="8">
        <f>COUNTIFS('All Papers'!$D:$D,"*"&amp;$A1535&amp;"*",'All Papers'!$G:$G,"*"&amp;Table1[[#Headers],[Resource Management-CS]]&amp;"*")</f>
        <v>0</v>
      </c>
      <c r="H1535" s="8">
        <f>COUNTIFS('All Papers'!$D:$D,"*"&amp;$A1535&amp;"*",'All Papers'!$G:$G,"*"&amp;Table1[[#Headers],[Resource Management-PS]]&amp;"*")</f>
        <v>0</v>
      </c>
      <c r="I1535" s="8">
        <f>COUNTIFS('All Papers'!$D:$D,"*"&amp;$A1535&amp;"*",'All Papers'!$G:$G,"*"&amp;Table1[[#Headers],[SLA Management]]&amp;"*")</f>
        <v>0</v>
      </c>
      <c r="J1535" s="8">
        <f>COUNTIFS('All Papers'!$D:$D,"*"&amp;$A1535&amp;"*",'All Papers'!$G:$G,"*"&amp;Table1[[#Headers],[Big Data]]&amp;"*")</f>
        <v>1</v>
      </c>
      <c r="K1535" s="8">
        <f>COUNTIFS('All Papers'!$D:$D,"*"&amp;$A1535&amp;"*",'All Papers'!$G:$G,"*"&amp;Table1[[#Headers],[Energy Management]]&amp;"*")</f>
        <v>0</v>
      </c>
      <c r="L1535" s="8">
        <f>COUNTIFS('All Papers'!$D:$D,"*"&amp;$A1535&amp;"*",'All Papers'!$G:$G,"*"&amp;Table1[[#Headers],[Monitoring]]&amp;"*")</f>
        <v>0</v>
      </c>
      <c r="M1535" s="8">
        <f>COUNTIFS('All Papers'!$D:$D,"*"&amp;$A1535&amp;"*",'All Papers'!$G:$G,"*"&amp;Table1[[#Headers],[Pricing]]&amp;"*")</f>
        <v>0</v>
      </c>
    </row>
    <row r="1536" spans="1:13" x14ac:dyDescent="0.25">
      <c r="A1536" s="8" t="s">
        <v>3969</v>
      </c>
      <c r="B1536" s="8">
        <f>COUNTIF('All Papers'!D:D,"*"&amp;Table1[[#This Row],[Name]]&amp;"*")</f>
        <v>1</v>
      </c>
      <c r="C1536" s="8">
        <f>COUNTIFS('All Papers'!$D:$D,"*"&amp;$A1536&amp;"*",'All Papers'!$G:$G,"*"&amp;Table1[[#Headers],[Composition]]&amp;"*")</f>
        <v>0</v>
      </c>
      <c r="D1536" s="8">
        <f>COUNTIFS('All Papers'!$D:$D,"*"&amp;$A1536&amp;"*",'All Papers'!$G:$G,"*"&amp;Table1[[#Headers],[Discovery]]&amp;"*")</f>
        <v>0</v>
      </c>
      <c r="E1536" s="8">
        <f>COUNTIFS('All Papers'!$D:$D,"*"&amp;$A1536&amp;"*",'All Papers'!$G:$G,"*"&amp;Table1[[#Headers],[Selection]]&amp;"*")</f>
        <v>0</v>
      </c>
      <c r="F1536" s="8">
        <f>COUNTIFS('All Papers'!$D:$D,"*"&amp;$A1536&amp;"*",'All Papers'!$G:$G,"*"&amp;Table1[[#Headers],[Recommendation]]&amp;"*")</f>
        <v>0</v>
      </c>
      <c r="G1536" s="8">
        <f>COUNTIFS('All Papers'!$D:$D,"*"&amp;$A1536&amp;"*",'All Papers'!$G:$G,"*"&amp;Table1[[#Headers],[Resource Management-CS]]&amp;"*")</f>
        <v>0</v>
      </c>
      <c r="H1536" s="8">
        <f>COUNTIFS('All Papers'!$D:$D,"*"&amp;$A1536&amp;"*",'All Papers'!$G:$G,"*"&amp;Table1[[#Headers],[Resource Management-PS]]&amp;"*")</f>
        <v>0</v>
      </c>
      <c r="I1536" s="8">
        <f>COUNTIFS('All Papers'!$D:$D,"*"&amp;$A1536&amp;"*",'All Papers'!$G:$G,"*"&amp;Table1[[#Headers],[SLA Management]]&amp;"*")</f>
        <v>0</v>
      </c>
      <c r="J1536" s="8">
        <f>COUNTIFS('All Papers'!$D:$D,"*"&amp;$A1536&amp;"*",'All Papers'!$G:$G,"*"&amp;Table1[[#Headers],[Big Data]]&amp;"*")</f>
        <v>1</v>
      </c>
      <c r="K1536" s="8">
        <f>COUNTIFS('All Papers'!$D:$D,"*"&amp;$A1536&amp;"*",'All Papers'!$G:$G,"*"&amp;Table1[[#Headers],[Energy Management]]&amp;"*")</f>
        <v>0</v>
      </c>
      <c r="L1536" s="8">
        <f>COUNTIFS('All Papers'!$D:$D,"*"&amp;$A1536&amp;"*",'All Papers'!$G:$G,"*"&amp;Table1[[#Headers],[Monitoring]]&amp;"*")</f>
        <v>0</v>
      </c>
      <c r="M1536" s="8">
        <f>COUNTIFS('All Papers'!$D:$D,"*"&amp;$A1536&amp;"*",'All Papers'!$G:$G,"*"&amp;Table1[[#Headers],[Pricing]]&amp;"*")</f>
        <v>0</v>
      </c>
    </row>
    <row r="1537" spans="1:13" x14ac:dyDescent="0.25">
      <c r="A1537" s="8" t="s">
        <v>3970</v>
      </c>
      <c r="B1537" s="8">
        <f>COUNTIF('All Papers'!D:D,"*"&amp;Table1[[#This Row],[Name]]&amp;"*")</f>
        <v>1</v>
      </c>
      <c r="C1537" s="8">
        <f>COUNTIFS('All Papers'!$D:$D,"*"&amp;$A1537&amp;"*",'All Papers'!$G:$G,"*"&amp;Table1[[#Headers],[Composition]]&amp;"*")</f>
        <v>0</v>
      </c>
      <c r="D1537" s="8">
        <f>COUNTIFS('All Papers'!$D:$D,"*"&amp;$A1537&amp;"*",'All Papers'!$G:$G,"*"&amp;Table1[[#Headers],[Discovery]]&amp;"*")</f>
        <v>0</v>
      </c>
      <c r="E1537" s="8">
        <f>COUNTIFS('All Papers'!$D:$D,"*"&amp;$A1537&amp;"*",'All Papers'!$G:$G,"*"&amp;Table1[[#Headers],[Selection]]&amp;"*")</f>
        <v>0</v>
      </c>
      <c r="F1537" s="8">
        <f>COUNTIFS('All Papers'!$D:$D,"*"&amp;$A1537&amp;"*",'All Papers'!$G:$G,"*"&amp;Table1[[#Headers],[Recommendation]]&amp;"*")</f>
        <v>0</v>
      </c>
      <c r="G1537" s="8">
        <f>COUNTIFS('All Papers'!$D:$D,"*"&amp;$A1537&amp;"*",'All Papers'!$G:$G,"*"&amp;Table1[[#Headers],[Resource Management-CS]]&amp;"*")</f>
        <v>0</v>
      </c>
      <c r="H1537" s="8">
        <f>COUNTIFS('All Papers'!$D:$D,"*"&amp;$A1537&amp;"*",'All Papers'!$G:$G,"*"&amp;Table1[[#Headers],[Resource Management-PS]]&amp;"*")</f>
        <v>0</v>
      </c>
      <c r="I1537" s="8">
        <f>COUNTIFS('All Papers'!$D:$D,"*"&amp;$A1537&amp;"*",'All Papers'!$G:$G,"*"&amp;Table1[[#Headers],[SLA Management]]&amp;"*")</f>
        <v>0</v>
      </c>
      <c r="J1537" s="8">
        <f>COUNTIFS('All Papers'!$D:$D,"*"&amp;$A1537&amp;"*",'All Papers'!$G:$G,"*"&amp;Table1[[#Headers],[Big Data]]&amp;"*")</f>
        <v>1</v>
      </c>
      <c r="K1537" s="8">
        <f>COUNTIFS('All Papers'!$D:$D,"*"&amp;$A1537&amp;"*",'All Papers'!$G:$G,"*"&amp;Table1[[#Headers],[Energy Management]]&amp;"*")</f>
        <v>0</v>
      </c>
      <c r="L1537" s="8">
        <f>COUNTIFS('All Papers'!$D:$D,"*"&amp;$A1537&amp;"*",'All Papers'!$G:$G,"*"&amp;Table1[[#Headers],[Monitoring]]&amp;"*")</f>
        <v>0</v>
      </c>
      <c r="M1537" s="8">
        <f>COUNTIFS('All Papers'!$D:$D,"*"&amp;$A1537&amp;"*",'All Papers'!$G:$G,"*"&amp;Table1[[#Headers],[Pricing]]&amp;"*")</f>
        <v>0</v>
      </c>
    </row>
    <row r="1538" spans="1:13" x14ac:dyDescent="0.25">
      <c r="A1538" s="8" t="s">
        <v>3971</v>
      </c>
      <c r="B1538" s="8">
        <f>COUNTIF('All Papers'!D:D,"*"&amp;Table1[[#This Row],[Name]]&amp;"*")</f>
        <v>1</v>
      </c>
      <c r="C1538" s="8">
        <f>COUNTIFS('All Papers'!$D:$D,"*"&amp;$A1538&amp;"*",'All Papers'!$G:$G,"*"&amp;Table1[[#Headers],[Composition]]&amp;"*")</f>
        <v>0</v>
      </c>
      <c r="D1538" s="8">
        <f>COUNTIFS('All Papers'!$D:$D,"*"&amp;$A1538&amp;"*",'All Papers'!$G:$G,"*"&amp;Table1[[#Headers],[Discovery]]&amp;"*")</f>
        <v>0</v>
      </c>
      <c r="E1538" s="8">
        <f>COUNTIFS('All Papers'!$D:$D,"*"&amp;$A1538&amp;"*",'All Papers'!$G:$G,"*"&amp;Table1[[#Headers],[Selection]]&amp;"*")</f>
        <v>0</v>
      </c>
      <c r="F1538" s="8">
        <f>COUNTIFS('All Papers'!$D:$D,"*"&amp;$A1538&amp;"*",'All Papers'!$G:$G,"*"&amp;Table1[[#Headers],[Recommendation]]&amp;"*")</f>
        <v>0</v>
      </c>
      <c r="G1538" s="8">
        <f>COUNTIFS('All Papers'!$D:$D,"*"&amp;$A1538&amp;"*",'All Papers'!$G:$G,"*"&amp;Table1[[#Headers],[Resource Management-CS]]&amp;"*")</f>
        <v>0</v>
      </c>
      <c r="H1538" s="8">
        <f>COUNTIFS('All Papers'!$D:$D,"*"&amp;$A1538&amp;"*",'All Papers'!$G:$G,"*"&amp;Table1[[#Headers],[Resource Management-PS]]&amp;"*")</f>
        <v>0</v>
      </c>
      <c r="I1538" s="8">
        <f>COUNTIFS('All Papers'!$D:$D,"*"&amp;$A1538&amp;"*",'All Papers'!$G:$G,"*"&amp;Table1[[#Headers],[SLA Management]]&amp;"*")</f>
        <v>0</v>
      </c>
      <c r="J1538" s="8">
        <f>COUNTIFS('All Papers'!$D:$D,"*"&amp;$A1538&amp;"*",'All Papers'!$G:$G,"*"&amp;Table1[[#Headers],[Big Data]]&amp;"*")</f>
        <v>1</v>
      </c>
      <c r="K1538" s="8">
        <f>COUNTIFS('All Papers'!$D:$D,"*"&amp;$A1538&amp;"*",'All Papers'!$G:$G,"*"&amp;Table1[[#Headers],[Energy Management]]&amp;"*")</f>
        <v>0</v>
      </c>
      <c r="L1538" s="8">
        <f>COUNTIFS('All Papers'!$D:$D,"*"&amp;$A1538&amp;"*",'All Papers'!$G:$G,"*"&amp;Table1[[#Headers],[Monitoring]]&amp;"*")</f>
        <v>0</v>
      </c>
      <c r="M1538" s="8">
        <f>COUNTIFS('All Papers'!$D:$D,"*"&amp;$A1538&amp;"*",'All Papers'!$G:$G,"*"&amp;Table1[[#Headers],[Pricing]]&amp;"*")</f>
        <v>0</v>
      </c>
    </row>
    <row r="1539" spans="1:13" x14ac:dyDescent="0.25">
      <c r="A1539" s="8" t="s">
        <v>3972</v>
      </c>
      <c r="B1539" s="8">
        <f>COUNTIF('All Papers'!D:D,"*"&amp;Table1[[#This Row],[Name]]&amp;"*")</f>
        <v>1</v>
      </c>
      <c r="C1539" s="8">
        <f>COUNTIFS('All Papers'!$D:$D,"*"&amp;$A1539&amp;"*",'All Papers'!$G:$G,"*"&amp;Table1[[#Headers],[Composition]]&amp;"*")</f>
        <v>0</v>
      </c>
      <c r="D1539" s="8">
        <f>COUNTIFS('All Papers'!$D:$D,"*"&amp;$A1539&amp;"*",'All Papers'!$G:$G,"*"&amp;Table1[[#Headers],[Discovery]]&amp;"*")</f>
        <v>0</v>
      </c>
      <c r="E1539" s="8">
        <f>COUNTIFS('All Papers'!$D:$D,"*"&amp;$A1539&amp;"*",'All Papers'!$G:$G,"*"&amp;Table1[[#Headers],[Selection]]&amp;"*")</f>
        <v>0</v>
      </c>
      <c r="F1539" s="8">
        <f>COUNTIFS('All Papers'!$D:$D,"*"&amp;$A1539&amp;"*",'All Papers'!$G:$G,"*"&amp;Table1[[#Headers],[Recommendation]]&amp;"*")</f>
        <v>0</v>
      </c>
      <c r="G1539" s="8">
        <f>COUNTIFS('All Papers'!$D:$D,"*"&amp;$A1539&amp;"*",'All Papers'!$G:$G,"*"&amp;Table1[[#Headers],[Resource Management-CS]]&amp;"*")</f>
        <v>1</v>
      </c>
      <c r="H1539" s="8">
        <f>COUNTIFS('All Papers'!$D:$D,"*"&amp;$A1539&amp;"*",'All Papers'!$G:$G,"*"&amp;Table1[[#Headers],[Resource Management-PS]]&amp;"*")</f>
        <v>0</v>
      </c>
      <c r="I1539" s="8">
        <f>COUNTIFS('All Papers'!$D:$D,"*"&amp;$A1539&amp;"*",'All Papers'!$G:$G,"*"&amp;Table1[[#Headers],[SLA Management]]&amp;"*")</f>
        <v>0</v>
      </c>
      <c r="J1539" s="8">
        <f>COUNTIFS('All Papers'!$D:$D,"*"&amp;$A1539&amp;"*",'All Papers'!$G:$G,"*"&amp;Table1[[#Headers],[Big Data]]&amp;"*")</f>
        <v>0</v>
      </c>
      <c r="K1539" s="8">
        <f>COUNTIFS('All Papers'!$D:$D,"*"&amp;$A1539&amp;"*",'All Papers'!$G:$G,"*"&amp;Table1[[#Headers],[Energy Management]]&amp;"*")</f>
        <v>0</v>
      </c>
      <c r="L1539" s="8">
        <f>COUNTIFS('All Papers'!$D:$D,"*"&amp;$A1539&amp;"*",'All Papers'!$G:$G,"*"&amp;Table1[[#Headers],[Monitoring]]&amp;"*")</f>
        <v>0</v>
      </c>
      <c r="M1539" s="8">
        <f>COUNTIFS('All Papers'!$D:$D,"*"&amp;$A1539&amp;"*",'All Papers'!$G:$G,"*"&amp;Table1[[#Headers],[Pricing]]&amp;"*")</f>
        <v>0</v>
      </c>
    </row>
    <row r="1540" spans="1:13" x14ac:dyDescent="0.25">
      <c r="A1540" s="8" t="s">
        <v>3973</v>
      </c>
      <c r="B1540" s="8">
        <f>COUNTIF('All Papers'!D:D,"*"&amp;Table1[[#This Row],[Name]]&amp;"*")</f>
        <v>1</v>
      </c>
      <c r="C1540" s="8">
        <f>COUNTIFS('All Papers'!$D:$D,"*"&amp;$A1540&amp;"*",'All Papers'!$G:$G,"*"&amp;Table1[[#Headers],[Composition]]&amp;"*")</f>
        <v>0</v>
      </c>
      <c r="D1540" s="8">
        <f>COUNTIFS('All Papers'!$D:$D,"*"&amp;$A1540&amp;"*",'All Papers'!$G:$G,"*"&amp;Table1[[#Headers],[Discovery]]&amp;"*")</f>
        <v>0</v>
      </c>
      <c r="E1540" s="8">
        <f>COUNTIFS('All Papers'!$D:$D,"*"&amp;$A1540&amp;"*",'All Papers'!$G:$G,"*"&amp;Table1[[#Headers],[Selection]]&amp;"*")</f>
        <v>0</v>
      </c>
      <c r="F1540" s="8">
        <f>COUNTIFS('All Papers'!$D:$D,"*"&amp;$A1540&amp;"*",'All Papers'!$G:$G,"*"&amp;Table1[[#Headers],[Recommendation]]&amp;"*")</f>
        <v>0</v>
      </c>
      <c r="G1540" s="8">
        <f>COUNTIFS('All Papers'!$D:$D,"*"&amp;$A1540&amp;"*",'All Papers'!$G:$G,"*"&amp;Table1[[#Headers],[Resource Management-CS]]&amp;"*")</f>
        <v>1</v>
      </c>
      <c r="H1540" s="8">
        <f>COUNTIFS('All Papers'!$D:$D,"*"&amp;$A1540&amp;"*",'All Papers'!$G:$G,"*"&amp;Table1[[#Headers],[Resource Management-PS]]&amp;"*")</f>
        <v>0</v>
      </c>
      <c r="I1540" s="8">
        <f>COUNTIFS('All Papers'!$D:$D,"*"&amp;$A1540&amp;"*",'All Papers'!$G:$G,"*"&amp;Table1[[#Headers],[SLA Management]]&amp;"*")</f>
        <v>0</v>
      </c>
      <c r="J1540" s="8">
        <f>COUNTIFS('All Papers'!$D:$D,"*"&amp;$A1540&amp;"*",'All Papers'!$G:$G,"*"&amp;Table1[[#Headers],[Big Data]]&amp;"*")</f>
        <v>0</v>
      </c>
      <c r="K1540" s="8">
        <f>COUNTIFS('All Papers'!$D:$D,"*"&amp;$A1540&amp;"*",'All Papers'!$G:$G,"*"&amp;Table1[[#Headers],[Energy Management]]&amp;"*")</f>
        <v>0</v>
      </c>
      <c r="L1540" s="8">
        <f>COUNTIFS('All Papers'!$D:$D,"*"&amp;$A1540&amp;"*",'All Papers'!$G:$G,"*"&amp;Table1[[#Headers],[Monitoring]]&amp;"*")</f>
        <v>0</v>
      </c>
      <c r="M1540" s="8">
        <f>COUNTIFS('All Papers'!$D:$D,"*"&amp;$A1540&amp;"*",'All Papers'!$G:$G,"*"&amp;Table1[[#Headers],[Pricing]]&amp;"*")</f>
        <v>0</v>
      </c>
    </row>
    <row r="1541" spans="1:13" x14ac:dyDescent="0.25">
      <c r="A1541" s="8" t="s">
        <v>3974</v>
      </c>
      <c r="B1541" s="8">
        <f>COUNTIF('All Papers'!D:D,"*"&amp;Table1[[#This Row],[Name]]&amp;"*")</f>
        <v>1</v>
      </c>
      <c r="C1541" s="8">
        <f>COUNTIFS('All Papers'!$D:$D,"*"&amp;$A1541&amp;"*",'All Papers'!$G:$G,"*"&amp;Table1[[#Headers],[Composition]]&amp;"*")</f>
        <v>0</v>
      </c>
      <c r="D1541" s="8">
        <f>COUNTIFS('All Papers'!$D:$D,"*"&amp;$A1541&amp;"*",'All Papers'!$G:$G,"*"&amp;Table1[[#Headers],[Discovery]]&amp;"*")</f>
        <v>0</v>
      </c>
      <c r="E1541" s="8">
        <f>COUNTIFS('All Papers'!$D:$D,"*"&amp;$A1541&amp;"*",'All Papers'!$G:$G,"*"&amp;Table1[[#Headers],[Selection]]&amp;"*")</f>
        <v>0</v>
      </c>
      <c r="F1541" s="8">
        <f>COUNTIFS('All Papers'!$D:$D,"*"&amp;$A1541&amp;"*",'All Papers'!$G:$G,"*"&amp;Table1[[#Headers],[Recommendation]]&amp;"*")</f>
        <v>0</v>
      </c>
      <c r="G1541" s="8">
        <f>COUNTIFS('All Papers'!$D:$D,"*"&amp;$A1541&amp;"*",'All Papers'!$G:$G,"*"&amp;Table1[[#Headers],[Resource Management-CS]]&amp;"*")</f>
        <v>1</v>
      </c>
      <c r="H1541" s="8">
        <f>COUNTIFS('All Papers'!$D:$D,"*"&amp;$A1541&amp;"*",'All Papers'!$G:$G,"*"&amp;Table1[[#Headers],[Resource Management-PS]]&amp;"*")</f>
        <v>0</v>
      </c>
      <c r="I1541" s="8">
        <f>COUNTIFS('All Papers'!$D:$D,"*"&amp;$A1541&amp;"*",'All Papers'!$G:$G,"*"&amp;Table1[[#Headers],[SLA Management]]&amp;"*")</f>
        <v>0</v>
      </c>
      <c r="J1541" s="8">
        <f>COUNTIFS('All Papers'!$D:$D,"*"&amp;$A1541&amp;"*",'All Papers'!$G:$G,"*"&amp;Table1[[#Headers],[Big Data]]&amp;"*")</f>
        <v>0</v>
      </c>
      <c r="K1541" s="8">
        <f>COUNTIFS('All Papers'!$D:$D,"*"&amp;$A1541&amp;"*",'All Papers'!$G:$G,"*"&amp;Table1[[#Headers],[Energy Management]]&amp;"*")</f>
        <v>0</v>
      </c>
      <c r="L1541" s="8">
        <f>COUNTIFS('All Papers'!$D:$D,"*"&amp;$A1541&amp;"*",'All Papers'!$G:$G,"*"&amp;Table1[[#Headers],[Monitoring]]&amp;"*")</f>
        <v>0</v>
      </c>
      <c r="M1541" s="8">
        <f>COUNTIFS('All Papers'!$D:$D,"*"&amp;$A1541&amp;"*",'All Papers'!$G:$G,"*"&amp;Table1[[#Headers],[Pricing]]&amp;"*")</f>
        <v>0</v>
      </c>
    </row>
    <row r="1542" spans="1:13" x14ac:dyDescent="0.25">
      <c r="A1542" s="8" t="s">
        <v>3975</v>
      </c>
      <c r="B1542" s="8">
        <f>COUNTIF('All Papers'!D:D,"*"&amp;Table1[[#This Row],[Name]]&amp;"*")</f>
        <v>1</v>
      </c>
      <c r="C1542" s="8">
        <f>COUNTIFS('All Papers'!$D:$D,"*"&amp;$A1542&amp;"*",'All Papers'!$G:$G,"*"&amp;Table1[[#Headers],[Composition]]&amp;"*")</f>
        <v>0</v>
      </c>
      <c r="D1542" s="8">
        <f>COUNTIFS('All Papers'!$D:$D,"*"&amp;$A1542&amp;"*",'All Papers'!$G:$G,"*"&amp;Table1[[#Headers],[Discovery]]&amp;"*")</f>
        <v>0</v>
      </c>
      <c r="E1542" s="8">
        <f>COUNTIFS('All Papers'!$D:$D,"*"&amp;$A1542&amp;"*",'All Papers'!$G:$G,"*"&amp;Table1[[#Headers],[Selection]]&amp;"*")</f>
        <v>0</v>
      </c>
      <c r="F1542" s="8">
        <f>COUNTIFS('All Papers'!$D:$D,"*"&amp;$A1542&amp;"*",'All Papers'!$G:$G,"*"&amp;Table1[[#Headers],[Recommendation]]&amp;"*")</f>
        <v>0</v>
      </c>
      <c r="G1542" s="8">
        <f>COUNTIFS('All Papers'!$D:$D,"*"&amp;$A1542&amp;"*",'All Papers'!$G:$G,"*"&amp;Table1[[#Headers],[Resource Management-CS]]&amp;"*")</f>
        <v>1</v>
      </c>
      <c r="H1542" s="8">
        <f>COUNTIFS('All Papers'!$D:$D,"*"&amp;$A1542&amp;"*",'All Papers'!$G:$G,"*"&amp;Table1[[#Headers],[Resource Management-PS]]&amp;"*")</f>
        <v>0</v>
      </c>
      <c r="I1542" s="8">
        <f>COUNTIFS('All Papers'!$D:$D,"*"&amp;$A1542&amp;"*",'All Papers'!$G:$G,"*"&amp;Table1[[#Headers],[SLA Management]]&amp;"*")</f>
        <v>0</v>
      </c>
      <c r="J1542" s="8">
        <f>COUNTIFS('All Papers'!$D:$D,"*"&amp;$A1542&amp;"*",'All Papers'!$G:$G,"*"&amp;Table1[[#Headers],[Big Data]]&amp;"*")</f>
        <v>0</v>
      </c>
      <c r="K1542" s="8">
        <f>COUNTIFS('All Papers'!$D:$D,"*"&amp;$A1542&amp;"*",'All Papers'!$G:$G,"*"&amp;Table1[[#Headers],[Energy Management]]&amp;"*")</f>
        <v>0</v>
      </c>
      <c r="L1542" s="8">
        <f>COUNTIFS('All Papers'!$D:$D,"*"&amp;$A1542&amp;"*",'All Papers'!$G:$G,"*"&amp;Table1[[#Headers],[Monitoring]]&amp;"*")</f>
        <v>0</v>
      </c>
      <c r="M1542" s="8">
        <f>COUNTIFS('All Papers'!$D:$D,"*"&amp;$A1542&amp;"*",'All Papers'!$G:$G,"*"&amp;Table1[[#Headers],[Pricing]]&amp;"*")</f>
        <v>0</v>
      </c>
    </row>
    <row r="1543" spans="1:13" x14ac:dyDescent="0.25">
      <c r="A1543" s="8" t="s">
        <v>3976</v>
      </c>
      <c r="B1543" s="8">
        <f>COUNTIF('All Papers'!D:D,"*"&amp;Table1[[#This Row],[Name]]&amp;"*")</f>
        <v>1</v>
      </c>
      <c r="C1543" s="8">
        <f>COUNTIFS('All Papers'!$D:$D,"*"&amp;$A1543&amp;"*",'All Papers'!$G:$G,"*"&amp;Table1[[#Headers],[Composition]]&amp;"*")</f>
        <v>0</v>
      </c>
      <c r="D1543" s="8">
        <f>COUNTIFS('All Papers'!$D:$D,"*"&amp;$A1543&amp;"*",'All Papers'!$G:$G,"*"&amp;Table1[[#Headers],[Discovery]]&amp;"*")</f>
        <v>0</v>
      </c>
      <c r="E1543" s="8">
        <f>COUNTIFS('All Papers'!$D:$D,"*"&amp;$A1543&amp;"*",'All Papers'!$G:$G,"*"&amp;Table1[[#Headers],[Selection]]&amp;"*")</f>
        <v>0</v>
      </c>
      <c r="F1543" s="8">
        <f>COUNTIFS('All Papers'!$D:$D,"*"&amp;$A1543&amp;"*",'All Papers'!$G:$G,"*"&amp;Table1[[#Headers],[Recommendation]]&amp;"*")</f>
        <v>0</v>
      </c>
      <c r="G1543" s="8">
        <f>COUNTIFS('All Papers'!$D:$D,"*"&amp;$A1543&amp;"*",'All Papers'!$G:$G,"*"&amp;Table1[[#Headers],[Resource Management-CS]]&amp;"*")</f>
        <v>1</v>
      </c>
      <c r="H1543" s="8">
        <f>COUNTIFS('All Papers'!$D:$D,"*"&amp;$A1543&amp;"*",'All Papers'!$G:$G,"*"&amp;Table1[[#Headers],[Resource Management-PS]]&amp;"*")</f>
        <v>0</v>
      </c>
      <c r="I1543" s="8">
        <f>COUNTIFS('All Papers'!$D:$D,"*"&amp;$A1543&amp;"*",'All Papers'!$G:$G,"*"&amp;Table1[[#Headers],[SLA Management]]&amp;"*")</f>
        <v>0</v>
      </c>
      <c r="J1543" s="8">
        <f>COUNTIFS('All Papers'!$D:$D,"*"&amp;$A1543&amp;"*",'All Papers'!$G:$G,"*"&amp;Table1[[#Headers],[Big Data]]&amp;"*")</f>
        <v>0</v>
      </c>
      <c r="K1543" s="8">
        <f>COUNTIFS('All Papers'!$D:$D,"*"&amp;$A1543&amp;"*",'All Papers'!$G:$G,"*"&amp;Table1[[#Headers],[Energy Management]]&amp;"*")</f>
        <v>0</v>
      </c>
      <c r="L1543" s="8">
        <f>COUNTIFS('All Papers'!$D:$D,"*"&amp;$A1543&amp;"*",'All Papers'!$G:$G,"*"&amp;Table1[[#Headers],[Monitoring]]&amp;"*")</f>
        <v>0</v>
      </c>
      <c r="M1543" s="8">
        <f>COUNTIFS('All Papers'!$D:$D,"*"&amp;$A1543&amp;"*",'All Papers'!$G:$G,"*"&amp;Table1[[#Headers],[Pricing]]&amp;"*")</f>
        <v>0</v>
      </c>
    </row>
    <row r="1544" spans="1:13" x14ac:dyDescent="0.25">
      <c r="A1544" s="8" t="s">
        <v>3977</v>
      </c>
      <c r="B1544" s="8">
        <f>COUNTIF('All Papers'!D:D,"*"&amp;Table1[[#This Row],[Name]]&amp;"*")</f>
        <v>1</v>
      </c>
      <c r="C1544" s="8">
        <f>COUNTIFS('All Papers'!$D:$D,"*"&amp;$A1544&amp;"*",'All Papers'!$G:$G,"*"&amp;Table1[[#Headers],[Composition]]&amp;"*")</f>
        <v>0</v>
      </c>
      <c r="D1544" s="8">
        <f>COUNTIFS('All Papers'!$D:$D,"*"&amp;$A1544&amp;"*",'All Papers'!$G:$G,"*"&amp;Table1[[#Headers],[Discovery]]&amp;"*")</f>
        <v>0</v>
      </c>
      <c r="E1544" s="8">
        <f>COUNTIFS('All Papers'!$D:$D,"*"&amp;$A1544&amp;"*",'All Papers'!$G:$G,"*"&amp;Table1[[#Headers],[Selection]]&amp;"*")</f>
        <v>0</v>
      </c>
      <c r="F1544" s="8">
        <f>COUNTIFS('All Papers'!$D:$D,"*"&amp;$A1544&amp;"*",'All Papers'!$G:$G,"*"&amp;Table1[[#Headers],[Recommendation]]&amp;"*")</f>
        <v>0</v>
      </c>
      <c r="G1544" s="8">
        <f>COUNTIFS('All Papers'!$D:$D,"*"&amp;$A1544&amp;"*",'All Papers'!$G:$G,"*"&amp;Table1[[#Headers],[Resource Management-CS]]&amp;"*")</f>
        <v>1</v>
      </c>
      <c r="H1544" s="8">
        <f>COUNTIFS('All Papers'!$D:$D,"*"&amp;$A1544&amp;"*",'All Papers'!$G:$G,"*"&amp;Table1[[#Headers],[Resource Management-PS]]&amp;"*")</f>
        <v>0</v>
      </c>
      <c r="I1544" s="8">
        <f>COUNTIFS('All Papers'!$D:$D,"*"&amp;$A1544&amp;"*",'All Papers'!$G:$G,"*"&amp;Table1[[#Headers],[SLA Management]]&amp;"*")</f>
        <v>0</v>
      </c>
      <c r="J1544" s="8">
        <f>COUNTIFS('All Papers'!$D:$D,"*"&amp;$A1544&amp;"*",'All Papers'!$G:$G,"*"&amp;Table1[[#Headers],[Big Data]]&amp;"*")</f>
        <v>0</v>
      </c>
      <c r="K1544" s="8">
        <f>COUNTIFS('All Papers'!$D:$D,"*"&amp;$A1544&amp;"*",'All Papers'!$G:$G,"*"&amp;Table1[[#Headers],[Energy Management]]&amp;"*")</f>
        <v>0</v>
      </c>
      <c r="L1544" s="8">
        <f>COUNTIFS('All Papers'!$D:$D,"*"&amp;$A1544&amp;"*",'All Papers'!$G:$G,"*"&amp;Table1[[#Headers],[Monitoring]]&amp;"*")</f>
        <v>0</v>
      </c>
      <c r="M1544" s="8">
        <f>COUNTIFS('All Papers'!$D:$D,"*"&amp;$A1544&amp;"*",'All Papers'!$G:$G,"*"&amp;Table1[[#Headers],[Pricing]]&amp;"*")</f>
        <v>0</v>
      </c>
    </row>
    <row r="1545" spans="1:13" x14ac:dyDescent="0.25">
      <c r="A1545" s="8" t="s">
        <v>3978</v>
      </c>
      <c r="B1545" s="8">
        <f>COUNTIF('All Papers'!D:D,"*"&amp;Table1[[#This Row],[Name]]&amp;"*")</f>
        <v>1</v>
      </c>
      <c r="C1545" s="8">
        <f>COUNTIFS('All Papers'!$D:$D,"*"&amp;$A1545&amp;"*",'All Papers'!$G:$G,"*"&amp;Table1[[#Headers],[Composition]]&amp;"*")</f>
        <v>0</v>
      </c>
      <c r="D1545" s="8">
        <f>COUNTIFS('All Papers'!$D:$D,"*"&amp;$A1545&amp;"*",'All Papers'!$G:$G,"*"&amp;Table1[[#Headers],[Discovery]]&amp;"*")</f>
        <v>0</v>
      </c>
      <c r="E1545" s="8">
        <f>COUNTIFS('All Papers'!$D:$D,"*"&amp;$A1545&amp;"*",'All Papers'!$G:$G,"*"&amp;Table1[[#Headers],[Selection]]&amp;"*")</f>
        <v>0</v>
      </c>
      <c r="F1545" s="8">
        <f>COUNTIFS('All Papers'!$D:$D,"*"&amp;$A1545&amp;"*",'All Papers'!$G:$G,"*"&amp;Table1[[#Headers],[Recommendation]]&amp;"*")</f>
        <v>0</v>
      </c>
      <c r="G1545" s="8">
        <f>COUNTIFS('All Papers'!$D:$D,"*"&amp;$A1545&amp;"*",'All Papers'!$G:$G,"*"&amp;Table1[[#Headers],[Resource Management-CS]]&amp;"*")</f>
        <v>1</v>
      </c>
      <c r="H1545" s="8">
        <f>COUNTIFS('All Papers'!$D:$D,"*"&amp;$A1545&amp;"*",'All Papers'!$G:$G,"*"&amp;Table1[[#Headers],[Resource Management-PS]]&amp;"*")</f>
        <v>0</v>
      </c>
      <c r="I1545" s="8">
        <f>COUNTIFS('All Papers'!$D:$D,"*"&amp;$A1545&amp;"*",'All Papers'!$G:$G,"*"&amp;Table1[[#Headers],[SLA Management]]&amp;"*")</f>
        <v>0</v>
      </c>
      <c r="J1545" s="8">
        <f>COUNTIFS('All Papers'!$D:$D,"*"&amp;$A1545&amp;"*",'All Papers'!$G:$G,"*"&amp;Table1[[#Headers],[Big Data]]&amp;"*")</f>
        <v>0</v>
      </c>
      <c r="K1545" s="8">
        <f>COUNTIFS('All Papers'!$D:$D,"*"&amp;$A1545&amp;"*",'All Papers'!$G:$G,"*"&amp;Table1[[#Headers],[Energy Management]]&amp;"*")</f>
        <v>0</v>
      </c>
      <c r="L1545" s="8">
        <f>COUNTIFS('All Papers'!$D:$D,"*"&amp;$A1545&amp;"*",'All Papers'!$G:$G,"*"&amp;Table1[[#Headers],[Monitoring]]&amp;"*")</f>
        <v>0</v>
      </c>
      <c r="M1545" s="8">
        <f>COUNTIFS('All Papers'!$D:$D,"*"&amp;$A1545&amp;"*",'All Papers'!$G:$G,"*"&amp;Table1[[#Headers],[Pricing]]&amp;"*")</f>
        <v>0</v>
      </c>
    </row>
    <row r="1546" spans="1:13" x14ac:dyDescent="0.25">
      <c r="A1546" s="8" t="s">
        <v>3979</v>
      </c>
      <c r="B1546" s="8">
        <f>COUNTIF('All Papers'!D:D,"*"&amp;Table1[[#This Row],[Name]]&amp;"*")</f>
        <v>1</v>
      </c>
      <c r="C1546" s="8">
        <f>COUNTIFS('All Papers'!$D:$D,"*"&amp;$A1546&amp;"*",'All Papers'!$G:$G,"*"&amp;Table1[[#Headers],[Composition]]&amp;"*")</f>
        <v>0</v>
      </c>
      <c r="D1546" s="8">
        <f>COUNTIFS('All Papers'!$D:$D,"*"&amp;$A1546&amp;"*",'All Papers'!$G:$G,"*"&amp;Table1[[#Headers],[Discovery]]&amp;"*")</f>
        <v>0</v>
      </c>
      <c r="E1546" s="8">
        <f>COUNTIFS('All Papers'!$D:$D,"*"&amp;$A1546&amp;"*",'All Papers'!$G:$G,"*"&amp;Table1[[#Headers],[Selection]]&amp;"*")</f>
        <v>0</v>
      </c>
      <c r="F1546" s="8">
        <f>COUNTIFS('All Papers'!$D:$D,"*"&amp;$A1546&amp;"*",'All Papers'!$G:$G,"*"&amp;Table1[[#Headers],[Recommendation]]&amp;"*")</f>
        <v>0</v>
      </c>
      <c r="G1546" s="8">
        <f>COUNTIFS('All Papers'!$D:$D,"*"&amp;$A1546&amp;"*",'All Papers'!$G:$G,"*"&amp;Table1[[#Headers],[Resource Management-CS]]&amp;"*")</f>
        <v>0</v>
      </c>
      <c r="H1546" s="8">
        <f>COUNTIFS('All Papers'!$D:$D,"*"&amp;$A1546&amp;"*",'All Papers'!$G:$G,"*"&amp;Table1[[#Headers],[Resource Management-PS]]&amp;"*")</f>
        <v>0</v>
      </c>
      <c r="I1546" s="8">
        <f>COUNTIFS('All Papers'!$D:$D,"*"&amp;$A1546&amp;"*",'All Papers'!$G:$G,"*"&amp;Table1[[#Headers],[SLA Management]]&amp;"*")</f>
        <v>0</v>
      </c>
      <c r="J1546" s="8">
        <f>COUNTIFS('All Papers'!$D:$D,"*"&amp;$A1546&amp;"*",'All Papers'!$G:$G,"*"&amp;Table1[[#Headers],[Big Data]]&amp;"*")</f>
        <v>0</v>
      </c>
      <c r="K1546" s="8">
        <f>COUNTIFS('All Papers'!$D:$D,"*"&amp;$A1546&amp;"*",'All Papers'!$G:$G,"*"&amp;Table1[[#Headers],[Energy Management]]&amp;"*")</f>
        <v>0</v>
      </c>
      <c r="L1546" s="8">
        <f>COUNTIFS('All Papers'!$D:$D,"*"&amp;$A1546&amp;"*",'All Papers'!$G:$G,"*"&amp;Table1[[#Headers],[Monitoring]]&amp;"*")</f>
        <v>0</v>
      </c>
      <c r="M1546" s="8">
        <f>COUNTIFS('All Papers'!$D:$D,"*"&amp;$A1546&amp;"*",'All Papers'!$G:$G,"*"&amp;Table1[[#Headers],[Pricing]]&amp;"*")</f>
        <v>1</v>
      </c>
    </row>
    <row r="1547" spans="1:13" x14ac:dyDescent="0.25">
      <c r="A1547" s="8" t="s">
        <v>3980</v>
      </c>
      <c r="B1547" s="8">
        <f>COUNTIF('All Papers'!D:D,"*"&amp;Table1[[#This Row],[Name]]&amp;"*")</f>
        <v>1</v>
      </c>
      <c r="C1547" s="8">
        <f>COUNTIFS('All Papers'!$D:$D,"*"&amp;$A1547&amp;"*",'All Papers'!$G:$G,"*"&amp;Table1[[#Headers],[Composition]]&amp;"*")</f>
        <v>0</v>
      </c>
      <c r="D1547" s="8">
        <f>COUNTIFS('All Papers'!$D:$D,"*"&amp;$A1547&amp;"*",'All Papers'!$G:$G,"*"&amp;Table1[[#Headers],[Discovery]]&amp;"*")</f>
        <v>0</v>
      </c>
      <c r="E1547" s="8">
        <f>COUNTIFS('All Papers'!$D:$D,"*"&amp;$A1547&amp;"*",'All Papers'!$G:$G,"*"&amp;Table1[[#Headers],[Selection]]&amp;"*")</f>
        <v>0</v>
      </c>
      <c r="F1547" s="8">
        <f>COUNTIFS('All Papers'!$D:$D,"*"&amp;$A1547&amp;"*",'All Papers'!$G:$G,"*"&amp;Table1[[#Headers],[Recommendation]]&amp;"*")</f>
        <v>0</v>
      </c>
      <c r="G1547" s="8">
        <f>COUNTIFS('All Papers'!$D:$D,"*"&amp;$A1547&amp;"*",'All Papers'!$G:$G,"*"&amp;Table1[[#Headers],[Resource Management-CS]]&amp;"*")</f>
        <v>0</v>
      </c>
      <c r="H1547" s="8">
        <f>COUNTIFS('All Papers'!$D:$D,"*"&amp;$A1547&amp;"*",'All Papers'!$G:$G,"*"&amp;Table1[[#Headers],[Resource Management-PS]]&amp;"*")</f>
        <v>0</v>
      </c>
      <c r="I1547" s="8">
        <f>COUNTIFS('All Papers'!$D:$D,"*"&amp;$A1547&amp;"*",'All Papers'!$G:$G,"*"&amp;Table1[[#Headers],[SLA Management]]&amp;"*")</f>
        <v>0</v>
      </c>
      <c r="J1547" s="8">
        <f>COUNTIFS('All Papers'!$D:$D,"*"&amp;$A1547&amp;"*",'All Papers'!$G:$G,"*"&amp;Table1[[#Headers],[Big Data]]&amp;"*")</f>
        <v>0</v>
      </c>
      <c r="K1547" s="8">
        <f>COUNTIFS('All Papers'!$D:$D,"*"&amp;$A1547&amp;"*",'All Papers'!$G:$G,"*"&amp;Table1[[#Headers],[Energy Management]]&amp;"*")</f>
        <v>0</v>
      </c>
      <c r="L1547" s="8">
        <f>COUNTIFS('All Papers'!$D:$D,"*"&amp;$A1547&amp;"*",'All Papers'!$G:$G,"*"&amp;Table1[[#Headers],[Monitoring]]&amp;"*")</f>
        <v>0</v>
      </c>
      <c r="M1547" s="8">
        <f>COUNTIFS('All Papers'!$D:$D,"*"&amp;$A1547&amp;"*",'All Papers'!$G:$G,"*"&amp;Table1[[#Headers],[Pricing]]&amp;"*")</f>
        <v>1</v>
      </c>
    </row>
    <row r="1548" spans="1:13" x14ac:dyDescent="0.25">
      <c r="A1548" s="8" t="s">
        <v>3981</v>
      </c>
      <c r="B1548" s="8">
        <f>COUNTIF('All Papers'!D:D,"*"&amp;Table1[[#This Row],[Name]]&amp;"*")</f>
        <v>1</v>
      </c>
      <c r="C1548" s="8">
        <f>COUNTIFS('All Papers'!$D:$D,"*"&amp;$A1548&amp;"*",'All Papers'!$G:$G,"*"&amp;Table1[[#Headers],[Composition]]&amp;"*")</f>
        <v>0</v>
      </c>
      <c r="D1548" s="8">
        <f>COUNTIFS('All Papers'!$D:$D,"*"&amp;$A1548&amp;"*",'All Papers'!$G:$G,"*"&amp;Table1[[#Headers],[Discovery]]&amp;"*")</f>
        <v>0</v>
      </c>
      <c r="E1548" s="8">
        <f>COUNTIFS('All Papers'!$D:$D,"*"&amp;$A1548&amp;"*",'All Papers'!$G:$G,"*"&amp;Table1[[#Headers],[Selection]]&amp;"*")</f>
        <v>0</v>
      </c>
      <c r="F1548" s="8">
        <f>COUNTIFS('All Papers'!$D:$D,"*"&amp;$A1548&amp;"*",'All Papers'!$G:$G,"*"&amp;Table1[[#Headers],[Recommendation]]&amp;"*")</f>
        <v>1</v>
      </c>
      <c r="G1548" s="8">
        <f>COUNTIFS('All Papers'!$D:$D,"*"&amp;$A1548&amp;"*",'All Papers'!$G:$G,"*"&amp;Table1[[#Headers],[Resource Management-CS]]&amp;"*")</f>
        <v>0</v>
      </c>
      <c r="H1548" s="8">
        <f>COUNTIFS('All Papers'!$D:$D,"*"&amp;$A1548&amp;"*",'All Papers'!$G:$G,"*"&amp;Table1[[#Headers],[Resource Management-PS]]&amp;"*")</f>
        <v>0</v>
      </c>
      <c r="I1548" s="8">
        <f>COUNTIFS('All Papers'!$D:$D,"*"&amp;$A1548&amp;"*",'All Papers'!$G:$G,"*"&amp;Table1[[#Headers],[SLA Management]]&amp;"*")</f>
        <v>0</v>
      </c>
      <c r="J1548" s="8">
        <f>COUNTIFS('All Papers'!$D:$D,"*"&amp;$A1548&amp;"*",'All Papers'!$G:$G,"*"&amp;Table1[[#Headers],[Big Data]]&amp;"*")</f>
        <v>0</v>
      </c>
      <c r="K1548" s="8">
        <f>COUNTIFS('All Papers'!$D:$D,"*"&amp;$A1548&amp;"*",'All Papers'!$G:$G,"*"&amp;Table1[[#Headers],[Energy Management]]&amp;"*")</f>
        <v>0</v>
      </c>
      <c r="L1548" s="8">
        <f>COUNTIFS('All Papers'!$D:$D,"*"&amp;$A1548&amp;"*",'All Papers'!$G:$G,"*"&amp;Table1[[#Headers],[Monitoring]]&amp;"*")</f>
        <v>0</v>
      </c>
      <c r="M1548" s="8">
        <f>COUNTIFS('All Papers'!$D:$D,"*"&amp;$A1548&amp;"*",'All Papers'!$G:$G,"*"&amp;Table1[[#Headers],[Pricing]]&amp;"*")</f>
        <v>0</v>
      </c>
    </row>
    <row r="1549" spans="1:13" x14ac:dyDescent="0.25">
      <c r="A1549" s="8" t="s">
        <v>3982</v>
      </c>
      <c r="B1549" s="8">
        <f>COUNTIF('All Papers'!D:D,"*"&amp;Table1[[#This Row],[Name]]&amp;"*")</f>
        <v>1</v>
      </c>
      <c r="C1549" s="8">
        <f>COUNTIFS('All Papers'!$D:$D,"*"&amp;$A1549&amp;"*",'All Papers'!$G:$G,"*"&amp;Table1[[#Headers],[Composition]]&amp;"*")</f>
        <v>0</v>
      </c>
      <c r="D1549" s="8">
        <f>COUNTIFS('All Papers'!$D:$D,"*"&amp;$A1549&amp;"*",'All Papers'!$G:$G,"*"&amp;Table1[[#Headers],[Discovery]]&amp;"*")</f>
        <v>0</v>
      </c>
      <c r="E1549" s="8">
        <f>COUNTIFS('All Papers'!$D:$D,"*"&amp;$A1549&amp;"*",'All Papers'!$G:$G,"*"&amp;Table1[[#Headers],[Selection]]&amp;"*")</f>
        <v>0</v>
      </c>
      <c r="F1549" s="8">
        <f>COUNTIFS('All Papers'!$D:$D,"*"&amp;$A1549&amp;"*",'All Papers'!$G:$G,"*"&amp;Table1[[#Headers],[Recommendation]]&amp;"*")</f>
        <v>1</v>
      </c>
      <c r="G1549" s="8">
        <f>COUNTIFS('All Papers'!$D:$D,"*"&amp;$A1549&amp;"*",'All Papers'!$G:$G,"*"&amp;Table1[[#Headers],[Resource Management-CS]]&amp;"*")</f>
        <v>0</v>
      </c>
      <c r="H1549" s="8">
        <f>COUNTIFS('All Papers'!$D:$D,"*"&amp;$A1549&amp;"*",'All Papers'!$G:$G,"*"&amp;Table1[[#Headers],[Resource Management-PS]]&amp;"*")</f>
        <v>0</v>
      </c>
      <c r="I1549" s="8">
        <f>COUNTIFS('All Papers'!$D:$D,"*"&amp;$A1549&amp;"*",'All Papers'!$G:$G,"*"&amp;Table1[[#Headers],[SLA Management]]&amp;"*")</f>
        <v>0</v>
      </c>
      <c r="J1549" s="8">
        <f>COUNTIFS('All Papers'!$D:$D,"*"&amp;$A1549&amp;"*",'All Papers'!$G:$G,"*"&amp;Table1[[#Headers],[Big Data]]&amp;"*")</f>
        <v>0</v>
      </c>
      <c r="K1549" s="8">
        <f>COUNTIFS('All Papers'!$D:$D,"*"&amp;$A1549&amp;"*",'All Papers'!$G:$G,"*"&amp;Table1[[#Headers],[Energy Management]]&amp;"*")</f>
        <v>0</v>
      </c>
      <c r="L1549" s="8">
        <f>COUNTIFS('All Papers'!$D:$D,"*"&amp;$A1549&amp;"*",'All Papers'!$G:$G,"*"&amp;Table1[[#Headers],[Monitoring]]&amp;"*")</f>
        <v>0</v>
      </c>
      <c r="M1549" s="8">
        <f>COUNTIFS('All Papers'!$D:$D,"*"&amp;$A1549&amp;"*",'All Papers'!$G:$G,"*"&amp;Table1[[#Headers],[Pricing]]&amp;"*")</f>
        <v>0</v>
      </c>
    </row>
    <row r="1550" spans="1:13" x14ac:dyDescent="0.25">
      <c r="A1550" s="8" t="s">
        <v>3983</v>
      </c>
      <c r="B1550" s="8">
        <f>COUNTIF('All Papers'!D:D,"*"&amp;Table1[[#This Row],[Name]]&amp;"*")</f>
        <v>1</v>
      </c>
      <c r="C1550" s="8">
        <f>COUNTIFS('All Papers'!$D:$D,"*"&amp;$A1550&amp;"*",'All Papers'!$G:$G,"*"&amp;Table1[[#Headers],[Composition]]&amp;"*")</f>
        <v>0</v>
      </c>
      <c r="D1550" s="8">
        <f>COUNTIFS('All Papers'!$D:$D,"*"&amp;$A1550&amp;"*",'All Papers'!$G:$G,"*"&amp;Table1[[#Headers],[Discovery]]&amp;"*")</f>
        <v>0</v>
      </c>
      <c r="E1550" s="8">
        <f>COUNTIFS('All Papers'!$D:$D,"*"&amp;$A1550&amp;"*",'All Papers'!$G:$G,"*"&amp;Table1[[#Headers],[Selection]]&amp;"*")</f>
        <v>0</v>
      </c>
      <c r="F1550" s="8">
        <f>COUNTIFS('All Papers'!$D:$D,"*"&amp;$A1550&amp;"*",'All Papers'!$G:$G,"*"&amp;Table1[[#Headers],[Recommendation]]&amp;"*")</f>
        <v>0</v>
      </c>
      <c r="G1550" s="8">
        <f>COUNTIFS('All Papers'!$D:$D,"*"&amp;$A1550&amp;"*",'All Papers'!$G:$G,"*"&amp;Table1[[#Headers],[Resource Management-CS]]&amp;"*")</f>
        <v>1</v>
      </c>
      <c r="H1550" s="8">
        <f>COUNTIFS('All Papers'!$D:$D,"*"&amp;$A1550&amp;"*",'All Papers'!$G:$G,"*"&amp;Table1[[#Headers],[Resource Management-PS]]&amp;"*")</f>
        <v>0</v>
      </c>
      <c r="I1550" s="8">
        <f>COUNTIFS('All Papers'!$D:$D,"*"&amp;$A1550&amp;"*",'All Papers'!$G:$G,"*"&amp;Table1[[#Headers],[SLA Management]]&amp;"*")</f>
        <v>0</v>
      </c>
      <c r="J1550" s="8">
        <f>COUNTIFS('All Papers'!$D:$D,"*"&amp;$A1550&amp;"*",'All Papers'!$G:$G,"*"&amp;Table1[[#Headers],[Big Data]]&amp;"*")</f>
        <v>0</v>
      </c>
      <c r="K1550" s="8">
        <f>COUNTIFS('All Papers'!$D:$D,"*"&amp;$A1550&amp;"*",'All Papers'!$G:$G,"*"&amp;Table1[[#Headers],[Energy Management]]&amp;"*")</f>
        <v>0</v>
      </c>
      <c r="L1550" s="8">
        <f>COUNTIFS('All Papers'!$D:$D,"*"&amp;$A1550&amp;"*",'All Papers'!$G:$G,"*"&amp;Table1[[#Headers],[Monitoring]]&amp;"*")</f>
        <v>1</v>
      </c>
      <c r="M1550" s="8">
        <f>COUNTIFS('All Papers'!$D:$D,"*"&amp;$A1550&amp;"*",'All Papers'!$G:$G,"*"&amp;Table1[[#Headers],[Pricing]]&amp;"*")</f>
        <v>0</v>
      </c>
    </row>
    <row r="1551" spans="1:13" x14ac:dyDescent="0.25">
      <c r="A1551" s="8" t="s">
        <v>3984</v>
      </c>
      <c r="B1551" s="8">
        <f>COUNTIF('All Papers'!D:D,"*"&amp;Table1[[#This Row],[Name]]&amp;"*")</f>
        <v>1</v>
      </c>
      <c r="C1551" s="8">
        <f>COUNTIFS('All Papers'!$D:$D,"*"&amp;$A1551&amp;"*",'All Papers'!$G:$G,"*"&amp;Table1[[#Headers],[Composition]]&amp;"*")</f>
        <v>0</v>
      </c>
      <c r="D1551" s="8">
        <f>COUNTIFS('All Papers'!$D:$D,"*"&amp;$A1551&amp;"*",'All Papers'!$G:$G,"*"&amp;Table1[[#Headers],[Discovery]]&amp;"*")</f>
        <v>0</v>
      </c>
      <c r="E1551" s="8">
        <f>COUNTIFS('All Papers'!$D:$D,"*"&amp;$A1551&amp;"*",'All Papers'!$G:$G,"*"&amp;Table1[[#Headers],[Selection]]&amp;"*")</f>
        <v>0</v>
      </c>
      <c r="F1551" s="8">
        <f>COUNTIFS('All Papers'!$D:$D,"*"&amp;$A1551&amp;"*",'All Papers'!$G:$G,"*"&amp;Table1[[#Headers],[Recommendation]]&amp;"*")</f>
        <v>0</v>
      </c>
      <c r="G1551" s="8">
        <f>COUNTIFS('All Papers'!$D:$D,"*"&amp;$A1551&amp;"*",'All Papers'!$G:$G,"*"&amp;Table1[[#Headers],[Resource Management-CS]]&amp;"*")</f>
        <v>1</v>
      </c>
      <c r="H1551" s="8">
        <f>COUNTIFS('All Papers'!$D:$D,"*"&amp;$A1551&amp;"*",'All Papers'!$G:$G,"*"&amp;Table1[[#Headers],[Resource Management-PS]]&amp;"*")</f>
        <v>0</v>
      </c>
      <c r="I1551" s="8">
        <f>COUNTIFS('All Papers'!$D:$D,"*"&amp;$A1551&amp;"*",'All Papers'!$G:$G,"*"&amp;Table1[[#Headers],[SLA Management]]&amp;"*")</f>
        <v>0</v>
      </c>
      <c r="J1551" s="8">
        <f>COUNTIFS('All Papers'!$D:$D,"*"&amp;$A1551&amp;"*",'All Papers'!$G:$G,"*"&amp;Table1[[#Headers],[Big Data]]&amp;"*")</f>
        <v>0</v>
      </c>
      <c r="K1551" s="8">
        <f>COUNTIFS('All Papers'!$D:$D,"*"&amp;$A1551&amp;"*",'All Papers'!$G:$G,"*"&amp;Table1[[#Headers],[Energy Management]]&amp;"*")</f>
        <v>0</v>
      </c>
      <c r="L1551" s="8">
        <f>COUNTIFS('All Papers'!$D:$D,"*"&amp;$A1551&amp;"*",'All Papers'!$G:$G,"*"&amp;Table1[[#Headers],[Monitoring]]&amp;"*")</f>
        <v>1</v>
      </c>
      <c r="M1551" s="8">
        <f>COUNTIFS('All Papers'!$D:$D,"*"&amp;$A1551&amp;"*",'All Papers'!$G:$G,"*"&amp;Table1[[#Headers],[Pricing]]&amp;"*")</f>
        <v>0</v>
      </c>
    </row>
    <row r="1552" spans="1:13" x14ac:dyDescent="0.25">
      <c r="A1552" s="8" t="s">
        <v>3985</v>
      </c>
      <c r="B1552" s="8">
        <f>COUNTIF('All Papers'!D:D,"*"&amp;Table1[[#This Row],[Name]]&amp;"*")</f>
        <v>1</v>
      </c>
      <c r="C1552" s="8">
        <f>COUNTIFS('All Papers'!$D:$D,"*"&amp;$A1552&amp;"*",'All Papers'!$G:$G,"*"&amp;Table1[[#Headers],[Composition]]&amp;"*")</f>
        <v>0</v>
      </c>
      <c r="D1552" s="8">
        <f>COUNTIFS('All Papers'!$D:$D,"*"&amp;$A1552&amp;"*",'All Papers'!$G:$G,"*"&amp;Table1[[#Headers],[Discovery]]&amp;"*")</f>
        <v>0</v>
      </c>
      <c r="E1552" s="8">
        <f>COUNTIFS('All Papers'!$D:$D,"*"&amp;$A1552&amp;"*",'All Papers'!$G:$G,"*"&amp;Table1[[#Headers],[Selection]]&amp;"*")</f>
        <v>0</v>
      </c>
      <c r="F1552" s="8">
        <f>COUNTIFS('All Papers'!$D:$D,"*"&amp;$A1552&amp;"*",'All Papers'!$G:$G,"*"&amp;Table1[[#Headers],[Recommendation]]&amp;"*")</f>
        <v>0</v>
      </c>
      <c r="G1552" s="8">
        <f>COUNTIFS('All Papers'!$D:$D,"*"&amp;$A1552&amp;"*",'All Papers'!$G:$G,"*"&amp;Table1[[#Headers],[Resource Management-CS]]&amp;"*")</f>
        <v>1</v>
      </c>
      <c r="H1552" s="8">
        <f>COUNTIFS('All Papers'!$D:$D,"*"&amp;$A1552&amp;"*",'All Papers'!$G:$G,"*"&amp;Table1[[#Headers],[Resource Management-PS]]&amp;"*")</f>
        <v>0</v>
      </c>
      <c r="I1552" s="8">
        <f>COUNTIFS('All Papers'!$D:$D,"*"&amp;$A1552&amp;"*",'All Papers'!$G:$G,"*"&amp;Table1[[#Headers],[SLA Management]]&amp;"*")</f>
        <v>0</v>
      </c>
      <c r="J1552" s="8">
        <f>COUNTIFS('All Papers'!$D:$D,"*"&amp;$A1552&amp;"*",'All Papers'!$G:$G,"*"&amp;Table1[[#Headers],[Big Data]]&amp;"*")</f>
        <v>0</v>
      </c>
      <c r="K1552" s="8">
        <f>COUNTIFS('All Papers'!$D:$D,"*"&amp;$A1552&amp;"*",'All Papers'!$G:$G,"*"&amp;Table1[[#Headers],[Energy Management]]&amp;"*")</f>
        <v>0</v>
      </c>
      <c r="L1552" s="8">
        <f>COUNTIFS('All Papers'!$D:$D,"*"&amp;$A1552&amp;"*",'All Papers'!$G:$G,"*"&amp;Table1[[#Headers],[Monitoring]]&amp;"*")</f>
        <v>1</v>
      </c>
      <c r="M1552" s="8">
        <f>COUNTIFS('All Papers'!$D:$D,"*"&amp;$A1552&amp;"*",'All Papers'!$G:$G,"*"&amp;Table1[[#Headers],[Pricing]]&amp;"*")</f>
        <v>0</v>
      </c>
    </row>
    <row r="1553" spans="1:13" x14ac:dyDescent="0.25">
      <c r="A1553" s="8" t="s">
        <v>3986</v>
      </c>
      <c r="B1553" s="8">
        <f>COUNTIF('All Papers'!D:D,"*"&amp;Table1[[#This Row],[Name]]&amp;"*")</f>
        <v>1</v>
      </c>
      <c r="C1553" s="8">
        <f>COUNTIFS('All Papers'!$D:$D,"*"&amp;$A1553&amp;"*",'All Papers'!$G:$G,"*"&amp;Table1[[#Headers],[Composition]]&amp;"*")</f>
        <v>0</v>
      </c>
      <c r="D1553" s="8">
        <f>COUNTIFS('All Papers'!$D:$D,"*"&amp;$A1553&amp;"*",'All Papers'!$G:$G,"*"&amp;Table1[[#Headers],[Discovery]]&amp;"*")</f>
        <v>0</v>
      </c>
      <c r="E1553" s="8">
        <f>COUNTIFS('All Papers'!$D:$D,"*"&amp;$A1553&amp;"*",'All Papers'!$G:$G,"*"&amp;Table1[[#Headers],[Selection]]&amp;"*")</f>
        <v>0</v>
      </c>
      <c r="F1553" s="8">
        <f>COUNTIFS('All Papers'!$D:$D,"*"&amp;$A1553&amp;"*",'All Papers'!$G:$G,"*"&amp;Table1[[#Headers],[Recommendation]]&amp;"*")</f>
        <v>0</v>
      </c>
      <c r="G1553" s="8">
        <f>COUNTIFS('All Papers'!$D:$D,"*"&amp;$A1553&amp;"*",'All Papers'!$G:$G,"*"&amp;Table1[[#Headers],[Resource Management-CS]]&amp;"*")</f>
        <v>1</v>
      </c>
      <c r="H1553" s="8">
        <f>COUNTIFS('All Papers'!$D:$D,"*"&amp;$A1553&amp;"*",'All Papers'!$G:$G,"*"&amp;Table1[[#Headers],[Resource Management-PS]]&amp;"*")</f>
        <v>0</v>
      </c>
      <c r="I1553" s="8">
        <f>COUNTIFS('All Papers'!$D:$D,"*"&amp;$A1553&amp;"*",'All Papers'!$G:$G,"*"&amp;Table1[[#Headers],[SLA Management]]&amp;"*")</f>
        <v>0</v>
      </c>
      <c r="J1553" s="8">
        <f>COUNTIFS('All Papers'!$D:$D,"*"&amp;$A1553&amp;"*",'All Papers'!$G:$G,"*"&amp;Table1[[#Headers],[Big Data]]&amp;"*")</f>
        <v>0</v>
      </c>
      <c r="K1553" s="8">
        <f>COUNTIFS('All Papers'!$D:$D,"*"&amp;$A1553&amp;"*",'All Papers'!$G:$G,"*"&amp;Table1[[#Headers],[Energy Management]]&amp;"*")</f>
        <v>0</v>
      </c>
      <c r="L1553" s="8">
        <f>COUNTIFS('All Papers'!$D:$D,"*"&amp;$A1553&amp;"*",'All Papers'!$G:$G,"*"&amp;Table1[[#Headers],[Monitoring]]&amp;"*")</f>
        <v>1</v>
      </c>
      <c r="M1553" s="8">
        <f>COUNTIFS('All Papers'!$D:$D,"*"&amp;$A1553&amp;"*",'All Papers'!$G:$G,"*"&amp;Table1[[#Headers],[Pricing]]&amp;"*")</f>
        <v>0</v>
      </c>
    </row>
    <row r="1554" spans="1:13" x14ac:dyDescent="0.25">
      <c r="A1554" s="8" t="s">
        <v>3987</v>
      </c>
      <c r="B1554" s="8">
        <f>COUNTIF('All Papers'!D:D,"*"&amp;Table1[[#This Row],[Name]]&amp;"*")</f>
        <v>1</v>
      </c>
      <c r="C1554" s="8">
        <f>COUNTIFS('All Papers'!$D:$D,"*"&amp;$A1554&amp;"*",'All Papers'!$G:$G,"*"&amp;Table1[[#Headers],[Composition]]&amp;"*")</f>
        <v>0</v>
      </c>
      <c r="D1554" s="8">
        <f>COUNTIFS('All Papers'!$D:$D,"*"&amp;$A1554&amp;"*",'All Papers'!$G:$G,"*"&amp;Table1[[#Headers],[Discovery]]&amp;"*")</f>
        <v>0</v>
      </c>
      <c r="E1554" s="8">
        <f>COUNTIFS('All Papers'!$D:$D,"*"&amp;$A1554&amp;"*",'All Papers'!$G:$G,"*"&amp;Table1[[#Headers],[Selection]]&amp;"*")</f>
        <v>1</v>
      </c>
      <c r="F1554" s="8">
        <f>COUNTIFS('All Papers'!$D:$D,"*"&amp;$A1554&amp;"*",'All Papers'!$G:$G,"*"&amp;Table1[[#Headers],[Recommendation]]&amp;"*")</f>
        <v>0</v>
      </c>
      <c r="G1554" s="8">
        <f>COUNTIFS('All Papers'!$D:$D,"*"&amp;$A1554&amp;"*",'All Papers'!$G:$G,"*"&amp;Table1[[#Headers],[Resource Management-CS]]&amp;"*")</f>
        <v>0</v>
      </c>
      <c r="H1554" s="8">
        <f>COUNTIFS('All Papers'!$D:$D,"*"&amp;$A1554&amp;"*",'All Papers'!$G:$G,"*"&amp;Table1[[#Headers],[Resource Management-PS]]&amp;"*")</f>
        <v>0</v>
      </c>
      <c r="I1554" s="8">
        <f>COUNTIFS('All Papers'!$D:$D,"*"&amp;$A1554&amp;"*",'All Papers'!$G:$G,"*"&amp;Table1[[#Headers],[SLA Management]]&amp;"*")</f>
        <v>0</v>
      </c>
      <c r="J1554" s="8">
        <f>COUNTIFS('All Papers'!$D:$D,"*"&amp;$A1554&amp;"*",'All Papers'!$G:$G,"*"&amp;Table1[[#Headers],[Big Data]]&amp;"*")</f>
        <v>0</v>
      </c>
      <c r="K1554" s="8">
        <f>COUNTIFS('All Papers'!$D:$D,"*"&amp;$A1554&amp;"*",'All Papers'!$G:$G,"*"&amp;Table1[[#Headers],[Energy Management]]&amp;"*")</f>
        <v>0</v>
      </c>
      <c r="L1554" s="8">
        <f>COUNTIFS('All Papers'!$D:$D,"*"&amp;$A1554&amp;"*",'All Papers'!$G:$G,"*"&amp;Table1[[#Headers],[Monitoring]]&amp;"*")</f>
        <v>0</v>
      </c>
      <c r="M1554" s="8">
        <f>COUNTIFS('All Papers'!$D:$D,"*"&amp;$A1554&amp;"*",'All Papers'!$G:$G,"*"&amp;Table1[[#Headers],[Pricing]]&amp;"*")</f>
        <v>0</v>
      </c>
    </row>
    <row r="1555" spans="1:13" x14ac:dyDescent="0.25">
      <c r="A1555" s="8" t="s">
        <v>3988</v>
      </c>
      <c r="B1555" s="8">
        <f>COUNTIF('All Papers'!D:D,"*"&amp;Table1[[#This Row],[Name]]&amp;"*")</f>
        <v>1</v>
      </c>
      <c r="C1555" s="8">
        <f>COUNTIFS('All Papers'!$D:$D,"*"&amp;$A1555&amp;"*",'All Papers'!$G:$G,"*"&amp;Table1[[#Headers],[Composition]]&amp;"*")</f>
        <v>0</v>
      </c>
      <c r="D1555" s="8">
        <f>COUNTIFS('All Papers'!$D:$D,"*"&amp;$A1555&amp;"*",'All Papers'!$G:$G,"*"&amp;Table1[[#Headers],[Discovery]]&amp;"*")</f>
        <v>0</v>
      </c>
      <c r="E1555" s="8">
        <f>COUNTIFS('All Papers'!$D:$D,"*"&amp;$A1555&amp;"*",'All Papers'!$G:$G,"*"&amp;Table1[[#Headers],[Selection]]&amp;"*")</f>
        <v>0</v>
      </c>
      <c r="F1555" s="8">
        <f>COUNTIFS('All Papers'!$D:$D,"*"&amp;$A1555&amp;"*",'All Papers'!$G:$G,"*"&amp;Table1[[#Headers],[Recommendation]]&amp;"*")</f>
        <v>0</v>
      </c>
      <c r="G1555" s="8">
        <f>COUNTIFS('All Papers'!$D:$D,"*"&amp;$A1555&amp;"*",'All Papers'!$G:$G,"*"&amp;Table1[[#Headers],[Resource Management-CS]]&amp;"*")</f>
        <v>0</v>
      </c>
      <c r="H1555" s="8">
        <f>COUNTIFS('All Papers'!$D:$D,"*"&amp;$A1555&amp;"*",'All Papers'!$G:$G,"*"&amp;Table1[[#Headers],[Resource Management-PS]]&amp;"*")</f>
        <v>0</v>
      </c>
      <c r="I1555" s="8">
        <f>COUNTIFS('All Papers'!$D:$D,"*"&amp;$A1555&amp;"*",'All Papers'!$G:$G,"*"&amp;Table1[[#Headers],[SLA Management]]&amp;"*")</f>
        <v>0</v>
      </c>
      <c r="J1555" s="8">
        <f>COUNTIFS('All Papers'!$D:$D,"*"&amp;$A1555&amp;"*",'All Papers'!$G:$G,"*"&amp;Table1[[#Headers],[Big Data]]&amp;"*")</f>
        <v>0</v>
      </c>
      <c r="K1555" s="8">
        <f>COUNTIFS('All Papers'!$D:$D,"*"&amp;$A1555&amp;"*",'All Papers'!$G:$G,"*"&amp;Table1[[#Headers],[Energy Management]]&amp;"*")</f>
        <v>0</v>
      </c>
      <c r="L1555" s="8">
        <f>COUNTIFS('All Papers'!$D:$D,"*"&amp;$A1555&amp;"*",'All Papers'!$G:$G,"*"&amp;Table1[[#Headers],[Monitoring]]&amp;"*")</f>
        <v>1</v>
      </c>
      <c r="M1555" s="8">
        <f>COUNTIFS('All Papers'!$D:$D,"*"&amp;$A1555&amp;"*",'All Papers'!$G:$G,"*"&amp;Table1[[#Headers],[Pricing]]&amp;"*")</f>
        <v>0</v>
      </c>
    </row>
    <row r="1556" spans="1:13" x14ac:dyDescent="0.25">
      <c r="A1556" s="8" t="s">
        <v>3989</v>
      </c>
      <c r="B1556" s="8">
        <f>COUNTIF('All Papers'!D:D,"*"&amp;Table1[[#This Row],[Name]]&amp;"*")</f>
        <v>1</v>
      </c>
      <c r="C1556" s="8">
        <f>COUNTIFS('All Papers'!$D:$D,"*"&amp;$A1556&amp;"*",'All Papers'!$G:$G,"*"&amp;Table1[[#Headers],[Composition]]&amp;"*")</f>
        <v>0</v>
      </c>
      <c r="D1556" s="8">
        <f>COUNTIFS('All Papers'!$D:$D,"*"&amp;$A1556&amp;"*",'All Papers'!$G:$G,"*"&amp;Table1[[#Headers],[Discovery]]&amp;"*")</f>
        <v>0</v>
      </c>
      <c r="E1556" s="8">
        <f>COUNTIFS('All Papers'!$D:$D,"*"&amp;$A1556&amp;"*",'All Papers'!$G:$G,"*"&amp;Table1[[#Headers],[Selection]]&amp;"*")</f>
        <v>0</v>
      </c>
      <c r="F1556" s="8">
        <f>COUNTIFS('All Papers'!$D:$D,"*"&amp;$A1556&amp;"*",'All Papers'!$G:$G,"*"&amp;Table1[[#Headers],[Recommendation]]&amp;"*")</f>
        <v>0</v>
      </c>
      <c r="G1556" s="8">
        <f>COUNTIFS('All Papers'!$D:$D,"*"&amp;$A1556&amp;"*",'All Papers'!$G:$G,"*"&amp;Table1[[#Headers],[Resource Management-CS]]&amp;"*")</f>
        <v>0</v>
      </c>
      <c r="H1556" s="8">
        <f>COUNTIFS('All Papers'!$D:$D,"*"&amp;$A1556&amp;"*",'All Papers'!$G:$G,"*"&amp;Table1[[#Headers],[Resource Management-PS]]&amp;"*")</f>
        <v>0</v>
      </c>
      <c r="I1556" s="8">
        <f>COUNTIFS('All Papers'!$D:$D,"*"&amp;$A1556&amp;"*",'All Papers'!$G:$G,"*"&amp;Table1[[#Headers],[SLA Management]]&amp;"*")</f>
        <v>0</v>
      </c>
      <c r="J1556" s="8">
        <f>COUNTIFS('All Papers'!$D:$D,"*"&amp;$A1556&amp;"*",'All Papers'!$G:$G,"*"&amp;Table1[[#Headers],[Big Data]]&amp;"*")</f>
        <v>0</v>
      </c>
      <c r="K1556" s="8">
        <f>COUNTIFS('All Papers'!$D:$D,"*"&amp;$A1556&amp;"*",'All Papers'!$G:$G,"*"&amp;Table1[[#Headers],[Energy Management]]&amp;"*")</f>
        <v>0</v>
      </c>
      <c r="L1556" s="8">
        <f>COUNTIFS('All Papers'!$D:$D,"*"&amp;$A1556&amp;"*",'All Papers'!$G:$G,"*"&amp;Table1[[#Headers],[Monitoring]]&amp;"*")</f>
        <v>1</v>
      </c>
      <c r="M1556" s="8">
        <f>COUNTIFS('All Papers'!$D:$D,"*"&amp;$A1556&amp;"*",'All Papers'!$G:$G,"*"&amp;Table1[[#Headers],[Pricing]]&amp;"*")</f>
        <v>0</v>
      </c>
    </row>
    <row r="1557" spans="1:13" x14ac:dyDescent="0.25">
      <c r="A1557" s="8" t="s">
        <v>3990</v>
      </c>
      <c r="B1557" s="8">
        <f>COUNTIF('All Papers'!D:D,"*"&amp;Table1[[#This Row],[Name]]&amp;"*")</f>
        <v>1</v>
      </c>
      <c r="C1557" s="8">
        <f>COUNTIFS('All Papers'!$D:$D,"*"&amp;$A1557&amp;"*",'All Papers'!$G:$G,"*"&amp;Table1[[#Headers],[Composition]]&amp;"*")</f>
        <v>0</v>
      </c>
      <c r="D1557" s="8">
        <f>COUNTIFS('All Papers'!$D:$D,"*"&amp;$A1557&amp;"*",'All Papers'!$G:$G,"*"&amp;Table1[[#Headers],[Discovery]]&amp;"*")</f>
        <v>0</v>
      </c>
      <c r="E1557" s="8">
        <f>COUNTIFS('All Papers'!$D:$D,"*"&amp;$A1557&amp;"*",'All Papers'!$G:$G,"*"&amp;Table1[[#Headers],[Selection]]&amp;"*")</f>
        <v>0</v>
      </c>
      <c r="F1557" s="8">
        <f>COUNTIFS('All Papers'!$D:$D,"*"&amp;$A1557&amp;"*",'All Papers'!$G:$G,"*"&amp;Table1[[#Headers],[Recommendation]]&amp;"*")</f>
        <v>0</v>
      </c>
      <c r="G1557" s="8">
        <f>COUNTIFS('All Papers'!$D:$D,"*"&amp;$A1557&amp;"*",'All Papers'!$G:$G,"*"&amp;Table1[[#Headers],[Resource Management-CS]]&amp;"*")</f>
        <v>0</v>
      </c>
      <c r="H1557" s="8">
        <f>COUNTIFS('All Papers'!$D:$D,"*"&amp;$A1557&amp;"*",'All Papers'!$G:$G,"*"&amp;Table1[[#Headers],[Resource Management-PS]]&amp;"*")</f>
        <v>0</v>
      </c>
      <c r="I1557" s="8">
        <f>COUNTIFS('All Papers'!$D:$D,"*"&amp;$A1557&amp;"*",'All Papers'!$G:$G,"*"&amp;Table1[[#Headers],[SLA Management]]&amp;"*")</f>
        <v>0</v>
      </c>
      <c r="J1557" s="8">
        <f>COUNTIFS('All Papers'!$D:$D,"*"&amp;$A1557&amp;"*",'All Papers'!$G:$G,"*"&amp;Table1[[#Headers],[Big Data]]&amp;"*")</f>
        <v>0</v>
      </c>
      <c r="K1557" s="8">
        <f>COUNTIFS('All Papers'!$D:$D,"*"&amp;$A1557&amp;"*",'All Papers'!$G:$G,"*"&amp;Table1[[#Headers],[Energy Management]]&amp;"*")</f>
        <v>0</v>
      </c>
      <c r="L1557" s="8">
        <f>COUNTIFS('All Papers'!$D:$D,"*"&amp;$A1557&amp;"*",'All Papers'!$G:$G,"*"&amp;Table1[[#Headers],[Monitoring]]&amp;"*")</f>
        <v>1</v>
      </c>
      <c r="M1557" s="8">
        <f>COUNTIFS('All Papers'!$D:$D,"*"&amp;$A1557&amp;"*",'All Papers'!$G:$G,"*"&amp;Table1[[#Headers],[Pricing]]&amp;"*")</f>
        <v>0</v>
      </c>
    </row>
    <row r="1558" spans="1:13" x14ac:dyDescent="0.25">
      <c r="A1558" s="8" t="s">
        <v>3991</v>
      </c>
      <c r="B1558" s="8">
        <f>COUNTIF('All Papers'!D:D,"*"&amp;Table1[[#This Row],[Name]]&amp;"*")</f>
        <v>1</v>
      </c>
      <c r="C1558" s="8">
        <f>COUNTIFS('All Papers'!$D:$D,"*"&amp;$A1558&amp;"*",'All Papers'!$G:$G,"*"&amp;Table1[[#Headers],[Composition]]&amp;"*")</f>
        <v>0</v>
      </c>
      <c r="D1558" s="8">
        <f>COUNTIFS('All Papers'!$D:$D,"*"&amp;$A1558&amp;"*",'All Papers'!$G:$G,"*"&amp;Table1[[#Headers],[Discovery]]&amp;"*")</f>
        <v>0</v>
      </c>
      <c r="E1558" s="8">
        <f>COUNTIFS('All Papers'!$D:$D,"*"&amp;$A1558&amp;"*",'All Papers'!$G:$G,"*"&amp;Table1[[#Headers],[Selection]]&amp;"*")</f>
        <v>0</v>
      </c>
      <c r="F1558" s="8">
        <f>COUNTIFS('All Papers'!$D:$D,"*"&amp;$A1558&amp;"*",'All Papers'!$G:$G,"*"&amp;Table1[[#Headers],[Recommendation]]&amp;"*")</f>
        <v>0</v>
      </c>
      <c r="G1558" s="8">
        <f>COUNTIFS('All Papers'!$D:$D,"*"&amp;$A1558&amp;"*",'All Papers'!$G:$G,"*"&amp;Table1[[#Headers],[Resource Management-CS]]&amp;"*")</f>
        <v>0</v>
      </c>
      <c r="H1558" s="8">
        <f>COUNTIFS('All Papers'!$D:$D,"*"&amp;$A1558&amp;"*",'All Papers'!$G:$G,"*"&amp;Table1[[#Headers],[Resource Management-PS]]&amp;"*")</f>
        <v>0</v>
      </c>
      <c r="I1558" s="8">
        <f>COUNTIFS('All Papers'!$D:$D,"*"&amp;$A1558&amp;"*",'All Papers'!$G:$G,"*"&amp;Table1[[#Headers],[SLA Management]]&amp;"*")</f>
        <v>0</v>
      </c>
      <c r="J1558" s="8">
        <f>COUNTIFS('All Papers'!$D:$D,"*"&amp;$A1558&amp;"*",'All Papers'!$G:$G,"*"&amp;Table1[[#Headers],[Big Data]]&amp;"*")</f>
        <v>0</v>
      </c>
      <c r="K1558" s="8">
        <f>COUNTIFS('All Papers'!$D:$D,"*"&amp;$A1558&amp;"*",'All Papers'!$G:$G,"*"&amp;Table1[[#Headers],[Energy Management]]&amp;"*")</f>
        <v>0</v>
      </c>
      <c r="L1558" s="8">
        <f>COUNTIFS('All Papers'!$D:$D,"*"&amp;$A1558&amp;"*",'All Papers'!$G:$G,"*"&amp;Table1[[#Headers],[Monitoring]]&amp;"*")</f>
        <v>1</v>
      </c>
      <c r="M1558" s="8">
        <f>COUNTIFS('All Papers'!$D:$D,"*"&amp;$A1558&amp;"*",'All Papers'!$G:$G,"*"&amp;Table1[[#Headers],[Pricing]]&amp;"*")</f>
        <v>0</v>
      </c>
    </row>
    <row r="1559" spans="1:13" x14ac:dyDescent="0.25">
      <c r="A1559" s="8" t="s">
        <v>3992</v>
      </c>
      <c r="B1559" s="8">
        <f>COUNTIF('All Papers'!D:D,"*"&amp;Table1[[#This Row],[Name]]&amp;"*")</f>
        <v>1</v>
      </c>
      <c r="C1559" s="8">
        <f>COUNTIFS('All Papers'!$D:$D,"*"&amp;$A1559&amp;"*",'All Papers'!$G:$G,"*"&amp;Table1[[#Headers],[Composition]]&amp;"*")</f>
        <v>0</v>
      </c>
      <c r="D1559" s="8">
        <f>COUNTIFS('All Papers'!$D:$D,"*"&amp;$A1559&amp;"*",'All Papers'!$G:$G,"*"&amp;Table1[[#Headers],[Discovery]]&amp;"*")</f>
        <v>0</v>
      </c>
      <c r="E1559" s="8">
        <f>COUNTIFS('All Papers'!$D:$D,"*"&amp;$A1559&amp;"*",'All Papers'!$G:$G,"*"&amp;Table1[[#Headers],[Selection]]&amp;"*")</f>
        <v>0</v>
      </c>
      <c r="F1559" s="8">
        <f>COUNTIFS('All Papers'!$D:$D,"*"&amp;$A1559&amp;"*",'All Papers'!$G:$G,"*"&amp;Table1[[#Headers],[Recommendation]]&amp;"*")</f>
        <v>0</v>
      </c>
      <c r="G1559" s="8">
        <f>COUNTIFS('All Papers'!$D:$D,"*"&amp;$A1559&amp;"*",'All Papers'!$G:$G,"*"&amp;Table1[[#Headers],[Resource Management-CS]]&amp;"*")</f>
        <v>0</v>
      </c>
      <c r="H1559" s="8">
        <f>COUNTIFS('All Papers'!$D:$D,"*"&amp;$A1559&amp;"*",'All Papers'!$G:$G,"*"&amp;Table1[[#Headers],[Resource Management-PS]]&amp;"*")</f>
        <v>0</v>
      </c>
      <c r="I1559" s="8">
        <f>COUNTIFS('All Papers'!$D:$D,"*"&amp;$A1559&amp;"*",'All Papers'!$G:$G,"*"&amp;Table1[[#Headers],[SLA Management]]&amp;"*")</f>
        <v>0</v>
      </c>
      <c r="J1559" s="8">
        <f>COUNTIFS('All Papers'!$D:$D,"*"&amp;$A1559&amp;"*",'All Papers'!$G:$G,"*"&amp;Table1[[#Headers],[Big Data]]&amp;"*")</f>
        <v>0</v>
      </c>
      <c r="K1559" s="8">
        <f>COUNTIFS('All Papers'!$D:$D,"*"&amp;$A1559&amp;"*",'All Papers'!$G:$G,"*"&amp;Table1[[#Headers],[Energy Management]]&amp;"*")</f>
        <v>0</v>
      </c>
      <c r="L1559" s="8">
        <f>COUNTIFS('All Papers'!$D:$D,"*"&amp;$A1559&amp;"*",'All Papers'!$G:$G,"*"&amp;Table1[[#Headers],[Monitoring]]&amp;"*")</f>
        <v>1</v>
      </c>
      <c r="M1559" s="8">
        <f>COUNTIFS('All Papers'!$D:$D,"*"&amp;$A1559&amp;"*",'All Papers'!$G:$G,"*"&amp;Table1[[#Headers],[Pricing]]&amp;"*")</f>
        <v>0</v>
      </c>
    </row>
    <row r="1560" spans="1:13" x14ac:dyDescent="0.25">
      <c r="A1560" s="8" t="s">
        <v>3993</v>
      </c>
      <c r="B1560" s="8">
        <f>COUNTIF('All Papers'!D:D,"*"&amp;Table1[[#This Row],[Name]]&amp;"*")</f>
        <v>1</v>
      </c>
      <c r="C1560" s="8">
        <f>COUNTIFS('All Papers'!$D:$D,"*"&amp;$A1560&amp;"*",'All Papers'!$G:$G,"*"&amp;Table1[[#Headers],[Composition]]&amp;"*")</f>
        <v>0</v>
      </c>
      <c r="D1560" s="8">
        <f>COUNTIFS('All Papers'!$D:$D,"*"&amp;$A1560&amp;"*",'All Papers'!$G:$G,"*"&amp;Table1[[#Headers],[Discovery]]&amp;"*")</f>
        <v>0</v>
      </c>
      <c r="E1560" s="8">
        <f>COUNTIFS('All Papers'!$D:$D,"*"&amp;$A1560&amp;"*",'All Papers'!$G:$G,"*"&amp;Table1[[#Headers],[Selection]]&amp;"*")</f>
        <v>0</v>
      </c>
      <c r="F1560" s="8">
        <f>COUNTIFS('All Papers'!$D:$D,"*"&amp;$A1560&amp;"*",'All Papers'!$G:$G,"*"&amp;Table1[[#Headers],[Recommendation]]&amp;"*")</f>
        <v>0</v>
      </c>
      <c r="G1560" s="8">
        <f>COUNTIFS('All Papers'!$D:$D,"*"&amp;$A1560&amp;"*",'All Papers'!$G:$G,"*"&amp;Table1[[#Headers],[Resource Management-CS]]&amp;"*")</f>
        <v>0</v>
      </c>
      <c r="H1560" s="8">
        <f>COUNTIFS('All Papers'!$D:$D,"*"&amp;$A1560&amp;"*",'All Papers'!$G:$G,"*"&amp;Table1[[#Headers],[Resource Management-PS]]&amp;"*")</f>
        <v>1</v>
      </c>
      <c r="I1560" s="8">
        <f>COUNTIFS('All Papers'!$D:$D,"*"&amp;$A1560&amp;"*",'All Papers'!$G:$G,"*"&amp;Table1[[#Headers],[SLA Management]]&amp;"*")</f>
        <v>0</v>
      </c>
      <c r="J1560" s="8">
        <f>COUNTIFS('All Papers'!$D:$D,"*"&amp;$A1560&amp;"*",'All Papers'!$G:$G,"*"&amp;Table1[[#Headers],[Big Data]]&amp;"*")</f>
        <v>0</v>
      </c>
      <c r="K1560" s="8">
        <f>COUNTIFS('All Papers'!$D:$D,"*"&amp;$A1560&amp;"*",'All Papers'!$G:$G,"*"&amp;Table1[[#Headers],[Energy Management]]&amp;"*")</f>
        <v>0</v>
      </c>
      <c r="L1560" s="8">
        <f>COUNTIFS('All Papers'!$D:$D,"*"&amp;$A1560&amp;"*",'All Papers'!$G:$G,"*"&amp;Table1[[#Headers],[Monitoring]]&amp;"*")</f>
        <v>0</v>
      </c>
      <c r="M1560" s="8">
        <f>COUNTIFS('All Papers'!$D:$D,"*"&amp;$A1560&amp;"*",'All Papers'!$G:$G,"*"&amp;Table1[[#Headers],[Pricing]]&amp;"*")</f>
        <v>0</v>
      </c>
    </row>
    <row r="1561" spans="1:13" x14ac:dyDescent="0.25">
      <c r="A1561" s="8" t="s">
        <v>3994</v>
      </c>
      <c r="B1561" s="8">
        <f>COUNTIF('All Papers'!D:D,"*"&amp;Table1[[#This Row],[Name]]&amp;"*")</f>
        <v>1</v>
      </c>
      <c r="C1561" s="8">
        <f>COUNTIFS('All Papers'!$D:$D,"*"&amp;$A1561&amp;"*",'All Papers'!$G:$G,"*"&amp;Table1[[#Headers],[Composition]]&amp;"*")</f>
        <v>0</v>
      </c>
      <c r="D1561" s="8">
        <f>COUNTIFS('All Papers'!$D:$D,"*"&amp;$A1561&amp;"*",'All Papers'!$G:$G,"*"&amp;Table1[[#Headers],[Discovery]]&amp;"*")</f>
        <v>0</v>
      </c>
      <c r="E1561" s="8">
        <f>COUNTIFS('All Papers'!$D:$D,"*"&amp;$A1561&amp;"*",'All Papers'!$G:$G,"*"&amp;Table1[[#Headers],[Selection]]&amp;"*")</f>
        <v>0</v>
      </c>
      <c r="F1561" s="8">
        <f>COUNTIFS('All Papers'!$D:$D,"*"&amp;$A1561&amp;"*",'All Papers'!$G:$G,"*"&amp;Table1[[#Headers],[Recommendation]]&amp;"*")</f>
        <v>0</v>
      </c>
      <c r="G1561" s="8">
        <f>COUNTIFS('All Papers'!$D:$D,"*"&amp;$A1561&amp;"*",'All Papers'!$G:$G,"*"&amp;Table1[[#Headers],[Resource Management-CS]]&amp;"*")</f>
        <v>0</v>
      </c>
      <c r="H1561" s="8">
        <f>COUNTIFS('All Papers'!$D:$D,"*"&amp;$A1561&amp;"*",'All Papers'!$G:$G,"*"&amp;Table1[[#Headers],[Resource Management-PS]]&amp;"*")</f>
        <v>1</v>
      </c>
      <c r="I1561" s="8">
        <f>COUNTIFS('All Papers'!$D:$D,"*"&amp;$A1561&amp;"*",'All Papers'!$G:$G,"*"&amp;Table1[[#Headers],[SLA Management]]&amp;"*")</f>
        <v>0</v>
      </c>
      <c r="J1561" s="8">
        <f>COUNTIFS('All Papers'!$D:$D,"*"&amp;$A1561&amp;"*",'All Papers'!$G:$G,"*"&amp;Table1[[#Headers],[Big Data]]&amp;"*")</f>
        <v>0</v>
      </c>
      <c r="K1561" s="8">
        <f>COUNTIFS('All Papers'!$D:$D,"*"&amp;$A1561&amp;"*",'All Papers'!$G:$G,"*"&amp;Table1[[#Headers],[Energy Management]]&amp;"*")</f>
        <v>0</v>
      </c>
      <c r="L1561" s="8">
        <f>COUNTIFS('All Papers'!$D:$D,"*"&amp;$A1561&amp;"*",'All Papers'!$G:$G,"*"&amp;Table1[[#Headers],[Monitoring]]&amp;"*")</f>
        <v>0</v>
      </c>
      <c r="M1561" s="8">
        <f>COUNTIFS('All Papers'!$D:$D,"*"&amp;$A1561&amp;"*",'All Papers'!$G:$G,"*"&amp;Table1[[#Headers],[Pricing]]&amp;"*")</f>
        <v>0</v>
      </c>
    </row>
    <row r="1562" spans="1:13" x14ac:dyDescent="0.25">
      <c r="A1562" s="8" t="s">
        <v>3995</v>
      </c>
      <c r="B1562" s="8">
        <f>COUNTIF('All Papers'!D:D,"*"&amp;Table1[[#This Row],[Name]]&amp;"*")</f>
        <v>1</v>
      </c>
      <c r="C1562" s="8">
        <f>COUNTIFS('All Papers'!$D:$D,"*"&amp;$A1562&amp;"*",'All Papers'!$G:$G,"*"&amp;Table1[[#Headers],[Composition]]&amp;"*")</f>
        <v>0</v>
      </c>
      <c r="D1562" s="8">
        <f>COUNTIFS('All Papers'!$D:$D,"*"&amp;$A1562&amp;"*",'All Papers'!$G:$G,"*"&amp;Table1[[#Headers],[Discovery]]&amp;"*")</f>
        <v>0</v>
      </c>
      <c r="E1562" s="8">
        <f>COUNTIFS('All Papers'!$D:$D,"*"&amp;$A1562&amp;"*",'All Papers'!$G:$G,"*"&amp;Table1[[#Headers],[Selection]]&amp;"*")</f>
        <v>0</v>
      </c>
      <c r="F1562" s="8">
        <f>COUNTIFS('All Papers'!$D:$D,"*"&amp;$A1562&amp;"*",'All Papers'!$G:$G,"*"&amp;Table1[[#Headers],[Recommendation]]&amp;"*")</f>
        <v>0</v>
      </c>
      <c r="G1562" s="8">
        <f>COUNTIFS('All Papers'!$D:$D,"*"&amp;$A1562&amp;"*",'All Papers'!$G:$G,"*"&amp;Table1[[#Headers],[Resource Management-CS]]&amp;"*")</f>
        <v>0</v>
      </c>
      <c r="H1562" s="8">
        <f>COUNTIFS('All Papers'!$D:$D,"*"&amp;$A1562&amp;"*",'All Papers'!$G:$G,"*"&amp;Table1[[#Headers],[Resource Management-PS]]&amp;"*")</f>
        <v>1</v>
      </c>
      <c r="I1562" s="8">
        <f>COUNTIFS('All Papers'!$D:$D,"*"&amp;$A1562&amp;"*",'All Papers'!$G:$G,"*"&amp;Table1[[#Headers],[SLA Management]]&amp;"*")</f>
        <v>0</v>
      </c>
      <c r="J1562" s="8">
        <f>COUNTIFS('All Papers'!$D:$D,"*"&amp;$A1562&amp;"*",'All Papers'!$G:$G,"*"&amp;Table1[[#Headers],[Big Data]]&amp;"*")</f>
        <v>0</v>
      </c>
      <c r="K1562" s="8">
        <f>COUNTIFS('All Papers'!$D:$D,"*"&amp;$A1562&amp;"*",'All Papers'!$G:$G,"*"&amp;Table1[[#Headers],[Energy Management]]&amp;"*")</f>
        <v>0</v>
      </c>
      <c r="L1562" s="8">
        <f>COUNTIFS('All Papers'!$D:$D,"*"&amp;$A1562&amp;"*",'All Papers'!$G:$G,"*"&amp;Table1[[#Headers],[Monitoring]]&amp;"*")</f>
        <v>0</v>
      </c>
      <c r="M1562" s="8">
        <f>COUNTIFS('All Papers'!$D:$D,"*"&amp;$A1562&amp;"*",'All Papers'!$G:$G,"*"&amp;Table1[[#Headers],[Pricing]]&amp;"*")</f>
        <v>0</v>
      </c>
    </row>
    <row r="1563" spans="1:13" x14ac:dyDescent="0.25">
      <c r="A1563" s="8" t="s">
        <v>3996</v>
      </c>
      <c r="B1563" s="8">
        <f>COUNTIF('All Papers'!D:D,"*"&amp;Table1[[#This Row],[Name]]&amp;"*")</f>
        <v>1</v>
      </c>
      <c r="C1563" s="8">
        <f>COUNTIFS('All Papers'!$D:$D,"*"&amp;$A1563&amp;"*",'All Papers'!$G:$G,"*"&amp;Table1[[#Headers],[Composition]]&amp;"*")</f>
        <v>0</v>
      </c>
      <c r="D1563" s="8">
        <f>COUNTIFS('All Papers'!$D:$D,"*"&amp;$A1563&amp;"*",'All Papers'!$G:$G,"*"&amp;Table1[[#Headers],[Discovery]]&amp;"*")</f>
        <v>0</v>
      </c>
      <c r="E1563" s="8">
        <f>COUNTIFS('All Papers'!$D:$D,"*"&amp;$A1563&amp;"*",'All Papers'!$G:$G,"*"&amp;Table1[[#Headers],[Selection]]&amp;"*")</f>
        <v>0</v>
      </c>
      <c r="F1563" s="8">
        <f>COUNTIFS('All Papers'!$D:$D,"*"&amp;$A1563&amp;"*",'All Papers'!$G:$G,"*"&amp;Table1[[#Headers],[Recommendation]]&amp;"*")</f>
        <v>0</v>
      </c>
      <c r="G1563" s="8">
        <f>COUNTIFS('All Papers'!$D:$D,"*"&amp;$A1563&amp;"*",'All Papers'!$G:$G,"*"&amp;Table1[[#Headers],[Resource Management-CS]]&amp;"*")</f>
        <v>0</v>
      </c>
      <c r="H1563" s="8">
        <f>COUNTIFS('All Papers'!$D:$D,"*"&amp;$A1563&amp;"*",'All Papers'!$G:$G,"*"&amp;Table1[[#Headers],[Resource Management-PS]]&amp;"*")</f>
        <v>1</v>
      </c>
      <c r="I1563" s="8">
        <f>COUNTIFS('All Papers'!$D:$D,"*"&amp;$A1563&amp;"*",'All Papers'!$G:$G,"*"&amp;Table1[[#Headers],[SLA Management]]&amp;"*")</f>
        <v>0</v>
      </c>
      <c r="J1563" s="8">
        <f>COUNTIFS('All Papers'!$D:$D,"*"&amp;$A1563&amp;"*",'All Papers'!$G:$G,"*"&amp;Table1[[#Headers],[Big Data]]&amp;"*")</f>
        <v>0</v>
      </c>
      <c r="K1563" s="8">
        <f>COUNTIFS('All Papers'!$D:$D,"*"&amp;$A1563&amp;"*",'All Papers'!$G:$G,"*"&amp;Table1[[#Headers],[Energy Management]]&amp;"*")</f>
        <v>0</v>
      </c>
      <c r="L1563" s="8">
        <f>COUNTIFS('All Papers'!$D:$D,"*"&amp;$A1563&amp;"*",'All Papers'!$G:$G,"*"&amp;Table1[[#Headers],[Monitoring]]&amp;"*")</f>
        <v>0</v>
      </c>
      <c r="M1563" s="8">
        <f>COUNTIFS('All Papers'!$D:$D,"*"&amp;$A1563&amp;"*",'All Papers'!$G:$G,"*"&amp;Table1[[#Headers],[Pricing]]&amp;"*")</f>
        <v>0</v>
      </c>
    </row>
    <row r="1564" spans="1:13" x14ac:dyDescent="0.25">
      <c r="A1564" s="8" t="s">
        <v>3997</v>
      </c>
      <c r="B1564" s="8">
        <f>COUNTIF('All Papers'!D:D,"*"&amp;Table1[[#This Row],[Name]]&amp;"*")</f>
        <v>1</v>
      </c>
      <c r="C1564" s="8">
        <f>COUNTIFS('All Papers'!$D:$D,"*"&amp;$A1564&amp;"*",'All Papers'!$G:$G,"*"&amp;Table1[[#Headers],[Composition]]&amp;"*")</f>
        <v>0</v>
      </c>
      <c r="D1564" s="8">
        <f>COUNTIFS('All Papers'!$D:$D,"*"&amp;$A1564&amp;"*",'All Papers'!$G:$G,"*"&amp;Table1[[#Headers],[Discovery]]&amp;"*")</f>
        <v>0</v>
      </c>
      <c r="E1564" s="8">
        <f>COUNTIFS('All Papers'!$D:$D,"*"&amp;$A1564&amp;"*",'All Papers'!$G:$G,"*"&amp;Table1[[#Headers],[Selection]]&amp;"*")</f>
        <v>0</v>
      </c>
      <c r="F1564" s="8">
        <f>COUNTIFS('All Papers'!$D:$D,"*"&amp;$A1564&amp;"*",'All Papers'!$G:$G,"*"&amp;Table1[[#Headers],[Recommendation]]&amp;"*")</f>
        <v>0</v>
      </c>
      <c r="G1564" s="8">
        <f>COUNTIFS('All Papers'!$D:$D,"*"&amp;$A1564&amp;"*",'All Papers'!$G:$G,"*"&amp;Table1[[#Headers],[Resource Management-CS]]&amp;"*")</f>
        <v>0</v>
      </c>
      <c r="H1564" s="8">
        <f>COUNTIFS('All Papers'!$D:$D,"*"&amp;$A1564&amp;"*",'All Papers'!$G:$G,"*"&amp;Table1[[#Headers],[Resource Management-PS]]&amp;"*")</f>
        <v>1</v>
      </c>
      <c r="I1564" s="8">
        <f>COUNTIFS('All Papers'!$D:$D,"*"&amp;$A1564&amp;"*",'All Papers'!$G:$G,"*"&amp;Table1[[#Headers],[SLA Management]]&amp;"*")</f>
        <v>0</v>
      </c>
      <c r="J1564" s="8">
        <f>COUNTIFS('All Papers'!$D:$D,"*"&amp;$A1564&amp;"*",'All Papers'!$G:$G,"*"&amp;Table1[[#Headers],[Big Data]]&amp;"*")</f>
        <v>0</v>
      </c>
      <c r="K1564" s="8">
        <f>COUNTIFS('All Papers'!$D:$D,"*"&amp;$A1564&amp;"*",'All Papers'!$G:$G,"*"&amp;Table1[[#Headers],[Energy Management]]&amp;"*")</f>
        <v>0</v>
      </c>
      <c r="L1564" s="8">
        <f>COUNTIFS('All Papers'!$D:$D,"*"&amp;$A1564&amp;"*",'All Papers'!$G:$G,"*"&amp;Table1[[#Headers],[Monitoring]]&amp;"*")</f>
        <v>0</v>
      </c>
      <c r="M1564" s="8">
        <f>COUNTIFS('All Papers'!$D:$D,"*"&amp;$A1564&amp;"*",'All Papers'!$G:$G,"*"&amp;Table1[[#Headers],[Pricing]]&amp;"*")</f>
        <v>0</v>
      </c>
    </row>
    <row r="1565" spans="1:13" x14ac:dyDescent="0.25">
      <c r="A1565" s="8" t="s">
        <v>3998</v>
      </c>
      <c r="B1565" s="8">
        <f>COUNTIF('All Papers'!D:D,"*"&amp;Table1[[#This Row],[Name]]&amp;"*")</f>
        <v>1</v>
      </c>
      <c r="C1565" s="8">
        <f>COUNTIFS('All Papers'!$D:$D,"*"&amp;$A1565&amp;"*",'All Papers'!$G:$G,"*"&amp;Table1[[#Headers],[Composition]]&amp;"*")</f>
        <v>0</v>
      </c>
      <c r="D1565" s="8">
        <f>COUNTIFS('All Papers'!$D:$D,"*"&amp;$A1565&amp;"*",'All Papers'!$G:$G,"*"&amp;Table1[[#Headers],[Discovery]]&amp;"*")</f>
        <v>0</v>
      </c>
      <c r="E1565" s="8">
        <f>COUNTIFS('All Papers'!$D:$D,"*"&amp;$A1565&amp;"*",'All Papers'!$G:$G,"*"&amp;Table1[[#Headers],[Selection]]&amp;"*")</f>
        <v>1</v>
      </c>
      <c r="F1565" s="8">
        <f>COUNTIFS('All Papers'!$D:$D,"*"&amp;$A1565&amp;"*",'All Papers'!$G:$G,"*"&amp;Table1[[#Headers],[Recommendation]]&amp;"*")</f>
        <v>0</v>
      </c>
      <c r="G1565" s="8">
        <f>COUNTIFS('All Papers'!$D:$D,"*"&amp;$A1565&amp;"*",'All Papers'!$G:$G,"*"&amp;Table1[[#Headers],[Resource Management-CS]]&amp;"*")</f>
        <v>0</v>
      </c>
      <c r="H1565" s="8">
        <f>COUNTIFS('All Papers'!$D:$D,"*"&amp;$A1565&amp;"*",'All Papers'!$G:$G,"*"&amp;Table1[[#Headers],[Resource Management-PS]]&amp;"*")</f>
        <v>0</v>
      </c>
      <c r="I1565" s="8">
        <f>COUNTIFS('All Papers'!$D:$D,"*"&amp;$A1565&amp;"*",'All Papers'!$G:$G,"*"&amp;Table1[[#Headers],[SLA Management]]&amp;"*")</f>
        <v>0</v>
      </c>
      <c r="J1565" s="8">
        <f>COUNTIFS('All Papers'!$D:$D,"*"&amp;$A1565&amp;"*",'All Papers'!$G:$G,"*"&amp;Table1[[#Headers],[Big Data]]&amp;"*")</f>
        <v>0</v>
      </c>
      <c r="K1565" s="8">
        <f>COUNTIFS('All Papers'!$D:$D,"*"&amp;$A1565&amp;"*",'All Papers'!$G:$G,"*"&amp;Table1[[#Headers],[Energy Management]]&amp;"*")</f>
        <v>0</v>
      </c>
      <c r="L1565" s="8">
        <f>COUNTIFS('All Papers'!$D:$D,"*"&amp;$A1565&amp;"*",'All Papers'!$G:$G,"*"&amp;Table1[[#Headers],[Monitoring]]&amp;"*")</f>
        <v>0</v>
      </c>
      <c r="M1565" s="8">
        <f>COUNTIFS('All Papers'!$D:$D,"*"&amp;$A1565&amp;"*",'All Papers'!$G:$G,"*"&amp;Table1[[#Headers],[Pricing]]&amp;"*")</f>
        <v>0</v>
      </c>
    </row>
    <row r="1566" spans="1:13" x14ac:dyDescent="0.25">
      <c r="A1566" s="8" t="s">
        <v>3999</v>
      </c>
      <c r="B1566" s="8">
        <f>COUNTIF('All Papers'!D:D,"*"&amp;Table1[[#This Row],[Name]]&amp;"*")</f>
        <v>1</v>
      </c>
      <c r="C1566" s="8">
        <f>COUNTIFS('All Papers'!$D:$D,"*"&amp;$A1566&amp;"*",'All Papers'!$G:$G,"*"&amp;Table1[[#Headers],[Composition]]&amp;"*")</f>
        <v>0</v>
      </c>
      <c r="D1566" s="8">
        <f>COUNTIFS('All Papers'!$D:$D,"*"&amp;$A1566&amp;"*",'All Papers'!$G:$G,"*"&amp;Table1[[#Headers],[Discovery]]&amp;"*")</f>
        <v>0</v>
      </c>
      <c r="E1566" s="8">
        <f>COUNTIFS('All Papers'!$D:$D,"*"&amp;$A1566&amp;"*",'All Papers'!$G:$G,"*"&amp;Table1[[#Headers],[Selection]]&amp;"*")</f>
        <v>1</v>
      </c>
      <c r="F1566" s="8">
        <f>COUNTIFS('All Papers'!$D:$D,"*"&amp;$A1566&amp;"*",'All Papers'!$G:$G,"*"&amp;Table1[[#Headers],[Recommendation]]&amp;"*")</f>
        <v>0</v>
      </c>
      <c r="G1566" s="8">
        <f>COUNTIFS('All Papers'!$D:$D,"*"&amp;$A1566&amp;"*",'All Papers'!$G:$G,"*"&amp;Table1[[#Headers],[Resource Management-CS]]&amp;"*")</f>
        <v>0</v>
      </c>
      <c r="H1566" s="8">
        <f>COUNTIFS('All Papers'!$D:$D,"*"&amp;$A1566&amp;"*",'All Papers'!$G:$G,"*"&amp;Table1[[#Headers],[Resource Management-PS]]&amp;"*")</f>
        <v>0</v>
      </c>
      <c r="I1566" s="8">
        <f>COUNTIFS('All Papers'!$D:$D,"*"&amp;$A1566&amp;"*",'All Papers'!$G:$G,"*"&amp;Table1[[#Headers],[SLA Management]]&amp;"*")</f>
        <v>0</v>
      </c>
      <c r="J1566" s="8">
        <f>COUNTIFS('All Papers'!$D:$D,"*"&amp;$A1566&amp;"*",'All Papers'!$G:$G,"*"&amp;Table1[[#Headers],[Big Data]]&amp;"*")</f>
        <v>0</v>
      </c>
      <c r="K1566" s="8">
        <f>COUNTIFS('All Papers'!$D:$D,"*"&amp;$A1566&amp;"*",'All Papers'!$G:$G,"*"&amp;Table1[[#Headers],[Energy Management]]&amp;"*")</f>
        <v>0</v>
      </c>
      <c r="L1566" s="8">
        <f>COUNTIFS('All Papers'!$D:$D,"*"&amp;$A1566&amp;"*",'All Papers'!$G:$G,"*"&amp;Table1[[#Headers],[Monitoring]]&amp;"*")</f>
        <v>0</v>
      </c>
      <c r="M1566" s="8">
        <f>COUNTIFS('All Papers'!$D:$D,"*"&amp;$A1566&amp;"*",'All Papers'!$G:$G,"*"&amp;Table1[[#Headers],[Pricing]]&amp;"*")</f>
        <v>0</v>
      </c>
    </row>
    <row r="1567" spans="1:13" x14ac:dyDescent="0.25">
      <c r="A1567" s="8" t="s">
        <v>4000</v>
      </c>
      <c r="B1567" s="8">
        <f>COUNTIF('All Papers'!D:D,"*"&amp;Table1[[#This Row],[Name]]&amp;"*")</f>
        <v>1</v>
      </c>
      <c r="C1567" s="8">
        <f>COUNTIFS('All Papers'!$D:$D,"*"&amp;$A1567&amp;"*",'All Papers'!$G:$G,"*"&amp;Table1[[#Headers],[Composition]]&amp;"*")</f>
        <v>1</v>
      </c>
      <c r="D1567" s="8">
        <f>COUNTIFS('All Papers'!$D:$D,"*"&amp;$A1567&amp;"*",'All Papers'!$G:$G,"*"&amp;Table1[[#Headers],[Discovery]]&amp;"*")</f>
        <v>0</v>
      </c>
      <c r="E1567" s="8">
        <f>COUNTIFS('All Papers'!$D:$D,"*"&amp;$A1567&amp;"*",'All Papers'!$G:$G,"*"&amp;Table1[[#Headers],[Selection]]&amp;"*")</f>
        <v>0</v>
      </c>
      <c r="F1567" s="8">
        <f>COUNTIFS('All Papers'!$D:$D,"*"&amp;$A1567&amp;"*",'All Papers'!$G:$G,"*"&amp;Table1[[#Headers],[Recommendation]]&amp;"*")</f>
        <v>0</v>
      </c>
      <c r="G1567" s="8">
        <f>COUNTIFS('All Papers'!$D:$D,"*"&amp;$A1567&amp;"*",'All Papers'!$G:$G,"*"&amp;Table1[[#Headers],[Resource Management-CS]]&amp;"*")</f>
        <v>0</v>
      </c>
      <c r="H1567" s="8">
        <f>COUNTIFS('All Papers'!$D:$D,"*"&amp;$A1567&amp;"*",'All Papers'!$G:$G,"*"&amp;Table1[[#Headers],[Resource Management-PS]]&amp;"*")</f>
        <v>0</v>
      </c>
      <c r="I1567" s="8">
        <f>COUNTIFS('All Papers'!$D:$D,"*"&amp;$A1567&amp;"*",'All Papers'!$G:$G,"*"&amp;Table1[[#Headers],[SLA Management]]&amp;"*")</f>
        <v>0</v>
      </c>
      <c r="J1567" s="8">
        <f>COUNTIFS('All Papers'!$D:$D,"*"&amp;$A1567&amp;"*",'All Papers'!$G:$G,"*"&amp;Table1[[#Headers],[Big Data]]&amp;"*")</f>
        <v>0</v>
      </c>
      <c r="K1567" s="8">
        <f>COUNTIFS('All Papers'!$D:$D,"*"&amp;$A1567&amp;"*",'All Papers'!$G:$G,"*"&amp;Table1[[#Headers],[Energy Management]]&amp;"*")</f>
        <v>0</v>
      </c>
      <c r="L1567" s="8">
        <f>COUNTIFS('All Papers'!$D:$D,"*"&amp;$A1567&amp;"*",'All Papers'!$G:$G,"*"&amp;Table1[[#Headers],[Monitoring]]&amp;"*")</f>
        <v>0</v>
      </c>
      <c r="M1567" s="8">
        <f>COUNTIFS('All Papers'!$D:$D,"*"&amp;$A1567&amp;"*",'All Papers'!$G:$G,"*"&amp;Table1[[#Headers],[Pricing]]&amp;"*")</f>
        <v>0</v>
      </c>
    </row>
    <row r="1568" spans="1:13" x14ac:dyDescent="0.25">
      <c r="A1568" s="8" t="s">
        <v>4001</v>
      </c>
      <c r="B1568" s="8">
        <f>COUNTIF('All Papers'!D:D,"*"&amp;Table1[[#This Row],[Name]]&amp;"*")</f>
        <v>1</v>
      </c>
      <c r="C1568" s="8">
        <f>COUNTIFS('All Papers'!$D:$D,"*"&amp;$A1568&amp;"*",'All Papers'!$G:$G,"*"&amp;Table1[[#Headers],[Composition]]&amp;"*")</f>
        <v>1</v>
      </c>
      <c r="D1568" s="8">
        <f>COUNTIFS('All Papers'!$D:$D,"*"&amp;$A1568&amp;"*",'All Papers'!$G:$G,"*"&amp;Table1[[#Headers],[Discovery]]&amp;"*")</f>
        <v>0</v>
      </c>
      <c r="E1568" s="8">
        <f>COUNTIFS('All Papers'!$D:$D,"*"&amp;$A1568&amp;"*",'All Papers'!$G:$G,"*"&amp;Table1[[#Headers],[Selection]]&amp;"*")</f>
        <v>0</v>
      </c>
      <c r="F1568" s="8">
        <f>COUNTIFS('All Papers'!$D:$D,"*"&amp;$A1568&amp;"*",'All Papers'!$G:$G,"*"&amp;Table1[[#Headers],[Recommendation]]&amp;"*")</f>
        <v>0</v>
      </c>
      <c r="G1568" s="8">
        <f>COUNTIFS('All Papers'!$D:$D,"*"&amp;$A1568&amp;"*",'All Papers'!$G:$G,"*"&amp;Table1[[#Headers],[Resource Management-CS]]&amp;"*")</f>
        <v>0</v>
      </c>
      <c r="H1568" s="8">
        <f>COUNTIFS('All Papers'!$D:$D,"*"&amp;$A1568&amp;"*",'All Papers'!$G:$G,"*"&amp;Table1[[#Headers],[Resource Management-PS]]&amp;"*")</f>
        <v>0</v>
      </c>
      <c r="I1568" s="8">
        <f>COUNTIFS('All Papers'!$D:$D,"*"&amp;$A1568&amp;"*",'All Papers'!$G:$G,"*"&amp;Table1[[#Headers],[SLA Management]]&amp;"*")</f>
        <v>0</v>
      </c>
      <c r="J1568" s="8">
        <f>COUNTIFS('All Papers'!$D:$D,"*"&amp;$A1568&amp;"*",'All Papers'!$G:$G,"*"&amp;Table1[[#Headers],[Big Data]]&amp;"*")</f>
        <v>0</v>
      </c>
      <c r="K1568" s="8">
        <f>COUNTIFS('All Papers'!$D:$D,"*"&amp;$A1568&amp;"*",'All Papers'!$G:$G,"*"&amp;Table1[[#Headers],[Energy Management]]&amp;"*")</f>
        <v>0</v>
      </c>
      <c r="L1568" s="8">
        <f>COUNTIFS('All Papers'!$D:$D,"*"&amp;$A1568&amp;"*",'All Papers'!$G:$G,"*"&amp;Table1[[#Headers],[Monitoring]]&amp;"*")</f>
        <v>0</v>
      </c>
      <c r="M1568" s="8">
        <f>COUNTIFS('All Papers'!$D:$D,"*"&amp;$A1568&amp;"*",'All Papers'!$G:$G,"*"&amp;Table1[[#Headers],[Pricing]]&amp;"*")</f>
        <v>0</v>
      </c>
    </row>
    <row r="1569" spans="1:13" x14ac:dyDescent="0.25">
      <c r="A1569" s="8" t="s">
        <v>4002</v>
      </c>
      <c r="B1569" s="8">
        <f>COUNTIF('All Papers'!D:D,"*"&amp;Table1[[#This Row],[Name]]&amp;"*")</f>
        <v>1</v>
      </c>
      <c r="C1569" s="8">
        <f>COUNTIFS('All Papers'!$D:$D,"*"&amp;$A1569&amp;"*",'All Papers'!$G:$G,"*"&amp;Table1[[#Headers],[Composition]]&amp;"*")</f>
        <v>1</v>
      </c>
      <c r="D1569" s="8">
        <f>COUNTIFS('All Papers'!$D:$D,"*"&amp;$A1569&amp;"*",'All Papers'!$G:$G,"*"&amp;Table1[[#Headers],[Discovery]]&amp;"*")</f>
        <v>0</v>
      </c>
      <c r="E1569" s="8">
        <f>COUNTIFS('All Papers'!$D:$D,"*"&amp;$A1569&amp;"*",'All Papers'!$G:$G,"*"&amp;Table1[[#Headers],[Selection]]&amp;"*")</f>
        <v>0</v>
      </c>
      <c r="F1569" s="8">
        <f>COUNTIFS('All Papers'!$D:$D,"*"&amp;$A1569&amp;"*",'All Papers'!$G:$G,"*"&amp;Table1[[#Headers],[Recommendation]]&amp;"*")</f>
        <v>0</v>
      </c>
      <c r="G1569" s="8">
        <f>COUNTIFS('All Papers'!$D:$D,"*"&amp;$A1569&amp;"*",'All Papers'!$G:$G,"*"&amp;Table1[[#Headers],[Resource Management-CS]]&amp;"*")</f>
        <v>0</v>
      </c>
      <c r="H1569" s="8">
        <f>COUNTIFS('All Papers'!$D:$D,"*"&amp;$A1569&amp;"*",'All Papers'!$G:$G,"*"&amp;Table1[[#Headers],[Resource Management-PS]]&amp;"*")</f>
        <v>0</v>
      </c>
      <c r="I1569" s="8">
        <f>COUNTIFS('All Papers'!$D:$D,"*"&amp;$A1569&amp;"*",'All Papers'!$G:$G,"*"&amp;Table1[[#Headers],[SLA Management]]&amp;"*")</f>
        <v>0</v>
      </c>
      <c r="J1569" s="8">
        <f>COUNTIFS('All Papers'!$D:$D,"*"&amp;$A1569&amp;"*",'All Papers'!$G:$G,"*"&amp;Table1[[#Headers],[Big Data]]&amp;"*")</f>
        <v>0</v>
      </c>
      <c r="K1569" s="8">
        <f>COUNTIFS('All Papers'!$D:$D,"*"&amp;$A1569&amp;"*",'All Papers'!$G:$G,"*"&amp;Table1[[#Headers],[Energy Management]]&amp;"*")</f>
        <v>0</v>
      </c>
      <c r="L1569" s="8">
        <f>COUNTIFS('All Papers'!$D:$D,"*"&amp;$A1569&amp;"*",'All Papers'!$G:$G,"*"&amp;Table1[[#Headers],[Monitoring]]&amp;"*")</f>
        <v>0</v>
      </c>
      <c r="M1569" s="8">
        <f>COUNTIFS('All Papers'!$D:$D,"*"&amp;$A1569&amp;"*",'All Papers'!$G:$G,"*"&amp;Table1[[#Headers],[Pricing]]&amp;"*")</f>
        <v>0</v>
      </c>
    </row>
    <row r="1570" spans="1:13" x14ac:dyDescent="0.25">
      <c r="A1570" s="8" t="s">
        <v>4003</v>
      </c>
      <c r="B1570" s="8">
        <f>COUNTIF('All Papers'!D:D,"*"&amp;Table1[[#This Row],[Name]]&amp;"*")</f>
        <v>1</v>
      </c>
      <c r="C1570" s="8">
        <f>COUNTIFS('All Papers'!$D:$D,"*"&amp;$A1570&amp;"*",'All Papers'!$G:$G,"*"&amp;Table1[[#Headers],[Composition]]&amp;"*")</f>
        <v>0</v>
      </c>
      <c r="D1570" s="8">
        <f>COUNTIFS('All Papers'!$D:$D,"*"&amp;$A1570&amp;"*",'All Papers'!$G:$G,"*"&amp;Table1[[#Headers],[Discovery]]&amp;"*")</f>
        <v>1</v>
      </c>
      <c r="E1570" s="8">
        <f>COUNTIFS('All Papers'!$D:$D,"*"&amp;$A1570&amp;"*",'All Papers'!$G:$G,"*"&amp;Table1[[#Headers],[Selection]]&amp;"*")</f>
        <v>0</v>
      </c>
      <c r="F1570" s="8">
        <f>COUNTIFS('All Papers'!$D:$D,"*"&amp;$A1570&amp;"*",'All Papers'!$G:$G,"*"&amp;Table1[[#Headers],[Recommendation]]&amp;"*")</f>
        <v>0</v>
      </c>
      <c r="G1570" s="8">
        <f>COUNTIFS('All Papers'!$D:$D,"*"&amp;$A1570&amp;"*",'All Papers'!$G:$G,"*"&amp;Table1[[#Headers],[Resource Management-CS]]&amp;"*")</f>
        <v>0</v>
      </c>
      <c r="H1570" s="8">
        <f>COUNTIFS('All Papers'!$D:$D,"*"&amp;$A1570&amp;"*",'All Papers'!$G:$G,"*"&amp;Table1[[#Headers],[Resource Management-PS]]&amp;"*")</f>
        <v>0</v>
      </c>
      <c r="I1570" s="8">
        <f>COUNTIFS('All Papers'!$D:$D,"*"&amp;$A1570&amp;"*",'All Papers'!$G:$G,"*"&amp;Table1[[#Headers],[SLA Management]]&amp;"*")</f>
        <v>0</v>
      </c>
      <c r="J1570" s="8">
        <f>COUNTIFS('All Papers'!$D:$D,"*"&amp;$A1570&amp;"*",'All Papers'!$G:$G,"*"&amp;Table1[[#Headers],[Big Data]]&amp;"*")</f>
        <v>0</v>
      </c>
      <c r="K1570" s="8">
        <f>COUNTIFS('All Papers'!$D:$D,"*"&amp;$A1570&amp;"*",'All Papers'!$G:$G,"*"&amp;Table1[[#Headers],[Energy Management]]&amp;"*")</f>
        <v>0</v>
      </c>
      <c r="L1570" s="8">
        <f>COUNTIFS('All Papers'!$D:$D,"*"&amp;$A1570&amp;"*",'All Papers'!$G:$G,"*"&amp;Table1[[#Headers],[Monitoring]]&amp;"*")</f>
        <v>0</v>
      </c>
      <c r="M1570" s="8">
        <f>COUNTIFS('All Papers'!$D:$D,"*"&amp;$A1570&amp;"*",'All Papers'!$G:$G,"*"&amp;Table1[[#Headers],[Pricing]]&amp;"*")</f>
        <v>0</v>
      </c>
    </row>
    <row r="1571" spans="1:13" x14ac:dyDescent="0.25">
      <c r="A1571" s="8" t="s">
        <v>4004</v>
      </c>
      <c r="B1571" s="8">
        <f>COUNTIF('All Papers'!D:D,"*"&amp;Table1[[#This Row],[Name]]&amp;"*")</f>
        <v>1</v>
      </c>
      <c r="C1571" s="8">
        <f>COUNTIFS('All Papers'!$D:$D,"*"&amp;$A1571&amp;"*",'All Papers'!$G:$G,"*"&amp;Table1[[#Headers],[Composition]]&amp;"*")</f>
        <v>0</v>
      </c>
      <c r="D1571" s="8">
        <f>COUNTIFS('All Papers'!$D:$D,"*"&amp;$A1571&amp;"*",'All Papers'!$G:$G,"*"&amp;Table1[[#Headers],[Discovery]]&amp;"*")</f>
        <v>1</v>
      </c>
      <c r="E1571" s="8">
        <f>COUNTIFS('All Papers'!$D:$D,"*"&amp;$A1571&amp;"*",'All Papers'!$G:$G,"*"&amp;Table1[[#Headers],[Selection]]&amp;"*")</f>
        <v>0</v>
      </c>
      <c r="F1571" s="8">
        <f>COUNTIFS('All Papers'!$D:$D,"*"&amp;$A1571&amp;"*",'All Papers'!$G:$G,"*"&amp;Table1[[#Headers],[Recommendation]]&amp;"*")</f>
        <v>0</v>
      </c>
      <c r="G1571" s="8">
        <f>COUNTIFS('All Papers'!$D:$D,"*"&amp;$A1571&amp;"*",'All Papers'!$G:$G,"*"&amp;Table1[[#Headers],[Resource Management-CS]]&amp;"*")</f>
        <v>0</v>
      </c>
      <c r="H1571" s="8">
        <f>COUNTIFS('All Papers'!$D:$D,"*"&amp;$A1571&amp;"*",'All Papers'!$G:$G,"*"&amp;Table1[[#Headers],[Resource Management-PS]]&amp;"*")</f>
        <v>0</v>
      </c>
      <c r="I1571" s="8">
        <f>COUNTIFS('All Papers'!$D:$D,"*"&amp;$A1571&amp;"*",'All Papers'!$G:$G,"*"&amp;Table1[[#Headers],[SLA Management]]&amp;"*")</f>
        <v>0</v>
      </c>
      <c r="J1571" s="8">
        <f>COUNTIFS('All Papers'!$D:$D,"*"&amp;$A1571&amp;"*",'All Papers'!$G:$G,"*"&amp;Table1[[#Headers],[Big Data]]&amp;"*")</f>
        <v>0</v>
      </c>
      <c r="K1571" s="8">
        <f>COUNTIFS('All Papers'!$D:$D,"*"&amp;$A1571&amp;"*",'All Papers'!$G:$G,"*"&amp;Table1[[#Headers],[Energy Management]]&amp;"*")</f>
        <v>0</v>
      </c>
      <c r="L1571" s="8">
        <f>COUNTIFS('All Papers'!$D:$D,"*"&amp;$A1571&amp;"*",'All Papers'!$G:$G,"*"&amp;Table1[[#Headers],[Monitoring]]&amp;"*")</f>
        <v>0</v>
      </c>
      <c r="M1571" s="8">
        <f>COUNTIFS('All Papers'!$D:$D,"*"&amp;$A1571&amp;"*",'All Papers'!$G:$G,"*"&amp;Table1[[#Headers],[Pricing]]&amp;"*")</f>
        <v>0</v>
      </c>
    </row>
    <row r="1572" spans="1:13" x14ac:dyDescent="0.25">
      <c r="A1572" s="8" t="s">
        <v>4005</v>
      </c>
      <c r="B1572" s="8">
        <f>COUNTIF('All Papers'!D:D,"*"&amp;Table1[[#This Row],[Name]]&amp;"*")</f>
        <v>1</v>
      </c>
      <c r="C1572" s="8">
        <f>COUNTIFS('All Papers'!$D:$D,"*"&amp;$A1572&amp;"*",'All Papers'!$G:$G,"*"&amp;Table1[[#Headers],[Composition]]&amp;"*")</f>
        <v>0</v>
      </c>
      <c r="D1572" s="8">
        <f>COUNTIFS('All Papers'!$D:$D,"*"&amp;$A1572&amp;"*",'All Papers'!$G:$G,"*"&amp;Table1[[#Headers],[Discovery]]&amp;"*")</f>
        <v>1</v>
      </c>
      <c r="E1572" s="8">
        <f>COUNTIFS('All Papers'!$D:$D,"*"&amp;$A1572&amp;"*",'All Papers'!$G:$G,"*"&amp;Table1[[#Headers],[Selection]]&amp;"*")</f>
        <v>0</v>
      </c>
      <c r="F1572" s="8">
        <f>COUNTIFS('All Papers'!$D:$D,"*"&amp;$A1572&amp;"*",'All Papers'!$G:$G,"*"&amp;Table1[[#Headers],[Recommendation]]&amp;"*")</f>
        <v>0</v>
      </c>
      <c r="G1572" s="8">
        <f>COUNTIFS('All Papers'!$D:$D,"*"&amp;$A1572&amp;"*",'All Papers'!$G:$G,"*"&amp;Table1[[#Headers],[Resource Management-CS]]&amp;"*")</f>
        <v>1</v>
      </c>
      <c r="H1572" s="8">
        <f>COUNTIFS('All Papers'!$D:$D,"*"&amp;$A1572&amp;"*",'All Papers'!$G:$G,"*"&amp;Table1[[#Headers],[Resource Management-PS]]&amp;"*")</f>
        <v>0</v>
      </c>
      <c r="I1572" s="8">
        <f>COUNTIFS('All Papers'!$D:$D,"*"&amp;$A1572&amp;"*",'All Papers'!$G:$G,"*"&amp;Table1[[#Headers],[SLA Management]]&amp;"*")</f>
        <v>0</v>
      </c>
      <c r="J1572" s="8">
        <f>COUNTIFS('All Papers'!$D:$D,"*"&amp;$A1572&amp;"*",'All Papers'!$G:$G,"*"&amp;Table1[[#Headers],[Big Data]]&amp;"*")</f>
        <v>0</v>
      </c>
      <c r="K1572" s="8">
        <f>COUNTIFS('All Papers'!$D:$D,"*"&amp;$A1572&amp;"*",'All Papers'!$G:$G,"*"&amp;Table1[[#Headers],[Energy Management]]&amp;"*")</f>
        <v>0</v>
      </c>
      <c r="L1572" s="8">
        <f>COUNTIFS('All Papers'!$D:$D,"*"&amp;$A1572&amp;"*",'All Papers'!$G:$G,"*"&amp;Table1[[#Headers],[Monitoring]]&amp;"*")</f>
        <v>0</v>
      </c>
      <c r="M1572" s="8">
        <f>COUNTIFS('All Papers'!$D:$D,"*"&amp;$A1572&amp;"*",'All Papers'!$G:$G,"*"&amp;Table1[[#Headers],[Pricing]]&amp;"*")</f>
        <v>0</v>
      </c>
    </row>
    <row r="1573" spans="1:13" x14ac:dyDescent="0.25">
      <c r="A1573" s="8" t="s">
        <v>4006</v>
      </c>
      <c r="B1573" s="8">
        <f>COUNTIF('All Papers'!D:D,"*"&amp;Table1[[#This Row],[Name]]&amp;"*")</f>
        <v>1</v>
      </c>
      <c r="C1573" s="8">
        <f>COUNTIFS('All Papers'!$D:$D,"*"&amp;$A1573&amp;"*",'All Papers'!$G:$G,"*"&amp;Table1[[#Headers],[Composition]]&amp;"*")</f>
        <v>0</v>
      </c>
      <c r="D1573" s="8">
        <f>COUNTIFS('All Papers'!$D:$D,"*"&amp;$A1573&amp;"*",'All Papers'!$G:$G,"*"&amp;Table1[[#Headers],[Discovery]]&amp;"*")</f>
        <v>1</v>
      </c>
      <c r="E1573" s="8">
        <f>COUNTIFS('All Papers'!$D:$D,"*"&amp;$A1573&amp;"*",'All Papers'!$G:$G,"*"&amp;Table1[[#Headers],[Selection]]&amp;"*")</f>
        <v>0</v>
      </c>
      <c r="F1573" s="8">
        <f>COUNTIFS('All Papers'!$D:$D,"*"&amp;$A1573&amp;"*",'All Papers'!$G:$G,"*"&amp;Table1[[#Headers],[Recommendation]]&amp;"*")</f>
        <v>0</v>
      </c>
      <c r="G1573" s="8">
        <f>COUNTIFS('All Papers'!$D:$D,"*"&amp;$A1573&amp;"*",'All Papers'!$G:$G,"*"&amp;Table1[[#Headers],[Resource Management-CS]]&amp;"*")</f>
        <v>1</v>
      </c>
      <c r="H1573" s="8">
        <f>COUNTIFS('All Papers'!$D:$D,"*"&amp;$A1573&amp;"*",'All Papers'!$G:$G,"*"&amp;Table1[[#Headers],[Resource Management-PS]]&amp;"*")</f>
        <v>0</v>
      </c>
      <c r="I1573" s="8">
        <f>COUNTIFS('All Papers'!$D:$D,"*"&amp;$A1573&amp;"*",'All Papers'!$G:$G,"*"&amp;Table1[[#Headers],[SLA Management]]&amp;"*")</f>
        <v>0</v>
      </c>
      <c r="J1573" s="8">
        <f>COUNTIFS('All Papers'!$D:$D,"*"&amp;$A1573&amp;"*",'All Papers'!$G:$G,"*"&amp;Table1[[#Headers],[Big Data]]&amp;"*")</f>
        <v>0</v>
      </c>
      <c r="K1573" s="8">
        <f>COUNTIFS('All Papers'!$D:$D,"*"&amp;$A1573&amp;"*",'All Papers'!$G:$G,"*"&amp;Table1[[#Headers],[Energy Management]]&amp;"*")</f>
        <v>0</v>
      </c>
      <c r="L1573" s="8">
        <f>COUNTIFS('All Papers'!$D:$D,"*"&amp;$A1573&amp;"*",'All Papers'!$G:$G,"*"&amp;Table1[[#Headers],[Monitoring]]&amp;"*")</f>
        <v>0</v>
      </c>
      <c r="M1573" s="8">
        <f>COUNTIFS('All Papers'!$D:$D,"*"&amp;$A1573&amp;"*",'All Papers'!$G:$G,"*"&amp;Table1[[#Headers],[Pricing]]&amp;"*")</f>
        <v>0</v>
      </c>
    </row>
    <row r="1574" spans="1:13" x14ac:dyDescent="0.25">
      <c r="A1574" s="8" t="s">
        <v>4007</v>
      </c>
      <c r="B1574" s="8">
        <f>COUNTIF('All Papers'!D:D,"*"&amp;Table1[[#This Row],[Name]]&amp;"*")</f>
        <v>1</v>
      </c>
      <c r="C1574" s="8">
        <f>COUNTIFS('All Papers'!$D:$D,"*"&amp;$A1574&amp;"*",'All Papers'!$G:$G,"*"&amp;Table1[[#Headers],[Composition]]&amp;"*")</f>
        <v>0</v>
      </c>
      <c r="D1574" s="8">
        <f>COUNTIFS('All Papers'!$D:$D,"*"&amp;$A1574&amp;"*",'All Papers'!$G:$G,"*"&amp;Table1[[#Headers],[Discovery]]&amp;"*")</f>
        <v>1</v>
      </c>
      <c r="E1574" s="8">
        <f>COUNTIFS('All Papers'!$D:$D,"*"&amp;$A1574&amp;"*",'All Papers'!$G:$G,"*"&amp;Table1[[#Headers],[Selection]]&amp;"*")</f>
        <v>0</v>
      </c>
      <c r="F1574" s="8">
        <f>COUNTIFS('All Papers'!$D:$D,"*"&amp;$A1574&amp;"*",'All Papers'!$G:$G,"*"&amp;Table1[[#Headers],[Recommendation]]&amp;"*")</f>
        <v>0</v>
      </c>
      <c r="G1574" s="8">
        <f>COUNTIFS('All Papers'!$D:$D,"*"&amp;$A1574&amp;"*",'All Papers'!$G:$G,"*"&amp;Table1[[#Headers],[Resource Management-CS]]&amp;"*")</f>
        <v>1</v>
      </c>
      <c r="H1574" s="8">
        <f>COUNTIFS('All Papers'!$D:$D,"*"&amp;$A1574&amp;"*",'All Papers'!$G:$G,"*"&amp;Table1[[#Headers],[Resource Management-PS]]&amp;"*")</f>
        <v>0</v>
      </c>
      <c r="I1574" s="8">
        <f>COUNTIFS('All Papers'!$D:$D,"*"&amp;$A1574&amp;"*",'All Papers'!$G:$G,"*"&amp;Table1[[#Headers],[SLA Management]]&amp;"*")</f>
        <v>0</v>
      </c>
      <c r="J1574" s="8">
        <f>COUNTIFS('All Papers'!$D:$D,"*"&amp;$A1574&amp;"*",'All Papers'!$G:$G,"*"&amp;Table1[[#Headers],[Big Data]]&amp;"*")</f>
        <v>0</v>
      </c>
      <c r="K1574" s="8">
        <f>COUNTIFS('All Papers'!$D:$D,"*"&amp;$A1574&amp;"*",'All Papers'!$G:$G,"*"&amp;Table1[[#Headers],[Energy Management]]&amp;"*")</f>
        <v>0</v>
      </c>
      <c r="L1574" s="8">
        <f>COUNTIFS('All Papers'!$D:$D,"*"&amp;$A1574&amp;"*",'All Papers'!$G:$G,"*"&amp;Table1[[#Headers],[Monitoring]]&amp;"*")</f>
        <v>0</v>
      </c>
      <c r="M1574" s="8">
        <f>COUNTIFS('All Papers'!$D:$D,"*"&amp;$A1574&amp;"*",'All Papers'!$G:$G,"*"&amp;Table1[[#Headers],[Pricing]]&amp;"*")</f>
        <v>0</v>
      </c>
    </row>
    <row r="1575" spans="1:13" x14ac:dyDescent="0.25">
      <c r="A1575" s="8" t="s">
        <v>4008</v>
      </c>
      <c r="B1575" s="8">
        <f>COUNTIF('All Papers'!D:D,"*"&amp;Table1[[#This Row],[Name]]&amp;"*")</f>
        <v>1</v>
      </c>
      <c r="C1575" s="8">
        <f>COUNTIFS('All Papers'!$D:$D,"*"&amp;$A1575&amp;"*",'All Papers'!$G:$G,"*"&amp;Table1[[#Headers],[Composition]]&amp;"*")</f>
        <v>0</v>
      </c>
      <c r="D1575" s="8">
        <f>COUNTIFS('All Papers'!$D:$D,"*"&amp;$A1575&amp;"*",'All Papers'!$G:$G,"*"&amp;Table1[[#Headers],[Discovery]]&amp;"*")</f>
        <v>0</v>
      </c>
      <c r="E1575" s="8">
        <f>COUNTIFS('All Papers'!$D:$D,"*"&amp;$A1575&amp;"*",'All Papers'!$G:$G,"*"&amp;Table1[[#Headers],[Selection]]&amp;"*")</f>
        <v>0</v>
      </c>
      <c r="F1575" s="8">
        <f>COUNTIFS('All Papers'!$D:$D,"*"&amp;$A1575&amp;"*",'All Papers'!$G:$G,"*"&amp;Table1[[#Headers],[Recommendation]]&amp;"*")</f>
        <v>0</v>
      </c>
      <c r="G1575" s="8">
        <f>COUNTIFS('All Papers'!$D:$D,"*"&amp;$A1575&amp;"*",'All Papers'!$G:$G,"*"&amp;Table1[[#Headers],[Resource Management-CS]]&amp;"*")</f>
        <v>0</v>
      </c>
      <c r="H1575" s="8">
        <f>COUNTIFS('All Papers'!$D:$D,"*"&amp;$A1575&amp;"*",'All Papers'!$G:$G,"*"&amp;Table1[[#Headers],[Resource Management-PS]]&amp;"*")</f>
        <v>0</v>
      </c>
      <c r="I1575" s="8">
        <f>COUNTIFS('All Papers'!$D:$D,"*"&amp;$A1575&amp;"*",'All Papers'!$G:$G,"*"&amp;Table1[[#Headers],[SLA Management]]&amp;"*")</f>
        <v>0</v>
      </c>
      <c r="J1575" s="8">
        <f>COUNTIFS('All Papers'!$D:$D,"*"&amp;$A1575&amp;"*",'All Papers'!$G:$G,"*"&amp;Table1[[#Headers],[Big Data]]&amp;"*")</f>
        <v>0</v>
      </c>
      <c r="K1575" s="8">
        <f>COUNTIFS('All Papers'!$D:$D,"*"&amp;$A1575&amp;"*",'All Papers'!$G:$G,"*"&amp;Table1[[#Headers],[Energy Management]]&amp;"*")</f>
        <v>1</v>
      </c>
      <c r="L1575" s="8">
        <f>COUNTIFS('All Papers'!$D:$D,"*"&amp;$A1575&amp;"*",'All Papers'!$G:$G,"*"&amp;Table1[[#Headers],[Monitoring]]&amp;"*")</f>
        <v>0</v>
      </c>
      <c r="M1575" s="8">
        <f>COUNTIFS('All Papers'!$D:$D,"*"&amp;$A1575&amp;"*",'All Papers'!$G:$G,"*"&amp;Table1[[#Headers],[Pricing]]&amp;"*")</f>
        <v>0</v>
      </c>
    </row>
    <row r="1576" spans="1:13" x14ac:dyDescent="0.25">
      <c r="A1576" s="8" t="s">
        <v>4009</v>
      </c>
      <c r="B1576" s="8">
        <f>COUNTIF('All Papers'!D:D,"*"&amp;Table1[[#This Row],[Name]]&amp;"*")</f>
        <v>1</v>
      </c>
      <c r="C1576" s="8">
        <f>COUNTIFS('All Papers'!$D:$D,"*"&amp;$A1576&amp;"*",'All Papers'!$G:$G,"*"&amp;Table1[[#Headers],[Composition]]&amp;"*")</f>
        <v>0</v>
      </c>
      <c r="D1576" s="8">
        <f>COUNTIFS('All Papers'!$D:$D,"*"&amp;$A1576&amp;"*",'All Papers'!$G:$G,"*"&amp;Table1[[#Headers],[Discovery]]&amp;"*")</f>
        <v>0</v>
      </c>
      <c r="E1576" s="8">
        <f>COUNTIFS('All Papers'!$D:$D,"*"&amp;$A1576&amp;"*",'All Papers'!$G:$G,"*"&amp;Table1[[#Headers],[Selection]]&amp;"*")</f>
        <v>0</v>
      </c>
      <c r="F1576" s="8">
        <f>COUNTIFS('All Papers'!$D:$D,"*"&amp;$A1576&amp;"*",'All Papers'!$G:$G,"*"&amp;Table1[[#Headers],[Recommendation]]&amp;"*")</f>
        <v>0</v>
      </c>
      <c r="G1576" s="8">
        <f>COUNTIFS('All Papers'!$D:$D,"*"&amp;$A1576&amp;"*",'All Papers'!$G:$G,"*"&amp;Table1[[#Headers],[Resource Management-CS]]&amp;"*")</f>
        <v>0</v>
      </c>
      <c r="H1576" s="8">
        <f>COUNTIFS('All Papers'!$D:$D,"*"&amp;$A1576&amp;"*",'All Papers'!$G:$G,"*"&amp;Table1[[#Headers],[Resource Management-PS]]&amp;"*")</f>
        <v>0</v>
      </c>
      <c r="I1576" s="8">
        <f>COUNTIFS('All Papers'!$D:$D,"*"&amp;$A1576&amp;"*",'All Papers'!$G:$G,"*"&amp;Table1[[#Headers],[SLA Management]]&amp;"*")</f>
        <v>0</v>
      </c>
      <c r="J1576" s="8">
        <f>COUNTIFS('All Papers'!$D:$D,"*"&amp;$A1576&amp;"*",'All Papers'!$G:$G,"*"&amp;Table1[[#Headers],[Big Data]]&amp;"*")</f>
        <v>0</v>
      </c>
      <c r="K1576" s="8">
        <f>COUNTIFS('All Papers'!$D:$D,"*"&amp;$A1576&amp;"*",'All Papers'!$G:$G,"*"&amp;Table1[[#Headers],[Energy Management]]&amp;"*")</f>
        <v>1</v>
      </c>
      <c r="L1576" s="8">
        <f>COUNTIFS('All Papers'!$D:$D,"*"&amp;$A1576&amp;"*",'All Papers'!$G:$G,"*"&amp;Table1[[#Headers],[Monitoring]]&amp;"*")</f>
        <v>0</v>
      </c>
      <c r="M1576" s="8">
        <f>COUNTIFS('All Papers'!$D:$D,"*"&amp;$A1576&amp;"*",'All Papers'!$G:$G,"*"&amp;Table1[[#Headers],[Pricing]]&amp;"*")</f>
        <v>0</v>
      </c>
    </row>
    <row r="1577" spans="1:13" x14ac:dyDescent="0.25">
      <c r="A1577" s="8" t="s">
        <v>4010</v>
      </c>
      <c r="B1577" s="8">
        <f>COUNTIF('All Papers'!D:D,"*"&amp;Table1[[#This Row],[Name]]&amp;"*")</f>
        <v>1</v>
      </c>
      <c r="C1577" s="8">
        <f>COUNTIFS('All Papers'!$D:$D,"*"&amp;$A1577&amp;"*",'All Papers'!$G:$G,"*"&amp;Table1[[#Headers],[Composition]]&amp;"*")</f>
        <v>0</v>
      </c>
      <c r="D1577" s="8">
        <f>COUNTIFS('All Papers'!$D:$D,"*"&amp;$A1577&amp;"*",'All Papers'!$G:$G,"*"&amp;Table1[[#Headers],[Discovery]]&amp;"*")</f>
        <v>0</v>
      </c>
      <c r="E1577" s="8">
        <f>COUNTIFS('All Papers'!$D:$D,"*"&amp;$A1577&amp;"*",'All Papers'!$G:$G,"*"&amp;Table1[[#Headers],[Selection]]&amp;"*")</f>
        <v>0</v>
      </c>
      <c r="F1577" s="8">
        <f>COUNTIFS('All Papers'!$D:$D,"*"&amp;$A1577&amp;"*",'All Papers'!$G:$G,"*"&amp;Table1[[#Headers],[Recommendation]]&amp;"*")</f>
        <v>0</v>
      </c>
      <c r="G1577" s="8">
        <f>COUNTIFS('All Papers'!$D:$D,"*"&amp;$A1577&amp;"*",'All Papers'!$G:$G,"*"&amp;Table1[[#Headers],[Resource Management-CS]]&amp;"*")</f>
        <v>0</v>
      </c>
      <c r="H1577" s="8">
        <f>COUNTIFS('All Papers'!$D:$D,"*"&amp;$A1577&amp;"*",'All Papers'!$G:$G,"*"&amp;Table1[[#Headers],[Resource Management-PS]]&amp;"*")</f>
        <v>0</v>
      </c>
      <c r="I1577" s="8">
        <f>COUNTIFS('All Papers'!$D:$D,"*"&amp;$A1577&amp;"*",'All Papers'!$G:$G,"*"&amp;Table1[[#Headers],[SLA Management]]&amp;"*")</f>
        <v>0</v>
      </c>
      <c r="J1577" s="8">
        <f>COUNTIFS('All Papers'!$D:$D,"*"&amp;$A1577&amp;"*",'All Papers'!$G:$G,"*"&amp;Table1[[#Headers],[Big Data]]&amp;"*")</f>
        <v>0</v>
      </c>
      <c r="K1577" s="8">
        <f>COUNTIFS('All Papers'!$D:$D,"*"&amp;$A1577&amp;"*",'All Papers'!$G:$G,"*"&amp;Table1[[#Headers],[Energy Management]]&amp;"*")</f>
        <v>0</v>
      </c>
      <c r="L1577" s="8">
        <f>COUNTIFS('All Papers'!$D:$D,"*"&amp;$A1577&amp;"*",'All Papers'!$G:$G,"*"&amp;Table1[[#Headers],[Monitoring]]&amp;"*")</f>
        <v>1</v>
      </c>
      <c r="M1577" s="8">
        <f>COUNTIFS('All Papers'!$D:$D,"*"&amp;$A1577&amp;"*",'All Papers'!$G:$G,"*"&amp;Table1[[#Headers],[Pricing]]&amp;"*")</f>
        <v>0</v>
      </c>
    </row>
    <row r="1578" spans="1:13" x14ac:dyDescent="0.25">
      <c r="A1578" s="8" t="s">
        <v>4011</v>
      </c>
      <c r="B1578" s="8">
        <f>COUNTIF('All Papers'!D:D,"*"&amp;Table1[[#This Row],[Name]]&amp;"*")</f>
        <v>1</v>
      </c>
      <c r="C1578" s="8">
        <f>COUNTIFS('All Papers'!$D:$D,"*"&amp;$A1578&amp;"*",'All Papers'!$G:$G,"*"&amp;Table1[[#Headers],[Composition]]&amp;"*")</f>
        <v>0</v>
      </c>
      <c r="D1578" s="8">
        <f>COUNTIFS('All Papers'!$D:$D,"*"&amp;$A1578&amp;"*",'All Papers'!$G:$G,"*"&amp;Table1[[#Headers],[Discovery]]&amp;"*")</f>
        <v>0</v>
      </c>
      <c r="E1578" s="8">
        <f>COUNTIFS('All Papers'!$D:$D,"*"&amp;$A1578&amp;"*",'All Papers'!$G:$G,"*"&amp;Table1[[#Headers],[Selection]]&amp;"*")</f>
        <v>0</v>
      </c>
      <c r="F1578" s="8">
        <f>COUNTIFS('All Papers'!$D:$D,"*"&amp;$A1578&amp;"*",'All Papers'!$G:$G,"*"&amp;Table1[[#Headers],[Recommendation]]&amp;"*")</f>
        <v>0</v>
      </c>
      <c r="G1578" s="8">
        <f>COUNTIFS('All Papers'!$D:$D,"*"&amp;$A1578&amp;"*",'All Papers'!$G:$G,"*"&amp;Table1[[#Headers],[Resource Management-CS]]&amp;"*")</f>
        <v>0</v>
      </c>
      <c r="H1578" s="8">
        <f>COUNTIFS('All Papers'!$D:$D,"*"&amp;$A1578&amp;"*",'All Papers'!$G:$G,"*"&amp;Table1[[#Headers],[Resource Management-PS]]&amp;"*")</f>
        <v>0</v>
      </c>
      <c r="I1578" s="8">
        <f>COUNTIFS('All Papers'!$D:$D,"*"&amp;$A1578&amp;"*",'All Papers'!$G:$G,"*"&amp;Table1[[#Headers],[SLA Management]]&amp;"*")</f>
        <v>0</v>
      </c>
      <c r="J1578" s="8">
        <f>COUNTIFS('All Papers'!$D:$D,"*"&amp;$A1578&amp;"*",'All Papers'!$G:$G,"*"&amp;Table1[[#Headers],[Big Data]]&amp;"*")</f>
        <v>0</v>
      </c>
      <c r="K1578" s="8">
        <f>COUNTIFS('All Papers'!$D:$D,"*"&amp;$A1578&amp;"*",'All Papers'!$G:$G,"*"&amp;Table1[[#Headers],[Energy Management]]&amp;"*")</f>
        <v>0</v>
      </c>
      <c r="L1578" s="8">
        <f>COUNTIFS('All Papers'!$D:$D,"*"&amp;$A1578&amp;"*",'All Papers'!$G:$G,"*"&amp;Table1[[#Headers],[Monitoring]]&amp;"*")</f>
        <v>1</v>
      </c>
      <c r="M1578" s="8">
        <f>COUNTIFS('All Papers'!$D:$D,"*"&amp;$A1578&amp;"*",'All Papers'!$G:$G,"*"&amp;Table1[[#Headers],[Pricing]]&amp;"*")</f>
        <v>0</v>
      </c>
    </row>
    <row r="1579" spans="1:13" x14ac:dyDescent="0.25">
      <c r="A1579" s="8" t="s">
        <v>4012</v>
      </c>
      <c r="B1579" s="8">
        <f>COUNTIF('All Papers'!D:D,"*"&amp;Table1[[#This Row],[Name]]&amp;"*")</f>
        <v>1</v>
      </c>
      <c r="C1579" s="8">
        <f>COUNTIFS('All Papers'!$D:$D,"*"&amp;$A1579&amp;"*",'All Papers'!$G:$G,"*"&amp;Table1[[#Headers],[Composition]]&amp;"*")</f>
        <v>0</v>
      </c>
      <c r="D1579" s="8">
        <f>COUNTIFS('All Papers'!$D:$D,"*"&amp;$A1579&amp;"*",'All Papers'!$G:$G,"*"&amp;Table1[[#Headers],[Discovery]]&amp;"*")</f>
        <v>0</v>
      </c>
      <c r="E1579" s="8">
        <f>COUNTIFS('All Papers'!$D:$D,"*"&amp;$A1579&amp;"*",'All Papers'!$G:$G,"*"&amp;Table1[[#Headers],[Selection]]&amp;"*")</f>
        <v>0</v>
      </c>
      <c r="F1579" s="8">
        <f>COUNTIFS('All Papers'!$D:$D,"*"&amp;$A1579&amp;"*",'All Papers'!$G:$G,"*"&amp;Table1[[#Headers],[Recommendation]]&amp;"*")</f>
        <v>0</v>
      </c>
      <c r="G1579" s="8">
        <f>COUNTIFS('All Papers'!$D:$D,"*"&amp;$A1579&amp;"*",'All Papers'!$G:$G,"*"&amp;Table1[[#Headers],[Resource Management-CS]]&amp;"*")</f>
        <v>0</v>
      </c>
      <c r="H1579" s="8">
        <f>COUNTIFS('All Papers'!$D:$D,"*"&amp;$A1579&amp;"*",'All Papers'!$G:$G,"*"&amp;Table1[[#Headers],[Resource Management-PS]]&amp;"*")</f>
        <v>0</v>
      </c>
      <c r="I1579" s="8">
        <f>COUNTIFS('All Papers'!$D:$D,"*"&amp;$A1579&amp;"*",'All Papers'!$G:$G,"*"&amp;Table1[[#Headers],[SLA Management]]&amp;"*")</f>
        <v>0</v>
      </c>
      <c r="J1579" s="8">
        <f>COUNTIFS('All Papers'!$D:$D,"*"&amp;$A1579&amp;"*",'All Papers'!$G:$G,"*"&amp;Table1[[#Headers],[Big Data]]&amp;"*")</f>
        <v>0</v>
      </c>
      <c r="K1579" s="8">
        <f>COUNTIFS('All Papers'!$D:$D,"*"&amp;$A1579&amp;"*",'All Papers'!$G:$G,"*"&amp;Table1[[#Headers],[Energy Management]]&amp;"*")</f>
        <v>0</v>
      </c>
      <c r="L1579" s="8">
        <f>COUNTIFS('All Papers'!$D:$D,"*"&amp;$A1579&amp;"*",'All Papers'!$G:$G,"*"&amp;Table1[[#Headers],[Monitoring]]&amp;"*")</f>
        <v>1</v>
      </c>
      <c r="M1579" s="8">
        <f>COUNTIFS('All Papers'!$D:$D,"*"&amp;$A1579&amp;"*",'All Papers'!$G:$G,"*"&amp;Table1[[#Headers],[Pricing]]&amp;"*")</f>
        <v>0</v>
      </c>
    </row>
    <row r="1580" spans="1:13" x14ac:dyDescent="0.25">
      <c r="A1580" s="8" t="s">
        <v>4013</v>
      </c>
      <c r="B1580" s="8">
        <f>COUNTIF('All Papers'!D:D,"*"&amp;Table1[[#This Row],[Name]]&amp;"*")</f>
        <v>1</v>
      </c>
      <c r="C1580" s="8">
        <f>COUNTIFS('All Papers'!$D:$D,"*"&amp;$A1580&amp;"*",'All Papers'!$G:$G,"*"&amp;Table1[[#Headers],[Composition]]&amp;"*")</f>
        <v>0</v>
      </c>
      <c r="D1580" s="8">
        <f>COUNTIFS('All Papers'!$D:$D,"*"&amp;$A1580&amp;"*",'All Papers'!$G:$G,"*"&amp;Table1[[#Headers],[Discovery]]&amp;"*")</f>
        <v>0</v>
      </c>
      <c r="E1580" s="8">
        <f>COUNTIFS('All Papers'!$D:$D,"*"&amp;$A1580&amp;"*",'All Papers'!$G:$G,"*"&amp;Table1[[#Headers],[Selection]]&amp;"*")</f>
        <v>0</v>
      </c>
      <c r="F1580" s="8">
        <f>COUNTIFS('All Papers'!$D:$D,"*"&amp;$A1580&amp;"*",'All Papers'!$G:$G,"*"&amp;Table1[[#Headers],[Recommendation]]&amp;"*")</f>
        <v>0</v>
      </c>
      <c r="G1580" s="8">
        <f>COUNTIFS('All Papers'!$D:$D,"*"&amp;$A1580&amp;"*",'All Papers'!$G:$G,"*"&amp;Table1[[#Headers],[Resource Management-CS]]&amp;"*")</f>
        <v>1</v>
      </c>
      <c r="H1580" s="8">
        <f>COUNTIFS('All Papers'!$D:$D,"*"&amp;$A1580&amp;"*",'All Papers'!$G:$G,"*"&amp;Table1[[#Headers],[Resource Management-PS]]&amp;"*")</f>
        <v>0</v>
      </c>
      <c r="I1580" s="8">
        <f>COUNTIFS('All Papers'!$D:$D,"*"&amp;$A1580&amp;"*",'All Papers'!$G:$G,"*"&amp;Table1[[#Headers],[SLA Management]]&amp;"*")</f>
        <v>0</v>
      </c>
      <c r="J1580" s="8">
        <f>COUNTIFS('All Papers'!$D:$D,"*"&amp;$A1580&amp;"*",'All Papers'!$G:$G,"*"&amp;Table1[[#Headers],[Big Data]]&amp;"*")</f>
        <v>0</v>
      </c>
      <c r="K1580" s="8">
        <f>COUNTIFS('All Papers'!$D:$D,"*"&amp;$A1580&amp;"*",'All Papers'!$G:$G,"*"&amp;Table1[[#Headers],[Energy Management]]&amp;"*")</f>
        <v>0</v>
      </c>
      <c r="L1580" s="8">
        <f>COUNTIFS('All Papers'!$D:$D,"*"&amp;$A1580&amp;"*",'All Papers'!$G:$G,"*"&amp;Table1[[#Headers],[Monitoring]]&amp;"*")</f>
        <v>0</v>
      </c>
      <c r="M1580" s="8">
        <f>COUNTIFS('All Papers'!$D:$D,"*"&amp;$A1580&amp;"*",'All Papers'!$G:$G,"*"&amp;Table1[[#Headers],[Pricing]]&amp;"*")</f>
        <v>0</v>
      </c>
    </row>
    <row r="1581" spans="1:13" x14ac:dyDescent="0.25">
      <c r="A1581" s="8" t="s">
        <v>4014</v>
      </c>
      <c r="B1581" s="8">
        <f>COUNTIF('All Papers'!D:D,"*"&amp;Table1[[#This Row],[Name]]&amp;"*")</f>
        <v>1</v>
      </c>
      <c r="C1581" s="8">
        <f>COUNTIFS('All Papers'!$D:$D,"*"&amp;$A1581&amp;"*",'All Papers'!$G:$G,"*"&amp;Table1[[#Headers],[Composition]]&amp;"*")</f>
        <v>0</v>
      </c>
      <c r="D1581" s="8">
        <f>COUNTIFS('All Papers'!$D:$D,"*"&amp;$A1581&amp;"*",'All Papers'!$G:$G,"*"&amp;Table1[[#Headers],[Discovery]]&amp;"*")</f>
        <v>0</v>
      </c>
      <c r="E1581" s="8">
        <f>COUNTIFS('All Papers'!$D:$D,"*"&amp;$A1581&amp;"*",'All Papers'!$G:$G,"*"&amp;Table1[[#Headers],[Selection]]&amp;"*")</f>
        <v>0</v>
      </c>
      <c r="F1581" s="8">
        <f>COUNTIFS('All Papers'!$D:$D,"*"&amp;$A1581&amp;"*",'All Papers'!$G:$G,"*"&amp;Table1[[#Headers],[Recommendation]]&amp;"*")</f>
        <v>0</v>
      </c>
      <c r="G1581" s="8">
        <f>COUNTIFS('All Papers'!$D:$D,"*"&amp;$A1581&amp;"*",'All Papers'!$G:$G,"*"&amp;Table1[[#Headers],[Resource Management-CS]]&amp;"*")</f>
        <v>1</v>
      </c>
      <c r="H1581" s="8">
        <f>COUNTIFS('All Papers'!$D:$D,"*"&amp;$A1581&amp;"*",'All Papers'!$G:$G,"*"&amp;Table1[[#Headers],[Resource Management-PS]]&amp;"*")</f>
        <v>0</v>
      </c>
      <c r="I1581" s="8">
        <f>COUNTIFS('All Papers'!$D:$D,"*"&amp;$A1581&amp;"*",'All Papers'!$G:$G,"*"&amp;Table1[[#Headers],[SLA Management]]&amp;"*")</f>
        <v>0</v>
      </c>
      <c r="J1581" s="8">
        <f>COUNTIFS('All Papers'!$D:$D,"*"&amp;$A1581&amp;"*",'All Papers'!$G:$G,"*"&amp;Table1[[#Headers],[Big Data]]&amp;"*")</f>
        <v>0</v>
      </c>
      <c r="K1581" s="8">
        <f>COUNTIFS('All Papers'!$D:$D,"*"&amp;$A1581&amp;"*",'All Papers'!$G:$G,"*"&amp;Table1[[#Headers],[Energy Management]]&amp;"*")</f>
        <v>0</v>
      </c>
      <c r="L1581" s="8">
        <f>COUNTIFS('All Papers'!$D:$D,"*"&amp;$A1581&amp;"*",'All Papers'!$G:$G,"*"&amp;Table1[[#Headers],[Monitoring]]&amp;"*")</f>
        <v>0</v>
      </c>
      <c r="M1581" s="8">
        <f>COUNTIFS('All Papers'!$D:$D,"*"&amp;$A1581&amp;"*",'All Papers'!$G:$G,"*"&amp;Table1[[#Headers],[Pricing]]&amp;"*")</f>
        <v>0</v>
      </c>
    </row>
    <row r="1582" spans="1:13" x14ac:dyDescent="0.25">
      <c r="A1582" s="8" t="s">
        <v>4015</v>
      </c>
      <c r="B1582" s="8">
        <f>COUNTIF('All Papers'!D:D,"*"&amp;Table1[[#This Row],[Name]]&amp;"*")</f>
        <v>1</v>
      </c>
      <c r="C1582" s="8">
        <f>COUNTIFS('All Papers'!$D:$D,"*"&amp;$A1582&amp;"*",'All Papers'!$G:$G,"*"&amp;Table1[[#Headers],[Composition]]&amp;"*")</f>
        <v>0</v>
      </c>
      <c r="D1582" s="8">
        <f>COUNTIFS('All Papers'!$D:$D,"*"&amp;$A1582&amp;"*",'All Papers'!$G:$G,"*"&amp;Table1[[#Headers],[Discovery]]&amp;"*")</f>
        <v>0</v>
      </c>
      <c r="E1582" s="8">
        <f>COUNTIFS('All Papers'!$D:$D,"*"&amp;$A1582&amp;"*",'All Papers'!$G:$G,"*"&amp;Table1[[#Headers],[Selection]]&amp;"*")</f>
        <v>0</v>
      </c>
      <c r="F1582" s="8">
        <f>COUNTIFS('All Papers'!$D:$D,"*"&amp;$A1582&amp;"*",'All Papers'!$G:$G,"*"&amp;Table1[[#Headers],[Recommendation]]&amp;"*")</f>
        <v>0</v>
      </c>
      <c r="G1582" s="8">
        <f>COUNTIFS('All Papers'!$D:$D,"*"&amp;$A1582&amp;"*",'All Papers'!$G:$G,"*"&amp;Table1[[#Headers],[Resource Management-CS]]&amp;"*")</f>
        <v>0</v>
      </c>
      <c r="H1582" s="8">
        <f>COUNTIFS('All Papers'!$D:$D,"*"&amp;$A1582&amp;"*",'All Papers'!$G:$G,"*"&amp;Table1[[#Headers],[Resource Management-PS]]&amp;"*")</f>
        <v>1</v>
      </c>
      <c r="I1582" s="8">
        <f>COUNTIFS('All Papers'!$D:$D,"*"&amp;$A1582&amp;"*",'All Papers'!$G:$G,"*"&amp;Table1[[#Headers],[SLA Management]]&amp;"*")</f>
        <v>0</v>
      </c>
      <c r="J1582" s="8">
        <f>COUNTIFS('All Papers'!$D:$D,"*"&amp;$A1582&amp;"*",'All Papers'!$G:$G,"*"&amp;Table1[[#Headers],[Big Data]]&amp;"*")</f>
        <v>0</v>
      </c>
      <c r="K1582" s="8">
        <f>COUNTIFS('All Papers'!$D:$D,"*"&amp;$A1582&amp;"*",'All Papers'!$G:$G,"*"&amp;Table1[[#Headers],[Energy Management]]&amp;"*")</f>
        <v>0</v>
      </c>
      <c r="L1582" s="8">
        <f>COUNTIFS('All Papers'!$D:$D,"*"&amp;$A1582&amp;"*",'All Papers'!$G:$G,"*"&amp;Table1[[#Headers],[Monitoring]]&amp;"*")</f>
        <v>0</v>
      </c>
      <c r="M1582" s="8">
        <f>COUNTIFS('All Papers'!$D:$D,"*"&amp;$A1582&amp;"*",'All Papers'!$G:$G,"*"&amp;Table1[[#Headers],[Pricing]]&amp;"*")</f>
        <v>0</v>
      </c>
    </row>
    <row r="1583" spans="1:13" x14ac:dyDescent="0.25">
      <c r="A1583" s="8" t="s">
        <v>4016</v>
      </c>
      <c r="B1583" s="8">
        <f>COUNTIF('All Papers'!D:D,"*"&amp;Table1[[#This Row],[Name]]&amp;"*")</f>
        <v>1</v>
      </c>
      <c r="C1583" s="8">
        <f>COUNTIFS('All Papers'!$D:$D,"*"&amp;$A1583&amp;"*",'All Papers'!$G:$G,"*"&amp;Table1[[#Headers],[Composition]]&amp;"*")</f>
        <v>0</v>
      </c>
      <c r="D1583" s="8">
        <f>COUNTIFS('All Papers'!$D:$D,"*"&amp;$A1583&amp;"*",'All Papers'!$G:$G,"*"&amp;Table1[[#Headers],[Discovery]]&amp;"*")</f>
        <v>0</v>
      </c>
      <c r="E1583" s="8">
        <f>COUNTIFS('All Papers'!$D:$D,"*"&amp;$A1583&amp;"*",'All Papers'!$G:$G,"*"&amp;Table1[[#Headers],[Selection]]&amp;"*")</f>
        <v>0</v>
      </c>
      <c r="F1583" s="8">
        <f>COUNTIFS('All Papers'!$D:$D,"*"&amp;$A1583&amp;"*",'All Papers'!$G:$G,"*"&amp;Table1[[#Headers],[Recommendation]]&amp;"*")</f>
        <v>0</v>
      </c>
      <c r="G1583" s="8">
        <f>COUNTIFS('All Papers'!$D:$D,"*"&amp;$A1583&amp;"*",'All Papers'!$G:$G,"*"&amp;Table1[[#Headers],[Resource Management-CS]]&amp;"*")</f>
        <v>0</v>
      </c>
      <c r="H1583" s="8">
        <f>COUNTIFS('All Papers'!$D:$D,"*"&amp;$A1583&amp;"*",'All Papers'!$G:$G,"*"&amp;Table1[[#Headers],[Resource Management-PS]]&amp;"*")</f>
        <v>1</v>
      </c>
      <c r="I1583" s="8">
        <f>COUNTIFS('All Papers'!$D:$D,"*"&amp;$A1583&amp;"*",'All Papers'!$G:$G,"*"&amp;Table1[[#Headers],[SLA Management]]&amp;"*")</f>
        <v>0</v>
      </c>
      <c r="J1583" s="8">
        <f>COUNTIFS('All Papers'!$D:$D,"*"&amp;$A1583&amp;"*",'All Papers'!$G:$G,"*"&amp;Table1[[#Headers],[Big Data]]&amp;"*")</f>
        <v>0</v>
      </c>
      <c r="K1583" s="8">
        <f>COUNTIFS('All Papers'!$D:$D,"*"&amp;$A1583&amp;"*",'All Papers'!$G:$G,"*"&amp;Table1[[#Headers],[Energy Management]]&amp;"*")</f>
        <v>0</v>
      </c>
      <c r="L1583" s="8">
        <f>COUNTIFS('All Papers'!$D:$D,"*"&amp;$A1583&amp;"*",'All Papers'!$G:$G,"*"&amp;Table1[[#Headers],[Monitoring]]&amp;"*")</f>
        <v>0</v>
      </c>
      <c r="M1583" s="8">
        <f>COUNTIFS('All Papers'!$D:$D,"*"&amp;$A1583&amp;"*",'All Papers'!$G:$G,"*"&amp;Table1[[#Headers],[Pricing]]&amp;"*")</f>
        <v>0</v>
      </c>
    </row>
    <row r="1584" spans="1:13" x14ac:dyDescent="0.25">
      <c r="A1584" s="8" t="s">
        <v>4017</v>
      </c>
      <c r="B1584" s="8">
        <f>COUNTIF('All Papers'!D:D,"*"&amp;Table1[[#This Row],[Name]]&amp;"*")</f>
        <v>1</v>
      </c>
      <c r="C1584" s="8">
        <f>COUNTIFS('All Papers'!$D:$D,"*"&amp;$A1584&amp;"*",'All Papers'!$G:$G,"*"&amp;Table1[[#Headers],[Composition]]&amp;"*")</f>
        <v>0</v>
      </c>
      <c r="D1584" s="8">
        <f>COUNTIFS('All Papers'!$D:$D,"*"&amp;$A1584&amp;"*",'All Papers'!$G:$G,"*"&amp;Table1[[#Headers],[Discovery]]&amp;"*")</f>
        <v>0</v>
      </c>
      <c r="E1584" s="8">
        <f>COUNTIFS('All Papers'!$D:$D,"*"&amp;$A1584&amp;"*",'All Papers'!$G:$G,"*"&amp;Table1[[#Headers],[Selection]]&amp;"*")</f>
        <v>0</v>
      </c>
      <c r="F1584" s="8">
        <f>COUNTIFS('All Papers'!$D:$D,"*"&amp;$A1584&amp;"*",'All Papers'!$G:$G,"*"&amp;Table1[[#Headers],[Recommendation]]&amp;"*")</f>
        <v>0</v>
      </c>
      <c r="G1584" s="8">
        <f>COUNTIFS('All Papers'!$D:$D,"*"&amp;$A1584&amp;"*",'All Papers'!$G:$G,"*"&amp;Table1[[#Headers],[Resource Management-CS]]&amp;"*")</f>
        <v>0</v>
      </c>
      <c r="H1584" s="8">
        <f>COUNTIFS('All Papers'!$D:$D,"*"&amp;$A1584&amp;"*",'All Papers'!$G:$G,"*"&amp;Table1[[#Headers],[Resource Management-PS]]&amp;"*")</f>
        <v>1</v>
      </c>
      <c r="I1584" s="8">
        <f>COUNTIFS('All Papers'!$D:$D,"*"&amp;$A1584&amp;"*",'All Papers'!$G:$G,"*"&amp;Table1[[#Headers],[SLA Management]]&amp;"*")</f>
        <v>0</v>
      </c>
      <c r="J1584" s="8">
        <f>COUNTIFS('All Papers'!$D:$D,"*"&amp;$A1584&amp;"*",'All Papers'!$G:$G,"*"&amp;Table1[[#Headers],[Big Data]]&amp;"*")</f>
        <v>0</v>
      </c>
      <c r="K1584" s="8">
        <f>COUNTIFS('All Papers'!$D:$D,"*"&amp;$A1584&amp;"*",'All Papers'!$G:$G,"*"&amp;Table1[[#Headers],[Energy Management]]&amp;"*")</f>
        <v>0</v>
      </c>
      <c r="L1584" s="8">
        <f>COUNTIFS('All Papers'!$D:$D,"*"&amp;$A1584&amp;"*",'All Papers'!$G:$G,"*"&amp;Table1[[#Headers],[Monitoring]]&amp;"*")</f>
        <v>0</v>
      </c>
      <c r="M1584" s="8">
        <f>COUNTIFS('All Papers'!$D:$D,"*"&amp;$A1584&amp;"*",'All Papers'!$G:$G,"*"&amp;Table1[[#Headers],[Pricing]]&amp;"*")</f>
        <v>0</v>
      </c>
    </row>
    <row r="1585" spans="1:13" x14ac:dyDescent="0.25">
      <c r="A1585" s="8" t="s">
        <v>4018</v>
      </c>
      <c r="B1585" s="8">
        <f>COUNTIF('All Papers'!D:D,"*"&amp;Table1[[#This Row],[Name]]&amp;"*")</f>
        <v>1</v>
      </c>
      <c r="C1585" s="8">
        <f>COUNTIFS('All Papers'!$D:$D,"*"&amp;$A1585&amp;"*",'All Papers'!$G:$G,"*"&amp;Table1[[#Headers],[Composition]]&amp;"*")</f>
        <v>0</v>
      </c>
      <c r="D1585" s="8">
        <f>COUNTIFS('All Papers'!$D:$D,"*"&amp;$A1585&amp;"*",'All Papers'!$G:$G,"*"&amp;Table1[[#Headers],[Discovery]]&amp;"*")</f>
        <v>0</v>
      </c>
      <c r="E1585" s="8">
        <f>COUNTIFS('All Papers'!$D:$D,"*"&amp;$A1585&amp;"*",'All Papers'!$G:$G,"*"&amp;Table1[[#Headers],[Selection]]&amp;"*")</f>
        <v>0</v>
      </c>
      <c r="F1585" s="8">
        <f>COUNTIFS('All Papers'!$D:$D,"*"&amp;$A1585&amp;"*",'All Papers'!$G:$G,"*"&amp;Table1[[#Headers],[Recommendation]]&amp;"*")</f>
        <v>0</v>
      </c>
      <c r="G1585" s="8">
        <f>COUNTIFS('All Papers'!$D:$D,"*"&amp;$A1585&amp;"*",'All Papers'!$G:$G,"*"&amp;Table1[[#Headers],[Resource Management-CS]]&amp;"*")</f>
        <v>0</v>
      </c>
      <c r="H1585" s="8">
        <f>COUNTIFS('All Papers'!$D:$D,"*"&amp;$A1585&amp;"*",'All Papers'!$G:$G,"*"&amp;Table1[[#Headers],[Resource Management-PS]]&amp;"*")</f>
        <v>1</v>
      </c>
      <c r="I1585" s="8">
        <f>COUNTIFS('All Papers'!$D:$D,"*"&amp;$A1585&amp;"*",'All Papers'!$G:$G,"*"&amp;Table1[[#Headers],[SLA Management]]&amp;"*")</f>
        <v>0</v>
      </c>
      <c r="J1585" s="8">
        <f>COUNTIFS('All Papers'!$D:$D,"*"&amp;$A1585&amp;"*",'All Papers'!$G:$G,"*"&amp;Table1[[#Headers],[Big Data]]&amp;"*")</f>
        <v>0</v>
      </c>
      <c r="K1585" s="8">
        <f>COUNTIFS('All Papers'!$D:$D,"*"&amp;$A1585&amp;"*",'All Papers'!$G:$G,"*"&amp;Table1[[#Headers],[Energy Management]]&amp;"*")</f>
        <v>0</v>
      </c>
      <c r="L1585" s="8">
        <f>COUNTIFS('All Papers'!$D:$D,"*"&amp;$A1585&amp;"*",'All Papers'!$G:$G,"*"&amp;Table1[[#Headers],[Monitoring]]&amp;"*")</f>
        <v>0</v>
      </c>
      <c r="M1585" s="8">
        <f>COUNTIFS('All Papers'!$D:$D,"*"&amp;$A1585&amp;"*",'All Papers'!$G:$G,"*"&amp;Table1[[#Headers],[Pricing]]&amp;"*")</f>
        <v>0</v>
      </c>
    </row>
    <row r="1586" spans="1:13" x14ac:dyDescent="0.25">
      <c r="A1586" s="8" t="s">
        <v>4019</v>
      </c>
      <c r="B1586" s="8">
        <f>COUNTIF('All Papers'!D:D,"*"&amp;Table1[[#This Row],[Name]]&amp;"*")</f>
        <v>1</v>
      </c>
      <c r="C1586" s="8">
        <f>COUNTIFS('All Papers'!$D:$D,"*"&amp;$A1586&amp;"*",'All Papers'!$G:$G,"*"&amp;Table1[[#Headers],[Composition]]&amp;"*")</f>
        <v>0</v>
      </c>
      <c r="D1586" s="8">
        <f>COUNTIFS('All Papers'!$D:$D,"*"&amp;$A1586&amp;"*",'All Papers'!$G:$G,"*"&amp;Table1[[#Headers],[Discovery]]&amp;"*")</f>
        <v>0</v>
      </c>
      <c r="E1586" s="8">
        <f>COUNTIFS('All Papers'!$D:$D,"*"&amp;$A1586&amp;"*",'All Papers'!$G:$G,"*"&amp;Table1[[#Headers],[Selection]]&amp;"*")</f>
        <v>0</v>
      </c>
      <c r="F1586" s="8">
        <f>COUNTIFS('All Papers'!$D:$D,"*"&amp;$A1586&amp;"*",'All Papers'!$G:$G,"*"&amp;Table1[[#Headers],[Recommendation]]&amp;"*")</f>
        <v>0</v>
      </c>
      <c r="G1586" s="8">
        <f>COUNTIFS('All Papers'!$D:$D,"*"&amp;$A1586&amp;"*",'All Papers'!$G:$G,"*"&amp;Table1[[#Headers],[Resource Management-CS]]&amp;"*")</f>
        <v>0</v>
      </c>
      <c r="H1586" s="8">
        <f>COUNTIFS('All Papers'!$D:$D,"*"&amp;$A1586&amp;"*",'All Papers'!$G:$G,"*"&amp;Table1[[#Headers],[Resource Management-PS]]&amp;"*")</f>
        <v>1</v>
      </c>
      <c r="I1586" s="8">
        <f>COUNTIFS('All Papers'!$D:$D,"*"&amp;$A1586&amp;"*",'All Papers'!$G:$G,"*"&amp;Table1[[#Headers],[SLA Management]]&amp;"*")</f>
        <v>0</v>
      </c>
      <c r="J1586" s="8">
        <f>COUNTIFS('All Papers'!$D:$D,"*"&amp;$A1586&amp;"*",'All Papers'!$G:$G,"*"&amp;Table1[[#Headers],[Big Data]]&amp;"*")</f>
        <v>0</v>
      </c>
      <c r="K1586" s="8">
        <f>COUNTIFS('All Papers'!$D:$D,"*"&amp;$A1586&amp;"*",'All Papers'!$G:$G,"*"&amp;Table1[[#Headers],[Energy Management]]&amp;"*")</f>
        <v>0</v>
      </c>
      <c r="L1586" s="8">
        <f>COUNTIFS('All Papers'!$D:$D,"*"&amp;$A1586&amp;"*",'All Papers'!$G:$G,"*"&amp;Table1[[#Headers],[Monitoring]]&amp;"*")</f>
        <v>0</v>
      </c>
      <c r="M1586" s="8">
        <f>COUNTIFS('All Papers'!$D:$D,"*"&amp;$A1586&amp;"*",'All Papers'!$G:$G,"*"&amp;Table1[[#Headers],[Pricing]]&amp;"*")</f>
        <v>0</v>
      </c>
    </row>
    <row r="1587" spans="1:13" x14ac:dyDescent="0.25">
      <c r="A1587" s="8" t="s">
        <v>4020</v>
      </c>
      <c r="B1587" s="8">
        <f>COUNTIF('All Papers'!D:D,"*"&amp;Table1[[#This Row],[Name]]&amp;"*")</f>
        <v>1</v>
      </c>
      <c r="C1587" s="8">
        <f>COUNTIFS('All Papers'!$D:$D,"*"&amp;$A1587&amp;"*",'All Papers'!$G:$G,"*"&amp;Table1[[#Headers],[Composition]]&amp;"*")</f>
        <v>0</v>
      </c>
      <c r="D1587" s="8">
        <f>COUNTIFS('All Papers'!$D:$D,"*"&amp;$A1587&amp;"*",'All Papers'!$G:$G,"*"&amp;Table1[[#Headers],[Discovery]]&amp;"*")</f>
        <v>0</v>
      </c>
      <c r="E1587" s="8">
        <f>COUNTIFS('All Papers'!$D:$D,"*"&amp;$A1587&amp;"*",'All Papers'!$G:$G,"*"&amp;Table1[[#Headers],[Selection]]&amp;"*")</f>
        <v>1</v>
      </c>
      <c r="F1587" s="8">
        <f>COUNTIFS('All Papers'!$D:$D,"*"&amp;$A1587&amp;"*",'All Papers'!$G:$G,"*"&amp;Table1[[#Headers],[Recommendation]]&amp;"*")</f>
        <v>0</v>
      </c>
      <c r="G1587" s="8">
        <f>COUNTIFS('All Papers'!$D:$D,"*"&amp;$A1587&amp;"*",'All Papers'!$G:$G,"*"&amp;Table1[[#Headers],[Resource Management-CS]]&amp;"*")</f>
        <v>0</v>
      </c>
      <c r="H1587" s="8">
        <f>COUNTIFS('All Papers'!$D:$D,"*"&amp;$A1587&amp;"*",'All Papers'!$G:$G,"*"&amp;Table1[[#Headers],[Resource Management-PS]]&amp;"*")</f>
        <v>0</v>
      </c>
      <c r="I1587" s="8">
        <f>COUNTIFS('All Papers'!$D:$D,"*"&amp;$A1587&amp;"*",'All Papers'!$G:$G,"*"&amp;Table1[[#Headers],[SLA Management]]&amp;"*")</f>
        <v>0</v>
      </c>
      <c r="J1587" s="8">
        <f>COUNTIFS('All Papers'!$D:$D,"*"&amp;$A1587&amp;"*",'All Papers'!$G:$G,"*"&amp;Table1[[#Headers],[Big Data]]&amp;"*")</f>
        <v>0</v>
      </c>
      <c r="K1587" s="8">
        <f>COUNTIFS('All Papers'!$D:$D,"*"&amp;$A1587&amp;"*",'All Papers'!$G:$G,"*"&amp;Table1[[#Headers],[Energy Management]]&amp;"*")</f>
        <v>0</v>
      </c>
      <c r="L1587" s="8">
        <f>COUNTIFS('All Papers'!$D:$D,"*"&amp;$A1587&amp;"*",'All Papers'!$G:$G,"*"&amp;Table1[[#Headers],[Monitoring]]&amp;"*")</f>
        <v>0</v>
      </c>
      <c r="M1587" s="8">
        <f>COUNTIFS('All Papers'!$D:$D,"*"&amp;$A1587&amp;"*",'All Papers'!$G:$G,"*"&amp;Table1[[#Headers],[Pricing]]&amp;"*")</f>
        <v>0</v>
      </c>
    </row>
    <row r="1588" spans="1:13" x14ac:dyDescent="0.25">
      <c r="A1588" s="8" t="s">
        <v>4021</v>
      </c>
      <c r="B1588" s="8">
        <f>COUNTIF('All Papers'!D:D,"*"&amp;Table1[[#This Row],[Name]]&amp;"*")</f>
        <v>1</v>
      </c>
      <c r="C1588" s="8">
        <f>COUNTIFS('All Papers'!$D:$D,"*"&amp;$A1588&amp;"*",'All Papers'!$G:$G,"*"&amp;Table1[[#Headers],[Composition]]&amp;"*")</f>
        <v>0</v>
      </c>
      <c r="D1588" s="8">
        <f>COUNTIFS('All Papers'!$D:$D,"*"&amp;$A1588&amp;"*",'All Papers'!$G:$G,"*"&amp;Table1[[#Headers],[Discovery]]&amp;"*")</f>
        <v>0</v>
      </c>
      <c r="E1588" s="8">
        <f>COUNTIFS('All Papers'!$D:$D,"*"&amp;$A1588&amp;"*",'All Papers'!$G:$G,"*"&amp;Table1[[#Headers],[Selection]]&amp;"*")</f>
        <v>1</v>
      </c>
      <c r="F1588" s="8">
        <f>COUNTIFS('All Papers'!$D:$D,"*"&amp;$A1588&amp;"*",'All Papers'!$G:$G,"*"&amp;Table1[[#Headers],[Recommendation]]&amp;"*")</f>
        <v>0</v>
      </c>
      <c r="G1588" s="8">
        <f>COUNTIFS('All Papers'!$D:$D,"*"&amp;$A1588&amp;"*",'All Papers'!$G:$G,"*"&amp;Table1[[#Headers],[Resource Management-CS]]&amp;"*")</f>
        <v>0</v>
      </c>
      <c r="H1588" s="8">
        <f>COUNTIFS('All Papers'!$D:$D,"*"&amp;$A1588&amp;"*",'All Papers'!$G:$G,"*"&amp;Table1[[#Headers],[Resource Management-PS]]&amp;"*")</f>
        <v>0</v>
      </c>
      <c r="I1588" s="8">
        <f>COUNTIFS('All Papers'!$D:$D,"*"&amp;$A1588&amp;"*",'All Papers'!$G:$G,"*"&amp;Table1[[#Headers],[SLA Management]]&amp;"*")</f>
        <v>0</v>
      </c>
      <c r="J1588" s="8">
        <f>COUNTIFS('All Papers'!$D:$D,"*"&amp;$A1588&amp;"*",'All Papers'!$G:$G,"*"&amp;Table1[[#Headers],[Big Data]]&amp;"*")</f>
        <v>0</v>
      </c>
      <c r="K1588" s="8">
        <f>COUNTIFS('All Papers'!$D:$D,"*"&amp;$A1588&amp;"*",'All Papers'!$G:$G,"*"&amp;Table1[[#Headers],[Energy Management]]&amp;"*")</f>
        <v>0</v>
      </c>
      <c r="L1588" s="8">
        <f>COUNTIFS('All Papers'!$D:$D,"*"&amp;$A1588&amp;"*",'All Papers'!$G:$G,"*"&amp;Table1[[#Headers],[Monitoring]]&amp;"*")</f>
        <v>0</v>
      </c>
      <c r="M1588" s="8">
        <f>COUNTIFS('All Papers'!$D:$D,"*"&amp;$A1588&amp;"*",'All Papers'!$G:$G,"*"&amp;Table1[[#Headers],[Pricing]]&amp;"*")</f>
        <v>0</v>
      </c>
    </row>
    <row r="1589" spans="1:13" x14ac:dyDescent="0.25">
      <c r="A1589" s="8" t="s">
        <v>4022</v>
      </c>
      <c r="B1589" s="8">
        <f>COUNTIF('All Papers'!D:D,"*"&amp;Table1[[#This Row],[Name]]&amp;"*")</f>
        <v>1</v>
      </c>
      <c r="C1589" s="8">
        <f>COUNTIFS('All Papers'!$D:$D,"*"&amp;$A1589&amp;"*",'All Papers'!$G:$G,"*"&amp;Table1[[#Headers],[Composition]]&amp;"*")</f>
        <v>0</v>
      </c>
      <c r="D1589" s="8">
        <f>COUNTIFS('All Papers'!$D:$D,"*"&amp;$A1589&amp;"*",'All Papers'!$G:$G,"*"&amp;Table1[[#Headers],[Discovery]]&amp;"*")</f>
        <v>0</v>
      </c>
      <c r="E1589" s="8">
        <f>COUNTIFS('All Papers'!$D:$D,"*"&amp;$A1589&amp;"*",'All Papers'!$G:$G,"*"&amp;Table1[[#Headers],[Selection]]&amp;"*")</f>
        <v>1</v>
      </c>
      <c r="F1589" s="8">
        <f>COUNTIFS('All Papers'!$D:$D,"*"&amp;$A1589&amp;"*",'All Papers'!$G:$G,"*"&amp;Table1[[#Headers],[Recommendation]]&amp;"*")</f>
        <v>0</v>
      </c>
      <c r="G1589" s="8">
        <f>COUNTIFS('All Papers'!$D:$D,"*"&amp;$A1589&amp;"*",'All Papers'!$G:$G,"*"&amp;Table1[[#Headers],[Resource Management-CS]]&amp;"*")</f>
        <v>0</v>
      </c>
      <c r="H1589" s="8">
        <f>COUNTIFS('All Papers'!$D:$D,"*"&amp;$A1589&amp;"*",'All Papers'!$G:$G,"*"&amp;Table1[[#Headers],[Resource Management-PS]]&amp;"*")</f>
        <v>0</v>
      </c>
      <c r="I1589" s="8">
        <f>COUNTIFS('All Papers'!$D:$D,"*"&amp;$A1589&amp;"*",'All Papers'!$G:$G,"*"&amp;Table1[[#Headers],[SLA Management]]&amp;"*")</f>
        <v>0</v>
      </c>
      <c r="J1589" s="8">
        <f>COUNTIFS('All Papers'!$D:$D,"*"&amp;$A1589&amp;"*",'All Papers'!$G:$G,"*"&amp;Table1[[#Headers],[Big Data]]&amp;"*")</f>
        <v>0</v>
      </c>
      <c r="K1589" s="8">
        <f>COUNTIFS('All Papers'!$D:$D,"*"&amp;$A1589&amp;"*",'All Papers'!$G:$G,"*"&amp;Table1[[#Headers],[Energy Management]]&amp;"*")</f>
        <v>0</v>
      </c>
      <c r="L1589" s="8">
        <f>COUNTIFS('All Papers'!$D:$D,"*"&amp;$A1589&amp;"*",'All Papers'!$G:$G,"*"&amp;Table1[[#Headers],[Monitoring]]&amp;"*")</f>
        <v>0</v>
      </c>
      <c r="M1589" s="8">
        <f>COUNTIFS('All Papers'!$D:$D,"*"&amp;$A1589&amp;"*",'All Papers'!$G:$G,"*"&amp;Table1[[#Headers],[Pricing]]&amp;"*")</f>
        <v>0</v>
      </c>
    </row>
    <row r="1590" spans="1:13" x14ac:dyDescent="0.25">
      <c r="A1590" s="8" t="s">
        <v>4023</v>
      </c>
      <c r="B1590" s="8">
        <f>COUNTIF('All Papers'!D:D,"*"&amp;Table1[[#This Row],[Name]]&amp;"*")</f>
        <v>1</v>
      </c>
      <c r="C1590" s="8">
        <f>COUNTIFS('All Papers'!$D:$D,"*"&amp;$A1590&amp;"*",'All Papers'!$G:$G,"*"&amp;Table1[[#Headers],[Composition]]&amp;"*")</f>
        <v>0</v>
      </c>
      <c r="D1590" s="8">
        <f>COUNTIFS('All Papers'!$D:$D,"*"&amp;$A1590&amp;"*",'All Papers'!$G:$G,"*"&amp;Table1[[#Headers],[Discovery]]&amp;"*")</f>
        <v>0</v>
      </c>
      <c r="E1590" s="8">
        <f>COUNTIFS('All Papers'!$D:$D,"*"&amp;$A1590&amp;"*",'All Papers'!$G:$G,"*"&amp;Table1[[#Headers],[Selection]]&amp;"*")</f>
        <v>1</v>
      </c>
      <c r="F1590" s="8">
        <f>COUNTIFS('All Papers'!$D:$D,"*"&amp;$A1590&amp;"*",'All Papers'!$G:$G,"*"&amp;Table1[[#Headers],[Recommendation]]&amp;"*")</f>
        <v>0</v>
      </c>
      <c r="G1590" s="8">
        <f>COUNTIFS('All Papers'!$D:$D,"*"&amp;$A1590&amp;"*",'All Papers'!$G:$G,"*"&amp;Table1[[#Headers],[Resource Management-CS]]&amp;"*")</f>
        <v>0</v>
      </c>
      <c r="H1590" s="8">
        <f>COUNTIFS('All Papers'!$D:$D,"*"&amp;$A1590&amp;"*",'All Papers'!$G:$G,"*"&amp;Table1[[#Headers],[Resource Management-PS]]&amp;"*")</f>
        <v>0</v>
      </c>
      <c r="I1590" s="8">
        <f>COUNTIFS('All Papers'!$D:$D,"*"&amp;$A1590&amp;"*",'All Papers'!$G:$G,"*"&amp;Table1[[#Headers],[SLA Management]]&amp;"*")</f>
        <v>0</v>
      </c>
      <c r="J1590" s="8">
        <f>COUNTIFS('All Papers'!$D:$D,"*"&amp;$A1590&amp;"*",'All Papers'!$G:$G,"*"&amp;Table1[[#Headers],[Big Data]]&amp;"*")</f>
        <v>0</v>
      </c>
      <c r="K1590" s="8">
        <f>COUNTIFS('All Papers'!$D:$D,"*"&amp;$A1590&amp;"*",'All Papers'!$G:$G,"*"&amp;Table1[[#Headers],[Energy Management]]&amp;"*")</f>
        <v>0</v>
      </c>
      <c r="L1590" s="8">
        <f>COUNTIFS('All Papers'!$D:$D,"*"&amp;$A1590&amp;"*",'All Papers'!$G:$G,"*"&amp;Table1[[#Headers],[Monitoring]]&amp;"*")</f>
        <v>0</v>
      </c>
      <c r="M1590" s="8">
        <f>COUNTIFS('All Papers'!$D:$D,"*"&amp;$A1590&amp;"*",'All Papers'!$G:$G,"*"&amp;Table1[[#Headers],[Pricing]]&amp;"*")</f>
        <v>0</v>
      </c>
    </row>
    <row r="1591" spans="1:13" x14ac:dyDescent="0.25">
      <c r="A1591" s="8" t="s">
        <v>4024</v>
      </c>
      <c r="B1591" s="8">
        <f>COUNTIF('All Papers'!D:D,"*"&amp;Table1[[#This Row],[Name]]&amp;"*")</f>
        <v>1</v>
      </c>
      <c r="C1591" s="8">
        <f>COUNTIFS('All Papers'!$D:$D,"*"&amp;$A1591&amp;"*",'All Papers'!$G:$G,"*"&amp;Table1[[#Headers],[Composition]]&amp;"*")</f>
        <v>0</v>
      </c>
      <c r="D1591" s="8">
        <f>COUNTIFS('All Papers'!$D:$D,"*"&amp;$A1591&amp;"*",'All Papers'!$G:$G,"*"&amp;Table1[[#Headers],[Discovery]]&amp;"*")</f>
        <v>0</v>
      </c>
      <c r="E1591" s="8">
        <f>COUNTIFS('All Papers'!$D:$D,"*"&amp;$A1591&amp;"*",'All Papers'!$G:$G,"*"&amp;Table1[[#Headers],[Selection]]&amp;"*")</f>
        <v>1</v>
      </c>
      <c r="F1591" s="8">
        <f>COUNTIFS('All Papers'!$D:$D,"*"&amp;$A1591&amp;"*",'All Papers'!$G:$G,"*"&amp;Table1[[#Headers],[Recommendation]]&amp;"*")</f>
        <v>0</v>
      </c>
      <c r="G1591" s="8">
        <f>COUNTIFS('All Papers'!$D:$D,"*"&amp;$A1591&amp;"*",'All Papers'!$G:$G,"*"&amp;Table1[[#Headers],[Resource Management-CS]]&amp;"*")</f>
        <v>0</v>
      </c>
      <c r="H1591" s="8">
        <f>COUNTIFS('All Papers'!$D:$D,"*"&amp;$A1591&amp;"*",'All Papers'!$G:$G,"*"&amp;Table1[[#Headers],[Resource Management-PS]]&amp;"*")</f>
        <v>0</v>
      </c>
      <c r="I1591" s="8">
        <f>COUNTIFS('All Papers'!$D:$D,"*"&amp;$A1591&amp;"*",'All Papers'!$G:$G,"*"&amp;Table1[[#Headers],[SLA Management]]&amp;"*")</f>
        <v>0</v>
      </c>
      <c r="J1591" s="8">
        <f>COUNTIFS('All Papers'!$D:$D,"*"&amp;$A1591&amp;"*",'All Papers'!$G:$G,"*"&amp;Table1[[#Headers],[Big Data]]&amp;"*")</f>
        <v>0</v>
      </c>
      <c r="K1591" s="8">
        <f>COUNTIFS('All Papers'!$D:$D,"*"&amp;$A1591&amp;"*",'All Papers'!$G:$G,"*"&amp;Table1[[#Headers],[Energy Management]]&amp;"*")</f>
        <v>0</v>
      </c>
      <c r="L1591" s="8">
        <f>COUNTIFS('All Papers'!$D:$D,"*"&amp;$A1591&amp;"*",'All Papers'!$G:$G,"*"&amp;Table1[[#Headers],[Monitoring]]&amp;"*")</f>
        <v>0</v>
      </c>
      <c r="M1591" s="8">
        <f>COUNTIFS('All Papers'!$D:$D,"*"&amp;$A1591&amp;"*",'All Papers'!$G:$G,"*"&amp;Table1[[#Headers],[Pricing]]&amp;"*")</f>
        <v>0</v>
      </c>
    </row>
    <row r="1592" spans="1:13" x14ac:dyDescent="0.25">
      <c r="A1592" s="8" t="s">
        <v>4025</v>
      </c>
      <c r="B1592" s="8">
        <f>COUNTIF('All Papers'!D:D,"*"&amp;Table1[[#This Row],[Name]]&amp;"*")</f>
        <v>1</v>
      </c>
      <c r="C1592" s="8">
        <f>COUNTIFS('All Papers'!$D:$D,"*"&amp;$A1592&amp;"*",'All Papers'!$G:$G,"*"&amp;Table1[[#Headers],[Composition]]&amp;"*")</f>
        <v>0</v>
      </c>
      <c r="D1592" s="8">
        <f>COUNTIFS('All Papers'!$D:$D,"*"&amp;$A1592&amp;"*",'All Papers'!$G:$G,"*"&amp;Table1[[#Headers],[Discovery]]&amp;"*")</f>
        <v>0</v>
      </c>
      <c r="E1592" s="8">
        <f>COUNTIFS('All Papers'!$D:$D,"*"&amp;$A1592&amp;"*",'All Papers'!$G:$G,"*"&amp;Table1[[#Headers],[Selection]]&amp;"*")</f>
        <v>1</v>
      </c>
      <c r="F1592" s="8">
        <f>COUNTIFS('All Papers'!$D:$D,"*"&amp;$A1592&amp;"*",'All Papers'!$G:$G,"*"&amp;Table1[[#Headers],[Recommendation]]&amp;"*")</f>
        <v>0</v>
      </c>
      <c r="G1592" s="8">
        <f>COUNTIFS('All Papers'!$D:$D,"*"&amp;$A1592&amp;"*",'All Papers'!$G:$G,"*"&amp;Table1[[#Headers],[Resource Management-CS]]&amp;"*")</f>
        <v>0</v>
      </c>
      <c r="H1592" s="8">
        <f>COUNTIFS('All Papers'!$D:$D,"*"&amp;$A1592&amp;"*",'All Papers'!$G:$G,"*"&amp;Table1[[#Headers],[Resource Management-PS]]&amp;"*")</f>
        <v>0</v>
      </c>
      <c r="I1592" s="8">
        <f>COUNTIFS('All Papers'!$D:$D,"*"&amp;$A1592&amp;"*",'All Papers'!$G:$G,"*"&amp;Table1[[#Headers],[SLA Management]]&amp;"*")</f>
        <v>0</v>
      </c>
      <c r="J1592" s="8">
        <f>COUNTIFS('All Papers'!$D:$D,"*"&amp;$A1592&amp;"*",'All Papers'!$G:$G,"*"&amp;Table1[[#Headers],[Big Data]]&amp;"*")</f>
        <v>0</v>
      </c>
      <c r="K1592" s="8">
        <f>COUNTIFS('All Papers'!$D:$D,"*"&amp;$A1592&amp;"*",'All Papers'!$G:$G,"*"&amp;Table1[[#Headers],[Energy Management]]&amp;"*")</f>
        <v>0</v>
      </c>
      <c r="L1592" s="8">
        <f>COUNTIFS('All Papers'!$D:$D,"*"&amp;$A1592&amp;"*",'All Papers'!$G:$G,"*"&amp;Table1[[#Headers],[Monitoring]]&amp;"*")</f>
        <v>0</v>
      </c>
      <c r="M1592" s="8">
        <f>COUNTIFS('All Papers'!$D:$D,"*"&amp;$A1592&amp;"*",'All Papers'!$G:$G,"*"&amp;Table1[[#Headers],[Pricing]]&amp;"*")</f>
        <v>0</v>
      </c>
    </row>
    <row r="1593" spans="1:13" x14ac:dyDescent="0.25">
      <c r="A1593" s="8" t="s">
        <v>4026</v>
      </c>
      <c r="B1593" s="8">
        <f>COUNTIF('All Papers'!D:D,"*"&amp;Table1[[#This Row],[Name]]&amp;"*")</f>
        <v>1</v>
      </c>
      <c r="C1593" s="8">
        <f>COUNTIFS('All Papers'!$D:$D,"*"&amp;$A1593&amp;"*",'All Papers'!$G:$G,"*"&amp;Table1[[#Headers],[Composition]]&amp;"*")</f>
        <v>0</v>
      </c>
      <c r="D1593" s="8">
        <f>COUNTIFS('All Papers'!$D:$D,"*"&amp;$A1593&amp;"*",'All Papers'!$G:$G,"*"&amp;Table1[[#Headers],[Discovery]]&amp;"*")</f>
        <v>0</v>
      </c>
      <c r="E1593" s="8">
        <f>COUNTIFS('All Papers'!$D:$D,"*"&amp;$A1593&amp;"*",'All Papers'!$G:$G,"*"&amp;Table1[[#Headers],[Selection]]&amp;"*")</f>
        <v>1</v>
      </c>
      <c r="F1593" s="8">
        <f>COUNTIFS('All Papers'!$D:$D,"*"&amp;$A1593&amp;"*",'All Papers'!$G:$G,"*"&amp;Table1[[#Headers],[Recommendation]]&amp;"*")</f>
        <v>0</v>
      </c>
      <c r="G1593" s="8">
        <f>COUNTIFS('All Papers'!$D:$D,"*"&amp;$A1593&amp;"*",'All Papers'!$G:$G,"*"&amp;Table1[[#Headers],[Resource Management-CS]]&amp;"*")</f>
        <v>0</v>
      </c>
      <c r="H1593" s="8">
        <f>COUNTIFS('All Papers'!$D:$D,"*"&amp;$A1593&amp;"*",'All Papers'!$G:$G,"*"&amp;Table1[[#Headers],[Resource Management-PS]]&amp;"*")</f>
        <v>0</v>
      </c>
      <c r="I1593" s="8">
        <f>COUNTIFS('All Papers'!$D:$D,"*"&amp;$A1593&amp;"*",'All Papers'!$G:$G,"*"&amp;Table1[[#Headers],[SLA Management]]&amp;"*")</f>
        <v>0</v>
      </c>
      <c r="J1593" s="8">
        <f>COUNTIFS('All Papers'!$D:$D,"*"&amp;$A1593&amp;"*",'All Papers'!$G:$G,"*"&amp;Table1[[#Headers],[Big Data]]&amp;"*")</f>
        <v>0</v>
      </c>
      <c r="K1593" s="8">
        <f>COUNTIFS('All Papers'!$D:$D,"*"&amp;$A1593&amp;"*",'All Papers'!$G:$G,"*"&amp;Table1[[#Headers],[Energy Management]]&amp;"*")</f>
        <v>0</v>
      </c>
      <c r="L1593" s="8">
        <f>COUNTIFS('All Papers'!$D:$D,"*"&amp;$A1593&amp;"*",'All Papers'!$G:$G,"*"&amp;Table1[[#Headers],[Monitoring]]&amp;"*")</f>
        <v>0</v>
      </c>
      <c r="M1593" s="8">
        <f>COUNTIFS('All Papers'!$D:$D,"*"&amp;$A1593&amp;"*",'All Papers'!$G:$G,"*"&amp;Table1[[#Headers],[Pricing]]&amp;"*")</f>
        <v>0</v>
      </c>
    </row>
    <row r="1594" spans="1:13" x14ac:dyDescent="0.25">
      <c r="A1594" s="8" t="s">
        <v>4027</v>
      </c>
      <c r="B1594" s="8">
        <f>COUNTIF('All Papers'!D:D,"*"&amp;Table1[[#This Row],[Name]]&amp;"*")</f>
        <v>1</v>
      </c>
      <c r="C1594" s="8">
        <f>COUNTIFS('All Papers'!$D:$D,"*"&amp;$A1594&amp;"*",'All Papers'!$G:$G,"*"&amp;Table1[[#Headers],[Composition]]&amp;"*")</f>
        <v>0</v>
      </c>
      <c r="D1594" s="8">
        <f>COUNTIFS('All Papers'!$D:$D,"*"&amp;$A1594&amp;"*",'All Papers'!$G:$G,"*"&amp;Table1[[#Headers],[Discovery]]&amp;"*")</f>
        <v>0</v>
      </c>
      <c r="E1594" s="8">
        <f>COUNTIFS('All Papers'!$D:$D,"*"&amp;$A1594&amp;"*",'All Papers'!$G:$G,"*"&amp;Table1[[#Headers],[Selection]]&amp;"*")</f>
        <v>0</v>
      </c>
      <c r="F1594" s="8">
        <f>COUNTIFS('All Papers'!$D:$D,"*"&amp;$A1594&amp;"*",'All Papers'!$G:$G,"*"&amp;Table1[[#Headers],[Recommendation]]&amp;"*")</f>
        <v>0</v>
      </c>
      <c r="G1594" s="8">
        <f>COUNTIFS('All Papers'!$D:$D,"*"&amp;$A1594&amp;"*",'All Papers'!$G:$G,"*"&amp;Table1[[#Headers],[Resource Management-CS]]&amp;"*")</f>
        <v>0</v>
      </c>
      <c r="H1594" s="8">
        <f>COUNTIFS('All Papers'!$D:$D,"*"&amp;$A1594&amp;"*",'All Papers'!$G:$G,"*"&amp;Table1[[#Headers],[Resource Management-PS]]&amp;"*")</f>
        <v>0</v>
      </c>
      <c r="I1594" s="8">
        <f>COUNTIFS('All Papers'!$D:$D,"*"&amp;$A1594&amp;"*",'All Papers'!$G:$G,"*"&amp;Table1[[#Headers],[SLA Management]]&amp;"*")</f>
        <v>0</v>
      </c>
      <c r="J1594" s="8">
        <f>COUNTIFS('All Papers'!$D:$D,"*"&amp;$A1594&amp;"*",'All Papers'!$G:$G,"*"&amp;Table1[[#Headers],[Big Data]]&amp;"*")</f>
        <v>0</v>
      </c>
      <c r="K1594" s="8">
        <f>COUNTIFS('All Papers'!$D:$D,"*"&amp;$A1594&amp;"*",'All Papers'!$G:$G,"*"&amp;Table1[[#Headers],[Energy Management]]&amp;"*")</f>
        <v>0</v>
      </c>
      <c r="L1594" s="8">
        <f>COUNTIFS('All Papers'!$D:$D,"*"&amp;$A1594&amp;"*",'All Papers'!$G:$G,"*"&amp;Table1[[#Headers],[Monitoring]]&amp;"*")</f>
        <v>1</v>
      </c>
      <c r="M1594" s="8">
        <f>COUNTIFS('All Papers'!$D:$D,"*"&amp;$A1594&amp;"*",'All Papers'!$G:$G,"*"&amp;Table1[[#Headers],[Pricing]]&amp;"*")</f>
        <v>0</v>
      </c>
    </row>
    <row r="1595" spans="1:13" x14ac:dyDescent="0.25">
      <c r="A1595" s="8" t="s">
        <v>4028</v>
      </c>
      <c r="B1595" s="8">
        <f>COUNTIF('All Papers'!D:D,"*"&amp;Table1[[#This Row],[Name]]&amp;"*")</f>
        <v>1</v>
      </c>
      <c r="C1595" s="8">
        <f>COUNTIFS('All Papers'!$D:$D,"*"&amp;$A1595&amp;"*",'All Papers'!$G:$G,"*"&amp;Table1[[#Headers],[Composition]]&amp;"*")</f>
        <v>0</v>
      </c>
      <c r="D1595" s="8">
        <f>COUNTIFS('All Papers'!$D:$D,"*"&amp;$A1595&amp;"*",'All Papers'!$G:$G,"*"&amp;Table1[[#Headers],[Discovery]]&amp;"*")</f>
        <v>0</v>
      </c>
      <c r="E1595" s="8">
        <f>COUNTIFS('All Papers'!$D:$D,"*"&amp;$A1595&amp;"*",'All Papers'!$G:$G,"*"&amp;Table1[[#Headers],[Selection]]&amp;"*")</f>
        <v>0</v>
      </c>
      <c r="F1595" s="8">
        <f>COUNTIFS('All Papers'!$D:$D,"*"&amp;$A1595&amp;"*",'All Papers'!$G:$G,"*"&amp;Table1[[#Headers],[Recommendation]]&amp;"*")</f>
        <v>0</v>
      </c>
      <c r="G1595" s="8">
        <f>COUNTIFS('All Papers'!$D:$D,"*"&amp;$A1595&amp;"*",'All Papers'!$G:$G,"*"&amp;Table1[[#Headers],[Resource Management-CS]]&amp;"*")</f>
        <v>0</v>
      </c>
      <c r="H1595" s="8">
        <f>COUNTIFS('All Papers'!$D:$D,"*"&amp;$A1595&amp;"*",'All Papers'!$G:$G,"*"&amp;Table1[[#Headers],[Resource Management-PS]]&amp;"*")</f>
        <v>0</v>
      </c>
      <c r="I1595" s="8">
        <f>COUNTIFS('All Papers'!$D:$D,"*"&amp;$A1595&amp;"*",'All Papers'!$G:$G,"*"&amp;Table1[[#Headers],[SLA Management]]&amp;"*")</f>
        <v>0</v>
      </c>
      <c r="J1595" s="8">
        <f>COUNTIFS('All Papers'!$D:$D,"*"&amp;$A1595&amp;"*",'All Papers'!$G:$G,"*"&amp;Table1[[#Headers],[Big Data]]&amp;"*")</f>
        <v>0</v>
      </c>
      <c r="K1595" s="8">
        <f>COUNTIFS('All Papers'!$D:$D,"*"&amp;$A1595&amp;"*",'All Papers'!$G:$G,"*"&amp;Table1[[#Headers],[Energy Management]]&amp;"*")</f>
        <v>0</v>
      </c>
      <c r="L1595" s="8">
        <f>COUNTIFS('All Papers'!$D:$D,"*"&amp;$A1595&amp;"*",'All Papers'!$G:$G,"*"&amp;Table1[[#Headers],[Monitoring]]&amp;"*")</f>
        <v>1</v>
      </c>
      <c r="M1595" s="8">
        <f>COUNTIFS('All Papers'!$D:$D,"*"&amp;$A1595&amp;"*",'All Papers'!$G:$G,"*"&amp;Table1[[#Headers],[Pricing]]&amp;"*")</f>
        <v>0</v>
      </c>
    </row>
    <row r="1596" spans="1:13" x14ac:dyDescent="0.25">
      <c r="A1596" s="8" t="s">
        <v>4029</v>
      </c>
      <c r="B1596" s="8">
        <f>COUNTIF('All Papers'!D:D,"*"&amp;Table1[[#This Row],[Name]]&amp;"*")</f>
        <v>1</v>
      </c>
      <c r="C1596" s="8">
        <f>COUNTIFS('All Papers'!$D:$D,"*"&amp;$A1596&amp;"*",'All Papers'!$G:$G,"*"&amp;Table1[[#Headers],[Composition]]&amp;"*")</f>
        <v>0</v>
      </c>
      <c r="D1596" s="8">
        <f>COUNTIFS('All Papers'!$D:$D,"*"&amp;$A1596&amp;"*",'All Papers'!$G:$G,"*"&amp;Table1[[#Headers],[Discovery]]&amp;"*")</f>
        <v>0</v>
      </c>
      <c r="E1596" s="8">
        <f>COUNTIFS('All Papers'!$D:$D,"*"&amp;$A1596&amp;"*",'All Papers'!$G:$G,"*"&amp;Table1[[#Headers],[Selection]]&amp;"*")</f>
        <v>0</v>
      </c>
      <c r="F1596" s="8">
        <f>COUNTIFS('All Papers'!$D:$D,"*"&amp;$A1596&amp;"*",'All Papers'!$G:$G,"*"&amp;Table1[[#Headers],[Recommendation]]&amp;"*")</f>
        <v>0</v>
      </c>
      <c r="G1596" s="8">
        <f>COUNTIFS('All Papers'!$D:$D,"*"&amp;$A1596&amp;"*",'All Papers'!$G:$G,"*"&amp;Table1[[#Headers],[Resource Management-CS]]&amp;"*")</f>
        <v>0</v>
      </c>
      <c r="H1596" s="8">
        <f>COUNTIFS('All Papers'!$D:$D,"*"&amp;$A1596&amp;"*",'All Papers'!$G:$G,"*"&amp;Table1[[#Headers],[Resource Management-PS]]&amp;"*")</f>
        <v>0</v>
      </c>
      <c r="I1596" s="8">
        <f>COUNTIFS('All Papers'!$D:$D,"*"&amp;$A1596&amp;"*",'All Papers'!$G:$G,"*"&amp;Table1[[#Headers],[SLA Management]]&amp;"*")</f>
        <v>1</v>
      </c>
      <c r="J1596" s="8">
        <f>COUNTIFS('All Papers'!$D:$D,"*"&amp;$A1596&amp;"*",'All Papers'!$G:$G,"*"&amp;Table1[[#Headers],[Big Data]]&amp;"*")</f>
        <v>0</v>
      </c>
      <c r="K1596" s="8">
        <f>COUNTIFS('All Papers'!$D:$D,"*"&amp;$A1596&amp;"*",'All Papers'!$G:$G,"*"&amp;Table1[[#Headers],[Energy Management]]&amp;"*")</f>
        <v>0</v>
      </c>
      <c r="L1596" s="8">
        <f>COUNTIFS('All Papers'!$D:$D,"*"&amp;$A1596&amp;"*",'All Papers'!$G:$G,"*"&amp;Table1[[#Headers],[Monitoring]]&amp;"*")</f>
        <v>1</v>
      </c>
      <c r="M1596" s="8">
        <f>COUNTIFS('All Papers'!$D:$D,"*"&amp;$A1596&amp;"*",'All Papers'!$G:$G,"*"&amp;Table1[[#Headers],[Pricing]]&amp;"*")</f>
        <v>0</v>
      </c>
    </row>
    <row r="1597" spans="1:13" x14ac:dyDescent="0.25">
      <c r="A1597" s="8" t="s">
        <v>4030</v>
      </c>
      <c r="B1597" s="8">
        <f>COUNTIF('All Papers'!D:D,"*"&amp;Table1[[#This Row],[Name]]&amp;"*")</f>
        <v>1</v>
      </c>
      <c r="C1597" s="8">
        <f>COUNTIFS('All Papers'!$D:$D,"*"&amp;$A1597&amp;"*",'All Papers'!$G:$G,"*"&amp;Table1[[#Headers],[Composition]]&amp;"*")</f>
        <v>0</v>
      </c>
      <c r="D1597" s="8">
        <f>COUNTIFS('All Papers'!$D:$D,"*"&amp;$A1597&amp;"*",'All Papers'!$G:$G,"*"&amp;Table1[[#Headers],[Discovery]]&amp;"*")</f>
        <v>0</v>
      </c>
      <c r="E1597" s="8">
        <f>COUNTIFS('All Papers'!$D:$D,"*"&amp;$A1597&amp;"*",'All Papers'!$G:$G,"*"&amp;Table1[[#Headers],[Selection]]&amp;"*")</f>
        <v>0</v>
      </c>
      <c r="F1597" s="8">
        <f>COUNTIFS('All Papers'!$D:$D,"*"&amp;$A1597&amp;"*",'All Papers'!$G:$G,"*"&amp;Table1[[#Headers],[Recommendation]]&amp;"*")</f>
        <v>0</v>
      </c>
      <c r="G1597" s="8">
        <f>COUNTIFS('All Papers'!$D:$D,"*"&amp;$A1597&amp;"*",'All Papers'!$G:$G,"*"&amp;Table1[[#Headers],[Resource Management-CS]]&amp;"*")</f>
        <v>0</v>
      </c>
      <c r="H1597" s="8">
        <f>COUNTIFS('All Papers'!$D:$D,"*"&amp;$A1597&amp;"*",'All Papers'!$G:$G,"*"&amp;Table1[[#Headers],[Resource Management-PS]]&amp;"*")</f>
        <v>0</v>
      </c>
      <c r="I1597" s="8">
        <f>COUNTIFS('All Papers'!$D:$D,"*"&amp;$A1597&amp;"*",'All Papers'!$G:$G,"*"&amp;Table1[[#Headers],[SLA Management]]&amp;"*")</f>
        <v>1</v>
      </c>
      <c r="J1597" s="8">
        <f>COUNTIFS('All Papers'!$D:$D,"*"&amp;$A1597&amp;"*",'All Papers'!$G:$G,"*"&amp;Table1[[#Headers],[Big Data]]&amp;"*")</f>
        <v>0</v>
      </c>
      <c r="K1597" s="8">
        <f>COUNTIFS('All Papers'!$D:$D,"*"&amp;$A1597&amp;"*",'All Papers'!$G:$G,"*"&amp;Table1[[#Headers],[Energy Management]]&amp;"*")</f>
        <v>0</v>
      </c>
      <c r="L1597" s="8">
        <f>COUNTIFS('All Papers'!$D:$D,"*"&amp;$A1597&amp;"*",'All Papers'!$G:$G,"*"&amp;Table1[[#Headers],[Monitoring]]&amp;"*")</f>
        <v>1</v>
      </c>
      <c r="M1597" s="8">
        <f>COUNTIFS('All Papers'!$D:$D,"*"&amp;$A1597&amp;"*",'All Papers'!$G:$G,"*"&amp;Table1[[#Headers],[Pricing]]&amp;"*")</f>
        <v>0</v>
      </c>
    </row>
    <row r="1598" spans="1:13" x14ac:dyDescent="0.25">
      <c r="A1598" s="8" t="s">
        <v>4031</v>
      </c>
      <c r="B1598" s="8">
        <f>COUNTIF('All Papers'!D:D,"*"&amp;Table1[[#This Row],[Name]]&amp;"*")</f>
        <v>1</v>
      </c>
      <c r="C1598" s="8">
        <f>COUNTIFS('All Papers'!$D:$D,"*"&amp;$A1598&amp;"*",'All Papers'!$G:$G,"*"&amp;Table1[[#Headers],[Composition]]&amp;"*")</f>
        <v>0</v>
      </c>
      <c r="D1598" s="8">
        <f>COUNTIFS('All Papers'!$D:$D,"*"&amp;$A1598&amp;"*",'All Papers'!$G:$G,"*"&amp;Table1[[#Headers],[Discovery]]&amp;"*")</f>
        <v>0</v>
      </c>
      <c r="E1598" s="8">
        <f>COUNTIFS('All Papers'!$D:$D,"*"&amp;$A1598&amp;"*",'All Papers'!$G:$G,"*"&amp;Table1[[#Headers],[Selection]]&amp;"*")</f>
        <v>0</v>
      </c>
      <c r="F1598" s="8">
        <f>COUNTIFS('All Papers'!$D:$D,"*"&amp;$A1598&amp;"*",'All Papers'!$G:$G,"*"&amp;Table1[[#Headers],[Recommendation]]&amp;"*")</f>
        <v>0</v>
      </c>
      <c r="G1598" s="8">
        <f>COUNTIFS('All Papers'!$D:$D,"*"&amp;$A1598&amp;"*",'All Papers'!$G:$G,"*"&amp;Table1[[#Headers],[Resource Management-CS]]&amp;"*")</f>
        <v>1</v>
      </c>
      <c r="H1598" s="8">
        <f>COUNTIFS('All Papers'!$D:$D,"*"&amp;$A1598&amp;"*",'All Papers'!$G:$G,"*"&amp;Table1[[#Headers],[Resource Management-PS]]&amp;"*")</f>
        <v>0</v>
      </c>
      <c r="I1598" s="8">
        <f>COUNTIFS('All Papers'!$D:$D,"*"&amp;$A1598&amp;"*",'All Papers'!$G:$G,"*"&amp;Table1[[#Headers],[SLA Management]]&amp;"*")</f>
        <v>0</v>
      </c>
      <c r="J1598" s="8">
        <f>COUNTIFS('All Papers'!$D:$D,"*"&amp;$A1598&amp;"*",'All Papers'!$G:$G,"*"&amp;Table1[[#Headers],[Big Data]]&amp;"*")</f>
        <v>0</v>
      </c>
      <c r="K1598" s="8">
        <f>COUNTIFS('All Papers'!$D:$D,"*"&amp;$A1598&amp;"*",'All Papers'!$G:$G,"*"&amp;Table1[[#Headers],[Energy Management]]&amp;"*")</f>
        <v>0</v>
      </c>
      <c r="L1598" s="8">
        <f>COUNTIFS('All Papers'!$D:$D,"*"&amp;$A1598&amp;"*",'All Papers'!$G:$G,"*"&amp;Table1[[#Headers],[Monitoring]]&amp;"*")</f>
        <v>0</v>
      </c>
      <c r="M1598" s="8">
        <f>COUNTIFS('All Papers'!$D:$D,"*"&amp;$A1598&amp;"*",'All Papers'!$G:$G,"*"&amp;Table1[[#Headers],[Pricing]]&amp;"*")</f>
        <v>0</v>
      </c>
    </row>
    <row r="1599" spans="1:13" x14ac:dyDescent="0.25">
      <c r="A1599" s="8" t="s">
        <v>4032</v>
      </c>
      <c r="B1599" s="8">
        <f>COUNTIF('All Papers'!D:D,"*"&amp;Table1[[#This Row],[Name]]&amp;"*")</f>
        <v>1</v>
      </c>
      <c r="C1599" s="8">
        <f>COUNTIFS('All Papers'!$D:$D,"*"&amp;$A1599&amp;"*",'All Papers'!$G:$G,"*"&amp;Table1[[#Headers],[Composition]]&amp;"*")</f>
        <v>0</v>
      </c>
      <c r="D1599" s="8">
        <f>COUNTIFS('All Papers'!$D:$D,"*"&amp;$A1599&amp;"*",'All Papers'!$G:$G,"*"&amp;Table1[[#Headers],[Discovery]]&amp;"*")</f>
        <v>0</v>
      </c>
      <c r="E1599" s="8">
        <f>COUNTIFS('All Papers'!$D:$D,"*"&amp;$A1599&amp;"*",'All Papers'!$G:$G,"*"&amp;Table1[[#Headers],[Selection]]&amp;"*")</f>
        <v>0</v>
      </c>
      <c r="F1599" s="8">
        <f>COUNTIFS('All Papers'!$D:$D,"*"&amp;$A1599&amp;"*",'All Papers'!$G:$G,"*"&amp;Table1[[#Headers],[Recommendation]]&amp;"*")</f>
        <v>0</v>
      </c>
      <c r="G1599" s="8">
        <f>COUNTIFS('All Papers'!$D:$D,"*"&amp;$A1599&amp;"*",'All Papers'!$G:$G,"*"&amp;Table1[[#Headers],[Resource Management-CS]]&amp;"*")</f>
        <v>1</v>
      </c>
      <c r="H1599" s="8">
        <f>COUNTIFS('All Papers'!$D:$D,"*"&amp;$A1599&amp;"*",'All Papers'!$G:$G,"*"&amp;Table1[[#Headers],[Resource Management-PS]]&amp;"*")</f>
        <v>0</v>
      </c>
      <c r="I1599" s="8">
        <f>COUNTIFS('All Papers'!$D:$D,"*"&amp;$A1599&amp;"*",'All Papers'!$G:$G,"*"&amp;Table1[[#Headers],[SLA Management]]&amp;"*")</f>
        <v>0</v>
      </c>
      <c r="J1599" s="8">
        <f>COUNTIFS('All Papers'!$D:$D,"*"&amp;$A1599&amp;"*",'All Papers'!$G:$G,"*"&amp;Table1[[#Headers],[Big Data]]&amp;"*")</f>
        <v>0</v>
      </c>
      <c r="K1599" s="8">
        <f>COUNTIFS('All Papers'!$D:$D,"*"&amp;$A1599&amp;"*",'All Papers'!$G:$G,"*"&amp;Table1[[#Headers],[Energy Management]]&amp;"*")</f>
        <v>0</v>
      </c>
      <c r="L1599" s="8">
        <f>COUNTIFS('All Papers'!$D:$D,"*"&amp;$A1599&amp;"*",'All Papers'!$G:$G,"*"&amp;Table1[[#Headers],[Monitoring]]&amp;"*")</f>
        <v>0</v>
      </c>
      <c r="M1599" s="8">
        <f>COUNTIFS('All Papers'!$D:$D,"*"&amp;$A1599&amp;"*",'All Papers'!$G:$G,"*"&amp;Table1[[#Headers],[Pricing]]&amp;"*")</f>
        <v>0</v>
      </c>
    </row>
    <row r="1600" spans="1:13" x14ac:dyDescent="0.25">
      <c r="A1600" s="8" t="s">
        <v>4033</v>
      </c>
      <c r="B1600" s="8">
        <f>COUNTIF('All Papers'!D:D,"*"&amp;Table1[[#This Row],[Name]]&amp;"*")</f>
        <v>1</v>
      </c>
      <c r="C1600" s="8">
        <f>COUNTIFS('All Papers'!$D:$D,"*"&amp;$A1600&amp;"*",'All Papers'!$G:$G,"*"&amp;Table1[[#Headers],[Composition]]&amp;"*")</f>
        <v>0</v>
      </c>
      <c r="D1600" s="8">
        <f>COUNTIFS('All Papers'!$D:$D,"*"&amp;$A1600&amp;"*",'All Papers'!$G:$G,"*"&amp;Table1[[#Headers],[Discovery]]&amp;"*")</f>
        <v>0</v>
      </c>
      <c r="E1600" s="8">
        <f>COUNTIFS('All Papers'!$D:$D,"*"&amp;$A1600&amp;"*",'All Papers'!$G:$G,"*"&amp;Table1[[#Headers],[Selection]]&amp;"*")</f>
        <v>0</v>
      </c>
      <c r="F1600" s="8">
        <f>COUNTIFS('All Papers'!$D:$D,"*"&amp;$A1600&amp;"*",'All Papers'!$G:$G,"*"&amp;Table1[[#Headers],[Recommendation]]&amp;"*")</f>
        <v>0</v>
      </c>
      <c r="G1600" s="8">
        <f>COUNTIFS('All Papers'!$D:$D,"*"&amp;$A1600&amp;"*",'All Papers'!$G:$G,"*"&amp;Table1[[#Headers],[Resource Management-CS]]&amp;"*")</f>
        <v>1</v>
      </c>
      <c r="H1600" s="8">
        <f>COUNTIFS('All Papers'!$D:$D,"*"&amp;$A1600&amp;"*",'All Papers'!$G:$G,"*"&amp;Table1[[#Headers],[Resource Management-PS]]&amp;"*")</f>
        <v>0</v>
      </c>
      <c r="I1600" s="8">
        <f>COUNTIFS('All Papers'!$D:$D,"*"&amp;$A1600&amp;"*",'All Papers'!$G:$G,"*"&amp;Table1[[#Headers],[SLA Management]]&amp;"*")</f>
        <v>0</v>
      </c>
      <c r="J1600" s="8">
        <f>COUNTIFS('All Papers'!$D:$D,"*"&amp;$A1600&amp;"*",'All Papers'!$G:$G,"*"&amp;Table1[[#Headers],[Big Data]]&amp;"*")</f>
        <v>0</v>
      </c>
      <c r="K1600" s="8">
        <f>COUNTIFS('All Papers'!$D:$D,"*"&amp;$A1600&amp;"*",'All Papers'!$G:$G,"*"&amp;Table1[[#Headers],[Energy Management]]&amp;"*")</f>
        <v>0</v>
      </c>
      <c r="L1600" s="8">
        <f>COUNTIFS('All Papers'!$D:$D,"*"&amp;$A1600&amp;"*",'All Papers'!$G:$G,"*"&amp;Table1[[#Headers],[Monitoring]]&amp;"*")</f>
        <v>0</v>
      </c>
      <c r="M1600" s="8">
        <f>COUNTIFS('All Papers'!$D:$D,"*"&amp;$A1600&amp;"*",'All Papers'!$G:$G,"*"&amp;Table1[[#Headers],[Pricing]]&amp;"*")</f>
        <v>0</v>
      </c>
    </row>
    <row r="1601" spans="1:13" x14ac:dyDescent="0.25">
      <c r="A1601" s="8" t="s">
        <v>4034</v>
      </c>
      <c r="B1601" s="8">
        <f>COUNTIF('All Papers'!D:D,"*"&amp;Table1[[#This Row],[Name]]&amp;"*")</f>
        <v>1</v>
      </c>
      <c r="C1601" s="8">
        <f>COUNTIFS('All Papers'!$D:$D,"*"&amp;$A1601&amp;"*",'All Papers'!$G:$G,"*"&amp;Table1[[#Headers],[Composition]]&amp;"*")</f>
        <v>0</v>
      </c>
      <c r="D1601" s="8">
        <f>COUNTIFS('All Papers'!$D:$D,"*"&amp;$A1601&amp;"*",'All Papers'!$G:$G,"*"&amp;Table1[[#Headers],[Discovery]]&amp;"*")</f>
        <v>0</v>
      </c>
      <c r="E1601" s="8">
        <f>COUNTIFS('All Papers'!$D:$D,"*"&amp;$A1601&amp;"*",'All Papers'!$G:$G,"*"&amp;Table1[[#Headers],[Selection]]&amp;"*")</f>
        <v>0</v>
      </c>
      <c r="F1601" s="8">
        <f>COUNTIFS('All Papers'!$D:$D,"*"&amp;$A1601&amp;"*",'All Papers'!$G:$G,"*"&amp;Table1[[#Headers],[Recommendation]]&amp;"*")</f>
        <v>0</v>
      </c>
      <c r="G1601" s="8">
        <f>COUNTIFS('All Papers'!$D:$D,"*"&amp;$A1601&amp;"*",'All Papers'!$G:$G,"*"&amp;Table1[[#Headers],[Resource Management-CS]]&amp;"*")</f>
        <v>1</v>
      </c>
      <c r="H1601" s="8">
        <f>COUNTIFS('All Papers'!$D:$D,"*"&amp;$A1601&amp;"*",'All Papers'!$G:$G,"*"&amp;Table1[[#Headers],[Resource Management-PS]]&amp;"*")</f>
        <v>0</v>
      </c>
      <c r="I1601" s="8">
        <f>COUNTIFS('All Papers'!$D:$D,"*"&amp;$A1601&amp;"*",'All Papers'!$G:$G,"*"&amp;Table1[[#Headers],[SLA Management]]&amp;"*")</f>
        <v>0</v>
      </c>
      <c r="J1601" s="8">
        <f>COUNTIFS('All Papers'!$D:$D,"*"&amp;$A1601&amp;"*",'All Papers'!$G:$G,"*"&amp;Table1[[#Headers],[Big Data]]&amp;"*")</f>
        <v>0</v>
      </c>
      <c r="K1601" s="8">
        <f>COUNTIFS('All Papers'!$D:$D,"*"&amp;$A1601&amp;"*",'All Papers'!$G:$G,"*"&amp;Table1[[#Headers],[Energy Management]]&amp;"*")</f>
        <v>0</v>
      </c>
      <c r="L1601" s="8">
        <f>COUNTIFS('All Papers'!$D:$D,"*"&amp;$A1601&amp;"*",'All Papers'!$G:$G,"*"&amp;Table1[[#Headers],[Monitoring]]&amp;"*")</f>
        <v>0</v>
      </c>
      <c r="M1601" s="8">
        <f>COUNTIFS('All Papers'!$D:$D,"*"&amp;$A1601&amp;"*",'All Papers'!$G:$G,"*"&amp;Table1[[#Headers],[Pricing]]&amp;"*")</f>
        <v>0</v>
      </c>
    </row>
    <row r="1602" spans="1:13" x14ac:dyDescent="0.25">
      <c r="A1602" s="8" t="s">
        <v>4035</v>
      </c>
      <c r="B1602" s="8">
        <f>COUNTIF('All Papers'!D:D,"*"&amp;Table1[[#This Row],[Name]]&amp;"*")</f>
        <v>1</v>
      </c>
      <c r="C1602" s="8">
        <f>COUNTIFS('All Papers'!$D:$D,"*"&amp;$A1602&amp;"*",'All Papers'!$G:$G,"*"&amp;Table1[[#Headers],[Composition]]&amp;"*")</f>
        <v>0</v>
      </c>
      <c r="D1602" s="8">
        <f>COUNTIFS('All Papers'!$D:$D,"*"&amp;$A1602&amp;"*",'All Papers'!$G:$G,"*"&amp;Table1[[#Headers],[Discovery]]&amp;"*")</f>
        <v>0</v>
      </c>
      <c r="E1602" s="8">
        <f>COUNTIFS('All Papers'!$D:$D,"*"&amp;$A1602&amp;"*",'All Papers'!$G:$G,"*"&amp;Table1[[#Headers],[Selection]]&amp;"*")</f>
        <v>0</v>
      </c>
      <c r="F1602" s="8">
        <f>COUNTIFS('All Papers'!$D:$D,"*"&amp;$A1602&amp;"*",'All Papers'!$G:$G,"*"&amp;Table1[[#Headers],[Recommendation]]&amp;"*")</f>
        <v>0</v>
      </c>
      <c r="G1602" s="8">
        <f>COUNTIFS('All Papers'!$D:$D,"*"&amp;$A1602&amp;"*",'All Papers'!$G:$G,"*"&amp;Table1[[#Headers],[Resource Management-CS]]&amp;"*")</f>
        <v>1</v>
      </c>
      <c r="H1602" s="8">
        <f>COUNTIFS('All Papers'!$D:$D,"*"&amp;$A1602&amp;"*",'All Papers'!$G:$G,"*"&amp;Table1[[#Headers],[Resource Management-PS]]&amp;"*")</f>
        <v>0</v>
      </c>
      <c r="I1602" s="8">
        <f>COUNTIFS('All Papers'!$D:$D,"*"&amp;$A1602&amp;"*",'All Papers'!$G:$G,"*"&amp;Table1[[#Headers],[SLA Management]]&amp;"*")</f>
        <v>0</v>
      </c>
      <c r="J1602" s="8">
        <f>COUNTIFS('All Papers'!$D:$D,"*"&amp;$A1602&amp;"*",'All Papers'!$G:$G,"*"&amp;Table1[[#Headers],[Big Data]]&amp;"*")</f>
        <v>0</v>
      </c>
      <c r="K1602" s="8">
        <f>COUNTIFS('All Papers'!$D:$D,"*"&amp;$A1602&amp;"*",'All Papers'!$G:$G,"*"&amp;Table1[[#Headers],[Energy Management]]&amp;"*")</f>
        <v>0</v>
      </c>
      <c r="L1602" s="8">
        <f>COUNTIFS('All Papers'!$D:$D,"*"&amp;$A1602&amp;"*",'All Papers'!$G:$G,"*"&amp;Table1[[#Headers],[Monitoring]]&amp;"*")</f>
        <v>0</v>
      </c>
      <c r="M1602" s="8">
        <f>COUNTIFS('All Papers'!$D:$D,"*"&amp;$A1602&amp;"*",'All Papers'!$G:$G,"*"&amp;Table1[[#Headers],[Pricing]]&amp;"*")</f>
        <v>0</v>
      </c>
    </row>
    <row r="1603" spans="1:13" x14ac:dyDescent="0.25">
      <c r="A1603" s="8" t="s">
        <v>4036</v>
      </c>
      <c r="B1603" s="8">
        <f>COUNTIF('All Papers'!D:D,"*"&amp;Table1[[#This Row],[Name]]&amp;"*")</f>
        <v>1</v>
      </c>
      <c r="C1603" s="8">
        <f>COUNTIFS('All Papers'!$D:$D,"*"&amp;$A1603&amp;"*",'All Papers'!$G:$G,"*"&amp;Table1[[#Headers],[Composition]]&amp;"*")</f>
        <v>0</v>
      </c>
      <c r="D1603" s="8">
        <f>COUNTIFS('All Papers'!$D:$D,"*"&amp;$A1603&amp;"*",'All Papers'!$G:$G,"*"&amp;Table1[[#Headers],[Discovery]]&amp;"*")</f>
        <v>0</v>
      </c>
      <c r="E1603" s="8">
        <f>COUNTIFS('All Papers'!$D:$D,"*"&amp;$A1603&amp;"*",'All Papers'!$G:$G,"*"&amp;Table1[[#Headers],[Selection]]&amp;"*")</f>
        <v>0</v>
      </c>
      <c r="F1603" s="8">
        <f>COUNTIFS('All Papers'!$D:$D,"*"&amp;$A1603&amp;"*",'All Papers'!$G:$G,"*"&amp;Table1[[#Headers],[Recommendation]]&amp;"*")</f>
        <v>0</v>
      </c>
      <c r="G1603" s="8">
        <f>COUNTIFS('All Papers'!$D:$D,"*"&amp;$A1603&amp;"*",'All Papers'!$G:$G,"*"&amp;Table1[[#Headers],[Resource Management-CS]]&amp;"*")</f>
        <v>1</v>
      </c>
      <c r="H1603" s="8">
        <f>COUNTIFS('All Papers'!$D:$D,"*"&amp;$A1603&amp;"*",'All Papers'!$G:$G,"*"&amp;Table1[[#Headers],[Resource Management-PS]]&amp;"*")</f>
        <v>0</v>
      </c>
      <c r="I1603" s="8">
        <f>COUNTIFS('All Papers'!$D:$D,"*"&amp;$A1603&amp;"*",'All Papers'!$G:$G,"*"&amp;Table1[[#Headers],[SLA Management]]&amp;"*")</f>
        <v>0</v>
      </c>
      <c r="J1603" s="8">
        <f>COUNTIFS('All Papers'!$D:$D,"*"&amp;$A1603&amp;"*",'All Papers'!$G:$G,"*"&amp;Table1[[#Headers],[Big Data]]&amp;"*")</f>
        <v>0</v>
      </c>
      <c r="K1603" s="8">
        <f>COUNTIFS('All Papers'!$D:$D,"*"&amp;$A1603&amp;"*",'All Papers'!$G:$G,"*"&amp;Table1[[#Headers],[Energy Management]]&amp;"*")</f>
        <v>0</v>
      </c>
      <c r="L1603" s="8">
        <f>COUNTIFS('All Papers'!$D:$D,"*"&amp;$A1603&amp;"*",'All Papers'!$G:$G,"*"&amp;Table1[[#Headers],[Monitoring]]&amp;"*")</f>
        <v>0</v>
      </c>
      <c r="M1603" s="8">
        <f>COUNTIFS('All Papers'!$D:$D,"*"&amp;$A1603&amp;"*",'All Papers'!$G:$G,"*"&amp;Table1[[#Headers],[Pricing]]&amp;"*")</f>
        <v>0</v>
      </c>
    </row>
    <row r="1604" spans="1:13" x14ac:dyDescent="0.25">
      <c r="A1604" s="8" t="s">
        <v>4037</v>
      </c>
      <c r="B1604" s="8">
        <f>COUNTIF('All Papers'!D:D,"*"&amp;Table1[[#This Row],[Name]]&amp;"*")</f>
        <v>1</v>
      </c>
      <c r="C1604" s="8">
        <f>COUNTIFS('All Papers'!$D:$D,"*"&amp;$A1604&amp;"*",'All Papers'!$G:$G,"*"&amp;Table1[[#Headers],[Composition]]&amp;"*")</f>
        <v>0</v>
      </c>
      <c r="D1604" s="8">
        <f>COUNTIFS('All Papers'!$D:$D,"*"&amp;$A1604&amp;"*",'All Papers'!$G:$G,"*"&amp;Table1[[#Headers],[Discovery]]&amp;"*")</f>
        <v>0</v>
      </c>
      <c r="E1604" s="8">
        <f>COUNTIFS('All Papers'!$D:$D,"*"&amp;$A1604&amp;"*",'All Papers'!$G:$G,"*"&amp;Table1[[#Headers],[Selection]]&amp;"*")</f>
        <v>0</v>
      </c>
      <c r="F1604" s="8">
        <f>COUNTIFS('All Papers'!$D:$D,"*"&amp;$A1604&amp;"*",'All Papers'!$G:$G,"*"&amp;Table1[[#Headers],[Recommendation]]&amp;"*")</f>
        <v>0</v>
      </c>
      <c r="G1604" s="8">
        <f>COUNTIFS('All Papers'!$D:$D,"*"&amp;$A1604&amp;"*",'All Papers'!$G:$G,"*"&amp;Table1[[#Headers],[Resource Management-CS]]&amp;"*")</f>
        <v>0</v>
      </c>
      <c r="H1604" s="8">
        <f>COUNTIFS('All Papers'!$D:$D,"*"&amp;$A1604&amp;"*",'All Papers'!$G:$G,"*"&amp;Table1[[#Headers],[Resource Management-PS]]&amp;"*")</f>
        <v>0</v>
      </c>
      <c r="I1604" s="8">
        <f>COUNTIFS('All Papers'!$D:$D,"*"&amp;$A1604&amp;"*",'All Papers'!$G:$G,"*"&amp;Table1[[#Headers],[SLA Management]]&amp;"*")</f>
        <v>0</v>
      </c>
      <c r="J1604" s="8">
        <f>COUNTIFS('All Papers'!$D:$D,"*"&amp;$A1604&amp;"*",'All Papers'!$G:$G,"*"&amp;Table1[[#Headers],[Big Data]]&amp;"*")</f>
        <v>0</v>
      </c>
      <c r="K1604" s="8">
        <f>COUNTIFS('All Papers'!$D:$D,"*"&amp;$A1604&amp;"*",'All Papers'!$G:$G,"*"&amp;Table1[[#Headers],[Energy Management]]&amp;"*")</f>
        <v>0</v>
      </c>
      <c r="L1604" s="8">
        <f>COUNTIFS('All Papers'!$D:$D,"*"&amp;$A1604&amp;"*",'All Papers'!$G:$G,"*"&amp;Table1[[#Headers],[Monitoring]]&amp;"*")</f>
        <v>0</v>
      </c>
      <c r="M1604" s="8">
        <f>COUNTIFS('All Papers'!$D:$D,"*"&amp;$A1604&amp;"*",'All Papers'!$G:$G,"*"&amp;Table1[[#Headers],[Pricing]]&amp;"*")</f>
        <v>0</v>
      </c>
    </row>
    <row r="1605" spans="1:13" x14ac:dyDescent="0.25">
      <c r="A1605" s="8" t="s">
        <v>4038</v>
      </c>
      <c r="B1605" s="8">
        <f>COUNTIF('All Papers'!D:D,"*"&amp;Table1[[#This Row],[Name]]&amp;"*")</f>
        <v>1</v>
      </c>
      <c r="C1605" s="8">
        <f>COUNTIFS('All Papers'!$D:$D,"*"&amp;$A1605&amp;"*",'All Papers'!$G:$G,"*"&amp;Table1[[#Headers],[Composition]]&amp;"*")</f>
        <v>0</v>
      </c>
      <c r="D1605" s="8">
        <f>COUNTIFS('All Papers'!$D:$D,"*"&amp;$A1605&amp;"*",'All Papers'!$G:$G,"*"&amp;Table1[[#Headers],[Discovery]]&amp;"*")</f>
        <v>0</v>
      </c>
      <c r="E1605" s="8">
        <f>COUNTIFS('All Papers'!$D:$D,"*"&amp;$A1605&amp;"*",'All Papers'!$G:$G,"*"&amp;Table1[[#Headers],[Selection]]&amp;"*")</f>
        <v>0</v>
      </c>
      <c r="F1605" s="8">
        <f>COUNTIFS('All Papers'!$D:$D,"*"&amp;$A1605&amp;"*",'All Papers'!$G:$G,"*"&amp;Table1[[#Headers],[Recommendation]]&amp;"*")</f>
        <v>0</v>
      </c>
      <c r="G1605" s="8">
        <f>COUNTIFS('All Papers'!$D:$D,"*"&amp;$A1605&amp;"*",'All Papers'!$G:$G,"*"&amp;Table1[[#Headers],[Resource Management-CS]]&amp;"*")</f>
        <v>0</v>
      </c>
      <c r="H1605" s="8">
        <f>COUNTIFS('All Papers'!$D:$D,"*"&amp;$A1605&amp;"*",'All Papers'!$G:$G,"*"&amp;Table1[[#Headers],[Resource Management-PS]]&amp;"*")</f>
        <v>0</v>
      </c>
      <c r="I1605" s="8">
        <f>COUNTIFS('All Papers'!$D:$D,"*"&amp;$A1605&amp;"*",'All Papers'!$G:$G,"*"&amp;Table1[[#Headers],[SLA Management]]&amp;"*")</f>
        <v>0</v>
      </c>
      <c r="J1605" s="8">
        <f>COUNTIFS('All Papers'!$D:$D,"*"&amp;$A1605&amp;"*",'All Papers'!$G:$G,"*"&amp;Table1[[#Headers],[Big Data]]&amp;"*")</f>
        <v>0</v>
      </c>
      <c r="K1605" s="8">
        <f>COUNTIFS('All Papers'!$D:$D,"*"&amp;$A1605&amp;"*",'All Papers'!$G:$G,"*"&amp;Table1[[#Headers],[Energy Management]]&amp;"*")</f>
        <v>0</v>
      </c>
      <c r="L1605" s="8">
        <f>COUNTIFS('All Papers'!$D:$D,"*"&amp;$A1605&amp;"*",'All Papers'!$G:$G,"*"&amp;Table1[[#Headers],[Monitoring]]&amp;"*")</f>
        <v>0</v>
      </c>
      <c r="M1605" s="8">
        <f>COUNTIFS('All Papers'!$D:$D,"*"&amp;$A1605&amp;"*",'All Papers'!$G:$G,"*"&amp;Table1[[#Headers],[Pricing]]&amp;"*")</f>
        <v>0</v>
      </c>
    </row>
    <row r="1606" spans="1:13" x14ac:dyDescent="0.25">
      <c r="A1606" s="8" t="s">
        <v>4039</v>
      </c>
      <c r="B1606" s="8">
        <f>COUNTIF('All Papers'!D:D,"*"&amp;Table1[[#This Row],[Name]]&amp;"*")</f>
        <v>1</v>
      </c>
      <c r="C1606" s="8">
        <f>COUNTIFS('All Papers'!$D:$D,"*"&amp;$A1606&amp;"*",'All Papers'!$G:$G,"*"&amp;Table1[[#Headers],[Composition]]&amp;"*")</f>
        <v>0</v>
      </c>
      <c r="D1606" s="8">
        <f>COUNTIFS('All Papers'!$D:$D,"*"&amp;$A1606&amp;"*",'All Papers'!$G:$G,"*"&amp;Table1[[#Headers],[Discovery]]&amp;"*")</f>
        <v>0</v>
      </c>
      <c r="E1606" s="8">
        <f>COUNTIFS('All Papers'!$D:$D,"*"&amp;$A1606&amp;"*",'All Papers'!$G:$G,"*"&amp;Table1[[#Headers],[Selection]]&amp;"*")</f>
        <v>0</v>
      </c>
      <c r="F1606" s="8">
        <f>COUNTIFS('All Papers'!$D:$D,"*"&amp;$A1606&amp;"*",'All Papers'!$G:$G,"*"&amp;Table1[[#Headers],[Recommendation]]&amp;"*")</f>
        <v>0</v>
      </c>
      <c r="G1606" s="8">
        <f>COUNTIFS('All Papers'!$D:$D,"*"&amp;$A1606&amp;"*",'All Papers'!$G:$G,"*"&amp;Table1[[#Headers],[Resource Management-CS]]&amp;"*")</f>
        <v>0</v>
      </c>
      <c r="H1606" s="8">
        <f>COUNTIFS('All Papers'!$D:$D,"*"&amp;$A1606&amp;"*",'All Papers'!$G:$G,"*"&amp;Table1[[#Headers],[Resource Management-PS]]&amp;"*")</f>
        <v>0</v>
      </c>
      <c r="I1606" s="8">
        <f>COUNTIFS('All Papers'!$D:$D,"*"&amp;$A1606&amp;"*",'All Papers'!$G:$G,"*"&amp;Table1[[#Headers],[SLA Management]]&amp;"*")</f>
        <v>0</v>
      </c>
      <c r="J1606" s="8">
        <f>COUNTIFS('All Papers'!$D:$D,"*"&amp;$A1606&amp;"*",'All Papers'!$G:$G,"*"&amp;Table1[[#Headers],[Big Data]]&amp;"*")</f>
        <v>0</v>
      </c>
      <c r="K1606" s="8">
        <f>COUNTIFS('All Papers'!$D:$D,"*"&amp;$A1606&amp;"*",'All Papers'!$G:$G,"*"&amp;Table1[[#Headers],[Energy Management]]&amp;"*")</f>
        <v>0</v>
      </c>
      <c r="L1606" s="8">
        <f>COUNTIFS('All Papers'!$D:$D,"*"&amp;$A1606&amp;"*",'All Papers'!$G:$G,"*"&amp;Table1[[#Headers],[Monitoring]]&amp;"*")</f>
        <v>1</v>
      </c>
      <c r="M1606" s="8">
        <f>COUNTIFS('All Papers'!$D:$D,"*"&amp;$A1606&amp;"*",'All Papers'!$G:$G,"*"&amp;Table1[[#Headers],[Pricing]]&amp;"*")</f>
        <v>0</v>
      </c>
    </row>
    <row r="1607" spans="1:13" x14ac:dyDescent="0.25">
      <c r="A1607" s="8" t="s">
        <v>4040</v>
      </c>
      <c r="B1607" s="8">
        <f>COUNTIF('All Papers'!D:D,"*"&amp;Table1[[#This Row],[Name]]&amp;"*")</f>
        <v>1</v>
      </c>
      <c r="C1607" s="8">
        <f>COUNTIFS('All Papers'!$D:$D,"*"&amp;$A1607&amp;"*",'All Papers'!$G:$G,"*"&amp;Table1[[#Headers],[Composition]]&amp;"*")</f>
        <v>0</v>
      </c>
      <c r="D1607" s="8">
        <f>COUNTIFS('All Papers'!$D:$D,"*"&amp;$A1607&amp;"*",'All Papers'!$G:$G,"*"&amp;Table1[[#Headers],[Discovery]]&amp;"*")</f>
        <v>0</v>
      </c>
      <c r="E1607" s="8">
        <f>COUNTIFS('All Papers'!$D:$D,"*"&amp;$A1607&amp;"*",'All Papers'!$G:$G,"*"&amp;Table1[[#Headers],[Selection]]&amp;"*")</f>
        <v>0</v>
      </c>
      <c r="F1607" s="8">
        <f>COUNTIFS('All Papers'!$D:$D,"*"&amp;$A1607&amp;"*",'All Papers'!$G:$G,"*"&amp;Table1[[#Headers],[Recommendation]]&amp;"*")</f>
        <v>0</v>
      </c>
      <c r="G1607" s="8">
        <f>COUNTIFS('All Papers'!$D:$D,"*"&amp;$A1607&amp;"*",'All Papers'!$G:$G,"*"&amp;Table1[[#Headers],[Resource Management-CS]]&amp;"*")</f>
        <v>0</v>
      </c>
      <c r="H1607" s="8">
        <f>COUNTIFS('All Papers'!$D:$D,"*"&amp;$A1607&amp;"*",'All Papers'!$G:$G,"*"&amp;Table1[[#Headers],[Resource Management-PS]]&amp;"*")</f>
        <v>0</v>
      </c>
      <c r="I1607" s="8">
        <f>COUNTIFS('All Papers'!$D:$D,"*"&amp;$A1607&amp;"*",'All Papers'!$G:$G,"*"&amp;Table1[[#Headers],[SLA Management]]&amp;"*")</f>
        <v>0</v>
      </c>
      <c r="J1607" s="8">
        <f>COUNTIFS('All Papers'!$D:$D,"*"&amp;$A1607&amp;"*",'All Papers'!$G:$G,"*"&amp;Table1[[#Headers],[Big Data]]&amp;"*")</f>
        <v>0</v>
      </c>
      <c r="K1607" s="8">
        <f>COUNTIFS('All Papers'!$D:$D,"*"&amp;$A1607&amp;"*",'All Papers'!$G:$G,"*"&amp;Table1[[#Headers],[Energy Management]]&amp;"*")</f>
        <v>0</v>
      </c>
      <c r="L1607" s="8">
        <f>COUNTIFS('All Papers'!$D:$D,"*"&amp;$A1607&amp;"*",'All Papers'!$G:$G,"*"&amp;Table1[[#Headers],[Monitoring]]&amp;"*")</f>
        <v>1</v>
      </c>
      <c r="M1607" s="8">
        <f>COUNTIFS('All Papers'!$D:$D,"*"&amp;$A1607&amp;"*",'All Papers'!$G:$G,"*"&amp;Table1[[#Headers],[Pricing]]&amp;"*")</f>
        <v>0</v>
      </c>
    </row>
    <row r="1608" spans="1:13" x14ac:dyDescent="0.25">
      <c r="A1608" s="8" t="s">
        <v>4041</v>
      </c>
      <c r="B1608" s="8">
        <f>COUNTIF('All Papers'!D:D,"*"&amp;Table1[[#This Row],[Name]]&amp;"*")</f>
        <v>1</v>
      </c>
      <c r="C1608" s="8">
        <f>COUNTIFS('All Papers'!$D:$D,"*"&amp;$A1608&amp;"*",'All Papers'!$G:$G,"*"&amp;Table1[[#Headers],[Composition]]&amp;"*")</f>
        <v>1</v>
      </c>
      <c r="D1608" s="8">
        <f>COUNTIFS('All Papers'!$D:$D,"*"&amp;$A1608&amp;"*",'All Papers'!$G:$G,"*"&amp;Table1[[#Headers],[Discovery]]&amp;"*")</f>
        <v>0</v>
      </c>
      <c r="E1608" s="8">
        <f>COUNTIFS('All Papers'!$D:$D,"*"&amp;$A1608&amp;"*",'All Papers'!$G:$G,"*"&amp;Table1[[#Headers],[Selection]]&amp;"*")</f>
        <v>0</v>
      </c>
      <c r="F1608" s="8">
        <f>COUNTIFS('All Papers'!$D:$D,"*"&amp;$A1608&amp;"*",'All Papers'!$G:$G,"*"&amp;Table1[[#Headers],[Recommendation]]&amp;"*")</f>
        <v>0</v>
      </c>
      <c r="G1608" s="8">
        <f>COUNTIFS('All Papers'!$D:$D,"*"&amp;$A1608&amp;"*",'All Papers'!$G:$G,"*"&amp;Table1[[#Headers],[Resource Management-CS]]&amp;"*")</f>
        <v>0</v>
      </c>
      <c r="H1608" s="8">
        <f>COUNTIFS('All Papers'!$D:$D,"*"&amp;$A1608&amp;"*",'All Papers'!$G:$G,"*"&amp;Table1[[#Headers],[Resource Management-PS]]&amp;"*")</f>
        <v>0</v>
      </c>
      <c r="I1608" s="8">
        <f>COUNTIFS('All Papers'!$D:$D,"*"&amp;$A1608&amp;"*",'All Papers'!$G:$G,"*"&amp;Table1[[#Headers],[SLA Management]]&amp;"*")</f>
        <v>0</v>
      </c>
      <c r="J1608" s="8">
        <f>COUNTIFS('All Papers'!$D:$D,"*"&amp;$A1608&amp;"*",'All Papers'!$G:$G,"*"&amp;Table1[[#Headers],[Big Data]]&amp;"*")</f>
        <v>0</v>
      </c>
      <c r="K1608" s="8">
        <f>COUNTIFS('All Papers'!$D:$D,"*"&amp;$A1608&amp;"*",'All Papers'!$G:$G,"*"&amp;Table1[[#Headers],[Energy Management]]&amp;"*")</f>
        <v>0</v>
      </c>
      <c r="L1608" s="8">
        <f>COUNTIFS('All Papers'!$D:$D,"*"&amp;$A1608&amp;"*",'All Papers'!$G:$G,"*"&amp;Table1[[#Headers],[Monitoring]]&amp;"*")</f>
        <v>0</v>
      </c>
      <c r="M1608" s="8">
        <f>COUNTIFS('All Papers'!$D:$D,"*"&amp;$A1608&amp;"*",'All Papers'!$G:$G,"*"&amp;Table1[[#Headers],[Pricing]]&amp;"*")</f>
        <v>0</v>
      </c>
    </row>
    <row r="1609" spans="1:13" x14ac:dyDescent="0.25">
      <c r="A1609" s="8" t="s">
        <v>4042</v>
      </c>
      <c r="B1609" s="8">
        <f>COUNTIF('All Papers'!D:D,"*"&amp;Table1[[#This Row],[Name]]&amp;"*")</f>
        <v>1</v>
      </c>
      <c r="C1609" s="8">
        <f>COUNTIFS('All Papers'!$D:$D,"*"&amp;$A1609&amp;"*",'All Papers'!$G:$G,"*"&amp;Table1[[#Headers],[Composition]]&amp;"*")</f>
        <v>1</v>
      </c>
      <c r="D1609" s="8">
        <f>COUNTIFS('All Papers'!$D:$D,"*"&amp;$A1609&amp;"*",'All Papers'!$G:$G,"*"&amp;Table1[[#Headers],[Discovery]]&amp;"*")</f>
        <v>0</v>
      </c>
      <c r="E1609" s="8">
        <f>COUNTIFS('All Papers'!$D:$D,"*"&amp;$A1609&amp;"*",'All Papers'!$G:$G,"*"&amp;Table1[[#Headers],[Selection]]&amp;"*")</f>
        <v>0</v>
      </c>
      <c r="F1609" s="8">
        <f>COUNTIFS('All Papers'!$D:$D,"*"&amp;$A1609&amp;"*",'All Papers'!$G:$G,"*"&amp;Table1[[#Headers],[Recommendation]]&amp;"*")</f>
        <v>0</v>
      </c>
      <c r="G1609" s="8">
        <f>COUNTIFS('All Papers'!$D:$D,"*"&amp;$A1609&amp;"*",'All Papers'!$G:$G,"*"&amp;Table1[[#Headers],[Resource Management-CS]]&amp;"*")</f>
        <v>0</v>
      </c>
      <c r="H1609" s="8">
        <f>COUNTIFS('All Papers'!$D:$D,"*"&amp;$A1609&amp;"*",'All Papers'!$G:$G,"*"&amp;Table1[[#Headers],[Resource Management-PS]]&amp;"*")</f>
        <v>0</v>
      </c>
      <c r="I1609" s="8">
        <f>COUNTIFS('All Papers'!$D:$D,"*"&amp;$A1609&amp;"*",'All Papers'!$G:$G,"*"&amp;Table1[[#Headers],[SLA Management]]&amp;"*")</f>
        <v>0</v>
      </c>
      <c r="J1609" s="8">
        <f>COUNTIFS('All Papers'!$D:$D,"*"&amp;$A1609&amp;"*",'All Papers'!$G:$G,"*"&amp;Table1[[#Headers],[Big Data]]&amp;"*")</f>
        <v>0</v>
      </c>
      <c r="K1609" s="8">
        <f>COUNTIFS('All Papers'!$D:$D,"*"&amp;$A1609&amp;"*",'All Papers'!$G:$G,"*"&amp;Table1[[#Headers],[Energy Management]]&amp;"*")</f>
        <v>0</v>
      </c>
      <c r="L1609" s="8">
        <f>COUNTIFS('All Papers'!$D:$D,"*"&amp;$A1609&amp;"*",'All Papers'!$G:$G,"*"&amp;Table1[[#Headers],[Monitoring]]&amp;"*")</f>
        <v>0</v>
      </c>
      <c r="M1609" s="8">
        <f>COUNTIFS('All Papers'!$D:$D,"*"&amp;$A1609&amp;"*",'All Papers'!$G:$G,"*"&amp;Table1[[#Headers],[Pricing]]&amp;"*")</f>
        <v>0</v>
      </c>
    </row>
    <row r="1610" spans="1:13" x14ac:dyDescent="0.25">
      <c r="A1610" s="8" t="s">
        <v>4043</v>
      </c>
      <c r="B1610" s="8">
        <f>COUNTIF('All Papers'!D:D,"*"&amp;Table1[[#This Row],[Name]]&amp;"*")</f>
        <v>1</v>
      </c>
      <c r="C1610" s="8">
        <f>COUNTIFS('All Papers'!$D:$D,"*"&amp;$A1610&amp;"*",'All Papers'!$G:$G,"*"&amp;Table1[[#Headers],[Composition]]&amp;"*")</f>
        <v>1</v>
      </c>
      <c r="D1610" s="8">
        <f>COUNTIFS('All Papers'!$D:$D,"*"&amp;$A1610&amp;"*",'All Papers'!$G:$G,"*"&amp;Table1[[#Headers],[Discovery]]&amp;"*")</f>
        <v>0</v>
      </c>
      <c r="E1610" s="8">
        <f>COUNTIFS('All Papers'!$D:$D,"*"&amp;$A1610&amp;"*",'All Papers'!$G:$G,"*"&amp;Table1[[#Headers],[Selection]]&amp;"*")</f>
        <v>0</v>
      </c>
      <c r="F1610" s="8">
        <f>COUNTIFS('All Papers'!$D:$D,"*"&amp;$A1610&amp;"*",'All Papers'!$G:$G,"*"&amp;Table1[[#Headers],[Recommendation]]&amp;"*")</f>
        <v>0</v>
      </c>
      <c r="G1610" s="8">
        <f>COUNTIFS('All Papers'!$D:$D,"*"&amp;$A1610&amp;"*",'All Papers'!$G:$G,"*"&amp;Table1[[#Headers],[Resource Management-CS]]&amp;"*")</f>
        <v>0</v>
      </c>
      <c r="H1610" s="8">
        <f>COUNTIFS('All Papers'!$D:$D,"*"&amp;$A1610&amp;"*",'All Papers'!$G:$G,"*"&amp;Table1[[#Headers],[Resource Management-PS]]&amp;"*")</f>
        <v>0</v>
      </c>
      <c r="I1610" s="8">
        <f>COUNTIFS('All Papers'!$D:$D,"*"&amp;$A1610&amp;"*",'All Papers'!$G:$G,"*"&amp;Table1[[#Headers],[SLA Management]]&amp;"*")</f>
        <v>0</v>
      </c>
      <c r="J1610" s="8">
        <f>COUNTIFS('All Papers'!$D:$D,"*"&amp;$A1610&amp;"*",'All Papers'!$G:$G,"*"&amp;Table1[[#Headers],[Big Data]]&amp;"*")</f>
        <v>0</v>
      </c>
      <c r="K1610" s="8">
        <f>COUNTIFS('All Papers'!$D:$D,"*"&amp;$A1610&amp;"*",'All Papers'!$G:$G,"*"&amp;Table1[[#Headers],[Energy Management]]&amp;"*")</f>
        <v>0</v>
      </c>
      <c r="L1610" s="8">
        <f>COUNTIFS('All Papers'!$D:$D,"*"&amp;$A1610&amp;"*",'All Papers'!$G:$G,"*"&amp;Table1[[#Headers],[Monitoring]]&amp;"*")</f>
        <v>0</v>
      </c>
      <c r="M1610" s="8">
        <f>COUNTIFS('All Papers'!$D:$D,"*"&amp;$A1610&amp;"*",'All Papers'!$G:$G,"*"&amp;Table1[[#Headers],[Pricing]]&amp;"*")</f>
        <v>0</v>
      </c>
    </row>
    <row r="1611" spans="1:13" x14ac:dyDescent="0.25">
      <c r="A1611" s="8" t="s">
        <v>4044</v>
      </c>
      <c r="B1611" s="8">
        <f>COUNTIF('All Papers'!D:D,"*"&amp;Table1[[#This Row],[Name]]&amp;"*")</f>
        <v>1</v>
      </c>
      <c r="C1611" s="8">
        <f>COUNTIFS('All Papers'!$D:$D,"*"&amp;$A1611&amp;"*",'All Papers'!$G:$G,"*"&amp;Table1[[#Headers],[Composition]]&amp;"*")</f>
        <v>1</v>
      </c>
      <c r="D1611" s="8">
        <f>COUNTIFS('All Papers'!$D:$D,"*"&amp;$A1611&amp;"*",'All Papers'!$G:$G,"*"&amp;Table1[[#Headers],[Discovery]]&amp;"*")</f>
        <v>0</v>
      </c>
      <c r="E1611" s="8">
        <f>COUNTIFS('All Papers'!$D:$D,"*"&amp;$A1611&amp;"*",'All Papers'!$G:$G,"*"&amp;Table1[[#Headers],[Selection]]&amp;"*")</f>
        <v>0</v>
      </c>
      <c r="F1611" s="8">
        <f>COUNTIFS('All Papers'!$D:$D,"*"&amp;$A1611&amp;"*",'All Papers'!$G:$G,"*"&amp;Table1[[#Headers],[Recommendation]]&amp;"*")</f>
        <v>0</v>
      </c>
      <c r="G1611" s="8">
        <f>COUNTIFS('All Papers'!$D:$D,"*"&amp;$A1611&amp;"*",'All Papers'!$G:$G,"*"&amp;Table1[[#Headers],[Resource Management-CS]]&amp;"*")</f>
        <v>0</v>
      </c>
      <c r="H1611" s="8">
        <f>COUNTIFS('All Papers'!$D:$D,"*"&amp;$A1611&amp;"*",'All Papers'!$G:$G,"*"&amp;Table1[[#Headers],[Resource Management-PS]]&amp;"*")</f>
        <v>0</v>
      </c>
      <c r="I1611" s="8">
        <f>COUNTIFS('All Papers'!$D:$D,"*"&amp;$A1611&amp;"*",'All Papers'!$G:$G,"*"&amp;Table1[[#Headers],[SLA Management]]&amp;"*")</f>
        <v>0</v>
      </c>
      <c r="J1611" s="8">
        <f>COUNTIFS('All Papers'!$D:$D,"*"&amp;$A1611&amp;"*",'All Papers'!$G:$G,"*"&amp;Table1[[#Headers],[Big Data]]&amp;"*")</f>
        <v>0</v>
      </c>
      <c r="K1611" s="8">
        <f>COUNTIFS('All Papers'!$D:$D,"*"&amp;$A1611&amp;"*",'All Papers'!$G:$G,"*"&amp;Table1[[#Headers],[Energy Management]]&amp;"*")</f>
        <v>0</v>
      </c>
      <c r="L1611" s="8">
        <f>COUNTIFS('All Papers'!$D:$D,"*"&amp;$A1611&amp;"*",'All Papers'!$G:$G,"*"&amp;Table1[[#Headers],[Monitoring]]&amp;"*")</f>
        <v>0</v>
      </c>
      <c r="M1611" s="8">
        <f>COUNTIFS('All Papers'!$D:$D,"*"&amp;$A1611&amp;"*",'All Papers'!$G:$G,"*"&amp;Table1[[#Headers],[Pricing]]&amp;"*")</f>
        <v>0</v>
      </c>
    </row>
    <row r="1612" spans="1:13" x14ac:dyDescent="0.25">
      <c r="A1612" s="8" t="s">
        <v>4045</v>
      </c>
      <c r="B1612" s="8">
        <f>COUNTIF('All Papers'!D:D,"*"&amp;Table1[[#This Row],[Name]]&amp;"*")</f>
        <v>1</v>
      </c>
      <c r="C1612" s="8">
        <f>COUNTIFS('All Papers'!$D:$D,"*"&amp;$A1612&amp;"*",'All Papers'!$G:$G,"*"&amp;Table1[[#Headers],[Composition]]&amp;"*")</f>
        <v>1</v>
      </c>
      <c r="D1612" s="8">
        <f>COUNTIFS('All Papers'!$D:$D,"*"&amp;$A1612&amp;"*",'All Papers'!$G:$G,"*"&amp;Table1[[#Headers],[Discovery]]&amp;"*")</f>
        <v>0</v>
      </c>
      <c r="E1612" s="8">
        <f>COUNTIFS('All Papers'!$D:$D,"*"&amp;$A1612&amp;"*",'All Papers'!$G:$G,"*"&amp;Table1[[#Headers],[Selection]]&amp;"*")</f>
        <v>0</v>
      </c>
      <c r="F1612" s="8">
        <f>COUNTIFS('All Papers'!$D:$D,"*"&amp;$A1612&amp;"*",'All Papers'!$G:$G,"*"&amp;Table1[[#Headers],[Recommendation]]&amp;"*")</f>
        <v>0</v>
      </c>
      <c r="G1612" s="8">
        <f>COUNTIFS('All Papers'!$D:$D,"*"&amp;$A1612&amp;"*",'All Papers'!$G:$G,"*"&amp;Table1[[#Headers],[Resource Management-CS]]&amp;"*")</f>
        <v>0</v>
      </c>
      <c r="H1612" s="8">
        <f>COUNTIFS('All Papers'!$D:$D,"*"&amp;$A1612&amp;"*",'All Papers'!$G:$G,"*"&amp;Table1[[#Headers],[Resource Management-PS]]&amp;"*")</f>
        <v>0</v>
      </c>
      <c r="I1612" s="8">
        <f>COUNTIFS('All Papers'!$D:$D,"*"&amp;$A1612&amp;"*",'All Papers'!$G:$G,"*"&amp;Table1[[#Headers],[SLA Management]]&amp;"*")</f>
        <v>0</v>
      </c>
      <c r="J1612" s="8">
        <f>COUNTIFS('All Papers'!$D:$D,"*"&amp;$A1612&amp;"*",'All Papers'!$G:$G,"*"&amp;Table1[[#Headers],[Big Data]]&amp;"*")</f>
        <v>0</v>
      </c>
      <c r="K1612" s="8">
        <f>COUNTIFS('All Papers'!$D:$D,"*"&amp;$A1612&amp;"*",'All Papers'!$G:$G,"*"&amp;Table1[[#Headers],[Energy Management]]&amp;"*")</f>
        <v>0</v>
      </c>
      <c r="L1612" s="8">
        <f>COUNTIFS('All Papers'!$D:$D,"*"&amp;$A1612&amp;"*",'All Papers'!$G:$G,"*"&amp;Table1[[#Headers],[Monitoring]]&amp;"*")</f>
        <v>0</v>
      </c>
      <c r="M1612" s="8">
        <f>COUNTIFS('All Papers'!$D:$D,"*"&amp;$A1612&amp;"*",'All Papers'!$G:$G,"*"&amp;Table1[[#Headers],[Pricing]]&amp;"*")</f>
        <v>0</v>
      </c>
    </row>
    <row r="1613" spans="1:13" x14ac:dyDescent="0.25">
      <c r="A1613" s="8" t="s">
        <v>4046</v>
      </c>
      <c r="B1613" s="8">
        <f>COUNTIF('All Papers'!D:D,"*"&amp;Table1[[#This Row],[Name]]&amp;"*")</f>
        <v>1</v>
      </c>
      <c r="C1613" s="8">
        <f>COUNTIFS('All Papers'!$D:$D,"*"&amp;$A1613&amp;"*",'All Papers'!$G:$G,"*"&amp;Table1[[#Headers],[Composition]]&amp;"*")</f>
        <v>1</v>
      </c>
      <c r="D1613" s="8">
        <f>COUNTIFS('All Papers'!$D:$D,"*"&amp;$A1613&amp;"*",'All Papers'!$G:$G,"*"&amp;Table1[[#Headers],[Discovery]]&amp;"*")</f>
        <v>0</v>
      </c>
      <c r="E1613" s="8">
        <f>COUNTIFS('All Papers'!$D:$D,"*"&amp;$A1613&amp;"*",'All Papers'!$G:$G,"*"&amp;Table1[[#Headers],[Selection]]&amp;"*")</f>
        <v>0</v>
      </c>
      <c r="F1613" s="8">
        <f>COUNTIFS('All Papers'!$D:$D,"*"&amp;$A1613&amp;"*",'All Papers'!$G:$G,"*"&amp;Table1[[#Headers],[Recommendation]]&amp;"*")</f>
        <v>0</v>
      </c>
      <c r="G1613" s="8">
        <f>COUNTIFS('All Papers'!$D:$D,"*"&amp;$A1613&amp;"*",'All Papers'!$G:$G,"*"&amp;Table1[[#Headers],[Resource Management-CS]]&amp;"*")</f>
        <v>0</v>
      </c>
      <c r="H1613" s="8">
        <f>COUNTIFS('All Papers'!$D:$D,"*"&amp;$A1613&amp;"*",'All Papers'!$G:$G,"*"&amp;Table1[[#Headers],[Resource Management-PS]]&amp;"*")</f>
        <v>0</v>
      </c>
      <c r="I1613" s="8">
        <f>COUNTIFS('All Papers'!$D:$D,"*"&amp;$A1613&amp;"*",'All Papers'!$G:$G,"*"&amp;Table1[[#Headers],[SLA Management]]&amp;"*")</f>
        <v>0</v>
      </c>
      <c r="J1613" s="8">
        <f>COUNTIFS('All Papers'!$D:$D,"*"&amp;$A1613&amp;"*",'All Papers'!$G:$G,"*"&amp;Table1[[#Headers],[Big Data]]&amp;"*")</f>
        <v>0</v>
      </c>
      <c r="K1613" s="8">
        <f>COUNTIFS('All Papers'!$D:$D,"*"&amp;$A1613&amp;"*",'All Papers'!$G:$G,"*"&amp;Table1[[#Headers],[Energy Management]]&amp;"*")</f>
        <v>0</v>
      </c>
      <c r="L1613" s="8">
        <f>COUNTIFS('All Papers'!$D:$D,"*"&amp;$A1613&amp;"*",'All Papers'!$G:$G,"*"&amp;Table1[[#Headers],[Monitoring]]&amp;"*")</f>
        <v>0</v>
      </c>
      <c r="M1613" s="8">
        <f>COUNTIFS('All Papers'!$D:$D,"*"&amp;$A1613&amp;"*",'All Papers'!$G:$G,"*"&amp;Table1[[#Headers],[Pricing]]&amp;"*")</f>
        <v>0</v>
      </c>
    </row>
    <row r="1614" spans="1:13" x14ac:dyDescent="0.25">
      <c r="A1614" s="8" t="s">
        <v>4047</v>
      </c>
      <c r="B1614" s="8">
        <f>COUNTIF('All Papers'!D:D,"*"&amp;Table1[[#This Row],[Name]]&amp;"*")</f>
        <v>1</v>
      </c>
      <c r="C1614" s="8">
        <f>COUNTIFS('All Papers'!$D:$D,"*"&amp;$A1614&amp;"*",'All Papers'!$G:$G,"*"&amp;Table1[[#Headers],[Composition]]&amp;"*")</f>
        <v>0</v>
      </c>
      <c r="D1614" s="8">
        <f>COUNTIFS('All Papers'!$D:$D,"*"&amp;$A1614&amp;"*",'All Papers'!$G:$G,"*"&amp;Table1[[#Headers],[Discovery]]&amp;"*")</f>
        <v>0</v>
      </c>
      <c r="E1614" s="8">
        <f>COUNTIFS('All Papers'!$D:$D,"*"&amp;$A1614&amp;"*",'All Papers'!$G:$G,"*"&amp;Table1[[#Headers],[Selection]]&amp;"*")</f>
        <v>0</v>
      </c>
      <c r="F1614" s="8">
        <f>COUNTIFS('All Papers'!$D:$D,"*"&amp;$A1614&amp;"*",'All Papers'!$G:$G,"*"&amp;Table1[[#Headers],[Recommendation]]&amp;"*")</f>
        <v>0</v>
      </c>
      <c r="G1614" s="8">
        <f>COUNTIFS('All Papers'!$D:$D,"*"&amp;$A1614&amp;"*",'All Papers'!$G:$G,"*"&amp;Table1[[#Headers],[Resource Management-CS]]&amp;"*")</f>
        <v>0</v>
      </c>
      <c r="H1614" s="8">
        <f>COUNTIFS('All Papers'!$D:$D,"*"&amp;$A1614&amp;"*",'All Papers'!$G:$G,"*"&amp;Table1[[#Headers],[Resource Management-PS]]&amp;"*")</f>
        <v>1</v>
      </c>
      <c r="I1614" s="8">
        <f>COUNTIFS('All Papers'!$D:$D,"*"&amp;$A1614&amp;"*",'All Papers'!$G:$G,"*"&amp;Table1[[#Headers],[SLA Management]]&amp;"*")</f>
        <v>0</v>
      </c>
      <c r="J1614" s="8">
        <f>COUNTIFS('All Papers'!$D:$D,"*"&amp;$A1614&amp;"*",'All Papers'!$G:$G,"*"&amp;Table1[[#Headers],[Big Data]]&amp;"*")</f>
        <v>0</v>
      </c>
      <c r="K1614" s="8">
        <f>COUNTIFS('All Papers'!$D:$D,"*"&amp;$A1614&amp;"*",'All Papers'!$G:$G,"*"&amp;Table1[[#Headers],[Energy Management]]&amp;"*")</f>
        <v>0</v>
      </c>
      <c r="L1614" s="8">
        <f>COUNTIFS('All Papers'!$D:$D,"*"&amp;$A1614&amp;"*",'All Papers'!$G:$G,"*"&amp;Table1[[#Headers],[Monitoring]]&amp;"*")</f>
        <v>1</v>
      </c>
      <c r="M1614" s="8">
        <f>COUNTIFS('All Papers'!$D:$D,"*"&amp;$A1614&amp;"*",'All Papers'!$G:$G,"*"&amp;Table1[[#Headers],[Pricing]]&amp;"*")</f>
        <v>0</v>
      </c>
    </row>
    <row r="1615" spans="1:13" x14ac:dyDescent="0.25">
      <c r="A1615" s="8" t="s">
        <v>4048</v>
      </c>
      <c r="B1615" s="8">
        <f>COUNTIF('All Papers'!D:D,"*"&amp;Table1[[#This Row],[Name]]&amp;"*")</f>
        <v>1</v>
      </c>
      <c r="C1615" s="8">
        <f>COUNTIFS('All Papers'!$D:$D,"*"&amp;$A1615&amp;"*",'All Papers'!$G:$G,"*"&amp;Table1[[#Headers],[Composition]]&amp;"*")</f>
        <v>0</v>
      </c>
      <c r="D1615" s="8">
        <f>COUNTIFS('All Papers'!$D:$D,"*"&amp;$A1615&amp;"*",'All Papers'!$G:$G,"*"&amp;Table1[[#Headers],[Discovery]]&amp;"*")</f>
        <v>0</v>
      </c>
      <c r="E1615" s="8">
        <f>COUNTIFS('All Papers'!$D:$D,"*"&amp;$A1615&amp;"*",'All Papers'!$G:$G,"*"&amp;Table1[[#Headers],[Selection]]&amp;"*")</f>
        <v>0</v>
      </c>
      <c r="F1615" s="8">
        <f>COUNTIFS('All Papers'!$D:$D,"*"&amp;$A1615&amp;"*",'All Papers'!$G:$G,"*"&amp;Table1[[#Headers],[Recommendation]]&amp;"*")</f>
        <v>0</v>
      </c>
      <c r="G1615" s="8">
        <f>COUNTIFS('All Papers'!$D:$D,"*"&amp;$A1615&amp;"*",'All Papers'!$G:$G,"*"&amp;Table1[[#Headers],[Resource Management-CS]]&amp;"*")</f>
        <v>0</v>
      </c>
      <c r="H1615" s="8">
        <f>COUNTIFS('All Papers'!$D:$D,"*"&amp;$A1615&amp;"*",'All Papers'!$G:$G,"*"&amp;Table1[[#Headers],[Resource Management-PS]]&amp;"*")</f>
        <v>1</v>
      </c>
      <c r="I1615" s="8">
        <f>COUNTIFS('All Papers'!$D:$D,"*"&amp;$A1615&amp;"*",'All Papers'!$G:$G,"*"&amp;Table1[[#Headers],[SLA Management]]&amp;"*")</f>
        <v>0</v>
      </c>
      <c r="J1615" s="8">
        <f>COUNTIFS('All Papers'!$D:$D,"*"&amp;$A1615&amp;"*",'All Papers'!$G:$G,"*"&amp;Table1[[#Headers],[Big Data]]&amp;"*")</f>
        <v>0</v>
      </c>
      <c r="K1615" s="8">
        <f>COUNTIFS('All Papers'!$D:$D,"*"&amp;$A1615&amp;"*",'All Papers'!$G:$G,"*"&amp;Table1[[#Headers],[Energy Management]]&amp;"*")</f>
        <v>0</v>
      </c>
      <c r="L1615" s="8">
        <f>COUNTIFS('All Papers'!$D:$D,"*"&amp;$A1615&amp;"*",'All Papers'!$G:$G,"*"&amp;Table1[[#Headers],[Monitoring]]&amp;"*")</f>
        <v>1</v>
      </c>
      <c r="M1615" s="8">
        <f>COUNTIFS('All Papers'!$D:$D,"*"&amp;$A1615&amp;"*",'All Papers'!$G:$G,"*"&amp;Table1[[#Headers],[Pricing]]&amp;"*")</f>
        <v>0</v>
      </c>
    </row>
    <row r="1616" spans="1:13" x14ac:dyDescent="0.25">
      <c r="A1616" s="8" t="s">
        <v>4049</v>
      </c>
      <c r="B1616" s="8">
        <f>COUNTIF('All Papers'!D:D,"*"&amp;Table1[[#This Row],[Name]]&amp;"*")</f>
        <v>1</v>
      </c>
      <c r="C1616" s="8">
        <f>COUNTIFS('All Papers'!$D:$D,"*"&amp;$A1616&amp;"*",'All Papers'!$G:$G,"*"&amp;Table1[[#Headers],[Composition]]&amp;"*")</f>
        <v>0</v>
      </c>
      <c r="D1616" s="8">
        <f>COUNTIFS('All Papers'!$D:$D,"*"&amp;$A1616&amp;"*",'All Papers'!$G:$G,"*"&amp;Table1[[#Headers],[Discovery]]&amp;"*")</f>
        <v>0</v>
      </c>
      <c r="E1616" s="8">
        <f>COUNTIFS('All Papers'!$D:$D,"*"&amp;$A1616&amp;"*",'All Papers'!$G:$G,"*"&amp;Table1[[#Headers],[Selection]]&amp;"*")</f>
        <v>0</v>
      </c>
      <c r="F1616" s="8">
        <f>COUNTIFS('All Papers'!$D:$D,"*"&amp;$A1616&amp;"*",'All Papers'!$G:$G,"*"&amp;Table1[[#Headers],[Recommendation]]&amp;"*")</f>
        <v>0</v>
      </c>
      <c r="G1616" s="8">
        <f>COUNTIFS('All Papers'!$D:$D,"*"&amp;$A1616&amp;"*",'All Papers'!$G:$G,"*"&amp;Table1[[#Headers],[Resource Management-CS]]&amp;"*")</f>
        <v>0</v>
      </c>
      <c r="H1616" s="8">
        <f>COUNTIFS('All Papers'!$D:$D,"*"&amp;$A1616&amp;"*",'All Papers'!$G:$G,"*"&amp;Table1[[#Headers],[Resource Management-PS]]&amp;"*")</f>
        <v>1</v>
      </c>
      <c r="I1616" s="8">
        <f>COUNTIFS('All Papers'!$D:$D,"*"&amp;$A1616&amp;"*",'All Papers'!$G:$G,"*"&amp;Table1[[#Headers],[SLA Management]]&amp;"*")</f>
        <v>0</v>
      </c>
      <c r="J1616" s="8">
        <f>COUNTIFS('All Papers'!$D:$D,"*"&amp;$A1616&amp;"*",'All Papers'!$G:$G,"*"&amp;Table1[[#Headers],[Big Data]]&amp;"*")</f>
        <v>0</v>
      </c>
      <c r="K1616" s="8">
        <f>COUNTIFS('All Papers'!$D:$D,"*"&amp;$A1616&amp;"*",'All Papers'!$G:$G,"*"&amp;Table1[[#Headers],[Energy Management]]&amp;"*")</f>
        <v>0</v>
      </c>
      <c r="L1616" s="8">
        <f>COUNTIFS('All Papers'!$D:$D,"*"&amp;$A1616&amp;"*",'All Papers'!$G:$G,"*"&amp;Table1[[#Headers],[Monitoring]]&amp;"*")</f>
        <v>1</v>
      </c>
      <c r="M1616" s="8">
        <f>COUNTIFS('All Papers'!$D:$D,"*"&amp;$A1616&amp;"*",'All Papers'!$G:$G,"*"&amp;Table1[[#Headers],[Pricing]]&amp;"*")</f>
        <v>0</v>
      </c>
    </row>
    <row r="1617" spans="1:13" x14ac:dyDescent="0.25">
      <c r="A1617" s="8" t="s">
        <v>4050</v>
      </c>
      <c r="B1617" s="8">
        <f>COUNTIF('All Papers'!D:D,"*"&amp;Table1[[#This Row],[Name]]&amp;"*")</f>
        <v>1</v>
      </c>
      <c r="C1617" s="8">
        <f>COUNTIFS('All Papers'!$D:$D,"*"&amp;$A1617&amp;"*",'All Papers'!$G:$G,"*"&amp;Table1[[#Headers],[Composition]]&amp;"*")</f>
        <v>0</v>
      </c>
      <c r="D1617" s="8">
        <f>COUNTIFS('All Papers'!$D:$D,"*"&amp;$A1617&amp;"*",'All Papers'!$G:$G,"*"&amp;Table1[[#Headers],[Discovery]]&amp;"*")</f>
        <v>0</v>
      </c>
      <c r="E1617" s="8">
        <f>COUNTIFS('All Papers'!$D:$D,"*"&amp;$A1617&amp;"*",'All Papers'!$G:$G,"*"&amp;Table1[[#Headers],[Selection]]&amp;"*")</f>
        <v>0</v>
      </c>
      <c r="F1617" s="8">
        <f>COUNTIFS('All Papers'!$D:$D,"*"&amp;$A1617&amp;"*",'All Papers'!$G:$G,"*"&amp;Table1[[#Headers],[Recommendation]]&amp;"*")</f>
        <v>0</v>
      </c>
      <c r="G1617" s="8">
        <f>COUNTIFS('All Papers'!$D:$D,"*"&amp;$A1617&amp;"*",'All Papers'!$G:$G,"*"&amp;Table1[[#Headers],[Resource Management-CS]]&amp;"*")</f>
        <v>0</v>
      </c>
      <c r="H1617" s="8">
        <f>COUNTIFS('All Papers'!$D:$D,"*"&amp;$A1617&amp;"*",'All Papers'!$G:$G,"*"&amp;Table1[[#Headers],[Resource Management-PS]]&amp;"*")</f>
        <v>1</v>
      </c>
      <c r="I1617" s="8">
        <f>COUNTIFS('All Papers'!$D:$D,"*"&amp;$A1617&amp;"*",'All Papers'!$G:$G,"*"&amp;Table1[[#Headers],[SLA Management]]&amp;"*")</f>
        <v>0</v>
      </c>
      <c r="J1617" s="8">
        <f>COUNTIFS('All Papers'!$D:$D,"*"&amp;$A1617&amp;"*",'All Papers'!$G:$G,"*"&amp;Table1[[#Headers],[Big Data]]&amp;"*")</f>
        <v>0</v>
      </c>
      <c r="K1617" s="8">
        <f>COUNTIFS('All Papers'!$D:$D,"*"&amp;$A1617&amp;"*",'All Papers'!$G:$G,"*"&amp;Table1[[#Headers],[Energy Management]]&amp;"*")</f>
        <v>0</v>
      </c>
      <c r="L1617" s="8">
        <f>COUNTIFS('All Papers'!$D:$D,"*"&amp;$A1617&amp;"*",'All Papers'!$G:$G,"*"&amp;Table1[[#Headers],[Monitoring]]&amp;"*")</f>
        <v>1</v>
      </c>
      <c r="M1617" s="8">
        <f>COUNTIFS('All Papers'!$D:$D,"*"&amp;$A1617&amp;"*",'All Papers'!$G:$G,"*"&amp;Table1[[#Headers],[Pricing]]&amp;"*")</f>
        <v>0</v>
      </c>
    </row>
    <row r="1618" spans="1:13" x14ac:dyDescent="0.25">
      <c r="A1618" s="8" t="s">
        <v>4051</v>
      </c>
      <c r="B1618" s="8">
        <f>COUNTIF('All Papers'!D:D,"*"&amp;Table1[[#This Row],[Name]]&amp;"*")</f>
        <v>1</v>
      </c>
      <c r="C1618" s="8">
        <f>COUNTIFS('All Papers'!$D:$D,"*"&amp;$A1618&amp;"*",'All Papers'!$G:$G,"*"&amp;Table1[[#Headers],[Composition]]&amp;"*")</f>
        <v>0</v>
      </c>
      <c r="D1618" s="8">
        <f>COUNTIFS('All Papers'!$D:$D,"*"&amp;$A1618&amp;"*",'All Papers'!$G:$G,"*"&amp;Table1[[#Headers],[Discovery]]&amp;"*")</f>
        <v>0</v>
      </c>
      <c r="E1618" s="8">
        <f>COUNTIFS('All Papers'!$D:$D,"*"&amp;$A1618&amp;"*",'All Papers'!$G:$G,"*"&amp;Table1[[#Headers],[Selection]]&amp;"*")</f>
        <v>0</v>
      </c>
      <c r="F1618" s="8">
        <f>COUNTIFS('All Papers'!$D:$D,"*"&amp;$A1618&amp;"*",'All Papers'!$G:$G,"*"&amp;Table1[[#Headers],[Recommendation]]&amp;"*")</f>
        <v>0</v>
      </c>
      <c r="G1618" s="8">
        <f>COUNTIFS('All Papers'!$D:$D,"*"&amp;$A1618&amp;"*",'All Papers'!$G:$G,"*"&amp;Table1[[#Headers],[Resource Management-CS]]&amp;"*")</f>
        <v>0</v>
      </c>
      <c r="H1618" s="8">
        <f>COUNTIFS('All Papers'!$D:$D,"*"&amp;$A1618&amp;"*",'All Papers'!$G:$G,"*"&amp;Table1[[#Headers],[Resource Management-PS]]&amp;"*")</f>
        <v>1</v>
      </c>
      <c r="I1618" s="8">
        <f>COUNTIFS('All Papers'!$D:$D,"*"&amp;$A1618&amp;"*",'All Papers'!$G:$G,"*"&amp;Table1[[#Headers],[SLA Management]]&amp;"*")</f>
        <v>0</v>
      </c>
      <c r="J1618" s="8">
        <f>COUNTIFS('All Papers'!$D:$D,"*"&amp;$A1618&amp;"*",'All Papers'!$G:$G,"*"&amp;Table1[[#Headers],[Big Data]]&amp;"*")</f>
        <v>0</v>
      </c>
      <c r="K1618" s="8">
        <f>COUNTIFS('All Papers'!$D:$D,"*"&amp;$A1618&amp;"*",'All Papers'!$G:$G,"*"&amp;Table1[[#Headers],[Energy Management]]&amp;"*")</f>
        <v>0</v>
      </c>
      <c r="L1618" s="8">
        <f>COUNTIFS('All Papers'!$D:$D,"*"&amp;$A1618&amp;"*",'All Papers'!$G:$G,"*"&amp;Table1[[#Headers],[Monitoring]]&amp;"*")</f>
        <v>1</v>
      </c>
      <c r="M1618" s="8">
        <f>COUNTIFS('All Papers'!$D:$D,"*"&amp;$A1618&amp;"*",'All Papers'!$G:$G,"*"&amp;Table1[[#Headers],[Pricing]]&amp;"*")</f>
        <v>0</v>
      </c>
    </row>
    <row r="1619" spans="1:13" x14ac:dyDescent="0.25">
      <c r="A1619" s="8" t="s">
        <v>4052</v>
      </c>
      <c r="B1619" s="8">
        <f>COUNTIF('All Papers'!D:D,"*"&amp;Table1[[#This Row],[Name]]&amp;"*")</f>
        <v>1</v>
      </c>
      <c r="C1619" s="8">
        <f>COUNTIFS('All Papers'!$D:$D,"*"&amp;$A1619&amp;"*",'All Papers'!$G:$G,"*"&amp;Table1[[#Headers],[Composition]]&amp;"*")</f>
        <v>0</v>
      </c>
      <c r="D1619" s="8">
        <f>COUNTIFS('All Papers'!$D:$D,"*"&amp;$A1619&amp;"*",'All Papers'!$G:$G,"*"&amp;Table1[[#Headers],[Discovery]]&amp;"*")</f>
        <v>0</v>
      </c>
      <c r="E1619" s="8">
        <f>COUNTIFS('All Papers'!$D:$D,"*"&amp;$A1619&amp;"*",'All Papers'!$G:$G,"*"&amp;Table1[[#Headers],[Selection]]&amp;"*")</f>
        <v>0</v>
      </c>
      <c r="F1619" s="8">
        <f>COUNTIFS('All Papers'!$D:$D,"*"&amp;$A1619&amp;"*",'All Papers'!$G:$G,"*"&amp;Table1[[#Headers],[Recommendation]]&amp;"*")</f>
        <v>0</v>
      </c>
      <c r="G1619" s="8">
        <f>COUNTIFS('All Papers'!$D:$D,"*"&amp;$A1619&amp;"*",'All Papers'!$G:$G,"*"&amp;Table1[[#Headers],[Resource Management-CS]]&amp;"*")</f>
        <v>0</v>
      </c>
      <c r="H1619" s="8">
        <f>COUNTIFS('All Papers'!$D:$D,"*"&amp;$A1619&amp;"*",'All Papers'!$G:$G,"*"&amp;Table1[[#Headers],[Resource Management-PS]]&amp;"*")</f>
        <v>1</v>
      </c>
      <c r="I1619" s="8">
        <f>COUNTIFS('All Papers'!$D:$D,"*"&amp;$A1619&amp;"*",'All Papers'!$G:$G,"*"&amp;Table1[[#Headers],[SLA Management]]&amp;"*")</f>
        <v>0</v>
      </c>
      <c r="J1619" s="8">
        <f>COUNTIFS('All Papers'!$D:$D,"*"&amp;$A1619&amp;"*",'All Papers'!$G:$G,"*"&amp;Table1[[#Headers],[Big Data]]&amp;"*")</f>
        <v>0</v>
      </c>
      <c r="K1619" s="8">
        <f>COUNTIFS('All Papers'!$D:$D,"*"&amp;$A1619&amp;"*",'All Papers'!$G:$G,"*"&amp;Table1[[#Headers],[Energy Management]]&amp;"*")</f>
        <v>0</v>
      </c>
      <c r="L1619" s="8">
        <f>COUNTIFS('All Papers'!$D:$D,"*"&amp;$A1619&amp;"*",'All Papers'!$G:$G,"*"&amp;Table1[[#Headers],[Monitoring]]&amp;"*")</f>
        <v>1</v>
      </c>
      <c r="M1619" s="8">
        <f>COUNTIFS('All Papers'!$D:$D,"*"&amp;$A1619&amp;"*",'All Papers'!$G:$G,"*"&amp;Table1[[#Headers],[Pricing]]&amp;"*")</f>
        <v>0</v>
      </c>
    </row>
    <row r="1620" spans="1:13" x14ac:dyDescent="0.25">
      <c r="A1620" s="8" t="s">
        <v>4053</v>
      </c>
      <c r="B1620" s="8">
        <f>COUNTIF('All Papers'!D:D,"*"&amp;Table1[[#This Row],[Name]]&amp;"*")</f>
        <v>1</v>
      </c>
      <c r="C1620" s="8">
        <f>COUNTIFS('All Papers'!$D:$D,"*"&amp;$A1620&amp;"*",'All Papers'!$G:$G,"*"&amp;Table1[[#Headers],[Composition]]&amp;"*")</f>
        <v>0</v>
      </c>
      <c r="D1620" s="8">
        <f>COUNTIFS('All Papers'!$D:$D,"*"&amp;$A1620&amp;"*",'All Papers'!$G:$G,"*"&amp;Table1[[#Headers],[Discovery]]&amp;"*")</f>
        <v>0</v>
      </c>
      <c r="E1620" s="8">
        <f>COUNTIFS('All Papers'!$D:$D,"*"&amp;$A1620&amp;"*",'All Papers'!$G:$G,"*"&amp;Table1[[#Headers],[Selection]]&amp;"*")</f>
        <v>0</v>
      </c>
      <c r="F1620" s="8">
        <f>COUNTIFS('All Papers'!$D:$D,"*"&amp;$A1620&amp;"*",'All Papers'!$G:$G,"*"&amp;Table1[[#Headers],[Recommendation]]&amp;"*")</f>
        <v>0</v>
      </c>
      <c r="G1620" s="8">
        <f>COUNTIFS('All Papers'!$D:$D,"*"&amp;$A1620&amp;"*",'All Papers'!$G:$G,"*"&amp;Table1[[#Headers],[Resource Management-CS]]&amp;"*")</f>
        <v>0</v>
      </c>
      <c r="H1620" s="8">
        <f>COUNTIFS('All Papers'!$D:$D,"*"&amp;$A1620&amp;"*",'All Papers'!$G:$G,"*"&amp;Table1[[#Headers],[Resource Management-PS]]&amp;"*")</f>
        <v>1</v>
      </c>
      <c r="I1620" s="8">
        <f>COUNTIFS('All Papers'!$D:$D,"*"&amp;$A1620&amp;"*",'All Papers'!$G:$G,"*"&amp;Table1[[#Headers],[SLA Management]]&amp;"*")</f>
        <v>0</v>
      </c>
      <c r="J1620" s="8">
        <f>COUNTIFS('All Papers'!$D:$D,"*"&amp;$A1620&amp;"*",'All Papers'!$G:$G,"*"&amp;Table1[[#Headers],[Big Data]]&amp;"*")</f>
        <v>0</v>
      </c>
      <c r="K1620" s="8">
        <f>COUNTIFS('All Papers'!$D:$D,"*"&amp;$A1620&amp;"*",'All Papers'!$G:$G,"*"&amp;Table1[[#Headers],[Energy Management]]&amp;"*")</f>
        <v>0</v>
      </c>
      <c r="L1620" s="8">
        <f>COUNTIFS('All Papers'!$D:$D,"*"&amp;$A1620&amp;"*",'All Papers'!$G:$G,"*"&amp;Table1[[#Headers],[Monitoring]]&amp;"*")</f>
        <v>0</v>
      </c>
      <c r="M1620" s="8">
        <f>COUNTIFS('All Papers'!$D:$D,"*"&amp;$A1620&amp;"*",'All Papers'!$G:$G,"*"&amp;Table1[[#Headers],[Pricing]]&amp;"*")</f>
        <v>0</v>
      </c>
    </row>
    <row r="1621" spans="1:13" x14ac:dyDescent="0.25">
      <c r="A1621" s="8" t="s">
        <v>4054</v>
      </c>
      <c r="B1621" s="8">
        <f>COUNTIF('All Papers'!D:D,"*"&amp;Table1[[#This Row],[Name]]&amp;"*")</f>
        <v>1</v>
      </c>
      <c r="C1621" s="8">
        <f>COUNTIFS('All Papers'!$D:$D,"*"&amp;$A1621&amp;"*",'All Papers'!$G:$G,"*"&amp;Table1[[#Headers],[Composition]]&amp;"*")</f>
        <v>1</v>
      </c>
      <c r="D1621" s="8">
        <f>COUNTIFS('All Papers'!$D:$D,"*"&amp;$A1621&amp;"*",'All Papers'!$G:$G,"*"&amp;Table1[[#Headers],[Discovery]]&amp;"*")</f>
        <v>0</v>
      </c>
      <c r="E1621" s="8">
        <f>COUNTIFS('All Papers'!$D:$D,"*"&amp;$A1621&amp;"*",'All Papers'!$G:$G,"*"&amp;Table1[[#Headers],[Selection]]&amp;"*")</f>
        <v>0</v>
      </c>
      <c r="F1621" s="8">
        <f>COUNTIFS('All Papers'!$D:$D,"*"&amp;$A1621&amp;"*",'All Papers'!$G:$G,"*"&amp;Table1[[#Headers],[Recommendation]]&amp;"*")</f>
        <v>0</v>
      </c>
      <c r="G1621" s="8">
        <f>COUNTIFS('All Papers'!$D:$D,"*"&amp;$A1621&amp;"*",'All Papers'!$G:$G,"*"&amp;Table1[[#Headers],[Resource Management-CS]]&amp;"*")</f>
        <v>0</v>
      </c>
      <c r="H1621" s="8">
        <f>COUNTIFS('All Papers'!$D:$D,"*"&amp;$A1621&amp;"*",'All Papers'!$G:$G,"*"&amp;Table1[[#Headers],[Resource Management-PS]]&amp;"*")</f>
        <v>0</v>
      </c>
      <c r="I1621" s="8">
        <f>COUNTIFS('All Papers'!$D:$D,"*"&amp;$A1621&amp;"*",'All Papers'!$G:$G,"*"&amp;Table1[[#Headers],[SLA Management]]&amp;"*")</f>
        <v>0</v>
      </c>
      <c r="J1621" s="8">
        <f>COUNTIFS('All Papers'!$D:$D,"*"&amp;$A1621&amp;"*",'All Papers'!$G:$G,"*"&amp;Table1[[#Headers],[Big Data]]&amp;"*")</f>
        <v>0</v>
      </c>
      <c r="K1621" s="8">
        <f>COUNTIFS('All Papers'!$D:$D,"*"&amp;$A1621&amp;"*",'All Papers'!$G:$G,"*"&amp;Table1[[#Headers],[Energy Management]]&amp;"*")</f>
        <v>0</v>
      </c>
      <c r="L1621" s="8">
        <f>COUNTIFS('All Papers'!$D:$D,"*"&amp;$A1621&amp;"*",'All Papers'!$G:$G,"*"&amp;Table1[[#Headers],[Monitoring]]&amp;"*")</f>
        <v>0</v>
      </c>
      <c r="M1621" s="8">
        <f>COUNTIFS('All Papers'!$D:$D,"*"&amp;$A1621&amp;"*",'All Papers'!$G:$G,"*"&amp;Table1[[#Headers],[Pricing]]&amp;"*")</f>
        <v>0</v>
      </c>
    </row>
    <row r="1622" spans="1:13" x14ac:dyDescent="0.25">
      <c r="A1622" s="8" t="s">
        <v>4055</v>
      </c>
      <c r="B1622" s="8">
        <f>COUNTIF('All Papers'!D:D,"*"&amp;Table1[[#This Row],[Name]]&amp;"*")</f>
        <v>1</v>
      </c>
      <c r="C1622" s="8">
        <f>COUNTIFS('All Papers'!$D:$D,"*"&amp;$A1622&amp;"*",'All Papers'!$G:$G,"*"&amp;Table1[[#Headers],[Composition]]&amp;"*")</f>
        <v>1</v>
      </c>
      <c r="D1622" s="8">
        <f>COUNTIFS('All Papers'!$D:$D,"*"&amp;$A1622&amp;"*",'All Papers'!$G:$G,"*"&amp;Table1[[#Headers],[Discovery]]&amp;"*")</f>
        <v>0</v>
      </c>
      <c r="E1622" s="8">
        <f>COUNTIFS('All Papers'!$D:$D,"*"&amp;$A1622&amp;"*",'All Papers'!$G:$G,"*"&amp;Table1[[#Headers],[Selection]]&amp;"*")</f>
        <v>0</v>
      </c>
      <c r="F1622" s="8">
        <f>COUNTIFS('All Papers'!$D:$D,"*"&amp;$A1622&amp;"*",'All Papers'!$G:$G,"*"&amp;Table1[[#Headers],[Recommendation]]&amp;"*")</f>
        <v>0</v>
      </c>
      <c r="G1622" s="8">
        <f>COUNTIFS('All Papers'!$D:$D,"*"&amp;$A1622&amp;"*",'All Papers'!$G:$G,"*"&amp;Table1[[#Headers],[Resource Management-CS]]&amp;"*")</f>
        <v>0</v>
      </c>
      <c r="H1622" s="8">
        <f>COUNTIFS('All Papers'!$D:$D,"*"&amp;$A1622&amp;"*",'All Papers'!$G:$G,"*"&amp;Table1[[#Headers],[Resource Management-PS]]&amp;"*")</f>
        <v>0</v>
      </c>
      <c r="I1622" s="8">
        <f>COUNTIFS('All Papers'!$D:$D,"*"&amp;$A1622&amp;"*",'All Papers'!$G:$G,"*"&amp;Table1[[#Headers],[SLA Management]]&amp;"*")</f>
        <v>0</v>
      </c>
      <c r="J1622" s="8">
        <f>COUNTIFS('All Papers'!$D:$D,"*"&amp;$A1622&amp;"*",'All Papers'!$G:$G,"*"&amp;Table1[[#Headers],[Big Data]]&amp;"*")</f>
        <v>0</v>
      </c>
      <c r="K1622" s="8">
        <f>COUNTIFS('All Papers'!$D:$D,"*"&amp;$A1622&amp;"*",'All Papers'!$G:$G,"*"&amp;Table1[[#Headers],[Energy Management]]&amp;"*")</f>
        <v>0</v>
      </c>
      <c r="L1622" s="8">
        <f>COUNTIFS('All Papers'!$D:$D,"*"&amp;$A1622&amp;"*",'All Papers'!$G:$G,"*"&amp;Table1[[#Headers],[Monitoring]]&amp;"*")</f>
        <v>0</v>
      </c>
      <c r="M1622" s="8">
        <f>COUNTIFS('All Papers'!$D:$D,"*"&amp;$A1622&amp;"*",'All Papers'!$G:$G,"*"&amp;Table1[[#Headers],[Pricing]]&amp;"*")</f>
        <v>0</v>
      </c>
    </row>
    <row r="1623" spans="1:13" x14ac:dyDescent="0.25">
      <c r="A1623" s="8" t="s">
        <v>4056</v>
      </c>
      <c r="B1623" s="8">
        <f>COUNTIF('All Papers'!D:D,"*"&amp;Table1[[#This Row],[Name]]&amp;"*")</f>
        <v>1</v>
      </c>
      <c r="C1623" s="8">
        <f>COUNTIFS('All Papers'!$D:$D,"*"&amp;$A1623&amp;"*",'All Papers'!$G:$G,"*"&amp;Table1[[#Headers],[Composition]]&amp;"*")</f>
        <v>1</v>
      </c>
      <c r="D1623" s="8">
        <f>COUNTIFS('All Papers'!$D:$D,"*"&amp;$A1623&amp;"*",'All Papers'!$G:$G,"*"&amp;Table1[[#Headers],[Discovery]]&amp;"*")</f>
        <v>0</v>
      </c>
      <c r="E1623" s="8">
        <f>COUNTIFS('All Papers'!$D:$D,"*"&amp;$A1623&amp;"*",'All Papers'!$G:$G,"*"&amp;Table1[[#Headers],[Selection]]&amp;"*")</f>
        <v>0</v>
      </c>
      <c r="F1623" s="8">
        <f>COUNTIFS('All Papers'!$D:$D,"*"&amp;$A1623&amp;"*",'All Papers'!$G:$G,"*"&amp;Table1[[#Headers],[Recommendation]]&amp;"*")</f>
        <v>0</v>
      </c>
      <c r="G1623" s="8">
        <f>COUNTIFS('All Papers'!$D:$D,"*"&amp;$A1623&amp;"*",'All Papers'!$G:$G,"*"&amp;Table1[[#Headers],[Resource Management-CS]]&amp;"*")</f>
        <v>0</v>
      </c>
      <c r="H1623" s="8">
        <f>COUNTIFS('All Papers'!$D:$D,"*"&amp;$A1623&amp;"*",'All Papers'!$G:$G,"*"&amp;Table1[[#Headers],[Resource Management-PS]]&amp;"*")</f>
        <v>0</v>
      </c>
      <c r="I1623" s="8">
        <f>COUNTIFS('All Papers'!$D:$D,"*"&amp;$A1623&amp;"*",'All Papers'!$G:$G,"*"&amp;Table1[[#Headers],[SLA Management]]&amp;"*")</f>
        <v>0</v>
      </c>
      <c r="J1623" s="8">
        <f>COUNTIFS('All Papers'!$D:$D,"*"&amp;$A1623&amp;"*",'All Papers'!$G:$G,"*"&amp;Table1[[#Headers],[Big Data]]&amp;"*")</f>
        <v>0</v>
      </c>
      <c r="K1623" s="8">
        <f>COUNTIFS('All Papers'!$D:$D,"*"&amp;$A1623&amp;"*",'All Papers'!$G:$G,"*"&amp;Table1[[#Headers],[Energy Management]]&amp;"*")</f>
        <v>0</v>
      </c>
      <c r="L1623" s="8">
        <f>COUNTIFS('All Papers'!$D:$D,"*"&amp;$A1623&amp;"*",'All Papers'!$G:$G,"*"&amp;Table1[[#Headers],[Monitoring]]&amp;"*")</f>
        <v>0</v>
      </c>
      <c r="M1623" s="8">
        <f>COUNTIFS('All Papers'!$D:$D,"*"&amp;$A1623&amp;"*",'All Papers'!$G:$G,"*"&amp;Table1[[#Headers],[Pricing]]&amp;"*")</f>
        <v>0</v>
      </c>
    </row>
    <row r="1624" spans="1:13" x14ac:dyDescent="0.25">
      <c r="A1624" s="8" t="s">
        <v>4057</v>
      </c>
      <c r="B1624" s="8">
        <f>COUNTIF('All Papers'!D:D,"*"&amp;Table1[[#This Row],[Name]]&amp;"*")</f>
        <v>1</v>
      </c>
      <c r="C1624" s="8">
        <f>COUNTIFS('All Papers'!$D:$D,"*"&amp;$A1624&amp;"*",'All Papers'!$G:$G,"*"&amp;Table1[[#Headers],[Composition]]&amp;"*")</f>
        <v>1</v>
      </c>
      <c r="D1624" s="8">
        <f>COUNTIFS('All Papers'!$D:$D,"*"&amp;$A1624&amp;"*",'All Papers'!$G:$G,"*"&amp;Table1[[#Headers],[Discovery]]&amp;"*")</f>
        <v>0</v>
      </c>
      <c r="E1624" s="8">
        <f>COUNTIFS('All Papers'!$D:$D,"*"&amp;$A1624&amp;"*",'All Papers'!$G:$G,"*"&amp;Table1[[#Headers],[Selection]]&amp;"*")</f>
        <v>0</v>
      </c>
      <c r="F1624" s="8">
        <f>COUNTIFS('All Papers'!$D:$D,"*"&amp;$A1624&amp;"*",'All Papers'!$G:$G,"*"&amp;Table1[[#Headers],[Recommendation]]&amp;"*")</f>
        <v>0</v>
      </c>
      <c r="G1624" s="8">
        <f>COUNTIFS('All Papers'!$D:$D,"*"&amp;$A1624&amp;"*",'All Papers'!$G:$G,"*"&amp;Table1[[#Headers],[Resource Management-CS]]&amp;"*")</f>
        <v>0</v>
      </c>
      <c r="H1624" s="8">
        <f>COUNTIFS('All Papers'!$D:$D,"*"&amp;$A1624&amp;"*",'All Papers'!$G:$G,"*"&amp;Table1[[#Headers],[Resource Management-PS]]&amp;"*")</f>
        <v>0</v>
      </c>
      <c r="I1624" s="8">
        <f>COUNTIFS('All Papers'!$D:$D,"*"&amp;$A1624&amp;"*",'All Papers'!$G:$G,"*"&amp;Table1[[#Headers],[SLA Management]]&amp;"*")</f>
        <v>0</v>
      </c>
      <c r="J1624" s="8">
        <f>COUNTIFS('All Papers'!$D:$D,"*"&amp;$A1624&amp;"*",'All Papers'!$G:$G,"*"&amp;Table1[[#Headers],[Big Data]]&amp;"*")</f>
        <v>0</v>
      </c>
      <c r="K1624" s="8">
        <f>COUNTIFS('All Papers'!$D:$D,"*"&amp;$A1624&amp;"*",'All Papers'!$G:$G,"*"&amp;Table1[[#Headers],[Energy Management]]&amp;"*")</f>
        <v>0</v>
      </c>
      <c r="L1624" s="8">
        <f>COUNTIFS('All Papers'!$D:$D,"*"&amp;$A1624&amp;"*",'All Papers'!$G:$G,"*"&amp;Table1[[#Headers],[Monitoring]]&amp;"*")</f>
        <v>0</v>
      </c>
      <c r="M1624" s="8">
        <f>COUNTIFS('All Papers'!$D:$D,"*"&amp;$A1624&amp;"*",'All Papers'!$G:$G,"*"&amp;Table1[[#Headers],[Pricing]]&amp;"*")</f>
        <v>0</v>
      </c>
    </row>
    <row r="1625" spans="1:13" x14ac:dyDescent="0.25">
      <c r="A1625" s="8" t="s">
        <v>4058</v>
      </c>
      <c r="B1625" s="8">
        <f>COUNTIF('All Papers'!D:D,"*"&amp;Table1[[#This Row],[Name]]&amp;"*")</f>
        <v>1</v>
      </c>
      <c r="C1625" s="8">
        <f>COUNTIFS('All Papers'!$D:$D,"*"&amp;$A1625&amp;"*",'All Papers'!$G:$G,"*"&amp;Table1[[#Headers],[Composition]]&amp;"*")</f>
        <v>1</v>
      </c>
      <c r="D1625" s="8">
        <f>COUNTIFS('All Papers'!$D:$D,"*"&amp;$A1625&amp;"*",'All Papers'!$G:$G,"*"&amp;Table1[[#Headers],[Discovery]]&amp;"*")</f>
        <v>0</v>
      </c>
      <c r="E1625" s="8">
        <f>COUNTIFS('All Papers'!$D:$D,"*"&amp;$A1625&amp;"*",'All Papers'!$G:$G,"*"&amp;Table1[[#Headers],[Selection]]&amp;"*")</f>
        <v>0</v>
      </c>
      <c r="F1625" s="8">
        <f>COUNTIFS('All Papers'!$D:$D,"*"&amp;$A1625&amp;"*",'All Papers'!$G:$G,"*"&amp;Table1[[#Headers],[Recommendation]]&amp;"*")</f>
        <v>0</v>
      </c>
      <c r="G1625" s="8">
        <f>COUNTIFS('All Papers'!$D:$D,"*"&amp;$A1625&amp;"*",'All Papers'!$G:$G,"*"&amp;Table1[[#Headers],[Resource Management-CS]]&amp;"*")</f>
        <v>0</v>
      </c>
      <c r="H1625" s="8">
        <f>COUNTIFS('All Papers'!$D:$D,"*"&amp;$A1625&amp;"*",'All Papers'!$G:$G,"*"&amp;Table1[[#Headers],[Resource Management-PS]]&amp;"*")</f>
        <v>0</v>
      </c>
      <c r="I1625" s="8">
        <f>COUNTIFS('All Papers'!$D:$D,"*"&amp;$A1625&amp;"*",'All Papers'!$G:$G,"*"&amp;Table1[[#Headers],[SLA Management]]&amp;"*")</f>
        <v>0</v>
      </c>
      <c r="J1625" s="8">
        <f>COUNTIFS('All Papers'!$D:$D,"*"&amp;$A1625&amp;"*",'All Papers'!$G:$G,"*"&amp;Table1[[#Headers],[Big Data]]&amp;"*")</f>
        <v>0</v>
      </c>
      <c r="K1625" s="8">
        <f>COUNTIFS('All Papers'!$D:$D,"*"&amp;$A1625&amp;"*",'All Papers'!$G:$G,"*"&amp;Table1[[#Headers],[Energy Management]]&amp;"*")</f>
        <v>0</v>
      </c>
      <c r="L1625" s="8">
        <f>COUNTIFS('All Papers'!$D:$D,"*"&amp;$A1625&amp;"*",'All Papers'!$G:$G,"*"&amp;Table1[[#Headers],[Monitoring]]&amp;"*")</f>
        <v>0</v>
      </c>
      <c r="M1625" s="8">
        <f>COUNTIFS('All Papers'!$D:$D,"*"&amp;$A1625&amp;"*",'All Papers'!$G:$G,"*"&amp;Table1[[#Headers],[Pricing]]&amp;"*")</f>
        <v>0</v>
      </c>
    </row>
    <row r="1626" spans="1:13" x14ac:dyDescent="0.25">
      <c r="A1626" s="8" t="s">
        <v>4059</v>
      </c>
      <c r="B1626" s="8">
        <f>COUNTIF('All Papers'!D:D,"*"&amp;Table1[[#This Row],[Name]]&amp;"*")</f>
        <v>1</v>
      </c>
      <c r="C1626" s="8">
        <f>COUNTIFS('All Papers'!$D:$D,"*"&amp;$A1626&amp;"*",'All Papers'!$G:$G,"*"&amp;Table1[[#Headers],[Composition]]&amp;"*")</f>
        <v>0</v>
      </c>
      <c r="D1626" s="8">
        <f>COUNTIFS('All Papers'!$D:$D,"*"&amp;$A1626&amp;"*",'All Papers'!$G:$G,"*"&amp;Table1[[#Headers],[Discovery]]&amp;"*")</f>
        <v>0</v>
      </c>
      <c r="E1626" s="8">
        <f>COUNTIFS('All Papers'!$D:$D,"*"&amp;$A1626&amp;"*",'All Papers'!$G:$G,"*"&amp;Table1[[#Headers],[Selection]]&amp;"*")</f>
        <v>1</v>
      </c>
      <c r="F1626" s="8">
        <f>COUNTIFS('All Papers'!$D:$D,"*"&amp;$A1626&amp;"*",'All Papers'!$G:$G,"*"&amp;Table1[[#Headers],[Recommendation]]&amp;"*")</f>
        <v>0</v>
      </c>
      <c r="G1626" s="8">
        <f>COUNTIFS('All Papers'!$D:$D,"*"&amp;$A1626&amp;"*",'All Papers'!$G:$G,"*"&amp;Table1[[#Headers],[Resource Management-CS]]&amp;"*")</f>
        <v>0</v>
      </c>
      <c r="H1626" s="8">
        <f>COUNTIFS('All Papers'!$D:$D,"*"&amp;$A1626&amp;"*",'All Papers'!$G:$G,"*"&amp;Table1[[#Headers],[Resource Management-PS]]&amp;"*")</f>
        <v>0</v>
      </c>
      <c r="I1626" s="8">
        <f>COUNTIFS('All Papers'!$D:$D,"*"&amp;$A1626&amp;"*",'All Papers'!$G:$G,"*"&amp;Table1[[#Headers],[SLA Management]]&amp;"*")</f>
        <v>0</v>
      </c>
      <c r="J1626" s="8">
        <f>COUNTIFS('All Papers'!$D:$D,"*"&amp;$A1626&amp;"*",'All Papers'!$G:$G,"*"&amp;Table1[[#Headers],[Big Data]]&amp;"*")</f>
        <v>0</v>
      </c>
      <c r="K1626" s="8">
        <f>COUNTIFS('All Papers'!$D:$D,"*"&amp;$A1626&amp;"*",'All Papers'!$G:$G,"*"&amp;Table1[[#Headers],[Energy Management]]&amp;"*")</f>
        <v>0</v>
      </c>
      <c r="L1626" s="8">
        <f>COUNTIFS('All Papers'!$D:$D,"*"&amp;$A1626&amp;"*",'All Papers'!$G:$G,"*"&amp;Table1[[#Headers],[Monitoring]]&amp;"*")</f>
        <v>0</v>
      </c>
      <c r="M1626" s="8">
        <f>COUNTIFS('All Papers'!$D:$D,"*"&amp;$A1626&amp;"*",'All Papers'!$G:$G,"*"&amp;Table1[[#Headers],[Pricing]]&amp;"*")</f>
        <v>0</v>
      </c>
    </row>
    <row r="1627" spans="1:13" x14ac:dyDescent="0.25">
      <c r="A1627" s="8" t="s">
        <v>4060</v>
      </c>
      <c r="B1627" s="8">
        <f>COUNTIF('All Papers'!D:D,"*"&amp;Table1[[#This Row],[Name]]&amp;"*")</f>
        <v>1</v>
      </c>
      <c r="C1627" s="8">
        <f>COUNTIFS('All Papers'!$D:$D,"*"&amp;$A1627&amp;"*",'All Papers'!$G:$G,"*"&amp;Table1[[#Headers],[Composition]]&amp;"*")</f>
        <v>0</v>
      </c>
      <c r="D1627" s="8">
        <f>COUNTIFS('All Papers'!$D:$D,"*"&amp;$A1627&amp;"*",'All Papers'!$G:$G,"*"&amp;Table1[[#Headers],[Discovery]]&amp;"*")</f>
        <v>0</v>
      </c>
      <c r="E1627" s="8">
        <f>COUNTIFS('All Papers'!$D:$D,"*"&amp;$A1627&amp;"*",'All Papers'!$G:$G,"*"&amp;Table1[[#Headers],[Selection]]&amp;"*")</f>
        <v>1</v>
      </c>
      <c r="F1627" s="8">
        <f>COUNTIFS('All Papers'!$D:$D,"*"&amp;$A1627&amp;"*",'All Papers'!$G:$G,"*"&amp;Table1[[#Headers],[Recommendation]]&amp;"*")</f>
        <v>0</v>
      </c>
      <c r="G1627" s="8">
        <f>COUNTIFS('All Papers'!$D:$D,"*"&amp;$A1627&amp;"*",'All Papers'!$G:$G,"*"&amp;Table1[[#Headers],[Resource Management-CS]]&amp;"*")</f>
        <v>0</v>
      </c>
      <c r="H1627" s="8">
        <f>COUNTIFS('All Papers'!$D:$D,"*"&amp;$A1627&amp;"*",'All Papers'!$G:$G,"*"&amp;Table1[[#Headers],[Resource Management-PS]]&amp;"*")</f>
        <v>0</v>
      </c>
      <c r="I1627" s="8">
        <f>COUNTIFS('All Papers'!$D:$D,"*"&amp;$A1627&amp;"*",'All Papers'!$G:$G,"*"&amp;Table1[[#Headers],[SLA Management]]&amp;"*")</f>
        <v>0</v>
      </c>
      <c r="J1627" s="8">
        <f>COUNTIFS('All Papers'!$D:$D,"*"&amp;$A1627&amp;"*",'All Papers'!$G:$G,"*"&amp;Table1[[#Headers],[Big Data]]&amp;"*")</f>
        <v>0</v>
      </c>
      <c r="K1627" s="8">
        <f>COUNTIFS('All Papers'!$D:$D,"*"&amp;$A1627&amp;"*",'All Papers'!$G:$G,"*"&amp;Table1[[#Headers],[Energy Management]]&amp;"*")</f>
        <v>0</v>
      </c>
      <c r="L1627" s="8">
        <f>COUNTIFS('All Papers'!$D:$D,"*"&amp;$A1627&amp;"*",'All Papers'!$G:$G,"*"&amp;Table1[[#Headers],[Monitoring]]&amp;"*")</f>
        <v>0</v>
      </c>
      <c r="M1627" s="8">
        <f>COUNTIFS('All Papers'!$D:$D,"*"&amp;$A1627&amp;"*",'All Papers'!$G:$G,"*"&amp;Table1[[#Headers],[Pricing]]&amp;"*")</f>
        <v>0</v>
      </c>
    </row>
    <row r="1628" spans="1:13" x14ac:dyDescent="0.25">
      <c r="A1628" s="8" t="s">
        <v>4061</v>
      </c>
      <c r="B1628" s="8">
        <f>COUNTIF('All Papers'!D:D,"*"&amp;Table1[[#This Row],[Name]]&amp;"*")</f>
        <v>1</v>
      </c>
      <c r="C1628" s="8">
        <f>COUNTIFS('All Papers'!$D:$D,"*"&amp;$A1628&amp;"*",'All Papers'!$G:$G,"*"&amp;Table1[[#Headers],[Composition]]&amp;"*")</f>
        <v>1</v>
      </c>
      <c r="D1628" s="8">
        <f>COUNTIFS('All Papers'!$D:$D,"*"&amp;$A1628&amp;"*",'All Papers'!$G:$G,"*"&amp;Table1[[#Headers],[Discovery]]&amp;"*")</f>
        <v>0</v>
      </c>
      <c r="E1628" s="8">
        <f>COUNTIFS('All Papers'!$D:$D,"*"&amp;$A1628&amp;"*",'All Papers'!$G:$G,"*"&amp;Table1[[#Headers],[Selection]]&amp;"*")</f>
        <v>0</v>
      </c>
      <c r="F1628" s="8">
        <f>COUNTIFS('All Papers'!$D:$D,"*"&amp;$A1628&amp;"*",'All Papers'!$G:$G,"*"&amp;Table1[[#Headers],[Recommendation]]&amp;"*")</f>
        <v>0</v>
      </c>
      <c r="G1628" s="8">
        <f>COUNTIFS('All Papers'!$D:$D,"*"&amp;$A1628&amp;"*",'All Papers'!$G:$G,"*"&amp;Table1[[#Headers],[Resource Management-CS]]&amp;"*")</f>
        <v>0</v>
      </c>
      <c r="H1628" s="8">
        <f>COUNTIFS('All Papers'!$D:$D,"*"&amp;$A1628&amp;"*",'All Papers'!$G:$G,"*"&amp;Table1[[#Headers],[Resource Management-PS]]&amp;"*")</f>
        <v>0</v>
      </c>
      <c r="I1628" s="8">
        <f>COUNTIFS('All Papers'!$D:$D,"*"&amp;$A1628&amp;"*",'All Papers'!$G:$G,"*"&amp;Table1[[#Headers],[SLA Management]]&amp;"*")</f>
        <v>0</v>
      </c>
      <c r="J1628" s="8">
        <f>COUNTIFS('All Papers'!$D:$D,"*"&amp;$A1628&amp;"*",'All Papers'!$G:$G,"*"&amp;Table1[[#Headers],[Big Data]]&amp;"*")</f>
        <v>0</v>
      </c>
      <c r="K1628" s="8">
        <f>COUNTIFS('All Papers'!$D:$D,"*"&amp;$A1628&amp;"*",'All Papers'!$G:$G,"*"&amp;Table1[[#Headers],[Energy Management]]&amp;"*")</f>
        <v>0</v>
      </c>
      <c r="L1628" s="8">
        <f>COUNTIFS('All Papers'!$D:$D,"*"&amp;$A1628&amp;"*",'All Papers'!$G:$G,"*"&amp;Table1[[#Headers],[Monitoring]]&amp;"*")</f>
        <v>0</v>
      </c>
      <c r="M1628" s="8">
        <f>COUNTIFS('All Papers'!$D:$D,"*"&amp;$A1628&amp;"*",'All Papers'!$G:$G,"*"&amp;Table1[[#Headers],[Pricing]]&amp;"*")</f>
        <v>0</v>
      </c>
    </row>
    <row r="1629" spans="1:13" x14ac:dyDescent="0.25">
      <c r="A1629" s="8" t="s">
        <v>4062</v>
      </c>
      <c r="B1629" s="8">
        <f>COUNTIF('All Papers'!D:D,"*"&amp;Table1[[#This Row],[Name]]&amp;"*")</f>
        <v>1</v>
      </c>
      <c r="C1629" s="8">
        <f>COUNTIFS('All Papers'!$D:$D,"*"&amp;$A1629&amp;"*",'All Papers'!$G:$G,"*"&amp;Table1[[#Headers],[Composition]]&amp;"*")</f>
        <v>1</v>
      </c>
      <c r="D1629" s="8">
        <f>COUNTIFS('All Papers'!$D:$D,"*"&amp;$A1629&amp;"*",'All Papers'!$G:$G,"*"&amp;Table1[[#Headers],[Discovery]]&amp;"*")</f>
        <v>0</v>
      </c>
      <c r="E1629" s="8">
        <f>COUNTIFS('All Papers'!$D:$D,"*"&amp;$A1629&amp;"*",'All Papers'!$G:$G,"*"&amp;Table1[[#Headers],[Selection]]&amp;"*")</f>
        <v>0</v>
      </c>
      <c r="F1629" s="8">
        <f>COUNTIFS('All Papers'!$D:$D,"*"&amp;$A1629&amp;"*",'All Papers'!$G:$G,"*"&amp;Table1[[#Headers],[Recommendation]]&amp;"*")</f>
        <v>0</v>
      </c>
      <c r="G1629" s="8">
        <f>COUNTIFS('All Papers'!$D:$D,"*"&amp;$A1629&amp;"*",'All Papers'!$G:$G,"*"&amp;Table1[[#Headers],[Resource Management-CS]]&amp;"*")</f>
        <v>0</v>
      </c>
      <c r="H1629" s="8">
        <f>COUNTIFS('All Papers'!$D:$D,"*"&amp;$A1629&amp;"*",'All Papers'!$G:$G,"*"&amp;Table1[[#Headers],[Resource Management-PS]]&amp;"*")</f>
        <v>0</v>
      </c>
      <c r="I1629" s="8">
        <f>COUNTIFS('All Papers'!$D:$D,"*"&amp;$A1629&amp;"*",'All Papers'!$G:$G,"*"&amp;Table1[[#Headers],[SLA Management]]&amp;"*")</f>
        <v>0</v>
      </c>
      <c r="J1629" s="8">
        <f>COUNTIFS('All Papers'!$D:$D,"*"&amp;$A1629&amp;"*",'All Papers'!$G:$G,"*"&amp;Table1[[#Headers],[Big Data]]&amp;"*")</f>
        <v>0</v>
      </c>
      <c r="K1629" s="8">
        <f>COUNTIFS('All Papers'!$D:$D,"*"&amp;$A1629&amp;"*",'All Papers'!$G:$G,"*"&amp;Table1[[#Headers],[Energy Management]]&amp;"*")</f>
        <v>0</v>
      </c>
      <c r="L1629" s="8">
        <f>COUNTIFS('All Papers'!$D:$D,"*"&amp;$A1629&amp;"*",'All Papers'!$G:$G,"*"&amp;Table1[[#Headers],[Monitoring]]&amp;"*")</f>
        <v>0</v>
      </c>
      <c r="M1629" s="8">
        <f>COUNTIFS('All Papers'!$D:$D,"*"&amp;$A1629&amp;"*",'All Papers'!$G:$G,"*"&amp;Table1[[#Headers],[Pricing]]&amp;"*")</f>
        <v>0</v>
      </c>
    </row>
    <row r="1630" spans="1:13" x14ac:dyDescent="0.25">
      <c r="A1630" s="8" t="s">
        <v>4063</v>
      </c>
      <c r="B1630" s="8">
        <f>COUNTIF('All Papers'!D:D,"*"&amp;Table1[[#This Row],[Name]]&amp;"*")</f>
        <v>1</v>
      </c>
      <c r="C1630" s="8">
        <f>COUNTIFS('All Papers'!$D:$D,"*"&amp;$A1630&amp;"*",'All Papers'!$G:$G,"*"&amp;Table1[[#Headers],[Composition]]&amp;"*")</f>
        <v>1</v>
      </c>
      <c r="D1630" s="8">
        <f>COUNTIFS('All Papers'!$D:$D,"*"&amp;$A1630&amp;"*",'All Papers'!$G:$G,"*"&amp;Table1[[#Headers],[Discovery]]&amp;"*")</f>
        <v>0</v>
      </c>
      <c r="E1630" s="8">
        <f>COUNTIFS('All Papers'!$D:$D,"*"&amp;$A1630&amp;"*",'All Papers'!$G:$G,"*"&amp;Table1[[#Headers],[Selection]]&amp;"*")</f>
        <v>0</v>
      </c>
      <c r="F1630" s="8">
        <f>COUNTIFS('All Papers'!$D:$D,"*"&amp;$A1630&amp;"*",'All Papers'!$G:$G,"*"&amp;Table1[[#Headers],[Recommendation]]&amp;"*")</f>
        <v>0</v>
      </c>
      <c r="G1630" s="8">
        <f>COUNTIFS('All Papers'!$D:$D,"*"&amp;$A1630&amp;"*",'All Papers'!$G:$G,"*"&amp;Table1[[#Headers],[Resource Management-CS]]&amp;"*")</f>
        <v>0</v>
      </c>
      <c r="H1630" s="8">
        <f>COUNTIFS('All Papers'!$D:$D,"*"&amp;$A1630&amp;"*",'All Papers'!$G:$G,"*"&amp;Table1[[#Headers],[Resource Management-PS]]&amp;"*")</f>
        <v>0</v>
      </c>
      <c r="I1630" s="8">
        <f>COUNTIFS('All Papers'!$D:$D,"*"&amp;$A1630&amp;"*",'All Papers'!$G:$G,"*"&amp;Table1[[#Headers],[SLA Management]]&amp;"*")</f>
        <v>0</v>
      </c>
      <c r="J1630" s="8">
        <f>COUNTIFS('All Papers'!$D:$D,"*"&amp;$A1630&amp;"*",'All Papers'!$G:$G,"*"&amp;Table1[[#Headers],[Big Data]]&amp;"*")</f>
        <v>0</v>
      </c>
      <c r="K1630" s="8">
        <f>COUNTIFS('All Papers'!$D:$D,"*"&amp;$A1630&amp;"*",'All Papers'!$G:$G,"*"&amp;Table1[[#Headers],[Energy Management]]&amp;"*")</f>
        <v>0</v>
      </c>
      <c r="L1630" s="8">
        <f>COUNTIFS('All Papers'!$D:$D,"*"&amp;$A1630&amp;"*",'All Papers'!$G:$G,"*"&amp;Table1[[#Headers],[Monitoring]]&amp;"*")</f>
        <v>0</v>
      </c>
      <c r="M1630" s="8">
        <f>COUNTIFS('All Papers'!$D:$D,"*"&amp;$A1630&amp;"*",'All Papers'!$G:$G,"*"&amp;Table1[[#Headers],[Pricing]]&amp;"*")</f>
        <v>0</v>
      </c>
    </row>
    <row r="1631" spans="1:13" x14ac:dyDescent="0.25">
      <c r="A1631" s="8" t="s">
        <v>4064</v>
      </c>
      <c r="B1631" s="8">
        <f>COUNTIF('All Papers'!D:D,"*"&amp;Table1[[#This Row],[Name]]&amp;"*")</f>
        <v>1</v>
      </c>
      <c r="C1631" s="8">
        <f>COUNTIFS('All Papers'!$D:$D,"*"&amp;$A1631&amp;"*",'All Papers'!$G:$G,"*"&amp;Table1[[#Headers],[Composition]]&amp;"*")</f>
        <v>1</v>
      </c>
      <c r="D1631" s="8">
        <f>COUNTIFS('All Papers'!$D:$D,"*"&amp;$A1631&amp;"*",'All Papers'!$G:$G,"*"&amp;Table1[[#Headers],[Discovery]]&amp;"*")</f>
        <v>0</v>
      </c>
      <c r="E1631" s="8">
        <f>COUNTIFS('All Papers'!$D:$D,"*"&amp;$A1631&amp;"*",'All Papers'!$G:$G,"*"&amp;Table1[[#Headers],[Selection]]&amp;"*")</f>
        <v>0</v>
      </c>
      <c r="F1631" s="8">
        <f>COUNTIFS('All Papers'!$D:$D,"*"&amp;$A1631&amp;"*",'All Papers'!$G:$G,"*"&amp;Table1[[#Headers],[Recommendation]]&amp;"*")</f>
        <v>0</v>
      </c>
      <c r="G1631" s="8">
        <f>COUNTIFS('All Papers'!$D:$D,"*"&amp;$A1631&amp;"*",'All Papers'!$G:$G,"*"&amp;Table1[[#Headers],[Resource Management-CS]]&amp;"*")</f>
        <v>0</v>
      </c>
      <c r="H1631" s="8">
        <f>COUNTIFS('All Papers'!$D:$D,"*"&amp;$A1631&amp;"*",'All Papers'!$G:$G,"*"&amp;Table1[[#Headers],[Resource Management-PS]]&amp;"*")</f>
        <v>0</v>
      </c>
      <c r="I1631" s="8">
        <f>COUNTIFS('All Papers'!$D:$D,"*"&amp;$A1631&amp;"*",'All Papers'!$G:$G,"*"&amp;Table1[[#Headers],[SLA Management]]&amp;"*")</f>
        <v>0</v>
      </c>
      <c r="J1631" s="8">
        <f>COUNTIFS('All Papers'!$D:$D,"*"&amp;$A1631&amp;"*",'All Papers'!$G:$G,"*"&amp;Table1[[#Headers],[Big Data]]&amp;"*")</f>
        <v>0</v>
      </c>
      <c r="K1631" s="8">
        <f>COUNTIFS('All Papers'!$D:$D,"*"&amp;$A1631&amp;"*",'All Papers'!$G:$G,"*"&amp;Table1[[#Headers],[Energy Management]]&amp;"*")</f>
        <v>0</v>
      </c>
      <c r="L1631" s="8">
        <f>COUNTIFS('All Papers'!$D:$D,"*"&amp;$A1631&amp;"*",'All Papers'!$G:$G,"*"&amp;Table1[[#Headers],[Monitoring]]&amp;"*")</f>
        <v>0</v>
      </c>
      <c r="M1631" s="8">
        <f>COUNTIFS('All Papers'!$D:$D,"*"&amp;$A1631&amp;"*",'All Papers'!$G:$G,"*"&amp;Table1[[#Headers],[Pricing]]&amp;"*")</f>
        <v>0</v>
      </c>
    </row>
    <row r="1632" spans="1:13" x14ac:dyDescent="0.25">
      <c r="A1632" s="8" t="s">
        <v>4065</v>
      </c>
      <c r="B1632" s="8">
        <f>COUNTIF('All Papers'!D:D,"*"&amp;Table1[[#This Row],[Name]]&amp;"*")</f>
        <v>1</v>
      </c>
      <c r="C1632" s="8">
        <f>COUNTIFS('All Papers'!$D:$D,"*"&amp;$A1632&amp;"*",'All Papers'!$G:$G,"*"&amp;Table1[[#Headers],[Composition]]&amp;"*")</f>
        <v>1</v>
      </c>
      <c r="D1632" s="8">
        <f>COUNTIFS('All Papers'!$D:$D,"*"&amp;$A1632&amp;"*",'All Papers'!$G:$G,"*"&amp;Table1[[#Headers],[Discovery]]&amp;"*")</f>
        <v>0</v>
      </c>
      <c r="E1632" s="8">
        <f>COUNTIFS('All Papers'!$D:$D,"*"&amp;$A1632&amp;"*",'All Papers'!$G:$G,"*"&amp;Table1[[#Headers],[Selection]]&amp;"*")</f>
        <v>0</v>
      </c>
      <c r="F1632" s="8">
        <f>COUNTIFS('All Papers'!$D:$D,"*"&amp;$A1632&amp;"*",'All Papers'!$G:$G,"*"&amp;Table1[[#Headers],[Recommendation]]&amp;"*")</f>
        <v>0</v>
      </c>
      <c r="G1632" s="8">
        <f>COUNTIFS('All Papers'!$D:$D,"*"&amp;$A1632&amp;"*",'All Papers'!$G:$G,"*"&amp;Table1[[#Headers],[Resource Management-CS]]&amp;"*")</f>
        <v>0</v>
      </c>
      <c r="H1632" s="8">
        <f>COUNTIFS('All Papers'!$D:$D,"*"&amp;$A1632&amp;"*",'All Papers'!$G:$G,"*"&amp;Table1[[#Headers],[Resource Management-PS]]&amp;"*")</f>
        <v>0</v>
      </c>
      <c r="I1632" s="8">
        <f>COUNTIFS('All Papers'!$D:$D,"*"&amp;$A1632&amp;"*",'All Papers'!$G:$G,"*"&amp;Table1[[#Headers],[SLA Management]]&amp;"*")</f>
        <v>0</v>
      </c>
      <c r="J1632" s="8">
        <f>COUNTIFS('All Papers'!$D:$D,"*"&amp;$A1632&amp;"*",'All Papers'!$G:$G,"*"&amp;Table1[[#Headers],[Big Data]]&amp;"*")</f>
        <v>0</v>
      </c>
      <c r="K1632" s="8">
        <f>COUNTIFS('All Papers'!$D:$D,"*"&amp;$A1632&amp;"*",'All Papers'!$G:$G,"*"&amp;Table1[[#Headers],[Energy Management]]&amp;"*")</f>
        <v>0</v>
      </c>
      <c r="L1632" s="8">
        <f>COUNTIFS('All Papers'!$D:$D,"*"&amp;$A1632&amp;"*",'All Papers'!$G:$G,"*"&amp;Table1[[#Headers],[Monitoring]]&amp;"*")</f>
        <v>0</v>
      </c>
      <c r="M1632" s="8">
        <f>COUNTIFS('All Papers'!$D:$D,"*"&amp;$A1632&amp;"*",'All Papers'!$G:$G,"*"&amp;Table1[[#Headers],[Pricing]]&amp;"*")</f>
        <v>0</v>
      </c>
    </row>
    <row r="1633" spans="1:13" x14ac:dyDescent="0.25">
      <c r="A1633" s="8" t="s">
        <v>4066</v>
      </c>
      <c r="B1633" s="8">
        <f>COUNTIF('All Papers'!D:D,"*"&amp;Table1[[#This Row],[Name]]&amp;"*")</f>
        <v>1</v>
      </c>
      <c r="C1633" s="8">
        <f>COUNTIFS('All Papers'!$D:$D,"*"&amp;$A1633&amp;"*",'All Papers'!$G:$G,"*"&amp;Table1[[#Headers],[Composition]]&amp;"*")</f>
        <v>1</v>
      </c>
      <c r="D1633" s="8">
        <f>COUNTIFS('All Papers'!$D:$D,"*"&amp;$A1633&amp;"*",'All Papers'!$G:$G,"*"&amp;Table1[[#Headers],[Discovery]]&amp;"*")</f>
        <v>0</v>
      </c>
      <c r="E1633" s="8">
        <f>COUNTIFS('All Papers'!$D:$D,"*"&amp;$A1633&amp;"*",'All Papers'!$G:$G,"*"&amp;Table1[[#Headers],[Selection]]&amp;"*")</f>
        <v>0</v>
      </c>
      <c r="F1633" s="8">
        <f>COUNTIFS('All Papers'!$D:$D,"*"&amp;$A1633&amp;"*",'All Papers'!$G:$G,"*"&amp;Table1[[#Headers],[Recommendation]]&amp;"*")</f>
        <v>0</v>
      </c>
      <c r="G1633" s="8">
        <f>COUNTIFS('All Papers'!$D:$D,"*"&amp;$A1633&amp;"*",'All Papers'!$G:$G,"*"&amp;Table1[[#Headers],[Resource Management-CS]]&amp;"*")</f>
        <v>0</v>
      </c>
      <c r="H1633" s="8">
        <f>COUNTIFS('All Papers'!$D:$D,"*"&amp;$A1633&amp;"*",'All Papers'!$G:$G,"*"&amp;Table1[[#Headers],[Resource Management-PS]]&amp;"*")</f>
        <v>0</v>
      </c>
      <c r="I1633" s="8">
        <f>COUNTIFS('All Papers'!$D:$D,"*"&amp;$A1633&amp;"*",'All Papers'!$G:$G,"*"&amp;Table1[[#Headers],[SLA Management]]&amp;"*")</f>
        <v>0</v>
      </c>
      <c r="J1633" s="8">
        <f>COUNTIFS('All Papers'!$D:$D,"*"&amp;$A1633&amp;"*",'All Papers'!$G:$G,"*"&amp;Table1[[#Headers],[Big Data]]&amp;"*")</f>
        <v>0</v>
      </c>
      <c r="K1633" s="8">
        <f>COUNTIFS('All Papers'!$D:$D,"*"&amp;$A1633&amp;"*",'All Papers'!$G:$G,"*"&amp;Table1[[#Headers],[Energy Management]]&amp;"*")</f>
        <v>0</v>
      </c>
      <c r="L1633" s="8">
        <f>COUNTIFS('All Papers'!$D:$D,"*"&amp;$A1633&amp;"*",'All Papers'!$G:$G,"*"&amp;Table1[[#Headers],[Monitoring]]&amp;"*")</f>
        <v>0</v>
      </c>
      <c r="M1633" s="8">
        <f>COUNTIFS('All Papers'!$D:$D,"*"&amp;$A1633&amp;"*",'All Papers'!$G:$G,"*"&amp;Table1[[#Headers],[Pricing]]&amp;"*")</f>
        <v>0</v>
      </c>
    </row>
    <row r="1634" spans="1:13" x14ac:dyDescent="0.25">
      <c r="A1634" s="8" t="s">
        <v>4067</v>
      </c>
      <c r="B1634" s="8">
        <f>COUNTIF('All Papers'!D:D,"*"&amp;Table1[[#This Row],[Name]]&amp;"*")</f>
        <v>1</v>
      </c>
      <c r="C1634" s="8">
        <f>COUNTIFS('All Papers'!$D:$D,"*"&amp;$A1634&amp;"*",'All Papers'!$G:$G,"*"&amp;Table1[[#Headers],[Composition]]&amp;"*")</f>
        <v>1</v>
      </c>
      <c r="D1634" s="8">
        <f>COUNTIFS('All Papers'!$D:$D,"*"&amp;$A1634&amp;"*",'All Papers'!$G:$G,"*"&amp;Table1[[#Headers],[Discovery]]&amp;"*")</f>
        <v>0</v>
      </c>
      <c r="E1634" s="8">
        <f>COUNTIFS('All Papers'!$D:$D,"*"&amp;$A1634&amp;"*",'All Papers'!$G:$G,"*"&amp;Table1[[#Headers],[Selection]]&amp;"*")</f>
        <v>0</v>
      </c>
      <c r="F1634" s="8">
        <f>COUNTIFS('All Papers'!$D:$D,"*"&amp;$A1634&amp;"*",'All Papers'!$G:$G,"*"&amp;Table1[[#Headers],[Recommendation]]&amp;"*")</f>
        <v>0</v>
      </c>
      <c r="G1634" s="8">
        <f>COUNTIFS('All Papers'!$D:$D,"*"&amp;$A1634&amp;"*",'All Papers'!$G:$G,"*"&amp;Table1[[#Headers],[Resource Management-CS]]&amp;"*")</f>
        <v>0</v>
      </c>
      <c r="H1634" s="8">
        <f>COUNTIFS('All Papers'!$D:$D,"*"&amp;$A1634&amp;"*",'All Papers'!$G:$G,"*"&amp;Table1[[#Headers],[Resource Management-PS]]&amp;"*")</f>
        <v>0</v>
      </c>
      <c r="I1634" s="8">
        <f>COUNTIFS('All Papers'!$D:$D,"*"&amp;$A1634&amp;"*",'All Papers'!$G:$G,"*"&amp;Table1[[#Headers],[SLA Management]]&amp;"*")</f>
        <v>0</v>
      </c>
      <c r="J1634" s="8">
        <f>COUNTIFS('All Papers'!$D:$D,"*"&amp;$A1634&amp;"*",'All Papers'!$G:$G,"*"&amp;Table1[[#Headers],[Big Data]]&amp;"*")</f>
        <v>0</v>
      </c>
      <c r="K1634" s="8">
        <f>COUNTIFS('All Papers'!$D:$D,"*"&amp;$A1634&amp;"*",'All Papers'!$G:$G,"*"&amp;Table1[[#Headers],[Energy Management]]&amp;"*")</f>
        <v>0</v>
      </c>
      <c r="L1634" s="8">
        <f>COUNTIFS('All Papers'!$D:$D,"*"&amp;$A1634&amp;"*",'All Papers'!$G:$G,"*"&amp;Table1[[#Headers],[Monitoring]]&amp;"*")</f>
        <v>0</v>
      </c>
      <c r="M1634" s="8">
        <f>COUNTIFS('All Papers'!$D:$D,"*"&amp;$A1634&amp;"*",'All Papers'!$G:$G,"*"&amp;Table1[[#Headers],[Pricing]]&amp;"*")</f>
        <v>0</v>
      </c>
    </row>
    <row r="1635" spans="1:13" x14ac:dyDescent="0.25">
      <c r="A1635" s="8" t="s">
        <v>4068</v>
      </c>
      <c r="B1635" s="8">
        <f>COUNTIF('All Papers'!D:D,"*"&amp;Table1[[#This Row],[Name]]&amp;"*")</f>
        <v>1</v>
      </c>
      <c r="C1635" s="8">
        <f>COUNTIFS('All Papers'!$D:$D,"*"&amp;$A1635&amp;"*",'All Papers'!$G:$G,"*"&amp;Table1[[#Headers],[Composition]]&amp;"*")</f>
        <v>0</v>
      </c>
      <c r="D1635" s="8">
        <f>COUNTIFS('All Papers'!$D:$D,"*"&amp;$A1635&amp;"*",'All Papers'!$G:$G,"*"&amp;Table1[[#Headers],[Discovery]]&amp;"*")</f>
        <v>0</v>
      </c>
      <c r="E1635" s="8">
        <f>COUNTIFS('All Papers'!$D:$D,"*"&amp;$A1635&amp;"*",'All Papers'!$G:$G,"*"&amp;Table1[[#Headers],[Selection]]&amp;"*")</f>
        <v>0</v>
      </c>
      <c r="F1635" s="8">
        <f>COUNTIFS('All Papers'!$D:$D,"*"&amp;$A1635&amp;"*",'All Papers'!$G:$G,"*"&amp;Table1[[#Headers],[Recommendation]]&amp;"*")</f>
        <v>0</v>
      </c>
      <c r="G1635" s="8">
        <f>COUNTIFS('All Papers'!$D:$D,"*"&amp;$A1635&amp;"*",'All Papers'!$G:$G,"*"&amp;Table1[[#Headers],[Resource Management-CS]]&amp;"*")</f>
        <v>0</v>
      </c>
      <c r="H1635" s="8">
        <f>COUNTIFS('All Papers'!$D:$D,"*"&amp;$A1635&amp;"*",'All Papers'!$G:$G,"*"&amp;Table1[[#Headers],[Resource Management-PS]]&amp;"*")</f>
        <v>0</v>
      </c>
      <c r="I1635" s="8">
        <f>COUNTIFS('All Papers'!$D:$D,"*"&amp;$A1635&amp;"*",'All Papers'!$G:$G,"*"&amp;Table1[[#Headers],[SLA Management]]&amp;"*")</f>
        <v>0</v>
      </c>
      <c r="J1635" s="8">
        <f>COUNTIFS('All Papers'!$D:$D,"*"&amp;$A1635&amp;"*",'All Papers'!$G:$G,"*"&amp;Table1[[#Headers],[Big Data]]&amp;"*")</f>
        <v>0</v>
      </c>
      <c r="K1635" s="8">
        <f>COUNTIFS('All Papers'!$D:$D,"*"&amp;$A1635&amp;"*",'All Papers'!$G:$G,"*"&amp;Table1[[#Headers],[Energy Management]]&amp;"*")</f>
        <v>0</v>
      </c>
      <c r="L1635" s="8">
        <f>COUNTIFS('All Papers'!$D:$D,"*"&amp;$A1635&amp;"*",'All Papers'!$G:$G,"*"&amp;Table1[[#Headers],[Monitoring]]&amp;"*")</f>
        <v>0</v>
      </c>
      <c r="M1635" s="8">
        <f>COUNTIFS('All Papers'!$D:$D,"*"&amp;$A1635&amp;"*",'All Papers'!$G:$G,"*"&amp;Table1[[#Headers],[Pricing]]&amp;"*")</f>
        <v>1</v>
      </c>
    </row>
    <row r="1636" spans="1:13" x14ac:dyDescent="0.25">
      <c r="A1636" s="8" t="s">
        <v>4069</v>
      </c>
      <c r="B1636" s="8">
        <f>COUNTIF('All Papers'!D:D,"*"&amp;Table1[[#This Row],[Name]]&amp;"*")</f>
        <v>1</v>
      </c>
      <c r="C1636" s="8">
        <f>COUNTIFS('All Papers'!$D:$D,"*"&amp;$A1636&amp;"*",'All Papers'!$G:$G,"*"&amp;Table1[[#Headers],[Composition]]&amp;"*")</f>
        <v>0</v>
      </c>
      <c r="D1636" s="8">
        <f>COUNTIFS('All Papers'!$D:$D,"*"&amp;$A1636&amp;"*",'All Papers'!$G:$G,"*"&amp;Table1[[#Headers],[Discovery]]&amp;"*")</f>
        <v>0</v>
      </c>
      <c r="E1636" s="8">
        <f>COUNTIFS('All Papers'!$D:$D,"*"&amp;$A1636&amp;"*",'All Papers'!$G:$G,"*"&amp;Table1[[#Headers],[Selection]]&amp;"*")</f>
        <v>0</v>
      </c>
      <c r="F1636" s="8">
        <f>COUNTIFS('All Papers'!$D:$D,"*"&amp;$A1636&amp;"*",'All Papers'!$G:$G,"*"&amp;Table1[[#Headers],[Recommendation]]&amp;"*")</f>
        <v>0</v>
      </c>
      <c r="G1636" s="8">
        <f>COUNTIFS('All Papers'!$D:$D,"*"&amp;$A1636&amp;"*",'All Papers'!$G:$G,"*"&amp;Table1[[#Headers],[Resource Management-CS]]&amp;"*")</f>
        <v>0</v>
      </c>
      <c r="H1636" s="8">
        <f>COUNTIFS('All Papers'!$D:$D,"*"&amp;$A1636&amp;"*",'All Papers'!$G:$G,"*"&amp;Table1[[#Headers],[Resource Management-PS]]&amp;"*")</f>
        <v>0</v>
      </c>
      <c r="I1636" s="8">
        <f>COUNTIFS('All Papers'!$D:$D,"*"&amp;$A1636&amp;"*",'All Papers'!$G:$G,"*"&amp;Table1[[#Headers],[SLA Management]]&amp;"*")</f>
        <v>0</v>
      </c>
      <c r="J1636" s="8">
        <f>COUNTIFS('All Papers'!$D:$D,"*"&amp;$A1636&amp;"*",'All Papers'!$G:$G,"*"&amp;Table1[[#Headers],[Big Data]]&amp;"*")</f>
        <v>0</v>
      </c>
      <c r="K1636" s="8">
        <f>COUNTIFS('All Papers'!$D:$D,"*"&amp;$A1636&amp;"*",'All Papers'!$G:$G,"*"&amp;Table1[[#Headers],[Energy Management]]&amp;"*")</f>
        <v>0</v>
      </c>
      <c r="L1636" s="8">
        <f>COUNTIFS('All Papers'!$D:$D,"*"&amp;$A1636&amp;"*",'All Papers'!$G:$G,"*"&amp;Table1[[#Headers],[Monitoring]]&amp;"*")</f>
        <v>0</v>
      </c>
      <c r="M1636" s="8">
        <f>COUNTIFS('All Papers'!$D:$D,"*"&amp;$A1636&amp;"*",'All Papers'!$G:$G,"*"&amp;Table1[[#Headers],[Pricing]]&amp;"*")</f>
        <v>1</v>
      </c>
    </row>
    <row r="1637" spans="1:13" x14ac:dyDescent="0.25">
      <c r="A1637" s="8" t="s">
        <v>4070</v>
      </c>
      <c r="B1637" s="8">
        <f>COUNTIF('All Papers'!D:D,"*"&amp;Table1[[#This Row],[Name]]&amp;"*")</f>
        <v>1</v>
      </c>
      <c r="C1637" s="8">
        <f>COUNTIFS('All Papers'!$D:$D,"*"&amp;$A1637&amp;"*",'All Papers'!$G:$G,"*"&amp;Table1[[#Headers],[Composition]]&amp;"*")</f>
        <v>0</v>
      </c>
      <c r="D1637" s="8">
        <f>COUNTIFS('All Papers'!$D:$D,"*"&amp;$A1637&amp;"*",'All Papers'!$G:$G,"*"&amp;Table1[[#Headers],[Discovery]]&amp;"*")</f>
        <v>0</v>
      </c>
      <c r="E1637" s="8">
        <f>COUNTIFS('All Papers'!$D:$D,"*"&amp;$A1637&amp;"*",'All Papers'!$G:$G,"*"&amp;Table1[[#Headers],[Selection]]&amp;"*")</f>
        <v>0</v>
      </c>
      <c r="F1637" s="8">
        <f>COUNTIFS('All Papers'!$D:$D,"*"&amp;$A1637&amp;"*",'All Papers'!$G:$G,"*"&amp;Table1[[#Headers],[Recommendation]]&amp;"*")</f>
        <v>0</v>
      </c>
      <c r="G1637" s="8">
        <f>COUNTIFS('All Papers'!$D:$D,"*"&amp;$A1637&amp;"*",'All Papers'!$G:$G,"*"&amp;Table1[[#Headers],[Resource Management-CS]]&amp;"*")</f>
        <v>0</v>
      </c>
      <c r="H1637" s="8">
        <f>COUNTIFS('All Papers'!$D:$D,"*"&amp;$A1637&amp;"*",'All Papers'!$G:$G,"*"&amp;Table1[[#Headers],[Resource Management-PS]]&amp;"*")</f>
        <v>0</v>
      </c>
      <c r="I1637" s="8">
        <f>COUNTIFS('All Papers'!$D:$D,"*"&amp;$A1637&amp;"*",'All Papers'!$G:$G,"*"&amp;Table1[[#Headers],[SLA Management]]&amp;"*")</f>
        <v>0</v>
      </c>
      <c r="J1637" s="8">
        <f>COUNTIFS('All Papers'!$D:$D,"*"&amp;$A1637&amp;"*",'All Papers'!$G:$G,"*"&amp;Table1[[#Headers],[Big Data]]&amp;"*")</f>
        <v>0</v>
      </c>
      <c r="K1637" s="8">
        <f>COUNTIFS('All Papers'!$D:$D,"*"&amp;$A1637&amp;"*",'All Papers'!$G:$G,"*"&amp;Table1[[#Headers],[Energy Management]]&amp;"*")</f>
        <v>0</v>
      </c>
      <c r="L1637" s="8">
        <f>COUNTIFS('All Papers'!$D:$D,"*"&amp;$A1637&amp;"*",'All Papers'!$G:$G,"*"&amp;Table1[[#Headers],[Monitoring]]&amp;"*")</f>
        <v>0</v>
      </c>
      <c r="M1637" s="8">
        <f>COUNTIFS('All Papers'!$D:$D,"*"&amp;$A1637&amp;"*",'All Papers'!$G:$G,"*"&amp;Table1[[#Headers],[Pricing]]&amp;"*")</f>
        <v>1</v>
      </c>
    </row>
    <row r="1638" spans="1:13" x14ac:dyDescent="0.25">
      <c r="A1638" s="8" t="s">
        <v>4071</v>
      </c>
      <c r="B1638" s="8">
        <f>COUNTIF('All Papers'!D:D,"*"&amp;Table1[[#This Row],[Name]]&amp;"*")</f>
        <v>1</v>
      </c>
      <c r="C1638" s="8">
        <f>COUNTIFS('All Papers'!$D:$D,"*"&amp;$A1638&amp;"*",'All Papers'!$G:$G,"*"&amp;Table1[[#Headers],[Composition]]&amp;"*")</f>
        <v>1</v>
      </c>
      <c r="D1638" s="8">
        <f>COUNTIFS('All Papers'!$D:$D,"*"&amp;$A1638&amp;"*",'All Papers'!$G:$G,"*"&amp;Table1[[#Headers],[Discovery]]&amp;"*")</f>
        <v>0</v>
      </c>
      <c r="E1638" s="8">
        <f>COUNTIFS('All Papers'!$D:$D,"*"&amp;$A1638&amp;"*",'All Papers'!$G:$G,"*"&amp;Table1[[#Headers],[Selection]]&amp;"*")</f>
        <v>0</v>
      </c>
      <c r="F1638" s="8">
        <f>COUNTIFS('All Papers'!$D:$D,"*"&amp;$A1638&amp;"*",'All Papers'!$G:$G,"*"&amp;Table1[[#Headers],[Recommendation]]&amp;"*")</f>
        <v>0</v>
      </c>
      <c r="G1638" s="8">
        <f>COUNTIFS('All Papers'!$D:$D,"*"&amp;$A1638&amp;"*",'All Papers'!$G:$G,"*"&amp;Table1[[#Headers],[Resource Management-CS]]&amp;"*")</f>
        <v>0</v>
      </c>
      <c r="H1638" s="8">
        <f>COUNTIFS('All Papers'!$D:$D,"*"&amp;$A1638&amp;"*",'All Papers'!$G:$G,"*"&amp;Table1[[#Headers],[Resource Management-PS]]&amp;"*")</f>
        <v>0</v>
      </c>
      <c r="I1638" s="8">
        <f>COUNTIFS('All Papers'!$D:$D,"*"&amp;$A1638&amp;"*",'All Papers'!$G:$G,"*"&amp;Table1[[#Headers],[SLA Management]]&amp;"*")</f>
        <v>0</v>
      </c>
      <c r="J1638" s="8">
        <f>COUNTIFS('All Papers'!$D:$D,"*"&amp;$A1638&amp;"*",'All Papers'!$G:$G,"*"&amp;Table1[[#Headers],[Big Data]]&amp;"*")</f>
        <v>0</v>
      </c>
      <c r="K1638" s="8">
        <f>COUNTIFS('All Papers'!$D:$D,"*"&amp;$A1638&amp;"*",'All Papers'!$G:$G,"*"&amp;Table1[[#Headers],[Energy Management]]&amp;"*")</f>
        <v>0</v>
      </c>
      <c r="L1638" s="8">
        <f>COUNTIFS('All Papers'!$D:$D,"*"&amp;$A1638&amp;"*",'All Papers'!$G:$G,"*"&amp;Table1[[#Headers],[Monitoring]]&amp;"*")</f>
        <v>0</v>
      </c>
      <c r="M1638" s="8">
        <f>COUNTIFS('All Papers'!$D:$D,"*"&amp;$A1638&amp;"*",'All Papers'!$G:$G,"*"&amp;Table1[[#Headers],[Pricing]]&amp;"*")</f>
        <v>0</v>
      </c>
    </row>
    <row r="1639" spans="1:13" x14ac:dyDescent="0.25">
      <c r="A1639" s="8" t="s">
        <v>4072</v>
      </c>
      <c r="B1639" s="8">
        <f>COUNTIF('All Papers'!D:D,"*"&amp;Table1[[#This Row],[Name]]&amp;"*")</f>
        <v>1</v>
      </c>
      <c r="C1639" s="8">
        <f>COUNTIFS('All Papers'!$D:$D,"*"&amp;$A1639&amp;"*",'All Papers'!$G:$G,"*"&amp;Table1[[#Headers],[Composition]]&amp;"*")</f>
        <v>1</v>
      </c>
      <c r="D1639" s="8">
        <f>COUNTIFS('All Papers'!$D:$D,"*"&amp;$A1639&amp;"*",'All Papers'!$G:$G,"*"&amp;Table1[[#Headers],[Discovery]]&amp;"*")</f>
        <v>0</v>
      </c>
      <c r="E1639" s="8">
        <f>COUNTIFS('All Papers'!$D:$D,"*"&amp;$A1639&amp;"*",'All Papers'!$G:$G,"*"&amp;Table1[[#Headers],[Selection]]&amp;"*")</f>
        <v>0</v>
      </c>
      <c r="F1639" s="8">
        <f>COUNTIFS('All Papers'!$D:$D,"*"&amp;$A1639&amp;"*",'All Papers'!$G:$G,"*"&amp;Table1[[#Headers],[Recommendation]]&amp;"*")</f>
        <v>0</v>
      </c>
      <c r="G1639" s="8">
        <f>COUNTIFS('All Papers'!$D:$D,"*"&amp;$A1639&amp;"*",'All Papers'!$G:$G,"*"&amp;Table1[[#Headers],[Resource Management-CS]]&amp;"*")</f>
        <v>0</v>
      </c>
      <c r="H1639" s="8">
        <f>COUNTIFS('All Papers'!$D:$D,"*"&amp;$A1639&amp;"*",'All Papers'!$G:$G,"*"&amp;Table1[[#Headers],[Resource Management-PS]]&amp;"*")</f>
        <v>0</v>
      </c>
      <c r="I1639" s="8">
        <f>COUNTIFS('All Papers'!$D:$D,"*"&amp;$A1639&amp;"*",'All Papers'!$G:$G,"*"&amp;Table1[[#Headers],[SLA Management]]&amp;"*")</f>
        <v>0</v>
      </c>
      <c r="J1639" s="8">
        <f>COUNTIFS('All Papers'!$D:$D,"*"&amp;$A1639&amp;"*",'All Papers'!$G:$G,"*"&amp;Table1[[#Headers],[Big Data]]&amp;"*")</f>
        <v>0</v>
      </c>
      <c r="K1639" s="8">
        <f>COUNTIFS('All Papers'!$D:$D,"*"&amp;$A1639&amp;"*",'All Papers'!$G:$G,"*"&amp;Table1[[#Headers],[Energy Management]]&amp;"*")</f>
        <v>0</v>
      </c>
      <c r="L1639" s="8">
        <f>COUNTIFS('All Papers'!$D:$D,"*"&amp;$A1639&amp;"*",'All Papers'!$G:$G,"*"&amp;Table1[[#Headers],[Monitoring]]&amp;"*")</f>
        <v>0</v>
      </c>
      <c r="M1639" s="8">
        <f>COUNTIFS('All Papers'!$D:$D,"*"&amp;$A1639&amp;"*",'All Papers'!$G:$G,"*"&amp;Table1[[#Headers],[Pricing]]&amp;"*")</f>
        <v>0</v>
      </c>
    </row>
    <row r="1640" spans="1:13" x14ac:dyDescent="0.25">
      <c r="A1640" s="8" t="s">
        <v>4073</v>
      </c>
      <c r="B1640" s="8">
        <f>COUNTIF('All Papers'!D:D,"*"&amp;Table1[[#This Row],[Name]]&amp;"*")</f>
        <v>1</v>
      </c>
      <c r="C1640" s="8">
        <f>COUNTIFS('All Papers'!$D:$D,"*"&amp;$A1640&amp;"*",'All Papers'!$G:$G,"*"&amp;Table1[[#Headers],[Composition]]&amp;"*")</f>
        <v>1</v>
      </c>
      <c r="D1640" s="8">
        <f>COUNTIFS('All Papers'!$D:$D,"*"&amp;$A1640&amp;"*",'All Papers'!$G:$G,"*"&amp;Table1[[#Headers],[Discovery]]&amp;"*")</f>
        <v>0</v>
      </c>
      <c r="E1640" s="8">
        <f>COUNTIFS('All Papers'!$D:$D,"*"&amp;$A1640&amp;"*",'All Papers'!$G:$G,"*"&amp;Table1[[#Headers],[Selection]]&amp;"*")</f>
        <v>0</v>
      </c>
      <c r="F1640" s="8">
        <f>COUNTIFS('All Papers'!$D:$D,"*"&amp;$A1640&amp;"*",'All Papers'!$G:$G,"*"&amp;Table1[[#Headers],[Recommendation]]&amp;"*")</f>
        <v>0</v>
      </c>
      <c r="G1640" s="8">
        <f>COUNTIFS('All Papers'!$D:$D,"*"&amp;$A1640&amp;"*",'All Papers'!$G:$G,"*"&amp;Table1[[#Headers],[Resource Management-CS]]&amp;"*")</f>
        <v>0</v>
      </c>
      <c r="H1640" s="8">
        <f>COUNTIFS('All Papers'!$D:$D,"*"&amp;$A1640&amp;"*",'All Papers'!$G:$G,"*"&amp;Table1[[#Headers],[Resource Management-PS]]&amp;"*")</f>
        <v>0</v>
      </c>
      <c r="I1640" s="8">
        <f>COUNTIFS('All Papers'!$D:$D,"*"&amp;$A1640&amp;"*",'All Papers'!$G:$G,"*"&amp;Table1[[#Headers],[SLA Management]]&amp;"*")</f>
        <v>0</v>
      </c>
      <c r="J1640" s="8">
        <f>COUNTIFS('All Papers'!$D:$D,"*"&amp;$A1640&amp;"*",'All Papers'!$G:$G,"*"&amp;Table1[[#Headers],[Big Data]]&amp;"*")</f>
        <v>0</v>
      </c>
      <c r="K1640" s="8">
        <f>COUNTIFS('All Papers'!$D:$D,"*"&amp;$A1640&amp;"*",'All Papers'!$G:$G,"*"&amp;Table1[[#Headers],[Energy Management]]&amp;"*")</f>
        <v>0</v>
      </c>
      <c r="L1640" s="8">
        <f>COUNTIFS('All Papers'!$D:$D,"*"&amp;$A1640&amp;"*",'All Papers'!$G:$G,"*"&amp;Table1[[#Headers],[Monitoring]]&amp;"*")</f>
        <v>0</v>
      </c>
      <c r="M1640" s="8">
        <f>COUNTIFS('All Papers'!$D:$D,"*"&amp;$A1640&amp;"*",'All Papers'!$G:$G,"*"&amp;Table1[[#Headers],[Pricing]]&amp;"*")</f>
        <v>0</v>
      </c>
    </row>
    <row r="1641" spans="1:13" x14ac:dyDescent="0.25">
      <c r="A1641" s="8" t="s">
        <v>4074</v>
      </c>
      <c r="B1641" s="8">
        <f>COUNTIF('All Papers'!D:D,"*"&amp;Table1[[#This Row],[Name]]&amp;"*")</f>
        <v>1</v>
      </c>
      <c r="C1641" s="8">
        <f>COUNTIFS('All Papers'!$D:$D,"*"&amp;$A1641&amp;"*",'All Papers'!$G:$G,"*"&amp;Table1[[#Headers],[Composition]]&amp;"*")</f>
        <v>1</v>
      </c>
      <c r="D1641" s="8">
        <f>COUNTIFS('All Papers'!$D:$D,"*"&amp;$A1641&amp;"*",'All Papers'!$G:$G,"*"&amp;Table1[[#Headers],[Discovery]]&amp;"*")</f>
        <v>0</v>
      </c>
      <c r="E1641" s="8">
        <f>COUNTIFS('All Papers'!$D:$D,"*"&amp;$A1641&amp;"*",'All Papers'!$G:$G,"*"&amp;Table1[[#Headers],[Selection]]&amp;"*")</f>
        <v>0</v>
      </c>
      <c r="F1641" s="8">
        <f>COUNTIFS('All Papers'!$D:$D,"*"&amp;$A1641&amp;"*",'All Papers'!$G:$G,"*"&amp;Table1[[#Headers],[Recommendation]]&amp;"*")</f>
        <v>0</v>
      </c>
      <c r="G1641" s="8">
        <f>COUNTIFS('All Papers'!$D:$D,"*"&amp;$A1641&amp;"*",'All Papers'!$G:$G,"*"&amp;Table1[[#Headers],[Resource Management-CS]]&amp;"*")</f>
        <v>0</v>
      </c>
      <c r="H1641" s="8">
        <f>COUNTIFS('All Papers'!$D:$D,"*"&amp;$A1641&amp;"*",'All Papers'!$G:$G,"*"&amp;Table1[[#Headers],[Resource Management-PS]]&amp;"*")</f>
        <v>0</v>
      </c>
      <c r="I1641" s="8">
        <f>COUNTIFS('All Papers'!$D:$D,"*"&amp;$A1641&amp;"*",'All Papers'!$G:$G,"*"&amp;Table1[[#Headers],[SLA Management]]&amp;"*")</f>
        <v>0</v>
      </c>
      <c r="J1641" s="8">
        <f>COUNTIFS('All Papers'!$D:$D,"*"&amp;$A1641&amp;"*",'All Papers'!$G:$G,"*"&amp;Table1[[#Headers],[Big Data]]&amp;"*")</f>
        <v>0</v>
      </c>
      <c r="K1641" s="8">
        <f>COUNTIFS('All Papers'!$D:$D,"*"&amp;$A1641&amp;"*",'All Papers'!$G:$G,"*"&amp;Table1[[#Headers],[Energy Management]]&amp;"*")</f>
        <v>0</v>
      </c>
      <c r="L1641" s="8">
        <f>COUNTIFS('All Papers'!$D:$D,"*"&amp;$A1641&amp;"*",'All Papers'!$G:$G,"*"&amp;Table1[[#Headers],[Monitoring]]&amp;"*")</f>
        <v>0</v>
      </c>
      <c r="M1641" s="8">
        <f>COUNTIFS('All Papers'!$D:$D,"*"&amp;$A1641&amp;"*",'All Papers'!$G:$G,"*"&amp;Table1[[#Headers],[Pricing]]&amp;"*")</f>
        <v>0</v>
      </c>
    </row>
    <row r="1642" spans="1:13" x14ac:dyDescent="0.25">
      <c r="A1642" s="8" t="s">
        <v>4075</v>
      </c>
      <c r="B1642" s="8">
        <f>COUNTIF('All Papers'!D:D,"*"&amp;Table1[[#This Row],[Name]]&amp;"*")</f>
        <v>1</v>
      </c>
      <c r="C1642" s="8">
        <f>COUNTIFS('All Papers'!$D:$D,"*"&amp;$A1642&amp;"*",'All Papers'!$G:$G,"*"&amp;Table1[[#Headers],[Composition]]&amp;"*")</f>
        <v>0</v>
      </c>
      <c r="D1642" s="8">
        <f>COUNTIFS('All Papers'!$D:$D,"*"&amp;$A1642&amp;"*",'All Papers'!$G:$G,"*"&amp;Table1[[#Headers],[Discovery]]&amp;"*")</f>
        <v>0</v>
      </c>
      <c r="E1642" s="8">
        <f>COUNTIFS('All Papers'!$D:$D,"*"&amp;$A1642&amp;"*",'All Papers'!$G:$G,"*"&amp;Table1[[#Headers],[Selection]]&amp;"*")</f>
        <v>0</v>
      </c>
      <c r="F1642" s="8">
        <f>COUNTIFS('All Papers'!$D:$D,"*"&amp;$A1642&amp;"*",'All Papers'!$G:$G,"*"&amp;Table1[[#Headers],[Recommendation]]&amp;"*")</f>
        <v>0</v>
      </c>
      <c r="G1642" s="8">
        <f>COUNTIFS('All Papers'!$D:$D,"*"&amp;$A1642&amp;"*",'All Papers'!$G:$G,"*"&amp;Table1[[#Headers],[Resource Management-CS]]&amp;"*")</f>
        <v>1</v>
      </c>
      <c r="H1642" s="8">
        <f>COUNTIFS('All Papers'!$D:$D,"*"&amp;$A1642&amp;"*",'All Papers'!$G:$G,"*"&amp;Table1[[#Headers],[Resource Management-PS]]&amp;"*")</f>
        <v>0</v>
      </c>
      <c r="I1642" s="8">
        <f>COUNTIFS('All Papers'!$D:$D,"*"&amp;$A1642&amp;"*",'All Papers'!$G:$G,"*"&amp;Table1[[#Headers],[SLA Management]]&amp;"*")</f>
        <v>0</v>
      </c>
      <c r="J1642" s="8">
        <f>COUNTIFS('All Papers'!$D:$D,"*"&amp;$A1642&amp;"*",'All Papers'!$G:$G,"*"&amp;Table1[[#Headers],[Big Data]]&amp;"*")</f>
        <v>0</v>
      </c>
      <c r="K1642" s="8">
        <f>COUNTIFS('All Papers'!$D:$D,"*"&amp;$A1642&amp;"*",'All Papers'!$G:$G,"*"&amp;Table1[[#Headers],[Energy Management]]&amp;"*")</f>
        <v>0</v>
      </c>
      <c r="L1642" s="8">
        <f>COUNTIFS('All Papers'!$D:$D,"*"&amp;$A1642&amp;"*",'All Papers'!$G:$G,"*"&amp;Table1[[#Headers],[Monitoring]]&amp;"*")</f>
        <v>0</v>
      </c>
      <c r="M1642" s="8">
        <f>COUNTIFS('All Papers'!$D:$D,"*"&amp;$A1642&amp;"*",'All Papers'!$G:$G,"*"&amp;Table1[[#Headers],[Pricing]]&amp;"*")</f>
        <v>0</v>
      </c>
    </row>
    <row r="1643" spans="1:13" x14ac:dyDescent="0.25">
      <c r="A1643" s="8" t="s">
        <v>4076</v>
      </c>
      <c r="B1643" s="8">
        <f>COUNTIF('All Papers'!D:D,"*"&amp;Table1[[#This Row],[Name]]&amp;"*")</f>
        <v>1</v>
      </c>
      <c r="C1643" s="8">
        <f>COUNTIFS('All Papers'!$D:$D,"*"&amp;$A1643&amp;"*",'All Papers'!$G:$G,"*"&amp;Table1[[#Headers],[Composition]]&amp;"*")</f>
        <v>0</v>
      </c>
      <c r="D1643" s="8">
        <f>COUNTIFS('All Papers'!$D:$D,"*"&amp;$A1643&amp;"*",'All Papers'!$G:$G,"*"&amp;Table1[[#Headers],[Discovery]]&amp;"*")</f>
        <v>0</v>
      </c>
      <c r="E1643" s="8">
        <f>COUNTIFS('All Papers'!$D:$D,"*"&amp;$A1643&amp;"*",'All Papers'!$G:$G,"*"&amp;Table1[[#Headers],[Selection]]&amp;"*")</f>
        <v>0</v>
      </c>
      <c r="F1643" s="8">
        <f>COUNTIFS('All Papers'!$D:$D,"*"&amp;$A1643&amp;"*",'All Papers'!$G:$G,"*"&amp;Table1[[#Headers],[Recommendation]]&amp;"*")</f>
        <v>0</v>
      </c>
      <c r="G1643" s="8">
        <f>COUNTIFS('All Papers'!$D:$D,"*"&amp;$A1643&amp;"*",'All Papers'!$G:$G,"*"&amp;Table1[[#Headers],[Resource Management-CS]]&amp;"*")</f>
        <v>1</v>
      </c>
      <c r="H1643" s="8">
        <f>COUNTIFS('All Papers'!$D:$D,"*"&amp;$A1643&amp;"*",'All Papers'!$G:$G,"*"&amp;Table1[[#Headers],[Resource Management-PS]]&amp;"*")</f>
        <v>0</v>
      </c>
      <c r="I1643" s="8">
        <f>COUNTIFS('All Papers'!$D:$D,"*"&amp;$A1643&amp;"*",'All Papers'!$G:$G,"*"&amp;Table1[[#Headers],[SLA Management]]&amp;"*")</f>
        <v>0</v>
      </c>
      <c r="J1643" s="8">
        <f>COUNTIFS('All Papers'!$D:$D,"*"&amp;$A1643&amp;"*",'All Papers'!$G:$G,"*"&amp;Table1[[#Headers],[Big Data]]&amp;"*")</f>
        <v>0</v>
      </c>
      <c r="K1643" s="8">
        <f>COUNTIFS('All Papers'!$D:$D,"*"&amp;$A1643&amp;"*",'All Papers'!$G:$G,"*"&amp;Table1[[#Headers],[Energy Management]]&amp;"*")</f>
        <v>0</v>
      </c>
      <c r="L1643" s="8">
        <f>COUNTIFS('All Papers'!$D:$D,"*"&amp;$A1643&amp;"*",'All Papers'!$G:$G,"*"&amp;Table1[[#Headers],[Monitoring]]&amp;"*")</f>
        <v>0</v>
      </c>
      <c r="M1643" s="8">
        <f>COUNTIFS('All Papers'!$D:$D,"*"&amp;$A1643&amp;"*",'All Papers'!$G:$G,"*"&amp;Table1[[#Headers],[Pricing]]&amp;"*")</f>
        <v>0</v>
      </c>
    </row>
    <row r="1644" spans="1:13" x14ac:dyDescent="0.25">
      <c r="A1644" s="8" t="s">
        <v>4077</v>
      </c>
      <c r="B1644" s="8">
        <f>COUNTIF('All Papers'!D:D,"*"&amp;Table1[[#This Row],[Name]]&amp;"*")</f>
        <v>1</v>
      </c>
      <c r="C1644" s="8">
        <f>COUNTIFS('All Papers'!$D:$D,"*"&amp;$A1644&amp;"*",'All Papers'!$G:$G,"*"&amp;Table1[[#Headers],[Composition]]&amp;"*")</f>
        <v>0</v>
      </c>
      <c r="D1644" s="8">
        <f>COUNTIFS('All Papers'!$D:$D,"*"&amp;$A1644&amp;"*",'All Papers'!$G:$G,"*"&amp;Table1[[#Headers],[Discovery]]&amp;"*")</f>
        <v>0</v>
      </c>
      <c r="E1644" s="8">
        <f>COUNTIFS('All Papers'!$D:$D,"*"&amp;$A1644&amp;"*",'All Papers'!$G:$G,"*"&amp;Table1[[#Headers],[Selection]]&amp;"*")</f>
        <v>0</v>
      </c>
      <c r="F1644" s="8">
        <f>COUNTIFS('All Papers'!$D:$D,"*"&amp;$A1644&amp;"*",'All Papers'!$G:$G,"*"&amp;Table1[[#Headers],[Recommendation]]&amp;"*")</f>
        <v>0</v>
      </c>
      <c r="G1644" s="8">
        <f>COUNTIFS('All Papers'!$D:$D,"*"&amp;$A1644&amp;"*",'All Papers'!$G:$G,"*"&amp;Table1[[#Headers],[Resource Management-CS]]&amp;"*")</f>
        <v>1</v>
      </c>
      <c r="H1644" s="8">
        <f>COUNTIFS('All Papers'!$D:$D,"*"&amp;$A1644&amp;"*",'All Papers'!$G:$G,"*"&amp;Table1[[#Headers],[Resource Management-PS]]&amp;"*")</f>
        <v>0</v>
      </c>
      <c r="I1644" s="8">
        <f>COUNTIFS('All Papers'!$D:$D,"*"&amp;$A1644&amp;"*",'All Papers'!$G:$G,"*"&amp;Table1[[#Headers],[SLA Management]]&amp;"*")</f>
        <v>0</v>
      </c>
      <c r="J1644" s="8">
        <f>COUNTIFS('All Papers'!$D:$D,"*"&amp;$A1644&amp;"*",'All Papers'!$G:$G,"*"&amp;Table1[[#Headers],[Big Data]]&amp;"*")</f>
        <v>0</v>
      </c>
      <c r="K1644" s="8">
        <f>COUNTIFS('All Papers'!$D:$D,"*"&amp;$A1644&amp;"*",'All Papers'!$G:$G,"*"&amp;Table1[[#Headers],[Energy Management]]&amp;"*")</f>
        <v>0</v>
      </c>
      <c r="L1644" s="8">
        <f>COUNTIFS('All Papers'!$D:$D,"*"&amp;$A1644&amp;"*",'All Papers'!$G:$G,"*"&amp;Table1[[#Headers],[Monitoring]]&amp;"*")</f>
        <v>0</v>
      </c>
      <c r="M1644" s="8">
        <f>COUNTIFS('All Papers'!$D:$D,"*"&amp;$A1644&amp;"*",'All Papers'!$G:$G,"*"&amp;Table1[[#Headers],[Pricing]]&amp;"*")</f>
        <v>0</v>
      </c>
    </row>
    <row r="1645" spans="1:13" x14ac:dyDescent="0.25">
      <c r="A1645" s="8" t="s">
        <v>4078</v>
      </c>
      <c r="B1645" s="8">
        <f>COUNTIF('All Papers'!D:D,"*"&amp;Table1[[#This Row],[Name]]&amp;"*")</f>
        <v>1</v>
      </c>
      <c r="C1645" s="8">
        <f>COUNTIFS('All Papers'!$D:$D,"*"&amp;$A1645&amp;"*",'All Papers'!$G:$G,"*"&amp;Table1[[#Headers],[Composition]]&amp;"*")</f>
        <v>0</v>
      </c>
      <c r="D1645" s="8">
        <f>COUNTIFS('All Papers'!$D:$D,"*"&amp;$A1645&amp;"*",'All Papers'!$G:$G,"*"&amp;Table1[[#Headers],[Discovery]]&amp;"*")</f>
        <v>0</v>
      </c>
      <c r="E1645" s="8">
        <f>COUNTIFS('All Papers'!$D:$D,"*"&amp;$A1645&amp;"*",'All Papers'!$G:$G,"*"&amp;Table1[[#Headers],[Selection]]&amp;"*")</f>
        <v>0</v>
      </c>
      <c r="F1645" s="8">
        <f>COUNTIFS('All Papers'!$D:$D,"*"&amp;$A1645&amp;"*",'All Papers'!$G:$G,"*"&amp;Table1[[#Headers],[Recommendation]]&amp;"*")</f>
        <v>0</v>
      </c>
      <c r="G1645" s="8">
        <f>COUNTIFS('All Papers'!$D:$D,"*"&amp;$A1645&amp;"*",'All Papers'!$G:$G,"*"&amp;Table1[[#Headers],[Resource Management-CS]]&amp;"*")</f>
        <v>1</v>
      </c>
      <c r="H1645" s="8">
        <f>COUNTIFS('All Papers'!$D:$D,"*"&amp;$A1645&amp;"*",'All Papers'!$G:$G,"*"&amp;Table1[[#Headers],[Resource Management-PS]]&amp;"*")</f>
        <v>0</v>
      </c>
      <c r="I1645" s="8">
        <f>COUNTIFS('All Papers'!$D:$D,"*"&amp;$A1645&amp;"*",'All Papers'!$G:$G,"*"&amp;Table1[[#Headers],[SLA Management]]&amp;"*")</f>
        <v>0</v>
      </c>
      <c r="J1645" s="8">
        <f>COUNTIFS('All Papers'!$D:$D,"*"&amp;$A1645&amp;"*",'All Papers'!$G:$G,"*"&amp;Table1[[#Headers],[Big Data]]&amp;"*")</f>
        <v>0</v>
      </c>
      <c r="K1645" s="8">
        <f>COUNTIFS('All Papers'!$D:$D,"*"&amp;$A1645&amp;"*",'All Papers'!$G:$G,"*"&amp;Table1[[#Headers],[Energy Management]]&amp;"*")</f>
        <v>0</v>
      </c>
      <c r="L1645" s="8">
        <f>COUNTIFS('All Papers'!$D:$D,"*"&amp;$A1645&amp;"*",'All Papers'!$G:$G,"*"&amp;Table1[[#Headers],[Monitoring]]&amp;"*")</f>
        <v>0</v>
      </c>
      <c r="M1645" s="8">
        <f>COUNTIFS('All Papers'!$D:$D,"*"&amp;$A1645&amp;"*",'All Papers'!$G:$G,"*"&amp;Table1[[#Headers],[Pricing]]&amp;"*")</f>
        <v>0</v>
      </c>
    </row>
    <row r="1646" spans="1:13" x14ac:dyDescent="0.25">
      <c r="A1646" s="8" t="s">
        <v>4079</v>
      </c>
      <c r="B1646" s="8">
        <f>COUNTIF('All Papers'!D:D,"*"&amp;Table1[[#This Row],[Name]]&amp;"*")</f>
        <v>1</v>
      </c>
      <c r="C1646" s="8">
        <f>COUNTIFS('All Papers'!$D:$D,"*"&amp;$A1646&amp;"*",'All Papers'!$G:$G,"*"&amp;Table1[[#Headers],[Composition]]&amp;"*")</f>
        <v>0</v>
      </c>
      <c r="D1646" s="8">
        <f>COUNTIFS('All Papers'!$D:$D,"*"&amp;$A1646&amp;"*",'All Papers'!$G:$G,"*"&amp;Table1[[#Headers],[Discovery]]&amp;"*")</f>
        <v>0</v>
      </c>
      <c r="E1646" s="8">
        <f>COUNTIFS('All Papers'!$D:$D,"*"&amp;$A1646&amp;"*",'All Papers'!$G:$G,"*"&amp;Table1[[#Headers],[Selection]]&amp;"*")</f>
        <v>0</v>
      </c>
      <c r="F1646" s="8">
        <f>COUNTIFS('All Papers'!$D:$D,"*"&amp;$A1646&amp;"*",'All Papers'!$G:$G,"*"&amp;Table1[[#Headers],[Recommendation]]&amp;"*")</f>
        <v>0</v>
      </c>
      <c r="G1646" s="8">
        <f>COUNTIFS('All Papers'!$D:$D,"*"&amp;$A1646&amp;"*",'All Papers'!$G:$G,"*"&amp;Table1[[#Headers],[Resource Management-CS]]&amp;"*")</f>
        <v>1</v>
      </c>
      <c r="H1646" s="8">
        <f>COUNTIFS('All Papers'!$D:$D,"*"&amp;$A1646&amp;"*",'All Papers'!$G:$G,"*"&amp;Table1[[#Headers],[Resource Management-PS]]&amp;"*")</f>
        <v>0</v>
      </c>
      <c r="I1646" s="8">
        <f>COUNTIFS('All Papers'!$D:$D,"*"&amp;$A1646&amp;"*",'All Papers'!$G:$G,"*"&amp;Table1[[#Headers],[SLA Management]]&amp;"*")</f>
        <v>0</v>
      </c>
      <c r="J1646" s="8">
        <f>COUNTIFS('All Papers'!$D:$D,"*"&amp;$A1646&amp;"*",'All Papers'!$G:$G,"*"&amp;Table1[[#Headers],[Big Data]]&amp;"*")</f>
        <v>0</v>
      </c>
      <c r="K1646" s="8">
        <f>COUNTIFS('All Papers'!$D:$D,"*"&amp;$A1646&amp;"*",'All Papers'!$G:$G,"*"&amp;Table1[[#Headers],[Energy Management]]&amp;"*")</f>
        <v>0</v>
      </c>
      <c r="L1646" s="8">
        <f>COUNTIFS('All Papers'!$D:$D,"*"&amp;$A1646&amp;"*",'All Papers'!$G:$G,"*"&amp;Table1[[#Headers],[Monitoring]]&amp;"*")</f>
        <v>0</v>
      </c>
      <c r="M1646" s="8">
        <f>COUNTIFS('All Papers'!$D:$D,"*"&amp;$A1646&amp;"*",'All Papers'!$G:$G,"*"&amp;Table1[[#Headers],[Pricing]]&amp;"*")</f>
        <v>0</v>
      </c>
    </row>
    <row r="1647" spans="1:13" x14ac:dyDescent="0.25">
      <c r="A1647" s="8" t="s">
        <v>4080</v>
      </c>
      <c r="B1647" s="8">
        <f>COUNTIF('All Papers'!D:D,"*"&amp;Table1[[#This Row],[Name]]&amp;"*")</f>
        <v>1</v>
      </c>
      <c r="C1647" s="8">
        <f>COUNTIFS('All Papers'!$D:$D,"*"&amp;$A1647&amp;"*",'All Papers'!$G:$G,"*"&amp;Table1[[#Headers],[Composition]]&amp;"*")</f>
        <v>0</v>
      </c>
      <c r="D1647" s="8">
        <f>COUNTIFS('All Papers'!$D:$D,"*"&amp;$A1647&amp;"*",'All Papers'!$G:$G,"*"&amp;Table1[[#Headers],[Discovery]]&amp;"*")</f>
        <v>0</v>
      </c>
      <c r="E1647" s="8">
        <f>COUNTIFS('All Papers'!$D:$D,"*"&amp;$A1647&amp;"*",'All Papers'!$G:$G,"*"&amp;Table1[[#Headers],[Selection]]&amp;"*")</f>
        <v>1</v>
      </c>
      <c r="F1647" s="8">
        <f>COUNTIFS('All Papers'!$D:$D,"*"&amp;$A1647&amp;"*",'All Papers'!$G:$G,"*"&amp;Table1[[#Headers],[Recommendation]]&amp;"*")</f>
        <v>0</v>
      </c>
      <c r="G1647" s="8">
        <f>COUNTIFS('All Papers'!$D:$D,"*"&amp;$A1647&amp;"*",'All Papers'!$G:$G,"*"&amp;Table1[[#Headers],[Resource Management-CS]]&amp;"*")</f>
        <v>0</v>
      </c>
      <c r="H1647" s="8">
        <f>COUNTIFS('All Papers'!$D:$D,"*"&amp;$A1647&amp;"*",'All Papers'!$G:$G,"*"&amp;Table1[[#Headers],[Resource Management-PS]]&amp;"*")</f>
        <v>0</v>
      </c>
      <c r="I1647" s="8">
        <f>COUNTIFS('All Papers'!$D:$D,"*"&amp;$A1647&amp;"*",'All Papers'!$G:$G,"*"&amp;Table1[[#Headers],[SLA Management]]&amp;"*")</f>
        <v>1</v>
      </c>
      <c r="J1647" s="8">
        <f>COUNTIFS('All Papers'!$D:$D,"*"&amp;$A1647&amp;"*",'All Papers'!$G:$G,"*"&amp;Table1[[#Headers],[Big Data]]&amp;"*")</f>
        <v>0</v>
      </c>
      <c r="K1647" s="8">
        <f>COUNTIFS('All Papers'!$D:$D,"*"&amp;$A1647&amp;"*",'All Papers'!$G:$G,"*"&amp;Table1[[#Headers],[Energy Management]]&amp;"*")</f>
        <v>0</v>
      </c>
      <c r="L1647" s="8">
        <f>COUNTIFS('All Papers'!$D:$D,"*"&amp;$A1647&amp;"*",'All Papers'!$G:$G,"*"&amp;Table1[[#Headers],[Monitoring]]&amp;"*")</f>
        <v>0</v>
      </c>
      <c r="M1647" s="8">
        <f>COUNTIFS('All Papers'!$D:$D,"*"&amp;$A1647&amp;"*",'All Papers'!$G:$G,"*"&amp;Table1[[#Headers],[Pricing]]&amp;"*")</f>
        <v>0</v>
      </c>
    </row>
    <row r="1648" spans="1:13" x14ac:dyDescent="0.25">
      <c r="A1648" s="8" t="s">
        <v>4081</v>
      </c>
      <c r="B1648" s="8">
        <f>COUNTIF('All Papers'!D:D,"*"&amp;Table1[[#This Row],[Name]]&amp;"*")</f>
        <v>1</v>
      </c>
      <c r="C1648" s="8">
        <f>COUNTIFS('All Papers'!$D:$D,"*"&amp;$A1648&amp;"*",'All Papers'!$G:$G,"*"&amp;Table1[[#Headers],[Composition]]&amp;"*")</f>
        <v>0</v>
      </c>
      <c r="D1648" s="8">
        <f>COUNTIFS('All Papers'!$D:$D,"*"&amp;$A1648&amp;"*",'All Papers'!$G:$G,"*"&amp;Table1[[#Headers],[Discovery]]&amp;"*")</f>
        <v>0</v>
      </c>
      <c r="E1648" s="8">
        <f>COUNTIFS('All Papers'!$D:$D,"*"&amp;$A1648&amp;"*",'All Papers'!$G:$G,"*"&amp;Table1[[#Headers],[Selection]]&amp;"*")</f>
        <v>1</v>
      </c>
      <c r="F1648" s="8">
        <f>COUNTIFS('All Papers'!$D:$D,"*"&amp;$A1648&amp;"*",'All Papers'!$G:$G,"*"&amp;Table1[[#Headers],[Recommendation]]&amp;"*")</f>
        <v>0</v>
      </c>
      <c r="G1648" s="8">
        <f>COUNTIFS('All Papers'!$D:$D,"*"&amp;$A1648&amp;"*",'All Papers'!$G:$G,"*"&amp;Table1[[#Headers],[Resource Management-CS]]&amp;"*")</f>
        <v>0</v>
      </c>
      <c r="H1648" s="8">
        <f>COUNTIFS('All Papers'!$D:$D,"*"&amp;$A1648&amp;"*",'All Papers'!$G:$G,"*"&amp;Table1[[#Headers],[Resource Management-PS]]&amp;"*")</f>
        <v>0</v>
      </c>
      <c r="I1648" s="8">
        <f>COUNTIFS('All Papers'!$D:$D,"*"&amp;$A1648&amp;"*",'All Papers'!$G:$G,"*"&amp;Table1[[#Headers],[SLA Management]]&amp;"*")</f>
        <v>1</v>
      </c>
      <c r="J1648" s="8">
        <f>COUNTIFS('All Papers'!$D:$D,"*"&amp;$A1648&amp;"*",'All Papers'!$G:$G,"*"&amp;Table1[[#Headers],[Big Data]]&amp;"*")</f>
        <v>0</v>
      </c>
      <c r="K1648" s="8">
        <f>COUNTIFS('All Papers'!$D:$D,"*"&amp;$A1648&amp;"*",'All Papers'!$G:$G,"*"&amp;Table1[[#Headers],[Energy Management]]&amp;"*")</f>
        <v>0</v>
      </c>
      <c r="L1648" s="8">
        <f>COUNTIFS('All Papers'!$D:$D,"*"&amp;$A1648&amp;"*",'All Papers'!$G:$G,"*"&amp;Table1[[#Headers],[Monitoring]]&amp;"*")</f>
        <v>0</v>
      </c>
      <c r="M1648" s="8">
        <f>COUNTIFS('All Papers'!$D:$D,"*"&amp;$A1648&amp;"*",'All Papers'!$G:$G,"*"&amp;Table1[[#Headers],[Pricing]]&amp;"*")</f>
        <v>0</v>
      </c>
    </row>
    <row r="1649" spans="1:13" x14ac:dyDescent="0.25">
      <c r="A1649" s="8" t="s">
        <v>4082</v>
      </c>
      <c r="B1649" s="8">
        <f>COUNTIF('All Papers'!D:D,"*"&amp;Table1[[#This Row],[Name]]&amp;"*")</f>
        <v>1</v>
      </c>
      <c r="C1649" s="8">
        <f>COUNTIFS('All Papers'!$D:$D,"*"&amp;$A1649&amp;"*",'All Papers'!$G:$G,"*"&amp;Table1[[#Headers],[Composition]]&amp;"*")</f>
        <v>0</v>
      </c>
      <c r="D1649" s="8">
        <f>COUNTIFS('All Papers'!$D:$D,"*"&amp;$A1649&amp;"*",'All Papers'!$G:$G,"*"&amp;Table1[[#Headers],[Discovery]]&amp;"*")</f>
        <v>0</v>
      </c>
      <c r="E1649" s="8">
        <f>COUNTIFS('All Papers'!$D:$D,"*"&amp;$A1649&amp;"*",'All Papers'!$G:$G,"*"&amp;Table1[[#Headers],[Selection]]&amp;"*")</f>
        <v>1</v>
      </c>
      <c r="F1649" s="8">
        <f>COUNTIFS('All Papers'!$D:$D,"*"&amp;$A1649&amp;"*",'All Papers'!$G:$G,"*"&amp;Table1[[#Headers],[Recommendation]]&amp;"*")</f>
        <v>0</v>
      </c>
      <c r="G1649" s="8">
        <f>COUNTIFS('All Papers'!$D:$D,"*"&amp;$A1649&amp;"*",'All Papers'!$G:$G,"*"&amp;Table1[[#Headers],[Resource Management-CS]]&amp;"*")</f>
        <v>0</v>
      </c>
      <c r="H1649" s="8">
        <f>COUNTIFS('All Papers'!$D:$D,"*"&amp;$A1649&amp;"*",'All Papers'!$G:$G,"*"&amp;Table1[[#Headers],[Resource Management-PS]]&amp;"*")</f>
        <v>0</v>
      </c>
      <c r="I1649" s="8">
        <f>COUNTIFS('All Papers'!$D:$D,"*"&amp;$A1649&amp;"*",'All Papers'!$G:$G,"*"&amp;Table1[[#Headers],[SLA Management]]&amp;"*")</f>
        <v>1</v>
      </c>
      <c r="J1649" s="8">
        <f>COUNTIFS('All Papers'!$D:$D,"*"&amp;$A1649&amp;"*",'All Papers'!$G:$G,"*"&amp;Table1[[#Headers],[Big Data]]&amp;"*")</f>
        <v>0</v>
      </c>
      <c r="K1649" s="8">
        <f>COUNTIFS('All Papers'!$D:$D,"*"&amp;$A1649&amp;"*",'All Papers'!$G:$G,"*"&amp;Table1[[#Headers],[Energy Management]]&amp;"*")</f>
        <v>0</v>
      </c>
      <c r="L1649" s="8">
        <f>COUNTIFS('All Papers'!$D:$D,"*"&amp;$A1649&amp;"*",'All Papers'!$G:$G,"*"&amp;Table1[[#Headers],[Monitoring]]&amp;"*")</f>
        <v>0</v>
      </c>
      <c r="M1649" s="8">
        <f>COUNTIFS('All Papers'!$D:$D,"*"&amp;$A1649&amp;"*",'All Papers'!$G:$G,"*"&amp;Table1[[#Headers],[Pricing]]&amp;"*")</f>
        <v>0</v>
      </c>
    </row>
    <row r="1650" spans="1:13" x14ac:dyDescent="0.25">
      <c r="A1650" s="8" t="s">
        <v>4083</v>
      </c>
      <c r="B1650" s="8">
        <f>COUNTIF('All Papers'!D:D,"*"&amp;Table1[[#This Row],[Name]]&amp;"*")</f>
        <v>1</v>
      </c>
      <c r="C1650" s="8">
        <f>COUNTIFS('All Papers'!$D:$D,"*"&amp;$A1650&amp;"*",'All Papers'!$G:$G,"*"&amp;Table1[[#Headers],[Composition]]&amp;"*")</f>
        <v>0</v>
      </c>
      <c r="D1650" s="8">
        <f>COUNTIFS('All Papers'!$D:$D,"*"&amp;$A1650&amp;"*",'All Papers'!$G:$G,"*"&amp;Table1[[#Headers],[Discovery]]&amp;"*")</f>
        <v>0</v>
      </c>
      <c r="E1650" s="8">
        <f>COUNTIFS('All Papers'!$D:$D,"*"&amp;$A1650&amp;"*",'All Papers'!$G:$G,"*"&amp;Table1[[#Headers],[Selection]]&amp;"*")</f>
        <v>1</v>
      </c>
      <c r="F1650" s="8">
        <f>COUNTIFS('All Papers'!$D:$D,"*"&amp;$A1650&amp;"*",'All Papers'!$G:$G,"*"&amp;Table1[[#Headers],[Recommendation]]&amp;"*")</f>
        <v>0</v>
      </c>
      <c r="G1650" s="8">
        <f>COUNTIFS('All Papers'!$D:$D,"*"&amp;$A1650&amp;"*",'All Papers'!$G:$G,"*"&amp;Table1[[#Headers],[Resource Management-CS]]&amp;"*")</f>
        <v>0</v>
      </c>
      <c r="H1650" s="8">
        <f>COUNTIFS('All Papers'!$D:$D,"*"&amp;$A1650&amp;"*",'All Papers'!$G:$G,"*"&amp;Table1[[#Headers],[Resource Management-PS]]&amp;"*")</f>
        <v>0</v>
      </c>
      <c r="I1650" s="8">
        <f>COUNTIFS('All Papers'!$D:$D,"*"&amp;$A1650&amp;"*",'All Papers'!$G:$G,"*"&amp;Table1[[#Headers],[SLA Management]]&amp;"*")</f>
        <v>1</v>
      </c>
      <c r="J1650" s="8">
        <f>COUNTIFS('All Papers'!$D:$D,"*"&amp;$A1650&amp;"*",'All Papers'!$G:$G,"*"&amp;Table1[[#Headers],[Big Data]]&amp;"*")</f>
        <v>0</v>
      </c>
      <c r="K1650" s="8">
        <f>COUNTIFS('All Papers'!$D:$D,"*"&amp;$A1650&amp;"*",'All Papers'!$G:$G,"*"&amp;Table1[[#Headers],[Energy Management]]&amp;"*")</f>
        <v>0</v>
      </c>
      <c r="L1650" s="8">
        <f>COUNTIFS('All Papers'!$D:$D,"*"&amp;$A1650&amp;"*",'All Papers'!$G:$G,"*"&amp;Table1[[#Headers],[Monitoring]]&amp;"*")</f>
        <v>0</v>
      </c>
      <c r="M1650" s="8">
        <f>COUNTIFS('All Papers'!$D:$D,"*"&amp;$A1650&amp;"*",'All Papers'!$G:$G,"*"&amp;Table1[[#Headers],[Pricing]]&amp;"*")</f>
        <v>0</v>
      </c>
    </row>
    <row r="1651" spans="1:13" x14ac:dyDescent="0.25">
      <c r="A1651" s="8" t="s">
        <v>4084</v>
      </c>
      <c r="B1651" s="8">
        <f>COUNTIF('All Papers'!D:D,"*"&amp;Table1[[#This Row],[Name]]&amp;"*")</f>
        <v>1</v>
      </c>
      <c r="C1651" s="8">
        <f>COUNTIFS('All Papers'!$D:$D,"*"&amp;$A1651&amp;"*",'All Papers'!$G:$G,"*"&amp;Table1[[#Headers],[Composition]]&amp;"*")</f>
        <v>1</v>
      </c>
      <c r="D1651" s="8">
        <f>COUNTIFS('All Papers'!$D:$D,"*"&amp;$A1651&amp;"*",'All Papers'!$G:$G,"*"&amp;Table1[[#Headers],[Discovery]]&amp;"*")</f>
        <v>0</v>
      </c>
      <c r="E1651" s="8">
        <f>COUNTIFS('All Papers'!$D:$D,"*"&amp;$A1651&amp;"*",'All Papers'!$G:$G,"*"&amp;Table1[[#Headers],[Selection]]&amp;"*")</f>
        <v>0</v>
      </c>
      <c r="F1651" s="8">
        <f>COUNTIFS('All Papers'!$D:$D,"*"&amp;$A1651&amp;"*",'All Papers'!$G:$G,"*"&amp;Table1[[#Headers],[Recommendation]]&amp;"*")</f>
        <v>0</v>
      </c>
      <c r="G1651" s="8">
        <f>COUNTIFS('All Papers'!$D:$D,"*"&amp;$A1651&amp;"*",'All Papers'!$G:$G,"*"&amp;Table1[[#Headers],[Resource Management-CS]]&amp;"*")</f>
        <v>0</v>
      </c>
      <c r="H1651" s="8">
        <f>COUNTIFS('All Papers'!$D:$D,"*"&amp;$A1651&amp;"*",'All Papers'!$G:$G,"*"&amp;Table1[[#Headers],[Resource Management-PS]]&amp;"*")</f>
        <v>0</v>
      </c>
      <c r="I1651" s="8">
        <f>COUNTIFS('All Papers'!$D:$D,"*"&amp;$A1651&amp;"*",'All Papers'!$G:$G,"*"&amp;Table1[[#Headers],[SLA Management]]&amp;"*")</f>
        <v>0</v>
      </c>
      <c r="J1651" s="8">
        <f>COUNTIFS('All Papers'!$D:$D,"*"&amp;$A1651&amp;"*",'All Papers'!$G:$G,"*"&amp;Table1[[#Headers],[Big Data]]&amp;"*")</f>
        <v>0</v>
      </c>
      <c r="K1651" s="8">
        <f>COUNTIFS('All Papers'!$D:$D,"*"&amp;$A1651&amp;"*",'All Papers'!$G:$G,"*"&amp;Table1[[#Headers],[Energy Management]]&amp;"*")</f>
        <v>0</v>
      </c>
      <c r="L1651" s="8">
        <f>COUNTIFS('All Papers'!$D:$D,"*"&amp;$A1651&amp;"*",'All Papers'!$G:$G,"*"&amp;Table1[[#Headers],[Monitoring]]&amp;"*")</f>
        <v>0</v>
      </c>
      <c r="M1651" s="8">
        <f>COUNTIFS('All Papers'!$D:$D,"*"&amp;$A1651&amp;"*",'All Papers'!$G:$G,"*"&amp;Table1[[#Headers],[Pricing]]&amp;"*")</f>
        <v>0</v>
      </c>
    </row>
    <row r="1652" spans="1:13" x14ac:dyDescent="0.25">
      <c r="A1652" s="8" t="s">
        <v>4085</v>
      </c>
      <c r="B1652" s="8">
        <f>COUNTIF('All Papers'!D:D,"*"&amp;Table1[[#This Row],[Name]]&amp;"*")</f>
        <v>1</v>
      </c>
      <c r="C1652" s="8">
        <f>COUNTIFS('All Papers'!$D:$D,"*"&amp;$A1652&amp;"*",'All Papers'!$G:$G,"*"&amp;Table1[[#Headers],[Composition]]&amp;"*")</f>
        <v>1</v>
      </c>
      <c r="D1652" s="8">
        <f>COUNTIFS('All Papers'!$D:$D,"*"&amp;$A1652&amp;"*",'All Papers'!$G:$G,"*"&amp;Table1[[#Headers],[Discovery]]&amp;"*")</f>
        <v>0</v>
      </c>
      <c r="E1652" s="8">
        <f>COUNTIFS('All Papers'!$D:$D,"*"&amp;$A1652&amp;"*",'All Papers'!$G:$G,"*"&amp;Table1[[#Headers],[Selection]]&amp;"*")</f>
        <v>0</v>
      </c>
      <c r="F1652" s="8">
        <f>COUNTIFS('All Papers'!$D:$D,"*"&amp;$A1652&amp;"*",'All Papers'!$G:$G,"*"&amp;Table1[[#Headers],[Recommendation]]&amp;"*")</f>
        <v>0</v>
      </c>
      <c r="G1652" s="8">
        <f>COUNTIFS('All Papers'!$D:$D,"*"&amp;$A1652&amp;"*",'All Papers'!$G:$G,"*"&amp;Table1[[#Headers],[Resource Management-CS]]&amp;"*")</f>
        <v>0</v>
      </c>
      <c r="H1652" s="8">
        <f>COUNTIFS('All Papers'!$D:$D,"*"&amp;$A1652&amp;"*",'All Papers'!$G:$G,"*"&amp;Table1[[#Headers],[Resource Management-PS]]&amp;"*")</f>
        <v>0</v>
      </c>
      <c r="I1652" s="8">
        <f>COUNTIFS('All Papers'!$D:$D,"*"&amp;$A1652&amp;"*",'All Papers'!$G:$G,"*"&amp;Table1[[#Headers],[SLA Management]]&amp;"*")</f>
        <v>0</v>
      </c>
      <c r="J1652" s="8">
        <f>COUNTIFS('All Papers'!$D:$D,"*"&amp;$A1652&amp;"*",'All Papers'!$G:$G,"*"&amp;Table1[[#Headers],[Big Data]]&amp;"*")</f>
        <v>0</v>
      </c>
      <c r="K1652" s="8">
        <f>COUNTIFS('All Papers'!$D:$D,"*"&amp;$A1652&amp;"*",'All Papers'!$G:$G,"*"&amp;Table1[[#Headers],[Energy Management]]&amp;"*")</f>
        <v>0</v>
      </c>
      <c r="L1652" s="8">
        <f>COUNTIFS('All Papers'!$D:$D,"*"&amp;$A1652&amp;"*",'All Papers'!$G:$G,"*"&amp;Table1[[#Headers],[Monitoring]]&amp;"*")</f>
        <v>0</v>
      </c>
      <c r="M1652" s="8">
        <f>COUNTIFS('All Papers'!$D:$D,"*"&amp;$A1652&amp;"*",'All Papers'!$G:$G,"*"&amp;Table1[[#Headers],[Pricing]]&amp;"*")</f>
        <v>0</v>
      </c>
    </row>
    <row r="1653" spans="1:13" x14ac:dyDescent="0.25">
      <c r="A1653" s="8" t="s">
        <v>4086</v>
      </c>
      <c r="B1653" s="8">
        <f>COUNTIF('All Papers'!D:D,"*"&amp;Table1[[#This Row],[Name]]&amp;"*")</f>
        <v>1</v>
      </c>
      <c r="C1653" s="8">
        <f>COUNTIFS('All Papers'!$D:$D,"*"&amp;$A1653&amp;"*",'All Papers'!$G:$G,"*"&amp;Table1[[#Headers],[Composition]]&amp;"*")</f>
        <v>0</v>
      </c>
      <c r="D1653" s="8">
        <f>COUNTIFS('All Papers'!$D:$D,"*"&amp;$A1653&amp;"*",'All Papers'!$G:$G,"*"&amp;Table1[[#Headers],[Discovery]]&amp;"*")</f>
        <v>0</v>
      </c>
      <c r="E1653" s="8">
        <f>COUNTIFS('All Papers'!$D:$D,"*"&amp;$A1653&amp;"*",'All Papers'!$G:$G,"*"&amp;Table1[[#Headers],[Selection]]&amp;"*")</f>
        <v>1</v>
      </c>
      <c r="F1653" s="8">
        <f>COUNTIFS('All Papers'!$D:$D,"*"&amp;$A1653&amp;"*",'All Papers'!$G:$G,"*"&amp;Table1[[#Headers],[Recommendation]]&amp;"*")</f>
        <v>0</v>
      </c>
      <c r="G1653" s="8">
        <f>COUNTIFS('All Papers'!$D:$D,"*"&amp;$A1653&amp;"*",'All Papers'!$G:$G,"*"&amp;Table1[[#Headers],[Resource Management-CS]]&amp;"*")</f>
        <v>0</v>
      </c>
      <c r="H1653" s="8">
        <f>COUNTIFS('All Papers'!$D:$D,"*"&amp;$A1653&amp;"*",'All Papers'!$G:$G,"*"&amp;Table1[[#Headers],[Resource Management-PS]]&amp;"*")</f>
        <v>0</v>
      </c>
      <c r="I1653" s="8">
        <f>COUNTIFS('All Papers'!$D:$D,"*"&amp;$A1653&amp;"*",'All Papers'!$G:$G,"*"&amp;Table1[[#Headers],[SLA Management]]&amp;"*")</f>
        <v>0</v>
      </c>
      <c r="J1653" s="8">
        <f>COUNTIFS('All Papers'!$D:$D,"*"&amp;$A1653&amp;"*",'All Papers'!$G:$G,"*"&amp;Table1[[#Headers],[Big Data]]&amp;"*")</f>
        <v>0</v>
      </c>
      <c r="K1653" s="8">
        <f>COUNTIFS('All Papers'!$D:$D,"*"&amp;$A1653&amp;"*",'All Papers'!$G:$G,"*"&amp;Table1[[#Headers],[Energy Management]]&amp;"*")</f>
        <v>0</v>
      </c>
      <c r="L1653" s="8">
        <f>COUNTIFS('All Papers'!$D:$D,"*"&amp;$A1653&amp;"*",'All Papers'!$G:$G,"*"&amp;Table1[[#Headers],[Monitoring]]&amp;"*")</f>
        <v>1</v>
      </c>
      <c r="M1653" s="8">
        <f>COUNTIFS('All Papers'!$D:$D,"*"&amp;$A1653&amp;"*",'All Papers'!$G:$G,"*"&amp;Table1[[#Headers],[Pricing]]&amp;"*")</f>
        <v>0</v>
      </c>
    </row>
    <row r="1654" spans="1:13" x14ac:dyDescent="0.25">
      <c r="A1654" s="8" t="s">
        <v>4087</v>
      </c>
      <c r="B1654" s="8">
        <f>COUNTIF('All Papers'!D:D,"*"&amp;Table1[[#This Row],[Name]]&amp;"*")</f>
        <v>1</v>
      </c>
      <c r="C1654" s="8">
        <f>COUNTIFS('All Papers'!$D:$D,"*"&amp;$A1654&amp;"*",'All Papers'!$G:$G,"*"&amp;Table1[[#Headers],[Composition]]&amp;"*")</f>
        <v>0</v>
      </c>
      <c r="D1654" s="8">
        <f>COUNTIFS('All Papers'!$D:$D,"*"&amp;$A1654&amp;"*",'All Papers'!$G:$G,"*"&amp;Table1[[#Headers],[Discovery]]&amp;"*")</f>
        <v>0</v>
      </c>
      <c r="E1654" s="8">
        <f>COUNTIFS('All Papers'!$D:$D,"*"&amp;$A1654&amp;"*",'All Papers'!$G:$G,"*"&amp;Table1[[#Headers],[Selection]]&amp;"*")</f>
        <v>1</v>
      </c>
      <c r="F1654" s="8">
        <f>COUNTIFS('All Papers'!$D:$D,"*"&amp;$A1654&amp;"*",'All Papers'!$G:$G,"*"&amp;Table1[[#Headers],[Recommendation]]&amp;"*")</f>
        <v>0</v>
      </c>
      <c r="G1654" s="8">
        <f>COUNTIFS('All Papers'!$D:$D,"*"&amp;$A1654&amp;"*",'All Papers'!$G:$G,"*"&amp;Table1[[#Headers],[Resource Management-CS]]&amp;"*")</f>
        <v>0</v>
      </c>
      <c r="H1654" s="8">
        <f>COUNTIFS('All Papers'!$D:$D,"*"&amp;$A1654&amp;"*",'All Papers'!$G:$G,"*"&amp;Table1[[#Headers],[Resource Management-PS]]&amp;"*")</f>
        <v>0</v>
      </c>
      <c r="I1654" s="8">
        <f>COUNTIFS('All Papers'!$D:$D,"*"&amp;$A1654&amp;"*",'All Papers'!$G:$G,"*"&amp;Table1[[#Headers],[SLA Management]]&amp;"*")</f>
        <v>0</v>
      </c>
      <c r="J1654" s="8">
        <f>COUNTIFS('All Papers'!$D:$D,"*"&amp;$A1654&amp;"*",'All Papers'!$G:$G,"*"&amp;Table1[[#Headers],[Big Data]]&amp;"*")</f>
        <v>0</v>
      </c>
      <c r="K1654" s="8">
        <f>COUNTIFS('All Papers'!$D:$D,"*"&amp;$A1654&amp;"*",'All Papers'!$G:$G,"*"&amp;Table1[[#Headers],[Energy Management]]&amp;"*")</f>
        <v>0</v>
      </c>
      <c r="L1654" s="8">
        <f>COUNTIFS('All Papers'!$D:$D,"*"&amp;$A1654&amp;"*",'All Papers'!$G:$G,"*"&amp;Table1[[#Headers],[Monitoring]]&amp;"*")</f>
        <v>1</v>
      </c>
      <c r="M1654" s="8">
        <f>COUNTIFS('All Papers'!$D:$D,"*"&amp;$A1654&amp;"*",'All Papers'!$G:$G,"*"&amp;Table1[[#Headers],[Pricing]]&amp;"*")</f>
        <v>0</v>
      </c>
    </row>
    <row r="1655" spans="1:13" x14ac:dyDescent="0.25">
      <c r="A1655" s="8" t="s">
        <v>4088</v>
      </c>
      <c r="B1655" s="8">
        <f>COUNTIF('All Papers'!D:D,"*"&amp;Table1[[#This Row],[Name]]&amp;"*")</f>
        <v>1</v>
      </c>
      <c r="C1655" s="8">
        <f>COUNTIFS('All Papers'!$D:$D,"*"&amp;$A1655&amp;"*",'All Papers'!$G:$G,"*"&amp;Table1[[#Headers],[Composition]]&amp;"*")</f>
        <v>1</v>
      </c>
      <c r="D1655" s="8">
        <f>COUNTIFS('All Papers'!$D:$D,"*"&amp;$A1655&amp;"*",'All Papers'!$G:$G,"*"&amp;Table1[[#Headers],[Discovery]]&amp;"*")</f>
        <v>0</v>
      </c>
      <c r="E1655" s="8">
        <f>COUNTIFS('All Papers'!$D:$D,"*"&amp;$A1655&amp;"*",'All Papers'!$G:$G,"*"&amp;Table1[[#Headers],[Selection]]&amp;"*")</f>
        <v>0</v>
      </c>
      <c r="F1655" s="8">
        <f>COUNTIFS('All Papers'!$D:$D,"*"&amp;$A1655&amp;"*",'All Papers'!$G:$G,"*"&amp;Table1[[#Headers],[Recommendation]]&amp;"*")</f>
        <v>0</v>
      </c>
      <c r="G1655" s="8">
        <f>COUNTIFS('All Papers'!$D:$D,"*"&amp;$A1655&amp;"*",'All Papers'!$G:$G,"*"&amp;Table1[[#Headers],[Resource Management-CS]]&amp;"*")</f>
        <v>0</v>
      </c>
      <c r="H1655" s="8">
        <f>COUNTIFS('All Papers'!$D:$D,"*"&amp;$A1655&amp;"*",'All Papers'!$G:$G,"*"&amp;Table1[[#Headers],[Resource Management-PS]]&amp;"*")</f>
        <v>0</v>
      </c>
      <c r="I1655" s="8">
        <f>COUNTIFS('All Papers'!$D:$D,"*"&amp;$A1655&amp;"*",'All Papers'!$G:$G,"*"&amp;Table1[[#Headers],[SLA Management]]&amp;"*")</f>
        <v>0</v>
      </c>
      <c r="J1655" s="8">
        <f>COUNTIFS('All Papers'!$D:$D,"*"&amp;$A1655&amp;"*",'All Papers'!$G:$G,"*"&amp;Table1[[#Headers],[Big Data]]&amp;"*")</f>
        <v>0</v>
      </c>
      <c r="K1655" s="8">
        <f>COUNTIFS('All Papers'!$D:$D,"*"&amp;$A1655&amp;"*",'All Papers'!$G:$G,"*"&amp;Table1[[#Headers],[Energy Management]]&amp;"*")</f>
        <v>0</v>
      </c>
      <c r="L1655" s="8">
        <f>COUNTIFS('All Papers'!$D:$D,"*"&amp;$A1655&amp;"*",'All Papers'!$G:$G,"*"&amp;Table1[[#Headers],[Monitoring]]&amp;"*")</f>
        <v>0</v>
      </c>
      <c r="M1655" s="8">
        <f>COUNTIFS('All Papers'!$D:$D,"*"&amp;$A1655&amp;"*",'All Papers'!$G:$G,"*"&amp;Table1[[#Headers],[Pricing]]&amp;"*")</f>
        <v>0</v>
      </c>
    </row>
    <row r="1656" spans="1:13" x14ac:dyDescent="0.25">
      <c r="A1656" s="8" t="s">
        <v>4089</v>
      </c>
      <c r="B1656" s="8">
        <f>COUNTIF('All Papers'!D:D,"*"&amp;Table1[[#This Row],[Name]]&amp;"*")</f>
        <v>1</v>
      </c>
      <c r="C1656" s="8">
        <f>COUNTIFS('All Papers'!$D:$D,"*"&amp;$A1656&amp;"*",'All Papers'!$G:$G,"*"&amp;Table1[[#Headers],[Composition]]&amp;"*")</f>
        <v>1</v>
      </c>
      <c r="D1656" s="8">
        <f>COUNTIFS('All Papers'!$D:$D,"*"&amp;$A1656&amp;"*",'All Papers'!$G:$G,"*"&amp;Table1[[#Headers],[Discovery]]&amp;"*")</f>
        <v>0</v>
      </c>
      <c r="E1656" s="8">
        <f>COUNTIFS('All Papers'!$D:$D,"*"&amp;$A1656&amp;"*",'All Papers'!$G:$G,"*"&amp;Table1[[#Headers],[Selection]]&amp;"*")</f>
        <v>0</v>
      </c>
      <c r="F1656" s="8">
        <f>COUNTIFS('All Papers'!$D:$D,"*"&amp;$A1656&amp;"*",'All Papers'!$G:$G,"*"&amp;Table1[[#Headers],[Recommendation]]&amp;"*")</f>
        <v>0</v>
      </c>
      <c r="G1656" s="8">
        <f>COUNTIFS('All Papers'!$D:$D,"*"&amp;$A1656&amp;"*",'All Papers'!$G:$G,"*"&amp;Table1[[#Headers],[Resource Management-CS]]&amp;"*")</f>
        <v>0</v>
      </c>
      <c r="H1656" s="8">
        <f>COUNTIFS('All Papers'!$D:$D,"*"&amp;$A1656&amp;"*",'All Papers'!$G:$G,"*"&amp;Table1[[#Headers],[Resource Management-PS]]&amp;"*")</f>
        <v>0</v>
      </c>
      <c r="I1656" s="8">
        <f>COUNTIFS('All Papers'!$D:$D,"*"&amp;$A1656&amp;"*",'All Papers'!$G:$G,"*"&amp;Table1[[#Headers],[SLA Management]]&amp;"*")</f>
        <v>0</v>
      </c>
      <c r="J1656" s="8">
        <f>COUNTIFS('All Papers'!$D:$D,"*"&amp;$A1656&amp;"*",'All Papers'!$G:$G,"*"&amp;Table1[[#Headers],[Big Data]]&amp;"*")</f>
        <v>0</v>
      </c>
      <c r="K1656" s="8">
        <f>COUNTIFS('All Papers'!$D:$D,"*"&amp;$A1656&amp;"*",'All Papers'!$G:$G,"*"&amp;Table1[[#Headers],[Energy Management]]&amp;"*")</f>
        <v>0</v>
      </c>
      <c r="L1656" s="8">
        <f>COUNTIFS('All Papers'!$D:$D,"*"&amp;$A1656&amp;"*",'All Papers'!$G:$G,"*"&amp;Table1[[#Headers],[Monitoring]]&amp;"*")</f>
        <v>0</v>
      </c>
      <c r="M1656" s="8">
        <f>COUNTIFS('All Papers'!$D:$D,"*"&amp;$A1656&amp;"*",'All Papers'!$G:$G,"*"&amp;Table1[[#Headers],[Pricing]]&amp;"*")</f>
        <v>0</v>
      </c>
    </row>
    <row r="1657" spans="1:13" x14ac:dyDescent="0.25">
      <c r="A1657" s="8" t="s">
        <v>4090</v>
      </c>
      <c r="B1657" s="8">
        <f>COUNTIF('All Papers'!D:D,"*"&amp;Table1[[#This Row],[Name]]&amp;"*")</f>
        <v>1</v>
      </c>
      <c r="C1657" s="8">
        <f>COUNTIFS('All Papers'!$D:$D,"*"&amp;$A1657&amp;"*",'All Papers'!$G:$G,"*"&amp;Table1[[#Headers],[Composition]]&amp;"*")</f>
        <v>1</v>
      </c>
      <c r="D1657" s="8">
        <f>COUNTIFS('All Papers'!$D:$D,"*"&amp;$A1657&amp;"*",'All Papers'!$G:$G,"*"&amp;Table1[[#Headers],[Discovery]]&amp;"*")</f>
        <v>0</v>
      </c>
      <c r="E1657" s="8">
        <f>COUNTIFS('All Papers'!$D:$D,"*"&amp;$A1657&amp;"*",'All Papers'!$G:$G,"*"&amp;Table1[[#Headers],[Selection]]&amp;"*")</f>
        <v>0</v>
      </c>
      <c r="F1657" s="8">
        <f>COUNTIFS('All Papers'!$D:$D,"*"&amp;$A1657&amp;"*",'All Papers'!$G:$G,"*"&amp;Table1[[#Headers],[Recommendation]]&amp;"*")</f>
        <v>0</v>
      </c>
      <c r="G1657" s="8">
        <f>COUNTIFS('All Papers'!$D:$D,"*"&amp;$A1657&amp;"*",'All Papers'!$G:$G,"*"&amp;Table1[[#Headers],[Resource Management-CS]]&amp;"*")</f>
        <v>0</v>
      </c>
      <c r="H1657" s="8">
        <f>COUNTIFS('All Papers'!$D:$D,"*"&amp;$A1657&amp;"*",'All Papers'!$G:$G,"*"&amp;Table1[[#Headers],[Resource Management-PS]]&amp;"*")</f>
        <v>0</v>
      </c>
      <c r="I1657" s="8">
        <f>COUNTIFS('All Papers'!$D:$D,"*"&amp;$A1657&amp;"*",'All Papers'!$G:$G,"*"&amp;Table1[[#Headers],[SLA Management]]&amp;"*")</f>
        <v>0</v>
      </c>
      <c r="J1657" s="8">
        <f>COUNTIFS('All Papers'!$D:$D,"*"&amp;$A1657&amp;"*",'All Papers'!$G:$G,"*"&amp;Table1[[#Headers],[Big Data]]&amp;"*")</f>
        <v>0</v>
      </c>
      <c r="K1657" s="8">
        <f>COUNTIFS('All Papers'!$D:$D,"*"&amp;$A1657&amp;"*",'All Papers'!$G:$G,"*"&amp;Table1[[#Headers],[Energy Management]]&amp;"*")</f>
        <v>0</v>
      </c>
      <c r="L1657" s="8">
        <f>COUNTIFS('All Papers'!$D:$D,"*"&amp;$A1657&amp;"*",'All Papers'!$G:$G,"*"&amp;Table1[[#Headers],[Monitoring]]&amp;"*")</f>
        <v>0</v>
      </c>
      <c r="M1657" s="8">
        <f>COUNTIFS('All Papers'!$D:$D,"*"&amp;$A1657&amp;"*",'All Papers'!$G:$G,"*"&amp;Table1[[#Headers],[Pricing]]&amp;"*")</f>
        <v>0</v>
      </c>
    </row>
    <row r="1658" spans="1:13" x14ac:dyDescent="0.25">
      <c r="A1658" s="8" t="s">
        <v>4091</v>
      </c>
      <c r="B1658" s="8">
        <f>COUNTIF('All Papers'!D:D,"*"&amp;Table1[[#This Row],[Name]]&amp;"*")</f>
        <v>1</v>
      </c>
      <c r="C1658" s="8">
        <f>COUNTIFS('All Papers'!$D:$D,"*"&amp;$A1658&amp;"*",'All Papers'!$G:$G,"*"&amp;Table1[[#Headers],[Composition]]&amp;"*")</f>
        <v>1</v>
      </c>
      <c r="D1658" s="8">
        <f>COUNTIFS('All Papers'!$D:$D,"*"&amp;$A1658&amp;"*",'All Papers'!$G:$G,"*"&amp;Table1[[#Headers],[Discovery]]&amp;"*")</f>
        <v>0</v>
      </c>
      <c r="E1658" s="8">
        <f>COUNTIFS('All Papers'!$D:$D,"*"&amp;$A1658&amp;"*",'All Papers'!$G:$G,"*"&amp;Table1[[#Headers],[Selection]]&amp;"*")</f>
        <v>0</v>
      </c>
      <c r="F1658" s="8">
        <f>COUNTIFS('All Papers'!$D:$D,"*"&amp;$A1658&amp;"*",'All Papers'!$G:$G,"*"&amp;Table1[[#Headers],[Recommendation]]&amp;"*")</f>
        <v>0</v>
      </c>
      <c r="G1658" s="8">
        <f>COUNTIFS('All Papers'!$D:$D,"*"&amp;$A1658&amp;"*",'All Papers'!$G:$G,"*"&amp;Table1[[#Headers],[Resource Management-CS]]&amp;"*")</f>
        <v>0</v>
      </c>
      <c r="H1658" s="8">
        <f>COUNTIFS('All Papers'!$D:$D,"*"&amp;$A1658&amp;"*",'All Papers'!$G:$G,"*"&amp;Table1[[#Headers],[Resource Management-PS]]&amp;"*")</f>
        <v>0</v>
      </c>
      <c r="I1658" s="8">
        <f>COUNTIFS('All Papers'!$D:$D,"*"&amp;$A1658&amp;"*",'All Papers'!$G:$G,"*"&amp;Table1[[#Headers],[SLA Management]]&amp;"*")</f>
        <v>0</v>
      </c>
      <c r="J1658" s="8">
        <f>COUNTIFS('All Papers'!$D:$D,"*"&amp;$A1658&amp;"*",'All Papers'!$G:$G,"*"&amp;Table1[[#Headers],[Big Data]]&amp;"*")</f>
        <v>0</v>
      </c>
      <c r="K1658" s="8">
        <f>COUNTIFS('All Papers'!$D:$D,"*"&amp;$A1658&amp;"*",'All Papers'!$G:$G,"*"&amp;Table1[[#Headers],[Energy Management]]&amp;"*")</f>
        <v>0</v>
      </c>
      <c r="L1658" s="8">
        <f>COUNTIFS('All Papers'!$D:$D,"*"&amp;$A1658&amp;"*",'All Papers'!$G:$G,"*"&amp;Table1[[#Headers],[Monitoring]]&amp;"*")</f>
        <v>0</v>
      </c>
      <c r="M1658" s="8">
        <f>COUNTIFS('All Papers'!$D:$D,"*"&amp;$A1658&amp;"*",'All Papers'!$G:$G,"*"&amp;Table1[[#Headers],[Pricing]]&amp;"*")</f>
        <v>0</v>
      </c>
    </row>
    <row r="1659" spans="1:13" x14ac:dyDescent="0.25">
      <c r="A1659" s="8" t="s">
        <v>4092</v>
      </c>
      <c r="B1659" s="8">
        <f>COUNTIF('All Papers'!D:D,"*"&amp;Table1[[#This Row],[Name]]&amp;"*")</f>
        <v>1</v>
      </c>
      <c r="C1659" s="8">
        <f>COUNTIFS('All Papers'!$D:$D,"*"&amp;$A1659&amp;"*",'All Papers'!$G:$G,"*"&amp;Table1[[#Headers],[Composition]]&amp;"*")</f>
        <v>1</v>
      </c>
      <c r="D1659" s="8">
        <f>COUNTIFS('All Papers'!$D:$D,"*"&amp;$A1659&amp;"*",'All Papers'!$G:$G,"*"&amp;Table1[[#Headers],[Discovery]]&amp;"*")</f>
        <v>0</v>
      </c>
      <c r="E1659" s="8">
        <f>COUNTIFS('All Papers'!$D:$D,"*"&amp;$A1659&amp;"*",'All Papers'!$G:$G,"*"&amp;Table1[[#Headers],[Selection]]&amp;"*")</f>
        <v>0</v>
      </c>
      <c r="F1659" s="8">
        <f>COUNTIFS('All Papers'!$D:$D,"*"&amp;$A1659&amp;"*",'All Papers'!$G:$G,"*"&amp;Table1[[#Headers],[Recommendation]]&amp;"*")</f>
        <v>0</v>
      </c>
      <c r="G1659" s="8">
        <f>COUNTIFS('All Papers'!$D:$D,"*"&amp;$A1659&amp;"*",'All Papers'!$G:$G,"*"&amp;Table1[[#Headers],[Resource Management-CS]]&amp;"*")</f>
        <v>0</v>
      </c>
      <c r="H1659" s="8">
        <f>COUNTIFS('All Papers'!$D:$D,"*"&amp;$A1659&amp;"*",'All Papers'!$G:$G,"*"&amp;Table1[[#Headers],[Resource Management-PS]]&amp;"*")</f>
        <v>0</v>
      </c>
      <c r="I1659" s="8">
        <f>COUNTIFS('All Papers'!$D:$D,"*"&amp;$A1659&amp;"*",'All Papers'!$G:$G,"*"&amp;Table1[[#Headers],[SLA Management]]&amp;"*")</f>
        <v>0</v>
      </c>
      <c r="J1659" s="8">
        <f>COUNTIFS('All Papers'!$D:$D,"*"&amp;$A1659&amp;"*",'All Papers'!$G:$G,"*"&amp;Table1[[#Headers],[Big Data]]&amp;"*")</f>
        <v>0</v>
      </c>
      <c r="K1659" s="8">
        <f>COUNTIFS('All Papers'!$D:$D,"*"&amp;$A1659&amp;"*",'All Papers'!$G:$G,"*"&amp;Table1[[#Headers],[Energy Management]]&amp;"*")</f>
        <v>0</v>
      </c>
      <c r="L1659" s="8">
        <f>COUNTIFS('All Papers'!$D:$D,"*"&amp;$A1659&amp;"*",'All Papers'!$G:$G,"*"&amp;Table1[[#Headers],[Monitoring]]&amp;"*")</f>
        <v>0</v>
      </c>
      <c r="M1659" s="8">
        <f>COUNTIFS('All Papers'!$D:$D,"*"&amp;$A1659&amp;"*",'All Papers'!$G:$G,"*"&amp;Table1[[#Headers],[Pricing]]&amp;"*")</f>
        <v>0</v>
      </c>
    </row>
    <row r="1660" spans="1:13" x14ac:dyDescent="0.25">
      <c r="A1660" s="8" t="s">
        <v>4093</v>
      </c>
      <c r="B1660" s="8">
        <f>COUNTIF('All Papers'!D:D,"*"&amp;Table1[[#This Row],[Name]]&amp;"*")</f>
        <v>1</v>
      </c>
      <c r="C1660" s="8">
        <f>COUNTIFS('All Papers'!$D:$D,"*"&amp;$A1660&amp;"*",'All Papers'!$G:$G,"*"&amp;Table1[[#Headers],[Composition]]&amp;"*")</f>
        <v>1</v>
      </c>
      <c r="D1660" s="8">
        <f>COUNTIFS('All Papers'!$D:$D,"*"&amp;$A1660&amp;"*",'All Papers'!$G:$G,"*"&amp;Table1[[#Headers],[Discovery]]&amp;"*")</f>
        <v>1</v>
      </c>
      <c r="E1660" s="8">
        <f>COUNTIFS('All Papers'!$D:$D,"*"&amp;$A1660&amp;"*",'All Papers'!$G:$G,"*"&amp;Table1[[#Headers],[Selection]]&amp;"*")</f>
        <v>1</v>
      </c>
      <c r="F1660" s="8">
        <f>COUNTIFS('All Papers'!$D:$D,"*"&amp;$A1660&amp;"*",'All Papers'!$G:$G,"*"&amp;Table1[[#Headers],[Recommendation]]&amp;"*")</f>
        <v>0</v>
      </c>
      <c r="G1660" s="8">
        <f>COUNTIFS('All Papers'!$D:$D,"*"&amp;$A1660&amp;"*",'All Papers'!$G:$G,"*"&amp;Table1[[#Headers],[Resource Management-CS]]&amp;"*")</f>
        <v>0</v>
      </c>
      <c r="H1660" s="8">
        <f>COUNTIFS('All Papers'!$D:$D,"*"&amp;$A1660&amp;"*",'All Papers'!$G:$G,"*"&amp;Table1[[#Headers],[Resource Management-PS]]&amp;"*")</f>
        <v>0</v>
      </c>
      <c r="I1660" s="8">
        <f>COUNTIFS('All Papers'!$D:$D,"*"&amp;$A1660&amp;"*",'All Papers'!$G:$G,"*"&amp;Table1[[#Headers],[SLA Management]]&amp;"*")</f>
        <v>0</v>
      </c>
      <c r="J1660" s="8">
        <f>COUNTIFS('All Papers'!$D:$D,"*"&amp;$A1660&amp;"*",'All Papers'!$G:$G,"*"&amp;Table1[[#Headers],[Big Data]]&amp;"*")</f>
        <v>0</v>
      </c>
      <c r="K1660" s="8">
        <f>COUNTIFS('All Papers'!$D:$D,"*"&amp;$A1660&amp;"*",'All Papers'!$G:$G,"*"&amp;Table1[[#Headers],[Energy Management]]&amp;"*")</f>
        <v>0</v>
      </c>
      <c r="L1660" s="8">
        <f>COUNTIFS('All Papers'!$D:$D,"*"&amp;$A1660&amp;"*",'All Papers'!$G:$G,"*"&amp;Table1[[#Headers],[Monitoring]]&amp;"*")</f>
        <v>0</v>
      </c>
      <c r="M1660" s="8">
        <f>COUNTIFS('All Papers'!$D:$D,"*"&amp;$A1660&amp;"*",'All Papers'!$G:$G,"*"&amp;Table1[[#Headers],[Pricing]]&amp;"*")</f>
        <v>0</v>
      </c>
    </row>
    <row r="1661" spans="1:13" x14ac:dyDescent="0.25">
      <c r="A1661" s="8" t="s">
        <v>4094</v>
      </c>
      <c r="B1661" s="8">
        <f>COUNTIF('All Papers'!D:D,"*"&amp;Table1[[#This Row],[Name]]&amp;"*")</f>
        <v>1</v>
      </c>
      <c r="C1661" s="8">
        <f>COUNTIFS('All Papers'!$D:$D,"*"&amp;$A1661&amp;"*",'All Papers'!$G:$G,"*"&amp;Table1[[#Headers],[Composition]]&amp;"*")</f>
        <v>1</v>
      </c>
      <c r="D1661" s="8">
        <f>COUNTIFS('All Papers'!$D:$D,"*"&amp;$A1661&amp;"*",'All Papers'!$G:$G,"*"&amp;Table1[[#Headers],[Discovery]]&amp;"*")</f>
        <v>1</v>
      </c>
      <c r="E1661" s="8">
        <f>COUNTIFS('All Papers'!$D:$D,"*"&amp;$A1661&amp;"*",'All Papers'!$G:$G,"*"&amp;Table1[[#Headers],[Selection]]&amp;"*")</f>
        <v>1</v>
      </c>
      <c r="F1661" s="8">
        <f>COUNTIFS('All Papers'!$D:$D,"*"&amp;$A1661&amp;"*",'All Papers'!$G:$G,"*"&amp;Table1[[#Headers],[Recommendation]]&amp;"*")</f>
        <v>0</v>
      </c>
      <c r="G1661" s="8">
        <f>COUNTIFS('All Papers'!$D:$D,"*"&amp;$A1661&amp;"*",'All Papers'!$G:$G,"*"&amp;Table1[[#Headers],[Resource Management-CS]]&amp;"*")</f>
        <v>0</v>
      </c>
      <c r="H1661" s="8">
        <f>COUNTIFS('All Papers'!$D:$D,"*"&amp;$A1661&amp;"*",'All Papers'!$G:$G,"*"&amp;Table1[[#Headers],[Resource Management-PS]]&amp;"*")</f>
        <v>0</v>
      </c>
      <c r="I1661" s="8">
        <f>COUNTIFS('All Papers'!$D:$D,"*"&amp;$A1661&amp;"*",'All Papers'!$G:$G,"*"&amp;Table1[[#Headers],[SLA Management]]&amp;"*")</f>
        <v>0</v>
      </c>
      <c r="J1661" s="8">
        <f>COUNTIFS('All Papers'!$D:$D,"*"&amp;$A1661&amp;"*",'All Papers'!$G:$G,"*"&amp;Table1[[#Headers],[Big Data]]&amp;"*")</f>
        <v>0</v>
      </c>
      <c r="K1661" s="8">
        <f>COUNTIFS('All Papers'!$D:$D,"*"&amp;$A1661&amp;"*",'All Papers'!$G:$G,"*"&amp;Table1[[#Headers],[Energy Management]]&amp;"*")</f>
        <v>0</v>
      </c>
      <c r="L1661" s="8">
        <f>COUNTIFS('All Papers'!$D:$D,"*"&amp;$A1661&amp;"*",'All Papers'!$G:$G,"*"&amp;Table1[[#Headers],[Monitoring]]&amp;"*")</f>
        <v>0</v>
      </c>
      <c r="M1661" s="8">
        <f>COUNTIFS('All Papers'!$D:$D,"*"&amp;$A1661&amp;"*",'All Papers'!$G:$G,"*"&amp;Table1[[#Headers],[Pricing]]&amp;"*")</f>
        <v>0</v>
      </c>
    </row>
    <row r="1662" spans="1:13" x14ac:dyDescent="0.25">
      <c r="A1662" s="8" t="s">
        <v>4095</v>
      </c>
      <c r="B1662" s="8">
        <f>COUNTIF('All Papers'!D:D,"*"&amp;Table1[[#This Row],[Name]]&amp;"*")</f>
        <v>1</v>
      </c>
      <c r="C1662" s="8">
        <f>COUNTIFS('All Papers'!$D:$D,"*"&amp;$A1662&amp;"*",'All Papers'!$G:$G,"*"&amp;Table1[[#Headers],[Composition]]&amp;"*")</f>
        <v>0</v>
      </c>
      <c r="D1662" s="8">
        <f>COUNTIFS('All Papers'!$D:$D,"*"&amp;$A1662&amp;"*",'All Papers'!$G:$G,"*"&amp;Table1[[#Headers],[Discovery]]&amp;"*")</f>
        <v>0</v>
      </c>
      <c r="E1662" s="8">
        <f>COUNTIFS('All Papers'!$D:$D,"*"&amp;$A1662&amp;"*",'All Papers'!$G:$G,"*"&amp;Table1[[#Headers],[Selection]]&amp;"*")</f>
        <v>0</v>
      </c>
      <c r="F1662" s="8">
        <f>COUNTIFS('All Papers'!$D:$D,"*"&amp;$A1662&amp;"*",'All Papers'!$G:$G,"*"&amp;Table1[[#Headers],[Recommendation]]&amp;"*")</f>
        <v>0</v>
      </c>
      <c r="G1662" s="8">
        <f>COUNTIFS('All Papers'!$D:$D,"*"&amp;$A1662&amp;"*",'All Papers'!$G:$G,"*"&amp;Table1[[#Headers],[Resource Management-CS]]&amp;"*")</f>
        <v>0</v>
      </c>
      <c r="H1662" s="8">
        <f>COUNTIFS('All Papers'!$D:$D,"*"&amp;$A1662&amp;"*",'All Papers'!$G:$G,"*"&amp;Table1[[#Headers],[Resource Management-PS]]&amp;"*")</f>
        <v>1</v>
      </c>
      <c r="I1662" s="8">
        <f>COUNTIFS('All Papers'!$D:$D,"*"&amp;$A1662&amp;"*",'All Papers'!$G:$G,"*"&amp;Table1[[#Headers],[SLA Management]]&amp;"*")</f>
        <v>0</v>
      </c>
      <c r="J1662" s="8">
        <f>COUNTIFS('All Papers'!$D:$D,"*"&amp;$A1662&amp;"*",'All Papers'!$G:$G,"*"&amp;Table1[[#Headers],[Big Data]]&amp;"*")</f>
        <v>0</v>
      </c>
      <c r="K1662" s="8">
        <f>COUNTIFS('All Papers'!$D:$D,"*"&amp;$A1662&amp;"*",'All Papers'!$G:$G,"*"&amp;Table1[[#Headers],[Energy Management]]&amp;"*")</f>
        <v>0</v>
      </c>
      <c r="L1662" s="8">
        <f>COUNTIFS('All Papers'!$D:$D,"*"&amp;$A1662&amp;"*",'All Papers'!$G:$G,"*"&amp;Table1[[#Headers],[Monitoring]]&amp;"*")</f>
        <v>0</v>
      </c>
      <c r="M1662" s="8">
        <f>COUNTIFS('All Papers'!$D:$D,"*"&amp;$A1662&amp;"*",'All Papers'!$G:$G,"*"&amp;Table1[[#Headers],[Pricing]]&amp;"*")</f>
        <v>0</v>
      </c>
    </row>
    <row r="1663" spans="1:13" x14ac:dyDescent="0.25">
      <c r="A1663" s="8" t="s">
        <v>4096</v>
      </c>
      <c r="B1663" s="8">
        <f>COUNTIF('All Papers'!D:D,"*"&amp;Table1[[#This Row],[Name]]&amp;"*")</f>
        <v>1</v>
      </c>
      <c r="C1663" s="8">
        <f>COUNTIFS('All Papers'!$D:$D,"*"&amp;$A1663&amp;"*",'All Papers'!$G:$G,"*"&amp;Table1[[#Headers],[Composition]]&amp;"*")</f>
        <v>0</v>
      </c>
      <c r="D1663" s="8">
        <f>COUNTIFS('All Papers'!$D:$D,"*"&amp;$A1663&amp;"*",'All Papers'!$G:$G,"*"&amp;Table1[[#Headers],[Discovery]]&amp;"*")</f>
        <v>0</v>
      </c>
      <c r="E1663" s="8">
        <f>COUNTIFS('All Papers'!$D:$D,"*"&amp;$A1663&amp;"*",'All Papers'!$G:$G,"*"&amp;Table1[[#Headers],[Selection]]&amp;"*")</f>
        <v>0</v>
      </c>
      <c r="F1663" s="8">
        <f>COUNTIFS('All Papers'!$D:$D,"*"&amp;$A1663&amp;"*",'All Papers'!$G:$G,"*"&amp;Table1[[#Headers],[Recommendation]]&amp;"*")</f>
        <v>0</v>
      </c>
      <c r="G1663" s="8">
        <f>COUNTIFS('All Papers'!$D:$D,"*"&amp;$A1663&amp;"*",'All Papers'!$G:$G,"*"&amp;Table1[[#Headers],[Resource Management-CS]]&amp;"*")</f>
        <v>0</v>
      </c>
      <c r="H1663" s="8">
        <f>COUNTIFS('All Papers'!$D:$D,"*"&amp;$A1663&amp;"*",'All Papers'!$G:$G,"*"&amp;Table1[[#Headers],[Resource Management-PS]]&amp;"*")</f>
        <v>1</v>
      </c>
      <c r="I1663" s="8">
        <f>COUNTIFS('All Papers'!$D:$D,"*"&amp;$A1663&amp;"*",'All Papers'!$G:$G,"*"&amp;Table1[[#Headers],[SLA Management]]&amp;"*")</f>
        <v>0</v>
      </c>
      <c r="J1663" s="8">
        <f>COUNTIFS('All Papers'!$D:$D,"*"&amp;$A1663&amp;"*",'All Papers'!$G:$G,"*"&amp;Table1[[#Headers],[Big Data]]&amp;"*")</f>
        <v>0</v>
      </c>
      <c r="K1663" s="8">
        <f>COUNTIFS('All Papers'!$D:$D,"*"&amp;$A1663&amp;"*",'All Papers'!$G:$G,"*"&amp;Table1[[#Headers],[Energy Management]]&amp;"*")</f>
        <v>0</v>
      </c>
      <c r="L1663" s="8">
        <f>COUNTIFS('All Papers'!$D:$D,"*"&amp;$A1663&amp;"*",'All Papers'!$G:$G,"*"&amp;Table1[[#Headers],[Monitoring]]&amp;"*")</f>
        <v>0</v>
      </c>
      <c r="M1663" s="8">
        <f>COUNTIFS('All Papers'!$D:$D,"*"&amp;$A1663&amp;"*",'All Papers'!$G:$G,"*"&amp;Table1[[#Headers],[Pricing]]&amp;"*")</f>
        <v>0</v>
      </c>
    </row>
    <row r="1664" spans="1:13" x14ac:dyDescent="0.25">
      <c r="A1664" s="8" t="s">
        <v>4097</v>
      </c>
      <c r="B1664" s="8">
        <f>COUNTIF('All Papers'!D:D,"*"&amp;Table1[[#This Row],[Name]]&amp;"*")</f>
        <v>1</v>
      </c>
      <c r="C1664" s="8">
        <f>COUNTIFS('All Papers'!$D:$D,"*"&amp;$A1664&amp;"*",'All Papers'!$G:$G,"*"&amp;Table1[[#Headers],[Composition]]&amp;"*")</f>
        <v>0</v>
      </c>
      <c r="D1664" s="8">
        <f>COUNTIFS('All Papers'!$D:$D,"*"&amp;$A1664&amp;"*",'All Papers'!$G:$G,"*"&amp;Table1[[#Headers],[Discovery]]&amp;"*")</f>
        <v>0</v>
      </c>
      <c r="E1664" s="8">
        <f>COUNTIFS('All Papers'!$D:$D,"*"&amp;$A1664&amp;"*",'All Papers'!$G:$G,"*"&amp;Table1[[#Headers],[Selection]]&amp;"*")</f>
        <v>0</v>
      </c>
      <c r="F1664" s="8">
        <f>COUNTIFS('All Papers'!$D:$D,"*"&amp;$A1664&amp;"*",'All Papers'!$G:$G,"*"&amp;Table1[[#Headers],[Recommendation]]&amp;"*")</f>
        <v>0</v>
      </c>
      <c r="G1664" s="8">
        <f>COUNTIFS('All Papers'!$D:$D,"*"&amp;$A1664&amp;"*",'All Papers'!$G:$G,"*"&amp;Table1[[#Headers],[Resource Management-CS]]&amp;"*")</f>
        <v>0</v>
      </c>
      <c r="H1664" s="8">
        <f>COUNTIFS('All Papers'!$D:$D,"*"&amp;$A1664&amp;"*",'All Papers'!$G:$G,"*"&amp;Table1[[#Headers],[Resource Management-PS]]&amp;"*")</f>
        <v>0</v>
      </c>
      <c r="I1664" s="8">
        <f>COUNTIFS('All Papers'!$D:$D,"*"&amp;$A1664&amp;"*",'All Papers'!$G:$G,"*"&amp;Table1[[#Headers],[SLA Management]]&amp;"*")</f>
        <v>1</v>
      </c>
      <c r="J1664" s="8">
        <f>COUNTIFS('All Papers'!$D:$D,"*"&amp;$A1664&amp;"*",'All Papers'!$G:$G,"*"&amp;Table1[[#Headers],[Big Data]]&amp;"*")</f>
        <v>0</v>
      </c>
      <c r="K1664" s="8">
        <f>COUNTIFS('All Papers'!$D:$D,"*"&amp;$A1664&amp;"*",'All Papers'!$G:$G,"*"&amp;Table1[[#Headers],[Energy Management]]&amp;"*")</f>
        <v>0</v>
      </c>
      <c r="L1664" s="8">
        <f>COUNTIFS('All Papers'!$D:$D,"*"&amp;$A1664&amp;"*",'All Papers'!$G:$G,"*"&amp;Table1[[#Headers],[Monitoring]]&amp;"*")</f>
        <v>0</v>
      </c>
      <c r="M1664" s="8">
        <f>COUNTIFS('All Papers'!$D:$D,"*"&amp;$A1664&amp;"*",'All Papers'!$G:$G,"*"&amp;Table1[[#Headers],[Pricing]]&amp;"*")</f>
        <v>0</v>
      </c>
    </row>
    <row r="1665" spans="1:13" x14ac:dyDescent="0.25">
      <c r="A1665" s="8" t="s">
        <v>4098</v>
      </c>
      <c r="B1665" s="8">
        <f>COUNTIF('All Papers'!D:D,"*"&amp;Table1[[#This Row],[Name]]&amp;"*")</f>
        <v>1</v>
      </c>
      <c r="C1665" s="8">
        <f>COUNTIFS('All Papers'!$D:$D,"*"&amp;$A1665&amp;"*",'All Papers'!$G:$G,"*"&amp;Table1[[#Headers],[Composition]]&amp;"*")</f>
        <v>0</v>
      </c>
      <c r="D1665" s="8">
        <f>COUNTIFS('All Papers'!$D:$D,"*"&amp;$A1665&amp;"*",'All Papers'!$G:$G,"*"&amp;Table1[[#Headers],[Discovery]]&amp;"*")</f>
        <v>0</v>
      </c>
      <c r="E1665" s="8">
        <f>COUNTIFS('All Papers'!$D:$D,"*"&amp;$A1665&amp;"*",'All Papers'!$G:$G,"*"&amp;Table1[[#Headers],[Selection]]&amp;"*")</f>
        <v>0</v>
      </c>
      <c r="F1665" s="8">
        <f>COUNTIFS('All Papers'!$D:$D,"*"&amp;$A1665&amp;"*",'All Papers'!$G:$G,"*"&amp;Table1[[#Headers],[Recommendation]]&amp;"*")</f>
        <v>0</v>
      </c>
      <c r="G1665" s="8">
        <f>COUNTIFS('All Papers'!$D:$D,"*"&amp;$A1665&amp;"*",'All Papers'!$G:$G,"*"&amp;Table1[[#Headers],[Resource Management-CS]]&amp;"*")</f>
        <v>0</v>
      </c>
      <c r="H1665" s="8">
        <f>COUNTIFS('All Papers'!$D:$D,"*"&amp;$A1665&amp;"*",'All Papers'!$G:$G,"*"&amp;Table1[[#Headers],[Resource Management-PS]]&amp;"*")</f>
        <v>0</v>
      </c>
      <c r="I1665" s="8">
        <f>COUNTIFS('All Papers'!$D:$D,"*"&amp;$A1665&amp;"*",'All Papers'!$G:$G,"*"&amp;Table1[[#Headers],[SLA Management]]&amp;"*")</f>
        <v>1</v>
      </c>
      <c r="J1665" s="8">
        <f>COUNTIFS('All Papers'!$D:$D,"*"&amp;$A1665&amp;"*",'All Papers'!$G:$G,"*"&amp;Table1[[#Headers],[Big Data]]&amp;"*")</f>
        <v>0</v>
      </c>
      <c r="K1665" s="8">
        <f>COUNTIFS('All Papers'!$D:$D,"*"&amp;$A1665&amp;"*",'All Papers'!$G:$G,"*"&amp;Table1[[#Headers],[Energy Management]]&amp;"*")</f>
        <v>0</v>
      </c>
      <c r="L1665" s="8">
        <f>COUNTIFS('All Papers'!$D:$D,"*"&amp;$A1665&amp;"*",'All Papers'!$G:$G,"*"&amp;Table1[[#Headers],[Monitoring]]&amp;"*")</f>
        <v>0</v>
      </c>
      <c r="M1665" s="8">
        <f>COUNTIFS('All Papers'!$D:$D,"*"&amp;$A1665&amp;"*",'All Papers'!$G:$G,"*"&amp;Table1[[#Headers],[Pricing]]&amp;"*")</f>
        <v>0</v>
      </c>
    </row>
    <row r="1666" spans="1:13" x14ac:dyDescent="0.25">
      <c r="A1666" s="8" t="s">
        <v>4099</v>
      </c>
      <c r="B1666" s="8">
        <f>COUNTIF('All Papers'!D:D,"*"&amp;Table1[[#This Row],[Name]]&amp;"*")</f>
        <v>1</v>
      </c>
      <c r="C1666" s="8">
        <f>COUNTIFS('All Papers'!$D:$D,"*"&amp;$A1666&amp;"*",'All Papers'!$G:$G,"*"&amp;Table1[[#Headers],[Composition]]&amp;"*")</f>
        <v>0</v>
      </c>
      <c r="D1666" s="8">
        <f>COUNTIFS('All Papers'!$D:$D,"*"&amp;$A1666&amp;"*",'All Papers'!$G:$G,"*"&amp;Table1[[#Headers],[Discovery]]&amp;"*")</f>
        <v>0</v>
      </c>
      <c r="E1666" s="8">
        <f>COUNTIFS('All Papers'!$D:$D,"*"&amp;$A1666&amp;"*",'All Papers'!$G:$G,"*"&amp;Table1[[#Headers],[Selection]]&amp;"*")</f>
        <v>1</v>
      </c>
      <c r="F1666" s="8">
        <f>COUNTIFS('All Papers'!$D:$D,"*"&amp;$A1666&amp;"*",'All Papers'!$G:$G,"*"&amp;Table1[[#Headers],[Recommendation]]&amp;"*")</f>
        <v>0</v>
      </c>
      <c r="G1666" s="8">
        <f>COUNTIFS('All Papers'!$D:$D,"*"&amp;$A1666&amp;"*",'All Papers'!$G:$G,"*"&amp;Table1[[#Headers],[Resource Management-CS]]&amp;"*")</f>
        <v>0</v>
      </c>
      <c r="H1666" s="8">
        <f>COUNTIFS('All Papers'!$D:$D,"*"&amp;$A1666&amp;"*",'All Papers'!$G:$G,"*"&amp;Table1[[#Headers],[Resource Management-PS]]&amp;"*")</f>
        <v>0</v>
      </c>
      <c r="I1666" s="8">
        <f>COUNTIFS('All Papers'!$D:$D,"*"&amp;$A1666&amp;"*",'All Papers'!$G:$G,"*"&amp;Table1[[#Headers],[SLA Management]]&amp;"*")</f>
        <v>0</v>
      </c>
      <c r="J1666" s="8">
        <f>COUNTIFS('All Papers'!$D:$D,"*"&amp;$A1666&amp;"*",'All Papers'!$G:$G,"*"&amp;Table1[[#Headers],[Big Data]]&amp;"*")</f>
        <v>0</v>
      </c>
      <c r="K1666" s="8">
        <f>COUNTIFS('All Papers'!$D:$D,"*"&amp;$A1666&amp;"*",'All Papers'!$G:$G,"*"&amp;Table1[[#Headers],[Energy Management]]&amp;"*")</f>
        <v>0</v>
      </c>
      <c r="L1666" s="8">
        <f>COUNTIFS('All Papers'!$D:$D,"*"&amp;$A1666&amp;"*",'All Papers'!$G:$G,"*"&amp;Table1[[#Headers],[Monitoring]]&amp;"*")</f>
        <v>0</v>
      </c>
      <c r="M1666" s="8">
        <f>COUNTIFS('All Papers'!$D:$D,"*"&amp;$A1666&amp;"*",'All Papers'!$G:$G,"*"&amp;Table1[[#Headers],[Pricing]]&amp;"*")</f>
        <v>0</v>
      </c>
    </row>
    <row r="1667" spans="1:13" x14ac:dyDescent="0.25">
      <c r="A1667" s="8" t="s">
        <v>4100</v>
      </c>
      <c r="B1667" s="8">
        <f>COUNTIF('All Papers'!D:D,"*"&amp;Table1[[#This Row],[Name]]&amp;"*")</f>
        <v>1</v>
      </c>
      <c r="C1667" s="8">
        <f>COUNTIFS('All Papers'!$D:$D,"*"&amp;$A1667&amp;"*",'All Papers'!$G:$G,"*"&amp;Table1[[#Headers],[Composition]]&amp;"*")</f>
        <v>0</v>
      </c>
      <c r="D1667" s="8">
        <f>COUNTIFS('All Papers'!$D:$D,"*"&amp;$A1667&amp;"*",'All Papers'!$G:$G,"*"&amp;Table1[[#Headers],[Discovery]]&amp;"*")</f>
        <v>0</v>
      </c>
      <c r="E1667" s="8">
        <f>COUNTIFS('All Papers'!$D:$D,"*"&amp;$A1667&amp;"*",'All Papers'!$G:$G,"*"&amp;Table1[[#Headers],[Selection]]&amp;"*")</f>
        <v>1</v>
      </c>
      <c r="F1667" s="8">
        <f>COUNTIFS('All Papers'!$D:$D,"*"&amp;$A1667&amp;"*",'All Papers'!$G:$G,"*"&amp;Table1[[#Headers],[Recommendation]]&amp;"*")</f>
        <v>0</v>
      </c>
      <c r="G1667" s="8">
        <f>COUNTIFS('All Papers'!$D:$D,"*"&amp;$A1667&amp;"*",'All Papers'!$G:$G,"*"&amp;Table1[[#Headers],[Resource Management-CS]]&amp;"*")</f>
        <v>0</v>
      </c>
      <c r="H1667" s="8">
        <f>COUNTIFS('All Papers'!$D:$D,"*"&amp;$A1667&amp;"*",'All Papers'!$G:$G,"*"&amp;Table1[[#Headers],[Resource Management-PS]]&amp;"*")</f>
        <v>0</v>
      </c>
      <c r="I1667" s="8">
        <f>COUNTIFS('All Papers'!$D:$D,"*"&amp;$A1667&amp;"*",'All Papers'!$G:$G,"*"&amp;Table1[[#Headers],[SLA Management]]&amp;"*")</f>
        <v>0</v>
      </c>
      <c r="J1667" s="8">
        <f>COUNTIFS('All Papers'!$D:$D,"*"&amp;$A1667&amp;"*",'All Papers'!$G:$G,"*"&amp;Table1[[#Headers],[Big Data]]&amp;"*")</f>
        <v>0</v>
      </c>
      <c r="K1667" s="8">
        <f>COUNTIFS('All Papers'!$D:$D,"*"&amp;$A1667&amp;"*",'All Papers'!$G:$G,"*"&amp;Table1[[#Headers],[Energy Management]]&amp;"*")</f>
        <v>0</v>
      </c>
      <c r="L1667" s="8">
        <f>COUNTIFS('All Papers'!$D:$D,"*"&amp;$A1667&amp;"*",'All Papers'!$G:$G,"*"&amp;Table1[[#Headers],[Monitoring]]&amp;"*")</f>
        <v>0</v>
      </c>
      <c r="M1667" s="8">
        <f>COUNTIFS('All Papers'!$D:$D,"*"&amp;$A1667&amp;"*",'All Papers'!$G:$G,"*"&amp;Table1[[#Headers],[Pricing]]&amp;"*")</f>
        <v>0</v>
      </c>
    </row>
    <row r="1668" spans="1:13" x14ac:dyDescent="0.25">
      <c r="A1668" s="8" t="s">
        <v>4101</v>
      </c>
      <c r="B1668" s="8">
        <f>COUNTIF('All Papers'!D:D,"*"&amp;Table1[[#This Row],[Name]]&amp;"*")</f>
        <v>1</v>
      </c>
      <c r="C1668" s="8">
        <f>COUNTIFS('All Papers'!$D:$D,"*"&amp;$A1668&amp;"*",'All Papers'!$G:$G,"*"&amp;Table1[[#Headers],[Composition]]&amp;"*")</f>
        <v>0</v>
      </c>
      <c r="D1668" s="8">
        <f>COUNTIFS('All Papers'!$D:$D,"*"&amp;$A1668&amp;"*",'All Papers'!$G:$G,"*"&amp;Table1[[#Headers],[Discovery]]&amp;"*")</f>
        <v>0</v>
      </c>
      <c r="E1668" s="8">
        <f>COUNTIFS('All Papers'!$D:$D,"*"&amp;$A1668&amp;"*",'All Papers'!$G:$G,"*"&amp;Table1[[#Headers],[Selection]]&amp;"*")</f>
        <v>1</v>
      </c>
      <c r="F1668" s="8">
        <f>COUNTIFS('All Papers'!$D:$D,"*"&amp;$A1668&amp;"*",'All Papers'!$G:$G,"*"&amp;Table1[[#Headers],[Recommendation]]&amp;"*")</f>
        <v>0</v>
      </c>
      <c r="G1668" s="8">
        <f>COUNTIFS('All Papers'!$D:$D,"*"&amp;$A1668&amp;"*",'All Papers'!$G:$G,"*"&amp;Table1[[#Headers],[Resource Management-CS]]&amp;"*")</f>
        <v>0</v>
      </c>
      <c r="H1668" s="8">
        <f>COUNTIFS('All Papers'!$D:$D,"*"&amp;$A1668&amp;"*",'All Papers'!$G:$G,"*"&amp;Table1[[#Headers],[Resource Management-PS]]&amp;"*")</f>
        <v>0</v>
      </c>
      <c r="I1668" s="8">
        <f>COUNTIFS('All Papers'!$D:$D,"*"&amp;$A1668&amp;"*",'All Papers'!$G:$G,"*"&amp;Table1[[#Headers],[SLA Management]]&amp;"*")</f>
        <v>0</v>
      </c>
      <c r="J1668" s="8">
        <f>COUNTIFS('All Papers'!$D:$D,"*"&amp;$A1668&amp;"*",'All Papers'!$G:$G,"*"&amp;Table1[[#Headers],[Big Data]]&amp;"*")</f>
        <v>0</v>
      </c>
      <c r="K1668" s="8">
        <f>COUNTIFS('All Papers'!$D:$D,"*"&amp;$A1668&amp;"*",'All Papers'!$G:$G,"*"&amp;Table1[[#Headers],[Energy Management]]&amp;"*")</f>
        <v>0</v>
      </c>
      <c r="L1668" s="8">
        <f>COUNTIFS('All Papers'!$D:$D,"*"&amp;$A1668&amp;"*",'All Papers'!$G:$G,"*"&amp;Table1[[#Headers],[Monitoring]]&amp;"*")</f>
        <v>0</v>
      </c>
      <c r="M1668" s="8">
        <f>COUNTIFS('All Papers'!$D:$D,"*"&amp;$A1668&amp;"*",'All Papers'!$G:$G,"*"&amp;Table1[[#Headers],[Pricing]]&amp;"*")</f>
        <v>0</v>
      </c>
    </row>
    <row r="1669" spans="1:13" x14ac:dyDescent="0.25">
      <c r="A1669" s="8" t="s">
        <v>4102</v>
      </c>
      <c r="B1669" s="8">
        <f>COUNTIF('All Papers'!D:D,"*"&amp;Table1[[#This Row],[Name]]&amp;"*")</f>
        <v>1</v>
      </c>
      <c r="C1669" s="8">
        <f>COUNTIFS('All Papers'!$D:$D,"*"&amp;$A1669&amp;"*",'All Papers'!$G:$G,"*"&amp;Table1[[#Headers],[Composition]]&amp;"*")</f>
        <v>0</v>
      </c>
      <c r="D1669" s="8">
        <f>COUNTIFS('All Papers'!$D:$D,"*"&amp;$A1669&amp;"*",'All Papers'!$G:$G,"*"&amp;Table1[[#Headers],[Discovery]]&amp;"*")</f>
        <v>0</v>
      </c>
      <c r="E1669" s="8">
        <f>COUNTIFS('All Papers'!$D:$D,"*"&amp;$A1669&amp;"*",'All Papers'!$G:$G,"*"&amp;Table1[[#Headers],[Selection]]&amp;"*")</f>
        <v>1</v>
      </c>
      <c r="F1669" s="8">
        <f>COUNTIFS('All Papers'!$D:$D,"*"&amp;$A1669&amp;"*",'All Papers'!$G:$G,"*"&amp;Table1[[#Headers],[Recommendation]]&amp;"*")</f>
        <v>0</v>
      </c>
      <c r="G1669" s="8">
        <f>COUNTIFS('All Papers'!$D:$D,"*"&amp;$A1669&amp;"*",'All Papers'!$G:$G,"*"&amp;Table1[[#Headers],[Resource Management-CS]]&amp;"*")</f>
        <v>0</v>
      </c>
      <c r="H1669" s="8">
        <f>COUNTIFS('All Papers'!$D:$D,"*"&amp;$A1669&amp;"*",'All Papers'!$G:$G,"*"&amp;Table1[[#Headers],[Resource Management-PS]]&amp;"*")</f>
        <v>0</v>
      </c>
      <c r="I1669" s="8">
        <f>COUNTIFS('All Papers'!$D:$D,"*"&amp;$A1669&amp;"*",'All Papers'!$G:$G,"*"&amp;Table1[[#Headers],[SLA Management]]&amp;"*")</f>
        <v>0</v>
      </c>
      <c r="J1669" s="8">
        <f>COUNTIFS('All Papers'!$D:$D,"*"&amp;$A1669&amp;"*",'All Papers'!$G:$G,"*"&amp;Table1[[#Headers],[Big Data]]&amp;"*")</f>
        <v>0</v>
      </c>
      <c r="K1669" s="8">
        <f>COUNTIFS('All Papers'!$D:$D,"*"&amp;$A1669&amp;"*",'All Papers'!$G:$G,"*"&amp;Table1[[#Headers],[Energy Management]]&amp;"*")</f>
        <v>0</v>
      </c>
      <c r="L1669" s="8">
        <f>COUNTIFS('All Papers'!$D:$D,"*"&amp;$A1669&amp;"*",'All Papers'!$G:$G,"*"&amp;Table1[[#Headers],[Monitoring]]&amp;"*")</f>
        <v>0</v>
      </c>
      <c r="M1669" s="8">
        <f>COUNTIFS('All Papers'!$D:$D,"*"&amp;$A1669&amp;"*",'All Papers'!$G:$G,"*"&amp;Table1[[#Headers],[Pricing]]&amp;"*")</f>
        <v>0</v>
      </c>
    </row>
    <row r="1670" spans="1:13" x14ac:dyDescent="0.25">
      <c r="A1670" s="8" t="s">
        <v>4103</v>
      </c>
      <c r="B1670" s="8">
        <f>COUNTIF('All Papers'!D:D,"*"&amp;Table1[[#This Row],[Name]]&amp;"*")</f>
        <v>1</v>
      </c>
      <c r="C1670" s="8">
        <f>COUNTIFS('All Papers'!$D:$D,"*"&amp;$A1670&amp;"*",'All Papers'!$G:$G,"*"&amp;Table1[[#Headers],[Composition]]&amp;"*")</f>
        <v>0</v>
      </c>
      <c r="D1670" s="8">
        <f>COUNTIFS('All Papers'!$D:$D,"*"&amp;$A1670&amp;"*",'All Papers'!$G:$G,"*"&amp;Table1[[#Headers],[Discovery]]&amp;"*")</f>
        <v>0</v>
      </c>
      <c r="E1670" s="8">
        <f>COUNTIFS('All Papers'!$D:$D,"*"&amp;$A1670&amp;"*",'All Papers'!$G:$G,"*"&amp;Table1[[#Headers],[Selection]]&amp;"*")</f>
        <v>1</v>
      </c>
      <c r="F1670" s="8">
        <f>COUNTIFS('All Papers'!$D:$D,"*"&amp;$A1670&amp;"*",'All Papers'!$G:$G,"*"&amp;Table1[[#Headers],[Recommendation]]&amp;"*")</f>
        <v>0</v>
      </c>
      <c r="G1670" s="8">
        <f>COUNTIFS('All Papers'!$D:$D,"*"&amp;$A1670&amp;"*",'All Papers'!$G:$G,"*"&amp;Table1[[#Headers],[Resource Management-CS]]&amp;"*")</f>
        <v>0</v>
      </c>
      <c r="H1670" s="8">
        <f>COUNTIFS('All Papers'!$D:$D,"*"&amp;$A1670&amp;"*",'All Papers'!$G:$G,"*"&amp;Table1[[#Headers],[Resource Management-PS]]&amp;"*")</f>
        <v>0</v>
      </c>
      <c r="I1670" s="8">
        <f>COUNTIFS('All Papers'!$D:$D,"*"&amp;$A1670&amp;"*",'All Papers'!$G:$G,"*"&amp;Table1[[#Headers],[SLA Management]]&amp;"*")</f>
        <v>0</v>
      </c>
      <c r="J1670" s="8">
        <f>COUNTIFS('All Papers'!$D:$D,"*"&amp;$A1670&amp;"*",'All Papers'!$G:$G,"*"&amp;Table1[[#Headers],[Big Data]]&amp;"*")</f>
        <v>0</v>
      </c>
      <c r="K1670" s="8">
        <f>COUNTIFS('All Papers'!$D:$D,"*"&amp;$A1670&amp;"*",'All Papers'!$G:$G,"*"&amp;Table1[[#Headers],[Energy Management]]&amp;"*")</f>
        <v>0</v>
      </c>
      <c r="L1670" s="8">
        <f>COUNTIFS('All Papers'!$D:$D,"*"&amp;$A1670&amp;"*",'All Papers'!$G:$G,"*"&amp;Table1[[#Headers],[Monitoring]]&amp;"*")</f>
        <v>0</v>
      </c>
      <c r="M1670" s="8">
        <f>COUNTIFS('All Papers'!$D:$D,"*"&amp;$A1670&amp;"*",'All Papers'!$G:$G,"*"&amp;Table1[[#Headers],[Pricing]]&amp;"*")</f>
        <v>0</v>
      </c>
    </row>
    <row r="1671" spans="1:13" x14ac:dyDescent="0.25">
      <c r="A1671" s="8" t="s">
        <v>4104</v>
      </c>
      <c r="B1671" s="8">
        <f>COUNTIF('All Papers'!D:D,"*"&amp;Table1[[#This Row],[Name]]&amp;"*")</f>
        <v>1</v>
      </c>
      <c r="C1671" s="8">
        <f>COUNTIFS('All Papers'!$D:$D,"*"&amp;$A1671&amp;"*",'All Papers'!$G:$G,"*"&amp;Table1[[#Headers],[Composition]]&amp;"*")</f>
        <v>0</v>
      </c>
      <c r="D1671" s="8">
        <f>COUNTIFS('All Papers'!$D:$D,"*"&amp;$A1671&amp;"*",'All Papers'!$G:$G,"*"&amp;Table1[[#Headers],[Discovery]]&amp;"*")</f>
        <v>0</v>
      </c>
      <c r="E1671" s="8">
        <f>COUNTIFS('All Papers'!$D:$D,"*"&amp;$A1671&amp;"*",'All Papers'!$G:$G,"*"&amp;Table1[[#Headers],[Selection]]&amp;"*")</f>
        <v>1</v>
      </c>
      <c r="F1671" s="8">
        <f>COUNTIFS('All Papers'!$D:$D,"*"&amp;$A1671&amp;"*",'All Papers'!$G:$G,"*"&amp;Table1[[#Headers],[Recommendation]]&amp;"*")</f>
        <v>0</v>
      </c>
      <c r="G1671" s="8">
        <f>COUNTIFS('All Papers'!$D:$D,"*"&amp;$A1671&amp;"*",'All Papers'!$G:$G,"*"&amp;Table1[[#Headers],[Resource Management-CS]]&amp;"*")</f>
        <v>0</v>
      </c>
      <c r="H1671" s="8">
        <f>COUNTIFS('All Papers'!$D:$D,"*"&amp;$A1671&amp;"*",'All Papers'!$G:$G,"*"&amp;Table1[[#Headers],[Resource Management-PS]]&amp;"*")</f>
        <v>0</v>
      </c>
      <c r="I1671" s="8">
        <f>COUNTIFS('All Papers'!$D:$D,"*"&amp;$A1671&amp;"*",'All Papers'!$G:$G,"*"&amp;Table1[[#Headers],[SLA Management]]&amp;"*")</f>
        <v>0</v>
      </c>
      <c r="J1671" s="8">
        <f>COUNTIFS('All Papers'!$D:$D,"*"&amp;$A1671&amp;"*",'All Papers'!$G:$G,"*"&amp;Table1[[#Headers],[Big Data]]&amp;"*")</f>
        <v>0</v>
      </c>
      <c r="K1671" s="8">
        <f>COUNTIFS('All Papers'!$D:$D,"*"&amp;$A1671&amp;"*",'All Papers'!$G:$G,"*"&amp;Table1[[#Headers],[Energy Management]]&amp;"*")</f>
        <v>0</v>
      </c>
      <c r="L1671" s="8">
        <f>COUNTIFS('All Papers'!$D:$D,"*"&amp;$A1671&amp;"*",'All Papers'!$G:$G,"*"&amp;Table1[[#Headers],[Monitoring]]&amp;"*")</f>
        <v>0</v>
      </c>
      <c r="M1671" s="8">
        <f>COUNTIFS('All Papers'!$D:$D,"*"&amp;$A1671&amp;"*",'All Papers'!$G:$G,"*"&amp;Table1[[#Headers],[Pricing]]&amp;"*")</f>
        <v>0</v>
      </c>
    </row>
    <row r="1672" spans="1:13" x14ac:dyDescent="0.25">
      <c r="A1672" s="8" t="s">
        <v>4105</v>
      </c>
      <c r="B1672" s="8">
        <f>COUNTIF('All Papers'!D:D,"*"&amp;Table1[[#This Row],[Name]]&amp;"*")</f>
        <v>1</v>
      </c>
      <c r="C1672" s="8">
        <f>COUNTIFS('All Papers'!$D:$D,"*"&amp;$A1672&amp;"*",'All Papers'!$G:$G,"*"&amp;Table1[[#Headers],[Composition]]&amp;"*")</f>
        <v>0</v>
      </c>
      <c r="D1672" s="8">
        <f>COUNTIFS('All Papers'!$D:$D,"*"&amp;$A1672&amp;"*",'All Papers'!$G:$G,"*"&amp;Table1[[#Headers],[Discovery]]&amp;"*")</f>
        <v>0</v>
      </c>
      <c r="E1672" s="8">
        <f>COUNTIFS('All Papers'!$D:$D,"*"&amp;$A1672&amp;"*",'All Papers'!$G:$G,"*"&amp;Table1[[#Headers],[Selection]]&amp;"*")</f>
        <v>0</v>
      </c>
      <c r="F1672" s="8">
        <f>COUNTIFS('All Papers'!$D:$D,"*"&amp;$A1672&amp;"*",'All Papers'!$G:$G,"*"&amp;Table1[[#Headers],[Recommendation]]&amp;"*")</f>
        <v>0</v>
      </c>
      <c r="G1672" s="8">
        <f>COUNTIFS('All Papers'!$D:$D,"*"&amp;$A1672&amp;"*",'All Papers'!$G:$G,"*"&amp;Table1[[#Headers],[Resource Management-CS]]&amp;"*")</f>
        <v>0</v>
      </c>
      <c r="H1672" s="8">
        <f>COUNTIFS('All Papers'!$D:$D,"*"&amp;$A1672&amp;"*",'All Papers'!$G:$G,"*"&amp;Table1[[#Headers],[Resource Management-PS]]&amp;"*")</f>
        <v>0</v>
      </c>
      <c r="I1672" s="8">
        <f>COUNTIFS('All Papers'!$D:$D,"*"&amp;$A1672&amp;"*",'All Papers'!$G:$G,"*"&amp;Table1[[#Headers],[SLA Management]]&amp;"*")</f>
        <v>1</v>
      </c>
      <c r="J1672" s="8">
        <f>COUNTIFS('All Papers'!$D:$D,"*"&amp;$A1672&amp;"*",'All Papers'!$G:$G,"*"&amp;Table1[[#Headers],[Big Data]]&amp;"*")</f>
        <v>0</v>
      </c>
      <c r="K1672" s="8">
        <f>COUNTIFS('All Papers'!$D:$D,"*"&amp;$A1672&amp;"*",'All Papers'!$G:$G,"*"&amp;Table1[[#Headers],[Energy Management]]&amp;"*")</f>
        <v>0</v>
      </c>
      <c r="L1672" s="8">
        <f>COUNTIFS('All Papers'!$D:$D,"*"&amp;$A1672&amp;"*",'All Papers'!$G:$G,"*"&amp;Table1[[#Headers],[Monitoring]]&amp;"*")</f>
        <v>0</v>
      </c>
      <c r="M1672" s="8">
        <f>COUNTIFS('All Papers'!$D:$D,"*"&amp;$A1672&amp;"*",'All Papers'!$G:$G,"*"&amp;Table1[[#Headers],[Pricing]]&amp;"*")</f>
        <v>0</v>
      </c>
    </row>
    <row r="1673" spans="1:13" x14ac:dyDescent="0.25">
      <c r="A1673" s="8" t="s">
        <v>4106</v>
      </c>
      <c r="B1673" s="8">
        <f>COUNTIF('All Papers'!D:D,"*"&amp;Table1[[#This Row],[Name]]&amp;"*")</f>
        <v>1</v>
      </c>
      <c r="C1673" s="8">
        <f>COUNTIFS('All Papers'!$D:$D,"*"&amp;$A1673&amp;"*",'All Papers'!$G:$G,"*"&amp;Table1[[#Headers],[Composition]]&amp;"*")</f>
        <v>0</v>
      </c>
      <c r="D1673" s="8">
        <f>COUNTIFS('All Papers'!$D:$D,"*"&amp;$A1673&amp;"*",'All Papers'!$G:$G,"*"&amp;Table1[[#Headers],[Discovery]]&amp;"*")</f>
        <v>0</v>
      </c>
      <c r="E1673" s="8">
        <f>COUNTIFS('All Papers'!$D:$D,"*"&amp;$A1673&amp;"*",'All Papers'!$G:$G,"*"&amp;Table1[[#Headers],[Selection]]&amp;"*")</f>
        <v>0</v>
      </c>
      <c r="F1673" s="8">
        <f>COUNTIFS('All Papers'!$D:$D,"*"&amp;$A1673&amp;"*",'All Papers'!$G:$G,"*"&amp;Table1[[#Headers],[Recommendation]]&amp;"*")</f>
        <v>0</v>
      </c>
      <c r="G1673" s="8">
        <f>COUNTIFS('All Papers'!$D:$D,"*"&amp;$A1673&amp;"*",'All Papers'!$G:$G,"*"&amp;Table1[[#Headers],[Resource Management-CS]]&amp;"*")</f>
        <v>0</v>
      </c>
      <c r="H1673" s="8">
        <f>COUNTIFS('All Papers'!$D:$D,"*"&amp;$A1673&amp;"*",'All Papers'!$G:$G,"*"&amp;Table1[[#Headers],[Resource Management-PS]]&amp;"*")</f>
        <v>0</v>
      </c>
      <c r="I1673" s="8">
        <f>COUNTIFS('All Papers'!$D:$D,"*"&amp;$A1673&amp;"*",'All Papers'!$G:$G,"*"&amp;Table1[[#Headers],[SLA Management]]&amp;"*")</f>
        <v>1</v>
      </c>
      <c r="J1673" s="8">
        <f>COUNTIFS('All Papers'!$D:$D,"*"&amp;$A1673&amp;"*",'All Papers'!$G:$G,"*"&amp;Table1[[#Headers],[Big Data]]&amp;"*")</f>
        <v>0</v>
      </c>
      <c r="K1673" s="8">
        <f>COUNTIFS('All Papers'!$D:$D,"*"&amp;$A1673&amp;"*",'All Papers'!$G:$G,"*"&amp;Table1[[#Headers],[Energy Management]]&amp;"*")</f>
        <v>0</v>
      </c>
      <c r="L1673" s="8">
        <f>COUNTIFS('All Papers'!$D:$D,"*"&amp;$A1673&amp;"*",'All Papers'!$G:$G,"*"&amp;Table1[[#Headers],[Monitoring]]&amp;"*")</f>
        <v>0</v>
      </c>
      <c r="M1673" s="8">
        <f>COUNTIFS('All Papers'!$D:$D,"*"&amp;$A1673&amp;"*",'All Papers'!$G:$G,"*"&amp;Table1[[#Headers],[Pricing]]&amp;"*")</f>
        <v>0</v>
      </c>
    </row>
    <row r="1674" spans="1:13" x14ac:dyDescent="0.25">
      <c r="A1674" s="8" t="s">
        <v>4107</v>
      </c>
      <c r="B1674" s="8">
        <f>COUNTIF('All Papers'!D:D,"*"&amp;Table1[[#This Row],[Name]]&amp;"*")</f>
        <v>1</v>
      </c>
      <c r="C1674" s="8">
        <f>COUNTIFS('All Papers'!$D:$D,"*"&amp;$A1674&amp;"*",'All Papers'!$G:$G,"*"&amp;Table1[[#Headers],[Composition]]&amp;"*")</f>
        <v>0</v>
      </c>
      <c r="D1674" s="8">
        <f>COUNTIFS('All Papers'!$D:$D,"*"&amp;$A1674&amp;"*",'All Papers'!$G:$G,"*"&amp;Table1[[#Headers],[Discovery]]&amp;"*")</f>
        <v>0</v>
      </c>
      <c r="E1674" s="8">
        <f>COUNTIFS('All Papers'!$D:$D,"*"&amp;$A1674&amp;"*",'All Papers'!$G:$G,"*"&amp;Table1[[#Headers],[Selection]]&amp;"*")</f>
        <v>0</v>
      </c>
      <c r="F1674" s="8">
        <f>COUNTIFS('All Papers'!$D:$D,"*"&amp;$A1674&amp;"*",'All Papers'!$G:$G,"*"&amp;Table1[[#Headers],[Recommendation]]&amp;"*")</f>
        <v>0</v>
      </c>
      <c r="G1674" s="8">
        <f>COUNTIFS('All Papers'!$D:$D,"*"&amp;$A1674&amp;"*",'All Papers'!$G:$G,"*"&amp;Table1[[#Headers],[Resource Management-CS]]&amp;"*")</f>
        <v>0</v>
      </c>
      <c r="H1674" s="8">
        <f>COUNTIFS('All Papers'!$D:$D,"*"&amp;$A1674&amp;"*",'All Papers'!$G:$G,"*"&amp;Table1[[#Headers],[Resource Management-PS]]&amp;"*")</f>
        <v>0</v>
      </c>
      <c r="I1674" s="8">
        <f>COUNTIFS('All Papers'!$D:$D,"*"&amp;$A1674&amp;"*",'All Papers'!$G:$G,"*"&amp;Table1[[#Headers],[SLA Management]]&amp;"*")</f>
        <v>1</v>
      </c>
      <c r="J1674" s="8">
        <f>COUNTIFS('All Papers'!$D:$D,"*"&amp;$A1674&amp;"*",'All Papers'!$G:$G,"*"&amp;Table1[[#Headers],[Big Data]]&amp;"*")</f>
        <v>0</v>
      </c>
      <c r="K1674" s="8">
        <f>COUNTIFS('All Papers'!$D:$D,"*"&amp;$A1674&amp;"*",'All Papers'!$G:$G,"*"&amp;Table1[[#Headers],[Energy Management]]&amp;"*")</f>
        <v>0</v>
      </c>
      <c r="L1674" s="8">
        <f>COUNTIFS('All Papers'!$D:$D,"*"&amp;$A1674&amp;"*",'All Papers'!$G:$G,"*"&amp;Table1[[#Headers],[Monitoring]]&amp;"*")</f>
        <v>0</v>
      </c>
      <c r="M1674" s="8">
        <f>COUNTIFS('All Papers'!$D:$D,"*"&amp;$A1674&amp;"*",'All Papers'!$G:$G,"*"&amp;Table1[[#Headers],[Pricing]]&amp;"*")</f>
        <v>0</v>
      </c>
    </row>
    <row r="1675" spans="1:13" x14ac:dyDescent="0.25">
      <c r="A1675" s="8" t="s">
        <v>4108</v>
      </c>
      <c r="B1675" s="8">
        <f>COUNTIF('All Papers'!D:D,"*"&amp;Table1[[#This Row],[Name]]&amp;"*")</f>
        <v>1</v>
      </c>
      <c r="C1675" s="8">
        <f>COUNTIFS('All Papers'!$D:$D,"*"&amp;$A1675&amp;"*",'All Papers'!$G:$G,"*"&amp;Table1[[#Headers],[Composition]]&amp;"*")</f>
        <v>0</v>
      </c>
      <c r="D1675" s="8">
        <f>COUNTIFS('All Papers'!$D:$D,"*"&amp;$A1675&amp;"*",'All Papers'!$G:$G,"*"&amp;Table1[[#Headers],[Discovery]]&amp;"*")</f>
        <v>0</v>
      </c>
      <c r="E1675" s="8">
        <f>COUNTIFS('All Papers'!$D:$D,"*"&amp;$A1675&amp;"*",'All Papers'!$G:$G,"*"&amp;Table1[[#Headers],[Selection]]&amp;"*")</f>
        <v>0</v>
      </c>
      <c r="F1675" s="8">
        <f>COUNTIFS('All Papers'!$D:$D,"*"&amp;$A1675&amp;"*",'All Papers'!$G:$G,"*"&amp;Table1[[#Headers],[Recommendation]]&amp;"*")</f>
        <v>0</v>
      </c>
      <c r="G1675" s="8">
        <f>COUNTIFS('All Papers'!$D:$D,"*"&amp;$A1675&amp;"*",'All Papers'!$G:$G,"*"&amp;Table1[[#Headers],[Resource Management-CS]]&amp;"*")</f>
        <v>0</v>
      </c>
      <c r="H1675" s="8">
        <f>COUNTIFS('All Papers'!$D:$D,"*"&amp;$A1675&amp;"*",'All Papers'!$G:$G,"*"&amp;Table1[[#Headers],[Resource Management-PS]]&amp;"*")</f>
        <v>0</v>
      </c>
      <c r="I1675" s="8">
        <f>COUNTIFS('All Papers'!$D:$D,"*"&amp;$A1675&amp;"*",'All Papers'!$G:$G,"*"&amp;Table1[[#Headers],[SLA Management]]&amp;"*")</f>
        <v>1</v>
      </c>
      <c r="J1675" s="8">
        <f>COUNTIFS('All Papers'!$D:$D,"*"&amp;$A1675&amp;"*",'All Papers'!$G:$G,"*"&amp;Table1[[#Headers],[Big Data]]&amp;"*")</f>
        <v>0</v>
      </c>
      <c r="K1675" s="8">
        <f>COUNTIFS('All Papers'!$D:$D,"*"&amp;$A1675&amp;"*",'All Papers'!$G:$G,"*"&amp;Table1[[#Headers],[Energy Management]]&amp;"*")</f>
        <v>0</v>
      </c>
      <c r="L1675" s="8">
        <f>COUNTIFS('All Papers'!$D:$D,"*"&amp;$A1675&amp;"*",'All Papers'!$G:$G,"*"&amp;Table1[[#Headers],[Monitoring]]&amp;"*")</f>
        <v>0</v>
      </c>
      <c r="M1675" s="8">
        <f>COUNTIFS('All Papers'!$D:$D,"*"&amp;$A1675&amp;"*",'All Papers'!$G:$G,"*"&amp;Table1[[#Headers],[Pricing]]&amp;"*")</f>
        <v>0</v>
      </c>
    </row>
    <row r="1676" spans="1:13" x14ac:dyDescent="0.25">
      <c r="A1676" s="8" t="s">
        <v>4109</v>
      </c>
      <c r="B1676" s="8">
        <f>COUNTIF('All Papers'!D:D,"*"&amp;Table1[[#This Row],[Name]]&amp;"*")</f>
        <v>1</v>
      </c>
      <c r="C1676" s="8">
        <f>COUNTIFS('All Papers'!$D:$D,"*"&amp;$A1676&amp;"*",'All Papers'!$G:$G,"*"&amp;Table1[[#Headers],[Composition]]&amp;"*")</f>
        <v>0</v>
      </c>
      <c r="D1676" s="8">
        <f>COUNTIFS('All Papers'!$D:$D,"*"&amp;$A1676&amp;"*",'All Papers'!$G:$G,"*"&amp;Table1[[#Headers],[Discovery]]&amp;"*")</f>
        <v>0</v>
      </c>
      <c r="E1676" s="8">
        <f>COUNTIFS('All Papers'!$D:$D,"*"&amp;$A1676&amp;"*",'All Papers'!$G:$G,"*"&amp;Table1[[#Headers],[Selection]]&amp;"*")</f>
        <v>0</v>
      </c>
      <c r="F1676" s="8">
        <f>COUNTIFS('All Papers'!$D:$D,"*"&amp;$A1676&amp;"*",'All Papers'!$G:$G,"*"&amp;Table1[[#Headers],[Recommendation]]&amp;"*")</f>
        <v>1</v>
      </c>
      <c r="G1676" s="8">
        <f>COUNTIFS('All Papers'!$D:$D,"*"&amp;$A1676&amp;"*",'All Papers'!$G:$G,"*"&amp;Table1[[#Headers],[Resource Management-CS]]&amp;"*")</f>
        <v>0</v>
      </c>
      <c r="H1676" s="8">
        <f>COUNTIFS('All Papers'!$D:$D,"*"&amp;$A1676&amp;"*",'All Papers'!$G:$G,"*"&amp;Table1[[#Headers],[Resource Management-PS]]&amp;"*")</f>
        <v>0</v>
      </c>
      <c r="I1676" s="8">
        <f>COUNTIFS('All Papers'!$D:$D,"*"&amp;$A1676&amp;"*",'All Papers'!$G:$G,"*"&amp;Table1[[#Headers],[SLA Management]]&amp;"*")</f>
        <v>0</v>
      </c>
      <c r="J1676" s="8">
        <f>COUNTIFS('All Papers'!$D:$D,"*"&amp;$A1676&amp;"*",'All Papers'!$G:$G,"*"&amp;Table1[[#Headers],[Big Data]]&amp;"*")</f>
        <v>0</v>
      </c>
      <c r="K1676" s="8">
        <f>COUNTIFS('All Papers'!$D:$D,"*"&amp;$A1676&amp;"*",'All Papers'!$G:$G,"*"&amp;Table1[[#Headers],[Energy Management]]&amp;"*")</f>
        <v>0</v>
      </c>
      <c r="L1676" s="8">
        <f>COUNTIFS('All Papers'!$D:$D,"*"&amp;$A1676&amp;"*",'All Papers'!$G:$G,"*"&amp;Table1[[#Headers],[Monitoring]]&amp;"*")</f>
        <v>0</v>
      </c>
      <c r="M1676" s="8">
        <f>COUNTIFS('All Papers'!$D:$D,"*"&amp;$A1676&amp;"*",'All Papers'!$G:$G,"*"&amp;Table1[[#Headers],[Pricing]]&amp;"*")</f>
        <v>0</v>
      </c>
    </row>
    <row r="1677" spans="1:13" x14ac:dyDescent="0.25">
      <c r="A1677" s="8" t="s">
        <v>4110</v>
      </c>
      <c r="B1677" s="8">
        <f>COUNTIF('All Papers'!D:D,"*"&amp;Table1[[#This Row],[Name]]&amp;"*")</f>
        <v>1</v>
      </c>
      <c r="C1677" s="8">
        <f>COUNTIFS('All Papers'!$D:$D,"*"&amp;$A1677&amp;"*",'All Papers'!$G:$G,"*"&amp;Table1[[#Headers],[Composition]]&amp;"*")</f>
        <v>0</v>
      </c>
      <c r="D1677" s="8">
        <f>COUNTIFS('All Papers'!$D:$D,"*"&amp;$A1677&amp;"*",'All Papers'!$G:$G,"*"&amp;Table1[[#Headers],[Discovery]]&amp;"*")</f>
        <v>0</v>
      </c>
      <c r="E1677" s="8">
        <f>COUNTIFS('All Papers'!$D:$D,"*"&amp;$A1677&amp;"*",'All Papers'!$G:$G,"*"&amp;Table1[[#Headers],[Selection]]&amp;"*")</f>
        <v>0</v>
      </c>
      <c r="F1677" s="8">
        <f>COUNTIFS('All Papers'!$D:$D,"*"&amp;$A1677&amp;"*",'All Papers'!$G:$G,"*"&amp;Table1[[#Headers],[Recommendation]]&amp;"*")</f>
        <v>1</v>
      </c>
      <c r="G1677" s="8">
        <f>COUNTIFS('All Papers'!$D:$D,"*"&amp;$A1677&amp;"*",'All Papers'!$G:$G,"*"&amp;Table1[[#Headers],[Resource Management-CS]]&amp;"*")</f>
        <v>0</v>
      </c>
      <c r="H1677" s="8">
        <f>COUNTIFS('All Papers'!$D:$D,"*"&amp;$A1677&amp;"*",'All Papers'!$G:$G,"*"&amp;Table1[[#Headers],[Resource Management-PS]]&amp;"*")</f>
        <v>0</v>
      </c>
      <c r="I1677" s="8">
        <f>COUNTIFS('All Papers'!$D:$D,"*"&amp;$A1677&amp;"*",'All Papers'!$G:$G,"*"&amp;Table1[[#Headers],[SLA Management]]&amp;"*")</f>
        <v>0</v>
      </c>
      <c r="J1677" s="8">
        <f>COUNTIFS('All Papers'!$D:$D,"*"&amp;$A1677&amp;"*",'All Papers'!$G:$G,"*"&amp;Table1[[#Headers],[Big Data]]&amp;"*")</f>
        <v>0</v>
      </c>
      <c r="K1677" s="8">
        <f>COUNTIFS('All Papers'!$D:$D,"*"&amp;$A1677&amp;"*",'All Papers'!$G:$G,"*"&amp;Table1[[#Headers],[Energy Management]]&amp;"*")</f>
        <v>0</v>
      </c>
      <c r="L1677" s="8">
        <f>COUNTIFS('All Papers'!$D:$D,"*"&amp;$A1677&amp;"*",'All Papers'!$G:$G,"*"&amp;Table1[[#Headers],[Monitoring]]&amp;"*")</f>
        <v>0</v>
      </c>
      <c r="M1677" s="8">
        <f>COUNTIFS('All Papers'!$D:$D,"*"&amp;$A1677&amp;"*",'All Papers'!$G:$G,"*"&amp;Table1[[#Headers],[Pricing]]&amp;"*")</f>
        <v>0</v>
      </c>
    </row>
    <row r="1678" spans="1:13" x14ac:dyDescent="0.25">
      <c r="A1678" s="8" t="s">
        <v>4111</v>
      </c>
      <c r="B1678" s="8">
        <f>COUNTIF('All Papers'!D:D,"*"&amp;Table1[[#This Row],[Name]]&amp;"*")</f>
        <v>1</v>
      </c>
      <c r="C1678" s="8">
        <f>COUNTIFS('All Papers'!$D:$D,"*"&amp;$A1678&amp;"*",'All Papers'!$G:$G,"*"&amp;Table1[[#Headers],[Composition]]&amp;"*")</f>
        <v>0</v>
      </c>
      <c r="D1678" s="8">
        <f>COUNTIFS('All Papers'!$D:$D,"*"&amp;$A1678&amp;"*",'All Papers'!$G:$G,"*"&amp;Table1[[#Headers],[Discovery]]&amp;"*")</f>
        <v>0</v>
      </c>
      <c r="E1678" s="8">
        <f>COUNTIFS('All Papers'!$D:$D,"*"&amp;$A1678&amp;"*",'All Papers'!$G:$G,"*"&amp;Table1[[#Headers],[Selection]]&amp;"*")</f>
        <v>0</v>
      </c>
      <c r="F1678" s="8">
        <f>COUNTIFS('All Papers'!$D:$D,"*"&amp;$A1678&amp;"*",'All Papers'!$G:$G,"*"&amp;Table1[[#Headers],[Recommendation]]&amp;"*")</f>
        <v>1</v>
      </c>
      <c r="G1678" s="8">
        <f>COUNTIFS('All Papers'!$D:$D,"*"&amp;$A1678&amp;"*",'All Papers'!$G:$G,"*"&amp;Table1[[#Headers],[Resource Management-CS]]&amp;"*")</f>
        <v>0</v>
      </c>
      <c r="H1678" s="8">
        <f>COUNTIFS('All Papers'!$D:$D,"*"&amp;$A1678&amp;"*",'All Papers'!$G:$G,"*"&amp;Table1[[#Headers],[Resource Management-PS]]&amp;"*")</f>
        <v>0</v>
      </c>
      <c r="I1678" s="8">
        <f>COUNTIFS('All Papers'!$D:$D,"*"&amp;$A1678&amp;"*",'All Papers'!$G:$G,"*"&amp;Table1[[#Headers],[SLA Management]]&amp;"*")</f>
        <v>0</v>
      </c>
      <c r="J1678" s="8">
        <f>COUNTIFS('All Papers'!$D:$D,"*"&amp;$A1678&amp;"*",'All Papers'!$G:$G,"*"&amp;Table1[[#Headers],[Big Data]]&amp;"*")</f>
        <v>0</v>
      </c>
      <c r="K1678" s="8">
        <f>COUNTIFS('All Papers'!$D:$D,"*"&amp;$A1678&amp;"*",'All Papers'!$G:$G,"*"&amp;Table1[[#Headers],[Energy Management]]&amp;"*")</f>
        <v>0</v>
      </c>
      <c r="L1678" s="8">
        <f>COUNTIFS('All Papers'!$D:$D,"*"&amp;$A1678&amp;"*",'All Papers'!$G:$G,"*"&amp;Table1[[#Headers],[Monitoring]]&amp;"*")</f>
        <v>0</v>
      </c>
      <c r="M1678" s="8">
        <f>COUNTIFS('All Papers'!$D:$D,"*"&amp;$A1678&amp;"*",'All Papers'!$G:$G,"*"&amp;Table1[[#Headers],[Pricing]]&amp;"*")</f>
        <v>0</v>
      </c>
    </row>
    <row r="1679" spans="1:13" x14ac:dyDescent="0.25">
      <c r="A1679" s="8" t="s">
        <v>4112</v>
      </c>
      <c r="B1679" s="8">
        <f>COUNTIF('All Papers'!D:D,"*"&amp;Table1[[#This Row],[Name]]&amp;"*")</f>
        <v>1</v>
      </c>
      <c r="C1679" s="8">
        <f>COUNTIFS('All Papers'!$D:$D,"*"&amp;$A1679&amp;"*",'All Papers'!$G:$G,"*"&amp;Table1[[#Headers],[Composition]]&amp;"*")</f>
        <v>1</v>
      </c>
      <c r="D1679" s="8">
        <f>COUNTIFS('All Papers'!$D:$D,"*"&amp;$A1679&amp;"*",'All Papers'!$G:$G,"*"&amp;Table1[[#Headers],[Discovery]]&amp;"*")</f>
        <v>0</v>
      </c>
      <c r="E1679" s="8">
        <f>COUNTIFS('All Papers'!$D:$D,"*"&amp;$A1679&amp;"*",'All Papers'!$G:$G,"*"&amp;Table1[[#Headers],[Selection]]&amp;"*")</f>
        <v>0</v>
      </c>
      <c r="F1679" s="8">
        <f>COUNTIFS('All Papers'!$D:$D,"*"&amp;$A1679&amp;"*",'All Papers'!$G:$G,"*"&amp;Table1[[#Headers],[Recommendation]]&amp;"*")</f>
        <v>0</v>
      </c>
      <c r="G1679" s="8">
        <f>COUNTIFS('All Papers'!$D:$D,"*"&amp;$A1679&amp;"*",'All Papers'!$G:$G,"*"&amp;Table1[[#Headers],[Resource Management-CS]]&amp;"*")</f>
        <v>0</v>
      </c>
      <c r="H1679" s="8">
        <f>COUNTIFS('All Papers'!$D:$D,"*"&amp;$A1679&amp;"*",'All Papers'!$G:$G,"*"&amp;Table1[[#Headers],[Resource Management-PS]]&amp;"*")</f>
        <v>0</v>
      </c>
      <c r="I1679" s="8">
        <f>COUNTIFS('All Papers'!$D:$D,"*"&amp;$A1679&amp;"*",'All Papers'!$G:$G,"*"&amp;Table1[[#Headers],[SLA Management]]&amp;"*")</f>
        <v>0</v>
      </c>
      <c r="J1679" s="8">
        <f>COUNTIFS('All Papers'!$D:$D,"*"&amp;$A1679&amp;"*",'All Papers'!$G:$G,"*"&amp;Table1[[#Headers],[Big Data]]&amp;"*")</f>
        <v>0</v>
      </c>
      <c r="K1679" s="8">
        <f>COUNTIFS('All Papers'!$D:$D,"*"&amp;$A1679&amp;"*",'All Papers'!$G:$G,"*"&amp;Table1[[#Headers],[Energy Management]]&amp;"*")</f>
        <v>0</v>
      </c>
      <c r="L1679" s="8">
        <f>COUNTIFS('All Papers'!$D:$D,"*"&amp;$A1679&amp;"*",'All Papers'!$G:$G,"*"&amp;Table1[[#Headers],[Monitoring]]&amp;"*")</f>
        <v>0</v>
      </c>
      <c r="M1679" s="8">
        <f>COUNTIFS('All Papers'!$D:$D,"*"&amp;$A1679&amp;"*",'All Papers'!$G:$G,"*"&amp;Table1[[#Headers],[Pricing]]&amp;"*")</f>
        <v>0</v>
      </c>
    </row>
    <row r="1680" spans="1:13" x14ac:dyDescent="0.25">
      <c r="A1680" s="8" t="s">
        <v>4113</v>
      </c>
      <c r="B1680" s="8">
        <f>COUNTIF('All Papers'!D:D,"*"&amp;Table1[[#This Row],[Name]]&amp;"*")</f>
        <v>1</v>
      </c>
      <c r="C1680" s="8">
        <f>COUNTIFS('All Papers'!$D:$D,"*"&amp;$A1680&amp;"*",'All Papers'!$G:$G,"*"&amp;Table1[[#Headers],[Composition]]&amp;"*")</f>
        <v>1</v>
      </c>
      <c r="D1680" s="8">
        <f>COUNTIFS('All Papers'!$D:$D,"*"&amp;$A1680&amp;"*",'All Papers'!$G:$G,"*"&amp;Table1[[#Headers],[Discovery]]&amp;"*")</f>
        <v>0</v>
      </c>
      <c r="E1680" s="8">
        <f>COUNTIFS('All Papers'!$D:$D,"*"&amp;$A1680&amp;"*",'All Papers'!$G:$G,"*"&amp;Table1[[#Headers],[Selection]]&amp;"*")</f>
        <v>0</v>
      </c>
      <c r="F1680" s="8">
        <f>COUNTIFS('All Papers'!$D:$D,"*"&amp;$A1680&amp;"*",'All Papers'!$G:$G,"*"&amp;Table1[[#Headers],[Recommendation]]&amp;"*")</f>
        <v>0</v>
      </c>
      <c r="G1680" s="8">
        <f>COUNTIFS('All Papers'!$D:$D,"*"&amp;$A1680&amp;"*",'All Papers'!$G:$G,"*"&amp;Table1[[#Headers],[Resource Management-CS]]&amp;"*")</f>
        <v>0</v>
      </c>
      <c r="H1680" s="8">
        <f>COUNTIFS('All Papers'!$D:$D,"*"&amp;$A1680&amp;"*",'All Papers'!$G:$G,"*"&amp;Table1[[#Headers],[Resource Management-PS]]&amp;"*")</f>
        <v>0</v>
      </c>
      <c r="I1680" s="8">
        <f>COUNTIFS('All Papers'!$D:$D,"*"&amp;$A1680&amp;"*",'All Papers'!$G:$G,"*"&amp;Table1[[#Headers],[SLA Management]]&amp;"*")</f>
        <v>0</v>
      </c>
      <c r="J1680" s="8">
        <f>COUNTIFS('All Papers'!$D:$D,"*"&amp;$A1680&amp;"*",'All Papers'!$G:$G,"*"&amp;Table1[[#Headers],[Big Data]]&amp;"*")</f>
        <v>0</v>
      </c>
      <c r="K1680" s="8">
        <f>COUNTIFS('All Papers'!$D:$D,"*"&amp;$A1680&amp;"*",'All Papers'!$G:$G,"*"&amp;Table1[[#Headers],[Energy Management]]&amp;"*")</f>
        <v>0</v>
      </c>
      <c r="L1680" s="8">
        <f>COUNTIFS('All Papers'!$D:$D,"*"&amp;$A1680&amp;"*",'All Papers'!$G:$G,"*"&amp;Table1[[#Headers],[Monitoring]]&amp;"*")</f>
        <v>0</v>
      </c>
      <c r="M1680" s="8">
        <f>COUNTIFS('All Papers'!$D:$D,"*"&amp;$A1680&amp;"*",'All Papers'!$G:$G,"*"&amp;Table1[[#Headers],[Pricing]]&amp;"*")</f>
        <v>0</v>
      </c>
    </row>
    <row r="1681" spans="1:13" x14ac:dyDescent="0.25">
      <c r="A1681" s="8" t="s">
        <v>4114</v>
      </c>
      <c r="B1681" s="8">
        <f>COUNTIF('All Papers'!D:D,"*"&amp;Table1[[#This Row],[Name]]&amp;"*")</f>
        <v>1</v>
      </c>
      <c r="C1681" s="8">
        <f>COUNTIFS('All Papers'!$D:$D,"*"&amp;$A1681&amp;"*",'All Papers'!$G:$G,"*"&amp;Table1[[#Headers],[Composition]]&amp;"*")</f>
        <v>0</v>
      </c>
      <c r="D1681" s="8">
        <f>COUNTIFS('All Papers'!$D:$D,"*"&amp;$A1681&amp;"*",'All Papers'!$G:$G,"*"&amp;Table1[[#Headers],[Discovery]]&amp;"*")</f>
        <v>0</v>
      </c>
      <c r="E1681" s="8">
        <f>COUNTIFS('All Papers'!$D:$D,"*"&amp;$A1681&amp;"*",'All Papers'!$G:$G,"*"&amp;Table1[[#Headers],[Selection]]&amp;"*")</f>
        <v>1</v>
      </c>
      <c r="F1681" s="8">
        <f>COUNTIFS('All Papers'!$D:$D,"*"&amp;$A1681&amp;"*",'All Papers'!$G:$G,"*"&amp;Table1[[#Headers],[Recommendation]]&amp;"*")</f>
        <v>0</v>
      </c>
      <c r="G1681" s="8">
        <f>COUNTIFS('All Papers'!$D:$D,"*"&amp;$A1681&amp;"*",'All Papers'!$G:$G,"*"&amp;Table1[[#Headers],[Resource Management-CS]]&amp;"*")</f>
        <v>0</v>
      </c>
      <c r="H1681" s="8">
        <f>COUNTIFS('All Papers'!$D:$D,"*"&amp;$A1681&amp;"*",'All Papers'!$G:$G,"*"&amp;Table1[[#Headers],[Resource Management-PS]]&amp;"*")</f>
        <v>0</v>
      </c>
      <c r="I1681" s="8">
        <f>COUNTIFS('All Papers'!$D:$D,"*"&amp;$A1681&amp;"*",'All Papers'!$G:$G,"*"&amp;Table1[[#Headers],[SLA Management]]&amp;"*")</f>
        <v>0</v>
      </c>
      <c r="J1681" s="8">
        <f>COUNTIFS('All Papers'!$D:$D,"*"&amp;$A1681&amp;"*",'All Papers'!$G:$G,"*"&amp;Table1[[#Headers],[Big Data]]&amp;"*")</f>
        <v>0</v>
      </c>
      <c r="K1681" s="8">
        <f>COUNTIFS('All Papers'!$D:$D,"*"&amp;$A1681&amp;"*",'All Papers'!$G:$G,"*"&amp;Table1[[#Headers],[Energy Management]]&amp;"*")</f>
        <v>0</v>
      </c>
      <c r="L1681" s="8">
        <f>COUNTIFS('All Papers'!$D:$D,"*"&amp;$A1681&amp;"*",'All Papers'!$G:$G,"*"&amp;Table1[[#Headers],[Monitoring]]&amp;"*")</f>
        <v>0</v>
      </c>
      <c r="M1681" s="8">
        <f>COUNTIFS('All Papers'!$D:$D,"*"&amp;$A1681&amp;"*",'All Papers'!$G:$G,"*"&amp;Table1[[#Headers],[Pricing]]&amp;"*")</f>
        <v>0</v>
      </c>
    </row>
    <row r="1682" spans="1:13" x14ac:dyDescent="0.25">
      <c r="A1682" s="8" t="s">
        <v>4115</v>
      </c>
      <c r="B1682" s="8">
        <f>COUNTIF('All Papers'!D:D,"*"&amp;Table1[[#This Row],[Name]]&amp;"*")</f>
        <v>1</v>
      </c>
      <c r="C1682" s="8">
        <f>COUNTIFS('All Papers'!$D:$D,"*"&amp;$A1682&amp;"*",'All Papers'!$G:$G,"*"&amp;Table1[[#Headers],[Composition]]&amp;"*")</f>
        <v>0</v>
      </c>
      <c r="D1682" s="8">
        <f>COUNTIFS('All Papers'!$D:$D,"*"&amp;$A1682&amp;"*",'All Papers'!$G:$G,"*"&amp;Table1[[#Headers],[Discovery]]&amp;"*")</f>
        <v>0</v>
      </c>
      <c r="E1682" s="8">
        <f>COUNTIFS('All Papers'!$D:$D,"*"&amp;$A1682&amp;"*",'All Papers'!$G:$G,"*"&amp;Table1[[#Headers],[Selection]]&amp;"*")</f>
        <v>1</v>
      </c>
      <c r="F1682" s="8">
        <f>COUNTIFS('All Papers'!$D:$D,"*"&amp;$A1682&amp;"*",'All Papers'!$G:$G,"*"&amp;Table1[[#Headers],[Recommendation]]&amp;"*")</f>
        <v>0</v>
      </c>
      <c r="G1682" s="8">
        <f>COUNTIFS('All Papers'!$D:$D,"*"&amp;$A1682&amp;"*",'All Papers'!$G:$G,"*"&amp;Table1[[#Headers],[Resource Management-CS]]&amp;"*")</f>
        <v>0</v>
      </c>
      <c r="H1682" s="8">
        <f>COUNTIFS('All Papers'!$D:$D,"*"&amp;$A1682&amp;"*",'All Papers'!$G:$G,"*"&amp;Table1[[#Headers],[Resource Management-PS]]&amp;"*")</f>
        <v>0</v>
      </c>
      <c r="I1682" s="8">
        <f>COUNTIFS('All Papers'!$D:$D,"*"&amp;$A1682&amp;"*",'All Papers'!$G:$G,"*"&amp;Table1[[#Headers],[SLA Management]]&amp;"*")</f>
        <v>0</v>
      </c>
      <c r="J1682" s="8">
        <f>COUNTIFS('All Papers'!$D:$D,"*"&amp;$A1682&amp;"*",'All Papers'!$G:$G,"*"&amp;Table1[[#Headers],[Big Data]]&amp;"*")</f>
        <v>0</v>
      </c>
      <c r="K1682" s="8">
        <f>COUNTIFS('All Papers'!$D:$D,"*"&amp;$A1682&amp;"*",'All Papers'!$G:$G,"*"&amp;Table1[[#Headers],[Energy Management]]&amp;"*")</f>
        <v>0</v>
      </c>
      <c r="L1682" s="8">
        <f>COUNTIFS('All Papers'!$D:$D,"*"&amp;$A1682&amp;"*",'All Papers'!$G:$G,"*"&amp;Table1[[#Headers],[Monitoring]]&amp;"*")</f>
        <v>0</v>
      </c>
      <c r="M1682" s="8">
        <f>COUNTIFS('All Papers'!$D:$D,"*"&amp;$A1682&amp;"*",'All Papers'!$G:$G,"*"&amp;Table1[[#Headers],[Pricing]]&amp;"*")</f>
        <v>0</v>
      </c>
    </row>
    <row r="1683" spans="1:13" x14ac:dyDescent="0.25">
      <c r="A1683" s="8" t="s">
        <v>4116</v>
      </c>
      <c r="B1683" s="8">
        <f>COUNTIF('All Papers'!D:D,"*"&amp;Table1[[#This Row],[Name]]&amp;"*")</f>
        <v>1</v>
      </c>
      <c r="C1683" s="8">
        <f>COUNTIFS('All Papers'!$D:$D,"*"&amp;$A1683&amp;"*",'All Papers'!$G:$G,"*"&amp;Table1[[#Headers],[Composition]]&amp;"*")</f>
        <v>0</v>
      </c>
      <c r="D1683" s="8">
        <f>COUNTIFS('All Papers'!$D:$D,"*"&amp;$A1683&amp;"*",'All Papers'!$G:$G,"*"&amp;Table1[[#Headers],[Discovery]]&amp;"*")</f>
        <v>0</v>
      </c>
      <c r="E1683" s="8">
        <f>COUNTIFS('All Papers'!$D:$D,"*"&amp;$A1683&amp;"*",'All Papers'!$G:$G,"*"&amp;Table1[[#Headers],[Selection]]&amp;"*")</f>
        <v>1</v>
      </c>
      <c r="F1683" s="8">
        <f>COUNTIFS('All Papers'!$D:$D,"*"&amp;$A1683&amp;"*",'All Papers'!$G:$G,"*"&amp;Table1[[#Headers],[Recommendation]]&amp;"*")</f>
        <v>0</v>
      </c>
      <c r="G1683" s="8">
        <f>COUNTIFS('All Papers'!$D:$D,"*"&amp;$A1683&amp;"*",'All Papers'!$G:$G,"*"&amp;Table1[[#Headers],[Resource Management-CS]]&amp;"*")</f>
        <v>0</v>
      </c>
      <c r="H1683" s="8">
        <f>COUNTIFS('All Papers'!$D:$D,"*"&amp;$A1683&amp;"*",'All Papers'!$G:$G,"*"&amp;Table1[[#Headers],[Resource Management-PS]]&amp;"*")</f>
        <v>0</v>
      </c>
      <c r="I1683" s="8">
        <f>COUNTIFS('All Papers'!$D:$D,"*"&amp;$A1683&amp;"*",'All Papers'!$G:$G,"*"&amp;Table1[[#Headers],[SLA Management]]&amp;"*")</f>
        <v>0</v>
      </c>
      <c r="J1683" s="8">
        <f>COUNTIFS('All Papers'!$D:$D,"*"&amp;$A1683&amp;"*",'All Papers'!$G:$G,"*"&amp;Table1[[#Headers],[Big Data]]&amp;"*")</f>
        <v>0</v>
      </c>
      <c r="K1683" s="8">
        <f>COUNTIFS('All Papers'!$D:$D,"*"&amp;$A1683&amp;"*",'All Papers'!$G:$G,"*"&amp;Table1[[#Headers],[Energy Management]]&amp;"*")</f>
        <v>0</v>
      </c>
      <c r="L1683" s="8">
        <f>COUNTIFS('All Papers'!$D:$D,"*"&amp;$A1683&amp;"*",'All Papers'!$G:$G,"*"&amp;Table1[[#Headers],[Monitoring]]&amp;"*")</f>
        <v>0</v>
      </c>
      <c r="M1683" s="8">
        <f>COUNTIFS('All Papers'!$D:$D,"*"&amp;$A1683&amp;"*",'All Papers'!$G:$G,"*"&amp;Table1[[#Headers],[Pricing]]&amp;"*")</f>
        <v>0</v>
      </c>
    </row>
    <row r="1684" spans="1:13" x14ac:dyDescent="0.25">
      <c r="A1684" s="8" t="s">
        <v>4117</v>
      </c>
      <c r="B1684" s="8">
        <f>COUNTIF('All Papers'!D:D,"*"&amp;Table1[[#This Row],[Name]]&amp;"*")</f>
        <v>1</v>
      </c>
      <c r="C1684" s="8">
        <f>COUNTIFS('All Papers'!$D:$D,"*"&amp;$A1684&amp;"*",'All Papers'!$G:$G,"*"&amp;Table1[[#Headers],[Composition]]&amp;"*")</f>
        <v>1</v>
      </c>
      <c r="D1684" s="8">
        <f>COUNTIFS('All Papers'!$D:$D,"*"&amp;$A1684&amp;"*",'All Papers'!$G:$G,"*"&amp;Table1[[#Headers],[Discovery]]&amp;"*")</f>
        <v>0</v>
      </c>
      <c r="E1684" s="8">
        <f>COUNTIFS('All Papers'!$D:$D,"*"&amp;$A1684&amp;"*",'All Papers'!$G:$G,"*"&amp;Table1[[#Headers],[Selection]]&amp;"*")</f>
        <v>0</v>
      </c>
      <c r="F1684" s="8">
        <f>COUNTIFS('All Papers'!$D:$D,"*"&amp;$A1684&amp;"*",'All Papers'!$G:$G,"*"&amp;Table1[[#Headers],[Recommendation]]&amp;"*")</f>
        <v>0</v>
      </c>
      <c r="G1684" s="8">
        <f>COUNTIFS('All Papers'!$D:$D,"*"&amp;$A1684&amp;"*",'All Papers'!$G:$G,"*"&amp;Table1[[#Headers],[Resource Management-CS]]&amp;"*")</f>
        <v>0</v>
      </c>
      <c r="H1684" s="8">
        <f>COUNTIFS('All Papers'!$D:$D,"*"&amp;$A1684&amp;"*",'All Papers'!$G:$G,"*"&amp;Table1[[#Headers],[Resource Management-PS]]&amp;"*")</f>
        <v>0</v>
      </c>
      <c r="I1684" s="8">
        <f>COUNTIFS('All Papers'!$D:$D,"*"&amp;$A1684&amp;"*",'All Papers'!$G:$G,"*"&amp;Table1[[#Headers],[SLA Management]]&amp;"*")</f>
        <v>0</v>
      </c>
      <c r="J1684" s="8">
        <f>COUNTIFS('All Papers'!$D:$D,"*"&amp;$A1684&amp;"*",'All Papers'!$G:$G,"*"&amp;Table1[[#Headers],[Big Data]]&amp;"*")</f>
        <v>0</v>
      </c>
      <c r="K1684" s="8">
        <f>COUNTIFS('All Papers'!$D:$D,"*"&amp;$A1684&amp;"*",'All Papers'!$G:$G,"*"&amp;Table1[[#Headers],[Energy Management]]&amp;"*")</f>
        <v>0</v>
      </c>
      <c r="L1684" s="8">
        <f>COUNTIFS('All Papers'!$D:$D,"*"&amp;$A1684&amp;"*",'All Papers'!$G:$G,"*"&amp;Table1[[#Headers],[Monitoring]]&amp;"*")</f>
        <v>0</v>
      </c>
      <c r="M1684" s="8">
        <f>COUNTIFS('All Papers'!$D:$D,"*"&amp;$A1684&amp;"*",'All Papers'!$G:$G,"*"&amp;Table1[[#Headers],[Pricing]]&amp;"*")</f>
        <v>0</v>
      </c>
    </row>
    <row r="1685" spans="1:13" x14ac:dyDescent="0.25">
      <c r="A1685" s="8" t="s">
        <v>4118</v>
      </c>
      <c r="B1685" s="8">
        <f>COUNTIF('All Papers'!D:D,"*"&amp;Table1[[#This Row],[Name]]&amp;"*")</f>
        <v>1</v>
      </c>
      <c r="C1685" s="8">
        <f>COUNTIFS('All Papers'!$D:$D,"*"&amp;$A1685&amp;"*",'All Papers'!$G:$G,"*"&amp;Table1[[#Headers],[Composition]]&amp;"*")</f>
        <v>1</v>
      </c>
      <c r="D1685" s="8">
        <f>COUNTIFS('All Papers'!$D:$D,"*"&amp;$A1685&amp;"*",'All Papers'!$G:$G,"*"&amp;Table1[[#Headers],[Discovery]]&amp;"*")</f>
        <v>0</v>
      </c>
      <c r="E1685" s="8">
        <f>COUNTIFS('All Papers'!$D:$D,"*"&amp;$A1685&amp;"*",'All Papers'!$G:$G,"*"&amp;Table1[[#Headers],[Selection]]&amp;"*")</f>
        <v>0</v>
      </c>
      <c r="F1685" s="8">
        <f>COUNTIFS('All Papers'!$D:$D,"*"&amp;$A1685&amp;"*",'All Papers'!$G:$G,"*"&amp;Table1[[#Headers],[Recommendation]]&amp;"*")</f>
        <v>0</v>
      </c>
      <c r="G1685" s="8">
        <f>COUNTIFS('All Papers'!$D:$D,"*"&amp;$A1685&amp;"*",'All Papers'!$G:$G,"*"&amp;Table1[[#Headers],[Resource Management-CS]]&amp;"*")</f>
        <v>0</v>
      </c>
      <c r="H1685" s="8">
        <f>COUNTIFS('All Papers'!$D:$D,"*"&amp;$A1685&amp;"*",'All Papers'!$G:$G,"*"&amp;Table1[[#Headers],[Resource Management-PS]]&amp;"*")</f>
        <v>0</v>
      </c>
      <c r="I1685" s="8">
        <f>COUNTIFS('All Papers'!$D:$D,"*"&amp;$A1685&amp;"*",'All Papers'!$G:$G,"*"&amp;Table1[[#Headers],[SLA Management]]&amp;"*")</f>
        <v>0</v>
      </c>
      <c r="J1685" s="8">
        <f>COUNTIFS('All Papers'!$D:$D,"*"&amp;$A1685&amp;"*",'All Papers'!$G:$G,"*"&amp;Table1[[#Headers],[Big Data]]&amp;"*")</f>
        <v>0</v>
      </c>
      <c r="K1685" s="8">
        <f>COUNTIFS('All Papers'!$D:$D,"*"&amp;$A1685&amp;"*",'All Papers'!$G:$G,"*"&amp;Table1[[#Headers],[Energy Management]]&amp;"*")</f>
        <v>0</v>
      </c>
      <c r="L1685" s="8">
        <f>COUNTIFS('All Papers'!$D:$D,"*"&amp;$A1685&amp;"*",'All Papers'!$G:$G,"*"&amp;Table1[[#Headers],[Monitoring]]&amp;"*")</f>
        <v>0</v>
      </c>
      <c r="M1685" s="8">
        <f>COUNTIFS('All Papers'!$D:$D,"*"&amp;$A1685&amp;"*",'All Papers'!$G:$G,"*"&amp;Table1[[#Headers],[Pricing]]&amp;"*")</f>
        <v>0</v>
      </c>
    </row>
    <row r="1686" spans="1:13" x14ac:dyDescent="0.25">
      <c r="A1686" s="8" t="s">
        <v>4119</v>
      </c>
      <c r="B1686" s="8">
        <f>COUNTIF('All Papers'!D:D,"*"&amp;Table1[[#This Row],[Name]]&amp;"*")</f>
        <v>1</v>
      </c>
      <c r="C1686" s="8">
        <f>COUNTIFS('All Papers'!$D:$D,"*"&amp;$A1686&amp;"*",'All Papers'!$G:$G,"*"&amp;Table1[[#Headers],[Composition]]&amp;"*")</f>
        <v>1</v>
      </c>
      <c r="D1686" s="8">
        <f>COUNTIFS('All Papers'!$D:$D,"*"&amp;$A1686&amp;"*",'All Papers'!$G:$G,"*"&amp;Table1[[#Headers],[Discovery]]&amp;"*")</f>
        <v>0</v>
      </c>
      <c r="E1686" s="8">
        <f>COUNTIFS('All Papers'!$D:$D,"*"&amp;$A1686&amp;"*",'All Papers'!$G:$G,"*"&amp;Table1[[#Headers],[Selection]]&amp;"*")</f>
        <v>0</v>
      </c>
      <c r="F1686" s="8">
        <f>COUNTIFS('All Papers'!$D:$D,"*"&amp;$A1686&amp;"*",'All Papers'!$G:$G,"*"&amp;Table1[[#Headers],[Recommendation]]&amp;"*")</f>
        <v>0</v>
      </c>
      <c r="G1686" s="8">
        <f>COUNTIFS('All Papers'!$D:$D,"*"&amp;$A1686&amp;"*",'All Papers'!$G:$G,"*"&amp;Table1[[#Headers],[Resource Management-CS]]&amp;"*")</f>
        <v>0</v>
      </c>
      <c r="H1686" s="8">
        <f>COUNTIFS('All Papers'!$D:$D,"*"&amp;$A1686&amp;"*",'All Papers'!$G:$G,"*"&amp;Table1[[#Headers],[Resource Management-PS]]&amp;"*")</f>
        <v>0</v>
      </c>
      <c r="I1686" s="8">
        <f>COUNTIFS('All Papers'!$D:$D,"*"&amp;$A1686&amp;"*",'All Papers'!$G:$G,"*"&amp;Table1[[#Headers],[SLA Management]]&amp;"*")</f>
        <v>0</v>
      </c>
      <c r="J1686" s="8">
        <f>COUNTIFS('All Papers'!$D:$D,"*"&amp;$A1686&amp;"*",'All Papers'!$G:$G,"*"&amp;Table1[[#Headers],[Big Data]]&amp;"*")</f>
        <v>0</v>
      </c>
      <c r="K1686" s="8">
        <f>COUNTIFS('All Papers'!$D:$D,"*"&amp;$A1686&amp;"*",'All Papers'!$G:$G,"*"&amp;Table1[[#Headers],[Energy Management]]&amp;"*")</f>
        <v>0</v>
      </c>
      <c r="L1686" s="8">
        <f>COUNTIFS('All Papers'!$D:$D,"*"&amp;$A1686&amp;"*",'All Papers'!$G:$G,"*"&amp;Table1[[#Headers],[Monitoring]]&amp;"*")</f>
        <v>0</v>
      </c>
      <c r="M1686" s="8">
        <f>COUNTIFS('All Papers'!$D:$D,"*"&amp;$A1686&amp;"*",'All Papers'!$G:$G,"*"&amp;Table1[[#Headers],[Pricing]]&amp;"*")</f>
        <v>0</v>
      </c>
    </row>
    <row r="1687" spans="1:13" x14ac:dyDescent="0.25">
      <c r="A1687" s="8" t="s">
        <v>4120</v>
      </c>
      <c r="B1687" s="8">
        <f>COUNTIF('All Papers'!D:D,"*"&amp;Table1[[#This Row],[Name]]&amp;"*")</f>
        <v>1</v>
      </c>
      <c r="C1687" s="8">
        <f>COUNTIFS('All Papers'!$D:$D,"*"&amp;$A1687&amp;"*",'All Papers'!$G:$G,"*"&amp;Table1[[#Headers],[Composition]]&amp;"*")</f>
        <v>1</v>
      </c>
      <c r="D1687" s="8">
        <f>COUNTIFS('All Papers'!$D:$D,"*"&amp;$A1687&amp;"*",'All Papers'!$G:$G,"*"&amp;Table1[[#Headers],[Discovery]]&amp;"*")</f>
        <v>0</v>
      </c>
      <c r="E1687" s="8">
        <f>COUNTIFS('All Papers'!$D:$D,"*"&amp;$A1687&amp;"*",'All Papers'!$G:$G,"*"&amp;Table1[[#Headers],[Selection]]&amp;"*")</f>
        <v>1</v>
      </c>
      <c r="F1687" s="8">
        <f>COUNTIFS('All Papers'!$D:$D,"*"&amp;$A1687&amp;"*",'All Papers'!$G:$G,"*"&amp;Table1[[#Headers],[Recommendation]]&amp;"*")</f>
        <v>0</v>
      </c>
      <c r="G1687" s="8">
        <f>COUNTIFS('All Papers'!$D:$D,"*"&amp;$A1687&amp;"*",'All Papers'!$G:$G,"*"&amp;Table1[[#Headers],[Resource Management-CS]]&amp;"*")</f>
        <v>0</v>
      </c>
      <c r="H1687" s="8">
        <f>COUNTIFS('All Papers'!$D:$D,"*"&amp;$A1687&amp;"*",'All Papers'!$G:$G,"*"&amp;Table1[[#Headers],[Resource Management-PS]]&amp;"*")</f>
        <v>0</v>
      </c>
      <c r="I1687" s="8">
        <f>COUNTIFS('All Papers'!$D:$D,"*"&amp;$A1687&amp;"*",'All Papers'!$G:$G,"*"&amp;Table1[[#Headers],[SLA Management]]&amp;"*")</f>
        <v>0</v>
      </c>
      <c r="J1687" s="8">
        <f>COUNTIFS('All Papers'!$D:$D,"*"&amp;$A1687&amp;"*",'All Papers'!$G:$G,"*"&amp;Table1[[#Headers],[Big Data]]&amp;"*")</f>
        <v>0</v>
      </c>
      <c r="K1687" s="8">
        <f>COUNTIFS('All Papers'!$D:$D,"*"&amp;$A1687&amp;"*",'All Papers'!$G:$G,"*"&amp;Table1[[#Headers],[Energy Management]]&amp;"*")</f>
        <v>0</v>
      </c>
      <c r="L1687" s="8">
        <f>COUNTIFS('All Papers'!$D:$D,"*"&amp;$A1687&amp;"*",'All Papers'!$G:$G,"*"&amp;Table1[[#Headers],[Monitoring]]&amp;"*")</f>
        <v>0</v>
      </c>
      <c r="M1687" s="8">
        <f>COUNTIFS('All Papers'!$D:$D,"*"&amp;$A1687&amp;"*",'All Papers'!$G:$G,"*"&amp;Table1[[#Headers],[Pricing]]&amp;"*")</f>
        <v>0</v>
      </c>
    </row>
    <row r="1688" spans="1:13" x14ac:dyDescent="0.25">
      <c r="A1688" s="8" t="s">
        <v>4121</v>
      </c>
      <c r="B1688" s="8">
        <f>COUNTIF('All Papers'!D:D,"*"&amp;Table1[[#This Row],[Name]]&amp;"*")</f>
        <v>1</v>
      </c>
      <c r="C1688" s="8">
        <f>COUNTIFS('All Papers'!$D:$D,"*"&amp;$A1688&amp;"*",'All Papers'!$G:$G,"*"&amp;Table1[[#Headers],[Composition]]&amp;"*")</f>
        <v>1</v>
      </c>
      <c r="D1688" s="8">
        <f>COUNTIFS('All Papers'!$D:$D,"*"&amp;$A1688&amp;"*",'All Papers'!$G:$G,"*"&amp;Table1[[#Headers],[Discovery]]&amp;"*")</f>
        <v>0</v>
      </c>
      <c r="E1688" s="8">
        <f>COUNTIFS('All Papers'!$D:$D,"*"&amp;$A1688&amp;"*",'All Papers'!$G:$G,"*"&amp;Table1[[#Headers],[Selection]]&amp;"*")</f>
        <v>1</v>
      </c>
      <c r="F1688" s="8">
        <f>COUNTIFS('All Papers'!$D:$D,"*"&amp;$A1688&amp;"*",'All Papers'!$G:$G,"*"&amp;Table1[[#Headers],[Recommendation]]&amp;"*")</f>
        <v>0</v>
      </c>
      <c r="G1688" s="8">
        <f>COUNTIFS('All Papers'!$D:$D,"*"&amp;$A1688&amp;"*",'All Papers'!$G:$G,"*"&amp;Table1[[#Headers],[Resource Management-CS]]&amp;"*")</f>
        <v>0</v>
      </c>
      <c r="H1688" s="8">
        <f>COUNTIFS('All Papers'!$D:$D,"*"&amp;$A1688&amp;"*",'All Papers'!$G:$G,"*"&amp;Table1[[#Headers],[Resource Management-PS]]&amp;"*")</f>
        <v>0</v>
      </c>
      <c r="I1688" s="8">
        <f>COUNTIFS('All Papers'!$D:$D,"*"&amp;$A1688&amp;"*",'All Papers'!$G:$G,"*"&amp;Table1[[#Headers],[SLA Management]]&amp;"*")</f>
        <v>0</v>
      </c>
      <c r="J1688" s="8">
        <f>COUNTIFS('All Papers'!$D:$D,"*"&amp;$A1688&amp;"*",'All Papers'!$G:$G,"*"&amp;Table1[[#Headers],[Big Data]]&amp;"*")</f>
        <v>0</v>
      </c>
      <c r="K1688" s="8">
        <f>COUNTIFS('All Papers'!$D:$D,"*"&amp;$A1688&amp;"*",'All Papers'!$G:$G,"*"&amp;Table1[[#Headers],[Energy Management]]&amp;"*")</f>
        <v>0</v>
      </c>
      <c r="L1688" s="8">
        <f>COUNTIFS('All Papers'!$D:$D,"*"&amp;$A1688&amp;"*",'All Papers'!$G:$G,"*"&amp;Table1[[#Headers],[Monitoring]]&amp;"*")</f>
        <v>0</v>
      </c>
      <c r="M1688" s="8">
        <f>COUNTIFS('All Papers'!$D:$D,"*"&amp;$A1688&amp;"*",'All Papers'!$G:$G,"*"&amp;Table1[[#Headers],[Pricing]]&amp;"*")</f>
        <v>0</v>
      </c>
    </row>
    <row r="1689" spans="1:13" x14ac:dyDescent="0.25">
      <c r="A1689" s="8" t="s">
        <v>4122</v>
      </c>
      <c r="B1689" s="8">
        <f>COUNTIF('All Papers'!D:D,"*"&amp;Table1[[#This Row],[Name]]&amp;"*")</f>
        <v>1</v>
      </c>
      <c r="C1689" s="8">
        <f>COUNTIFS('All Papers'!$D:$D,"*"&amp;$A1689&amp;"*",'All Papers'!$G:$G,"*"&amp;Table1[[#Headers],[Composition]]&amp;"*")</f>
        <v>0</v>
      </c>
      <c r="D1689" s="8">
        <f>COUNTIFS('All Papers'!$D:$D,"*"&amp;$A1689&amp;"*",'All Papers'!$G:$G,"*"&amp;Table1[[#Headers],[Discovery]]&amp;"*")</f>
        <v>0</v>
      </c>
      <c r="E1689" s="8">
        <f>COUNTIFS('All Papers'!$D:$D,"*"&amp;$A1689&amp;"*",'All Papers'!$G:$G,"*"&amp;Table1[[#Headers],[Selection]]&amp;"*")</f>
        <v>1</v>
      </c>
      <c r="F1689" s="8">
        <f>COUNTIFS('All Papers'!$D:$D,"*"&amp;$A1689&amp;"*",'All Papers'!$G:$G,"*"&amp;Table1[[#Headers],[Recommendation]]&amp;"*")</f>
        <v>0</v>
      </c>
      <c r="G1689" s="8">
        <f>COUNTIFS('All Papers'!$D:$D,"*"&amp;$A1689&amp;"*",'All Papers'!$G:$G,"*"&amp;Table1[[#Headers],[Resource Management-CS]]&amp;"*")</f>
        <v>0</v>
      </c>
      <c r="H1689" s="8">
        <f>COUNTIFS('All Papers'!$D:$D,"*"&amp;$A1689&amp;"*",'All Papers'!$G:$G,"*"&amp;Table1[[#Headers],[Resource Management-PS]]&amp;"*")</f>
        <v>0</v>
      </c>
      <c r="I1689" s="8">
        <f>COUNTIFS('All Papers'!$D:$D,"*"&amp;$A1689&amp;"*",'All Papers'!$G:$G,"*"&amp;Table1[[#Headers],[SLA Management]]&amp;"*")</f>
        <v>0</v>
      </c>
      <c r="J1689" s="8">
        <f>COUNTIFS('All Papers'!$D:$D,"*"&amp;$A1689&amp;"*",'All Papers'!$G:$G,"*"&amp;Table1[[#Headers],[Big Data]]&amp;"*")</f>
        <v>0</v>
      </c>
      <c r="K1689" s="8">
        <f>COUNTIFS('All Papers'!$D:$D,"*"&amp;$A1689&amp;"*",'All Papers'!$G:$G,"*"&amp;Table1[[#Headers],[Energy Management]]&amp;"*")</f>
        <v>0</v>
      </c>
      <c r="L1689" s="8">
        <f>COUNTIFS('All Papers'!$D:$D,"*"&amp;$A1689&amp;"*",'All Papers'!$G:$G,"*"&amp;Table1[[#Headers],[Monitoring]]&amp;"*")</f>
        <v>0</v>
      </c>
      <c r="M1689" s="8">
        <f>COUNTIFS('All Papers'!$D:$D,"*"&amp;$A1689&amp;"*",'All Papers'!$G:$G,"*"&amp;Table1[[#Headers],[Pricing]]&amp;"*")</f>
        <v>0</v>
      </c>
    </row>
    <row r="1690" spans="1:13" x14ac:dyDescent="0.25">
      <c r="A1690" s="8" t="s">
        <v>4123</v>
      </c>
      <c r="B1690" s="8">
        <f>COUNTIF('All Papers'!D:D,"*"&amp;Table1[[#This Row],[Name]]&amp;"*")</f>
        <v>1</v>
      </c>
      <c r="C1690" s="8">
        <f>COUNTIFS('All Papers'!$D:$D,"*"&amp;$A1690&amp;"*",'All Papers'!$G:$G,"*"&amp;Table1[[#Headers],[Composition]]&amp;"*")</f>
        <v>0</v>
      </c>
      <c r="D1690" s="8">
        <f>COUNTIFS('All Papers'!$D:$D,"*"&amp;$A1690&amp;"*",'All Papers'!$G:$G,"*"&amp;Table1[[#Headers],[Discovery]]&amp;"*")</f>
        <v>0</v>
      </c>
      <c r="E1690" s="8">
        <f>COUNTIFS('All Papers'!$D:$D,"*"&amp;$A1690&amp;"*",'All Papers'!$G:$G,"*"&amp;Table1[[#Headers],[Selection]]&amp;"*")</f>
        <v>1</v>
      </c>
      <c r="F1690" s="8">
        <f>COUNTIFS('All Papers'!$D:$D,"*"&amp;$A1690&amp;"*",'All Papers'!$G:$G,"*"&amp;Table1[[#Headers],[Recommendation]]&amp;"*")</f>
        <v>0</v>
      </c>
      <c r="G1690" s="8">
        <f>COUNTIFS('All Papers'!$D:$D,"*"&amp;$A1690&amp;"*",'All Papers'!$G:$G,"*"&amp;Table1[[#Headers],[Resource Management-CS]]&amp;"*")</f>
        <v>0</v>
      </c>
      <c r="H1690" s="8">
        <f>COUNTIFS('All Papers'!$D:$D,"*"&amp;$A1690&amp;"*",'All Papers'!$G:$G,"*"&amp;Table1[[#Headers],[Resource Management-PS]]&amp;"*")</f>
        <v>0</v>
      </c>
      <c r="I1690" s="8">
        <f>COUNTIFS('All Papers'!$D:$D,"*"&amp;$A1690&amp;"*",'All Papers'!$G:$G,"*"&amp;Table1[[#Headers],[SLA Management]]&amp;"*")</f>
        <v>0</v>
      </c>
      <c r="J1690" s="8">
        <f>COUNTIFS('All Papers'!$D:$D,"*"&amp;$A1690&amp;"*",'All Papers'!$G:$G,"*"&amp;Table1[[#Headers],[Big Data]]&amp;"*")</f>
        <v>0</v>
      </c>
      <c r="K1690" s="8">
        <f>COUNTIFS('All Papers'!$D:$D,"*"&amp;$A1690&amp;"*",'All Papers'!$G:$G,"*"&amp;Table1[[#Headers],[Energy Management]]&amp;"*")</f>
        <v>0</v>
      </c>
      <c r="L1690" s="8">
        <f>COUNTIFS('All Papers'!$D:$D,"*"&amp;$A1690&amp;"*",'All Papers'!$G:$G,"*"&amp;Table1[[#Headers],[Monitoring]]&amp;"*")</f>
        <v>0</v>
      </c>
      <c r="M1690" s="8">
        <f>COUNTIFS('All Papers'!$D:$D,"*"&amp;$A1690&amp;"*",'All Papers'!$G:$G,"*"&amp;Table1[[#Headers],[Pricing]]&amp;"*")</f>
        <v>0</v>
      </c>
    </row>
    <row r="1691" spans="1:13" x14ac:dyDescent="0.25">
      <c r="A1691" s="8" t="s">
        <v>4124</v>
      </c>
      <c r="B1691" s="8">
        <f>COUNTIF('All Papers'!D:D,"*"&amp;Table1[[#This Row],[Name]]&amp;"*")</f>
        <v>1</v>
      </c>
      <c r="C1691" s="8">
        <f>COUNTIFS('All Papers'!$D:$D,"*"&amp;$A1691&amp;"*",'All Papers'!$G:$G,"*"&amp;Table1[[#Headers],[Composition]]&amp;"*")</f>
        <v>0</v>
      </c>
      <c r="D1691" s="8">
        <f>COUNTIFS('All Papers'!$D:$D,"*"&amp;$A1691&amp;"*",'All Papers'!$G:$G,"*"&amp;Table1[[#Headers],[Discovery]]&amp;"*")</f>
        <v>0</v>
      </c>
      <c r="E1691" s="8">
        <f>COUNTIFS('All Papers'!$D:$D,"*"&amp;$A1691&amp;"*",'All Papers'!$G:$G,"*"&amp;Table1[[#Headers],[Selection]]&amp;"*")</f>
        <v>1</v>
      </c>
      <c r="F1691" s="8">
        <f>COUNTIFS('All Papers'!$D:$D,"*"&amp;$A1691&amp;"*",'All Papers'!$G:$G,"*"&amp;Table1[[#Headers],[Recommendation]]&amp;"*")</f>
        <v>0</v>
      </c>
      <c r="G1691" s="8">
        <f>COUNTIFS('All Papers'!$D:$D,"*"&amp;$A1691&amp;"*",'All Papers'!$G:$G,"*"&amp;Table1[[#Headers],[Resource Management-CS]]&amp;"*")</f>
        <v>0</v>
      </c>
      <c r="H1691" s="8">
        <f>COUNTIFS('All Papers'!$D:$D,"*"&amp;$A1691&amp;"*",'All Papers'!$G:$G,"*"&amp;Table1[[#Headers],[Resource Management-PS]]&amp;"*")</f>
        <v>0</v>
      </c>
      <c r="I1691" s="8">
        <f>COUNTIFS('All Papers'!$D:$D,"*"&amp;$A1691&amp;"*",'All Papers'!$G:$G,"*"&amp;Table1[[#Headers],[SLA Management]]&amp;"*")</f>
        <v>0</v>
      </c>
      <c r="J1691" s="8">
        <f>COUNTIFS('All Papers'!$D:$D,"*"&amp;$A1691&amp;"*",'All Papers'!$G:$G,"*"&amp;Table1[[#Headers],[Big Data]]&amp;"*")</f>
        <v>0</v>
      </c>
      <c r="K1691" s="8">
        <f>COUNTIFS('All Papers'!$D:$D,"*"&amp;$A1691&amp;"*",'All Papers'!$G:$G,"*"&amp;Table1[[#Headers],[Energy Management]]&amp;"*")</f>
        <v>0</v>
      </c>
      <c r="L1691" s="8">
        <f>COUNTIFS('All Papers'!$D:$D,"*"&amp;$A1691&amp;"*",'All Papers'!$G:$G,"*"&amp;Table1[[#Headers],[Monitoring]]&amp;"*")</f>
        <v>0</v>
      </c>
      <c r="M1691" s="8">
        <f>COUNTIFS('All Papers'!$D:$D,"*"&amp;$A1691&amp;"*",'All Papers'!$G:$G,"*"&amp;Table1[[#Headers],[Pricing]]&amp;"*")</f>
        <v>0</v>
      </c>
    </row>
    <row r="1692" spans="1:13" x14ac:dyDescent="0.25">
      <c r="A1692" s="8" t="s">
        <v>4125</v>
      </c>
      <c r="B1692" s="8">
        <f>COUNTIF('All Papers'!D:D,"*"&amp;Table1[[#This Row],[Name]]&amp;"*")</f>
        <v>1</v>
      </c>
      <c r="C1692" s="8">
        <f>COUNTIFS('All Papers'!$D:$D,"*"&amp;$A1692&amp;"*",'All Papers'!$G:$G,"*"&amp;Table1[[#Headers],[Composition]]&amp;"*")</f>
        <v>0</v>
      </c>
      <c r="D1692" s="8">
        <f>COUNTIFS('All Papers'!$D:$D,"*"&amp;$A1692&amp;"*",'All Papers'!$G:$G,"*"&amp;Table1[[#Headers],[Discovery]]&amp;"*")</f>
        <v>0</v>
      </c>
      <c r="E1692" s="8">
        <f>COUNTIFS('All Papers'!$D:$D,"*"&amp;$A1692&amp;"*",'All Papers'!$G:$G,"*"&amp;Table1[[#Headers],[Selection]]&amp;"*")</f>
        <v>0</v>
      </c>
      <c r="F1692" s="8">
        <f>COUNTIFS('All Papers'!$D:$D,"*"&amp;$A1692&amp;"*",'All Papers'!$G:$G,"*"&amp;Table1[[#Headers],[Recommendation]]&amp;"*")</f>
        <v>0</v>
      </c>
      <c r="G1692" s="8">
        <f>COUNTIFS('All Papers'!$D:$D,"*"&amp;$A1692&amp;"*",'All Papers'!$G:$G,"*"&amp;Table1[[#Headers],[Resource Management-CS]]&amp;"*")</f>
        <v>0</v>
      </c>
      <c r="H1692" s="8">
        <f>COUNTIFS('All Papers'!$D:$D,"*"&amp;$A1692&amp;"*",'All Papers'!$G:$G,"*"&amp;Table1[[#Headers],[Resource Management-PS]]&amp;"*")</f>
        <v>0</v>
      </c>
      <c r="I1692" s="8">
        <f>COUNTIFS('All Papers'!$D:$D,"*"&amp;$A1692&amp;"*",'All Papers'!$G:$G,"*"&amp;Table1[[#Headers],[SLA Management]]&amp;"*")</f>
        <v>1</v>
      </c>
      <c r="J1692" s="8">
        <f>COUNTIFS('All Papers'!$D:$D,"*"&amp;$A1692&amp;"*",'All Papers'!$G:$G,"*"&amp;Table1[[#Headers],[Big Data]]&amp;"*")</f>
        <v>0</v>
      </c>
      <c r="K1692" s="8">
        <f>COUNTIFS('All Papers'!$D:$D,"*"&amp;$A1692&amp;"*",'All Papers'!$G:$G,"*"&amp;Table1[[#Headers],[Energy Management]]&amp;"*")</f>
        <v>0</v>
      </c>
      <c r="L1692" s="8">
        <f>COUNTIFS('All Papers'!$D:$D,"*"&amp;$A1692&amp;"*",'All Papers'!$G:$G,"*"&amp;Table1[[#Headers],[Monitoring]]&amp;"*")</f>
        <v>0</v>
      </c>
      <c r="M1692" s="8">
        <f>COUNTIFS('All Papers'!$D:$D,"*"&amp;$A1692&amp;"*",'All Papers'!$G:$G,"*"&amp;Table1[[#Headers],[Pricing]]&amp;"*")</f>
        <v>0</v>
      </c>
    </row>
    <row r="1693" spans="1:13" x14ac:dyDescent="0.25">
      <c r="A1693" s="8" t="s">
        <v>4126</v>
      </c>
      <c r="B1693" s="8">
        <f>COUNTIF('All Papers'!D:D,"*"&amp;Table1[[#This Row],[Name]]&amp;"*")</f>
        <v>1</v>
      </c>
      <c r="C1693" s="8">
        <f>COUNTIFS('All Papers'!$D:$D,"*"&amp;$A1693&amp;"*",'All Papers'!$G:$G,"*"&amp;Table1[[#Headers],[Composition]]&amp;"*")</f>
        <v>0</v>
      </c>
      <c r="D1693" s="8">
        <f>COUNTIFS('All Papers'!$D:$D,"*"&amp;$A1693&amp;"*",'All Papers'!$G:$G,"*"&amp;Table1[[#Headers],[Discovery]]&amp;"*")</f>
        <v>0</v>
      </c>
      <c r="E1693" s="8">
        <f>COUNTIFS('All Papers'!$D:$D,"*"&amp;$A1693&amp;"*",'All Papers'!$G:$G,"*"&amp;Table1[[#Headers],[Selection]]&amp;"*")</f>
        <v>0</v>
      </c>
      <c r="F1693" s="8">
        <f>COUNTIFS('All Papers'!$D:$D,"*"&amp;$A1693&amp;"*",'All Papers'!$G:$G,"*"&amp;Table1[[#Headers],[Recommendation]]&amp;"*")</f>
        <v>0</v>
      </c>
      <c r="G1693" s="8">
        <f>COUNTIFS('All Papers'!$D:$D,"*"&amp;$A1693&amp;"*",'All Papers'!$G:$G,"*"&amp;Table1[[#Headers],[Resource Management-CS]]&amp;"*")</f>
        <v>1</v>
      </c>
      <c r="H1693" s="8">
        <f>COUNTIFS('All Papers'!$D:$D,"*"&amp;$A1693&amp;"*",'All Papers'!$G:$G,"*"&amp;Table1[[#Headers],[Resource Management-PS]]&amp;"*")</f>
        <v>0</v>
      </c>
      <c r="I1693" s="8">
        <f>COUNTIFS('All Papers'!$D:$D,"*"&amp;$A1693&amp;"*",'All Papers'!$G:$G,"*"&amp;Table1[[#Headers],[SLA Management]]&amp;"*")</f>
        <v>0</v>
      </c>
      <c r="J1693" s="8">
        <f>COUNTIFS('All Papers'!$D:$D,"*"&amp;$A1693&amp;"*",'All Papers'!$G:$G,"*"&amp;Table1[[#Headers],[Big Data]]&amp;"*")</f>
        <v>0</v>
      </c>
      <c r="K1693" s="8">
        <f>COUNTIFS('All Papers'!$D:$D,"*"&amp;$A1693&amp;"*",'All Papers'!$G:$G,"*"&amp;Table1[[#Headers],[Energy Management]]&amp;"*")</f>
        <v>0</v>
      </c>
      <c r="L1693" s="8">
        <f>COUNTIFS('All Papers'!$D:$D,"*"&amp;$A1693&amp;"*",'All Papers'!$G:$G,"*"&amp;Table1[[#Headers],[Monitoring]]&amp;"*")</f>
        <v>0</v>
      </c>
      <c r="M1693" s="8">
        <f>COUNTIFS('All Papers'!$D:$D,"*"&amp;$A1693&amp;"*",'All Papers'!$G:$G,"*"&amp;Table1[[#Headers],[Pricing]]&amp;"*")</f>
        <v>0</v>
      </c>
    </row>
    <row r="1694" spans="1:13" x14ac:dyDescent="0.25">
      <c r="A1694" s="8" t="s">
        <v>4127</v>
      </c>
      <c r="B1694" s="8">
        <f>COUNTIF('All Papers'!D:D,"*"&amp;Table1[[#This Row],[Name]]&amp;"*")</f>
        <v>1</v>
      </c>
      <c r="C1694" s="8">
        <f>COUNTIFS('All Papers'!$D:$D,"*"&amp;$A1694&amp;"*",'All Papers'!$G:$G,"*"&amp;Table1[[#Headers],[Composition]]&amp;"*")</f>
        <v>0</v>
      </c>
      <c r="D1694" s="8">
        <f>COUNTIFS('All Papers'!$D:$D,"*"&amp;$A1694&amp;"*",'All Papers'!$G:$G,"*"&amp;Table1[[#Headers],[Discovery]]&amp;"*")</f>
        <v>0</v>
      </c>
      <c r="E1694" s="8">
        <f>COUNTIFS('All Papers'!$D:$D,"*"&amp;$A1694&amp;"*",'All Papers'!$G:$G,"*"&amp;Table1[[#Headers],[Selection]]&amp;"*")</f>
        <v>0</v>
      </c>
      <c r="F1694" s="8">
        <f>COUNTIFS('All Papers'!$D:$D,"*"&amp;$A1694&amp;"*",'All Papers'!$G:$G,"*"&amp;Table1[[#Headers],[Recommendation]]&amp;"*")</f>
        <v>0</v>
      </c>
      <c r="G1694" s="8">
        <f>COUNTIFS('All Papers'!$D:$D,"*"&amp;$A1694&amp;"*",'All Papers'!$G:$G,"*"&amp;Table1[[#Headers],[Resource Management-CS]]&amp;"*")</f>
        <v>1</v>
      </c>
      <c r="H1694" s="8">
        <f>COUNTIFS('All Papers'!$D:$D,"*"&amp;$A1694&amp;"*",'All Papers'!$G:$G,"*"&amp;Table1[[#Headers],[Resource Management-PS]]&amp;"*")</f>
        <v>0</v>
      </c>
      <c r="I1694" s="8">
        <f>COUNTIFS('All Papers'!$D:$D,"*"&amp;$A1694&amp;"*",'All Papers'!$G:$G,"*"&amp;Table1[[#Headers],[SLA Management]]&amp;"*")</f>
        <v>0</v>
      </c>
      <c r="J1694" s="8">
        <f>COUNTIFS('All Papers'!$D:$D,"*"&amp;$A1694&amp;"*",'All Papers'!$G:$G,"*"&amp;Table1[[#Headers],[Big Data]]&amp;"*")</f>
        <v>0</v>
      </c>
      <c r="K1694" s="8">
        <f>COUNTIFS('All Papers'!$D:$D,"*"&amp;$A1694&amp;"*",'All Papers'!$G:$G,"*"&amp;Table1[[#Headers],[Energy Management]]&amp;"*")</f>
        <v>0</v>
      </c>
      <c r="L1694" s="8">
        <f>COUNTIFS('All Papers'!$D:$D,"*"&amp;$A1694&amp;"*",'All Papers'!$G:$G,"*"&amp;Table1[[#Headers],[Monitoring]]&amp;"*")</f>
        <v>0</v>
      </c>
      <c r="M1694" s="8">
        <f>COUNTIFS('All Papers'!$D:$D,"*"&amp;$A1694&amp;"*",'All Papers'!$G:$G,"*"&amp;Table1[[#Headers],[Pricing]]&amp;"*")</f>
        <v>0</v>
      </c>
    </row>
    <row r="1695" spans="1:13" x14ac:dyDescent="0.25">
      <c r="A1695" s="8" t="s">
        <v>4128</v>
      </c>
      <c r="B1695" s="8">
        <f>COUNTIF('All Papers'!D:D,"*"&amp;Table1[[#This Row],[Name]]&amp;"*")</f>
        <v>1</v>
      </c>
      <c r="C1695" s="8">
        <f>COUNTIFS('All Papers'!$D:$D,"*"&amp;$A1695&amp;"*",'All Papers'!$G:$G,"*"&amp;Table1[[#Headers],[Composition]]&amp;"*")</f>
        <v>0</v>
      </c>
      <c r="D1695" s="8">
        <f>COUNTIFS('All Papers'!$D:$D,"*"&amp;$A1695&amp;"*",'All Papers'!$G:$G,"*"&amp;Table1[[#Headers],[Discovery]]&amp;"*")</f>
        <v>0</v>
      </c>
      <c r="E1695" s="8">
        <f>COUNTIFS('All Papers'!$D:$D,"*"&amp;$A1695&amp;"*",'All Papers'!$G:$G,"*"&amp;Table1[[#Headers],[Selection]]&amp;"*")</f>
        <v>0</v>
      </c>
      <c r="F1695" s="8">
        <f>COUNTIFS('All Papers'!$D:$D,"*"&amp;$A1695&amp;"*",'All Papers'!$G:$G,"*"&amp;Table1[[#Headers],[Recommendation]]&amp;"*")</f>
        <v>0</v>
      </c>
      <c r="G1695" s="8">
        <f>COUNTIFS('All Papers'!$D:$D,"*"&amp;$A1695&amp;"*",'All Papers'!$G:$G,"*"&amp;Table1[[#Headers],[Resource Management-CS]]&amp;"*")</f>
        <v>1</v>
      </c>
      <c r="H1695" s="8">
        <f>COUNTIFS('All Papers'!$D:$D,"*"&amp;$A1695&amp;"*",'All Papers'!$G:$G,"*"&amp;Table1[[#Headers],[Resource Management-PS]]&amp;"*")</f>
        <v>0</v>
      </c>
      <c r="I1695" s="8">
        <f>COUNTIFS('All Papers'!$D:$D,"*"&amp;$A1695&amp;"*",'All Papers'!$G:$G,"*"&amp;Table1[[#Headers],[SLA Management]]&amp;"*")</f>
        <v>0</v>
      </c>
      <c r="J1695" s="8">
        <f>COUNTIFS('All Papers'!$D:$D,"*"&amp;$A1695&amp;"*",'All Papers'!$G:$G,"*"&amp;Table1[[#Headers],[Big Data]]&amp;"*")</f>
        <v>0</v>
      </c>
      <c r="K1695" s="8">
        <f>COUNTIFS('All Papers'!$D:$D,"*"&amp;$A1695&amp;"*",'All Papers'!$G:$G,"*"&amp;Table1[[#Headers],[Energy Management]]&amp;"*")</f>
        <v>0</v>
      </c>
      <c r="L1695" s="8">
        <f>COUNTIFS('All Papers'!$D:$D,"*"&amp;$A1695&amp;"*",'All Papers'!$G:$G,"*"&amp;Table1[[#Headers],[Monitoring]]&amp;"*")</f>
        <v>0</v>
      </c>
      <c r="M1695" s="8">
        <f>COUNTIFS('All Papers'!$D:$D,"*"&amp;$A1695&amp;"*",'All Papers'!$G:$G,"*"&amp;Table1[[#Headers],[Pricing]]&amp;"*")</f>
        <v>0</v>
      </c>
    </row>
    <row r="1696" spans="1:13" x14ac:dyDescent="0.25">
      <c r="A1696" s="8" t="s">
        <v>4129</v>
      </c>
      <c r="B1696" s="8">
        <f>COUNTIF('All Papers'!D:D,"*"&amp;Table1[[#This Row],[Name]]&amp;"*")</f>
        <v>1</v>
      </c>
      <c r="C1696" s="8">
        <f>COUNTIFS('All Papers'!$D:$D,"*"&amp;$A1696&amp;"*",'All Papers'!$G:$G,"*"&amp;Table1[[#Headers],[Composition]]&amp;"*")</f>
        <v>0</v>
      </c>
      <c r="D1696" s="8">
        <f>COUNTIFS('All Papers'!$D:$D,"*"&amp;$A1696&amp;"*",'All Papers'!$G:$G,"*"&amp;Table1[[#Headers],[Discovery]]&amp;"*")</f>
        <v>0</v>
      </c>
      <c r="E1696" s="8">
        <f>COUNTIFS('All Papers'!$D:$D,"*"&amp;$A1696&amp;"*",'All Papers'!$G:$G,"*"&amp;Table1[[#Headers],[Selection]]&amp;"*")</f>
        <v>0</v>
      </c>
      <c r="F1696" s="8">
        <f>COUNTIFS('All Papers'!$D:$D,"*"&amp;$A1696&amp;"*",'All Papers'!$G:$G,"*"&amp;Table1[[#Headers],[Recommendation]]&amp;"*")</f>
        <v>0</v>
      </c>
      <c r="G1696" s="8">
        <f>COUNTIFS('All Papers'!$D:$D,"*"&amp;$A1696&amp;"*",'All Papers'!$G:$G,"*"&amp;Table1[[#Headers],[Resource Management-CS]]&amp;"*")</f>
        <v>1</v>
      </c>
      <c r="H1696" s="8">
        <f>COUNTIFS('All Papers'!$D:$D,"*"&amp;$A1696&amp;"*",'All Papers'!$G:$G,"*"&amp;Table1[[#Headers],[Resource Management-PS]]&amp;"*")</f>
        <v>0</v>
      </c>
      <c r="I1696" s="8">
        <f>COUNTIFS('All Papers'!$D:$D,"*"&amp;$A1696&amp;"*",'All Papers'!$G:$G,"*"&amp;Table1[[#Headers],[SLA Management]]&amp;"*")</f>
        <v>0</v>
      </c>
      <c r="J1696" s="8">
        <f>COUNTIFS('All Papers'!$D:$D,"*"&amp;$A1696&amp;"*",'All Papers'!$G:$G,"*"&amp;Table1[[#Headers],[Big Data]]&amp;"*")</f>
        <v>0</v>
      </c>
      <c r="K1696" s="8">
        <f>COUNTIFS('All Papers'!$D:$D,"*"&amp;$A1696&amp;"*",'All Papers'!$G:$G,"*"&amp;Table1[[#Headers],[Energy Management]]&amp;"*")</f>
        <v>0</v>
      </c>
      <c r="L1696" s="8">
        <f>COUNTIFS('All Papers'!$D:$D,"*"&amp;$A1696&amp;"*",'All Papers'!$G:$G,"*"&amp;Table1[[#Headers],[Monitoring]]&amp;"*")</f>
        <v>0</v>
      </c>
      <c r="M1696" s="8">
        <f>COUNTIFS('All Papers'!$D:$D,"*"&amp;$A1696&amp;"*",'All Papers'!$G:$G,"*"&amp;Table1[[#Headers],[Pricing]]&amp;"*")</f>
        <v>0</v>
      </c>
    </row>
    <row r="1697" spans="1:13" x14ac:dyDescent="0.25">
      <c r="A1697" s="8" t="s">
        <v>4130</v>
      </c>
      <c r="B1697" s="8">
        <f>COUNTIF('All Papers'!D:D,"*"&amp;Table1[[#This Row],[Name]]&amp;"*")</f>
        <v>1</v>
      </c>
      <c r="C1697" s="8">
        <f>COUNTIFS('All Papers'!$D:$D,"*"&amp;$A1697&amp;"*",'All Papers'!$G:$G,"*"&amp;Table1[[#Headers],[Composition]]&amp;"*")</f>
        <v>0</v>
      </c>
      <c r="D1697" s="8">
        <f>COUNTIFS('All Papers'!$D:$D,"*"&amp;$A1697&amp;"*",'All Papers'!$G:$G,"*"&amp;Table1[[#Headers],[Discovery]]&amp;"*")</f>
        <v>1</v>
      </c>
      <c r="E1697" s="8">
        <f>COUNTIFS('All Papers'!$D:$D,"*"&amp;$A1697&amp;"*",'All Papers'!$G:$G,"*"&amp;Table1[[#Headers],[Selection]]&amp;"*")</f>
        <v>1</v>
      </c>
      <c r="F1697" s="8">
        <f>COUNTIFS('All Papers'!$D:$D,"*"&amp;$A1697&amp;"*",'All Papers'!$G:$G,"*"&amp;Table1[[#Headers],[Recommendation]]&amp;"*")</f>
        <v>0</v>
      </c>
      <c r="G1697" s="8">
        <f>COUNTIFS('All Papers'!$D:$D,"*"&amp;$A1697&amp;"*",'All Papers'!$G:$G,"*"&amp;Table1[[#Headers],[Resource Management-CS]]&amp;"*")</f>
        <v>0</v>
      </c>
      <c r="H1697" s="8">
        <f>COUNTIFS('All Papers'!$D:$D,"*"&amp;$A1697&amp;"*",'All Papers'!$G:$G,"*"&amp;Table1[[#Headers],[Resource Management-PS]]&amp;"*")</f>
        <v>0</v>
      </c>
      <c r="I1697" s="8">
        <f>COUNTIFS('All Papers'!$D:$D,"*"&amp;$A1697&amp;"*",'All Papers'!$G:$G,"*"&amp;Table1[[#Headers],[SLA Management]]&amp;"*")</f>
        <v>0</v>
      </c>
      <c r="J1697" s="8">
        <f>COUNTIFS('All Papers'!$D:$D,"*"&amp;$A1697&amp;"*",'All Papers'!$G:$G,"*"&amp;Table1[[#Headers],[Big Data]]&amp;"*")</f>
        <v>0</v>
      </c>
      <c r="K1697" s="8">
        <f>COUNTIFS('All Papers'!$D:$D,"*"&amp;$A1697&amp;"*",'All Papers'!$G:$G,"*"&amp;Table1[[#Headers],[Energy Management]]&amp;"*")</f>
        <v>0</v>
      </c>
      <c r="L1697" s="8">
        <f>COUNTIFS('All Papers'!$D:$D,"*"&amp;$A1697&amp;"*",'All Papers'!$G:$G,"*"&amp;Table1[[#Headers],[Monitoring]]&amp;"*")</f>
        <v>0</v>
      </c>
      <c r="M1697" s="8">
        <f>COUNTIFS('All Papers'!$D:$D,"*"&amp;$A1697&amp;"*",'All Papers'!$G:$G,"*"&amp;Table1[[#Headers],[Pricing]]&amp;"*")</f>
        <v>0</v>
      </c>
    </row>
    <row r="1698" spans="1:13" x14ac:dyDescent="0.25">
      <c r="A1698" s="8" t="s">
        <v>4131</v>
      </c>
      <c r="B1698" s="8">
        <f>COUNTIF('All Papers'!D:D,"*"&amp;Table1[[#This Row],[Name]]&amp;"*")</f>
        <v>1</v>
      </c>
      <c r="C1698" s="8">
        <f>COUNTIFS('All Papers'!$D:$D,"*"&amp;$A1698&amp;"*",'All Papers'!$G:$G,"*"&amp;Table1[[#Headers],[Composition]]&amp;"*")</f>
        <v>0</v>
      </c>
      <c r="D1698" s="8">
        <f>COUNTIFS('All Papers'!$D:$D,"*"&amp;$A1698&amp;"*",'All Papers'!$G:$G,"*"&amp;Table1[[#Headers],[Discovery]]&amp;"*")</f>
        <v>1</v>
      </c>
      <c r="E1698" s="8">
        <f>COUNTIFS('All Papers'!$D:$D,"*"&amp;$A1698&amp;"*",'All Papers'!$G:$G,"*"&amp;Table1[[#Headers],[Selection]]&amp;"*")</f>
        <v>1</v>
      </c>
      <c r="F1698" s="8">
        <f>COUNTIFS('All Papers'!$D:$D,"*"&amp;$A1698&amp;"*",'All Papers'!$G:$G,"*"&amp;Table1[[#Headers],[Recommendation]]&amp;"*")</f>
        <v>0</v>
      </c>
      <c r="G1698" s="8">
        <f>COUNTIFS('All Papers'!$D:$D,"*"&amp;$A1698&amp;"*",'All Papers'!$G:$G,"*"&amp;Table1[[#Headers],[Resource Management-CS]]&amp;"*")</f>
        <v>0</v>
      </c>
      <c r="H1698" s="8">
        <f>COUNTIFS('All Papers'!$D:$D,"*"&amp;$A1698&amp;"*",'All Papers'!$G:$G,"*"&amp;Table1[[#Headers],[Resource Management-PS]]&amp;"*")</f>
        <v>0</v>
      </c>
      <c r="I1698" s="8">
        <f>COUNTIFS('All Papers'!$D:$D,"*"&amp;$A1698&amp;"*",'All Papers'!$G:$G,"*"&amp;Table1[[#Headers],[SLA Management]]&amp;"*")</f>
        <v>0</v>
      </c>
      <c r="J1698" s="8">
        <f>COUNTIFS('All Papers'!$D:$D,"*"&amp;$A1698&amp;"*",'All Papers'!$G:$G,"*"&amp;Table1[[#Headers],[Big Data]]&amp;"*")</f>
        <v>0</v>
      </c>
      <c r="K1698" s="8">
        <f>COUNTIFS('All Papers'!$D:$D,"*"&amp;$A1698&amp;"*",'All Papers'!$G:$G,"*"&amp;Table1[[#Headers],[Energy Management]]&amp;"*")</f>
        <v>0</v>
      </c>
      <c r="L1698" s="8">
        <f>COUNTIFS('All Papers'!$D:$D,"*"&amp;$A1698&amp;"*",'All Papers'!$G:$G,"*"&amp;Table1[[#Headers],[Monitoring]]&amp;"*")</f>
        <v>0</v>
      </c>
      <c r="M1698" s="8">
        <f>COUNTIFS('All Papers'!$D:$D,"*"&amp;$A1698&amp;"*",'All Papers'!$G:$G,"*"&amp;Table1[[#Headers],[Pricing]]&amp;"*")</f>
        <v>0</v>
      </c>
    </row>
    <row r="1699" spans="1:13" x14ac:dyDescent="0.25">
      <c r="A1699" s="8" t="s">
        <v>4132</v>
      </c>
      <c r="B1699" s="8">
        <f>COUNTIF('All Papers'!D:D,"*"&amp;Table1[[#This Row],[Name]]&amp;"*")</f>
        <v>1</v>
      </c>
      <c r="C1699" s="8">
        <f>COUNTIFS('All Papers'!$D:$D,"*"&amp;$A1699&amp;"*",'All Papers'!$G:$G,"*"&amp;Table1[[#Headers],[Composition]]&amp;"*")</f>
        <v>0</v>
      </c>
      <c r="D1699" s="8">
        <f>COUNTIFS('All Papers'!$D:$D,"*"&amp;$A1699&amp;"*",'All Papers'!$G:$G,"*"&amp;Table1[[#Headers],[Discovery]]&amp;"*")</f>
        <v>0</v>
      </c>
      <c r="E1699" s="8">
        <f>COUNTIFS('All Papers'!$D:$D,"*"&amp;$A1699&amp;"*",'All Papers'!$G:$G,"*"&amp;Table1[[#Headers],[Selection]]&amp;"*")</f>
        <v>0</v>
      </c>
      <c r="F1699" s="8">
        <f>COUNTIFS('All Papers'!$D:$D,"*"&amp;$A1699&amp;"*",'All Papers'!$G:$G,"*"&amp;Table1[[#Headers],[Recommendation]]&amp;"*")</f>
        <v>0</v>
      </c>
      <c r="G1699" s="8">
        <f>COUNTIFS('All Papers'!$D:$D,"*"&amp;$A1699&amp;"*",'All Papers'!$G:$G,"*"&amp;Table1[[#Headers],[Resource Management-CS]]&amp;"*")</f>
        <v>0</v>
      </c>
      <c r="H1699" s="8">
        <f>COUNTIFS('All Papers'!$D:$D,"*"&amp;$A1699&amp;"*",'All Papers'!$G:$G,"*"&amp;Table1[[#Headers],[Resource Management-PS]]&amp;"*")</f>
        <v>0</v>
      </c>
      <c r="I1699" s="8">
        <f>COUNTIFS('All Papers'!$D:$D,"*"&amp;$A1699&amp;"*",'All Papers'!$G:$G,"*"&amp;Table1[[#Headers],[SLA Management]]&amp;"*")</f>
        <v>0</v>
      </c>
      <c r="J1699" s="8">
        <f>COUNTIFS('All Papers'!$D:$D,"*"&amp;$A1699&amp;"*",'All Papers'!$G:$G,"*"&amp;Table1[[#Headers],[Big Data]]&amp;"*")</f>
        <v>0</v>
      </c>
      <c r="K1699" s="8">
        <f>COUNTIFS('All Papers'!$D:$D,"*"&amp;$A1699&amp;"*",'All Papers'!$G:$G,"*"&amp;Table1[[#Headers],[Energy Management]]&amp;"*")</f>
        <v>0</v>
      </c>
      <c r="L1699" s="8">
        <f>COUNTIFS('All Papers'!$D:$D,"*"&amp;$A1699&amp;"*",'All Papers'!$G:$G,"*"&amp;Table1[[#Headers],[Monitoring]]&amp;"*")</f>
        <v>1</v>
      </c>
      <c r="M1699" s="8">
        <f>COUNTIFS('All Papers'!$D:$D,"*"&amp;$A1699&amp;"*",'All Papers'!$G:$G,"*"&amp;Table1[[#Headers],[Pricing]]&amp;"*")</f>
        <v>0</v>
      </c>
    </row>
    <row r="1700" spans="1:13" x14ac:dyDescent="0.25">
      <c r="A1700" s="8" t="s">
        <v>4133</v>
      </c>
      <c r="B1700" s="8">
        <f>COUNTIF('All Papers'!D:D,"*"&amp;Table1[[#This Row],[Name]]&amp;"*")</f>
        <v>1</v>
      </c>
      <c r="C1700" s="8">
        <f>COUNTIFS('All Papers'!$D:$D,"*"&amp;$A1700&amp;"*",'All Papers'!$G:$G,"*"&amp;Table1[[#Headers],[Composition]]&amp;"*")</f>
        <v>0</v>
      </c>
      <c r="D1700" s="8">
        <f>COUNTIFS('All Papers'!$D:$D,"*"&amp;$A1700&amp;"*",'All Papers'!$G:$G,"*"&amp;Table1[[#Headers],[Discovery]]&amp;"*")</f>
        <v>0</v>
      </c>
      <c r="E1700" s="8">
        <f>COUNTIFS('All Papers'!$D:$D,"*"&amp;$A1700&amp;"*",'All Papers'!$G:$G,"*"&amp;Table1[[#Headers],[Selection]]&amp;"*")</f>
        <v>0</v>
      </c>
      <c r="F1700" s="8">
        <f>COUNTIFS('All Papers'!$D:$D,"*"&amp;$A1700&amp;"*",'All Papers'!$G:$G,"*"&amp;Table1[[#Headers],[Recommendation]]&amp;"*")</f>
        <v>0</v>
      </c>
      <c r="G1700" s="8">
        <f>COUNTIFS('All Papers'!$D:$D,"*"&amp;$A1700&amp;"*",'All Papers'!$G:$G,"*"&amp;Table1[[#Headers],[Resource Management-CS]]&amp;"*")</f>
        <v>0</v>
      </c>
      <c r="H1700" s="8">
        <f>COUNTIFS('All Papers'!$D:$D,"*"&amp;$A1700&amp;"*",'All Papers'!$G:$G,"*"&amp;Table1[[#Headers],[Resource Management-PS]]&amp;"*")</f>
        <v>0</v>
      </c>
      <c r="I1700" s="8">
        <f>COUNTIFS('All Papers'!$D:$D,"*"&amp;$A1700&amp;"*",'All Papers'!$G:$G,"*"&amp;Table1[[#Headers],[SLA Management]]&amp;"*")</f>
        <v>0</v>
      </c>
      <c r="J1700" s="8">
        <f>COUNTIFS('All Papers'!$D:$D,"*"&amp;$A1700&amp;"*",'All Papers'!$G:$G,"*"&amp;Table1[[#Headers],[Big Data]]&amp;"*")</f>
        <v>0</v>
      </c>
      <c r="K1700" s="8">
        <f>COUNTIFS('All Papers'!$D:$D,"*"&amp;$A1700&amp;"*",'All Papers'!$G:$G,"*"&amp;Table1[[#Headers],[Energy Management]]&amp;"*")</f>
        <v>0</v>
      </c>
      <c r="L1700" s="8">
        <f>COUNTIFS('All Papers'!$D:$D,"*"&amp;$A1700&amp;"*",'All Papers'!$G:$G,"*"&amp;Table1[[#Headers],[Monitoring]]&amp;"*")</f>
        <v>1</v>
      </c>
      <c r="M1700" s="8">
        <f>COUNTIFS('All Papers'!$D:$D,"*"&amp;$A1700&amp;"*",'All Papers'!$G:$G,"*"&amp;Table1[[#Headers],[Pricing]]&amp;"*")</f>
        <v>0</v>
      </c>
    </row>
    <row r="1701" spans="1:13" x14ac:dyDescent="0.25">
      <c r="A1701" s="8" t="s">
        <v>4134</v>
      </c>
      <c r="B1701" s="8">
        <f>COUNTIF('All Papers'!D:D,"*"&amp;Table1[[#This Row],[Name]]&amp;"*")</f>
        <v>1</v>
      </c>
      <c r="C1701" s="8">
        <f>COUNTIFS('All Papers'!$D:$D,"*"&amp;$A1701&amp;"*",'All Papers'!$G:$G,"*"&amp;Table1[[#Headers],[Composition]]&amp;"*")</f>
        <v>0</v>
      </c>
      <c r="D1701" s="8">
        <f>COUNTIFS('All Papers'!$D:$D,"*"&amp;$A1701&amp;"*",'All Papers'!$G:$G,"*"&amp;Table1[[#Headers],[Discovery]]&amp;"*")</f>
        <v>0</v>
      </c>
      <c r="E1701" s="8">
        <f>COUNTIFS('All Papers'!$D:$D,"*"&amp;$A1701&amp;"*",'All Papers'!$G:$G,"*"&amp;Table1[[#Headers],[Selection]]&amp;"*")</f>
        <v>0</v>
      </c>
      <c r="F1701" s="8">
        <f>COUNTIFS('All Papers'!$D:$D,"*"&amp;$A1701&amp;"*",'All Papers'!$G:$G,"*"&amp;Table1[[#Headers],[Recommendation]]&amp;"*")</f>
        <v>0</v>
      </c>
      <c r="G1701" s="8">
        <f>COUNTIFS('All Papers'!$D:$D,"*"&amp;$A1701&amp;"*",'All Papers'!$G:$G,"*"&amp;Table1[[#Headers],[Resource Management-CS]]&amp;"*")</f>
        <v>0</v>
      </c>
      <c r="H1701" s="8">
        <f>COUNTIFS('All Papers'!$D:$D,"*"&amp;$A1701&amp;"*",'All Papers'!$G:$G,"*"&amp;Table1[[#Headers],[Resource Management-PS]]&amp;"*")</f>
        <v>0</v>
      </c>
      <c r="I1701" s="8">
        <f>COUNTIFS('All Papers'!$D:$D,"*"&amp;$A1701&amp;"*",'All Papers'!$G:$G,"*"&amp;Table1[[#Headers],[SLA Management]]&amp;"*")</f>
        <v>0</v>
      </c>
      <c r="J1701" s="8">
        <f>COUNTIFS('All Papers'!$D:$D,"*"&amp;$A1701&amp;"*",'All Papers'!$G:$G,"*"&amp;Table1[[#Headers],[Big Data]]&amp;"*")</f>
        <v>0</v>
      </c>
      <c r="K1701" s="8">
        <f>COUNTIFS('All Papers'!$D:$D,"*"&amp;$A1701&amp;"*",'All Papers'!$G:$G,"*"&amp;Table1[[#Headers],[Energy Management]]&amp;"*")</f>
        <v>0</v>
      </c>
      <c r="L1701" s="8">
        <f>COUNTIFS('All Papers'!$D:$D,"*"&amp;$A1701&amp;"*",'All Papers'!$G:$G,"*"&amp;Table1[[#Headers],[Monitoring]]&amp;"*")</f>
        <v>1</v>
      </c>
      <c r="M1701" s="8">
        <f>COUNTIFS('All Papers'!$D:$D,"*"&amp;$A1701&amp;"*",'All Papers'!$G:$G,"*"&amp;Table1[[#Headers],[Pricing]]&amp;"*")</f>
        <v>0</v>
      </c>
    </row>
    <row r="1702" spans="1:13" x14ac:dyDescent="0.25">
      <c r="A1702" s="8" t="s">
        <v>4135</v>
      </c>
      <c r="B1702" s="8">
        <f>COUNTIF('All Papers'!D:D,"*"&amp;Table1[[#This Row],[Name]]&amp;"*")</f>
        <v>1</v>
      </c>
      <c r="C1702" s="8">
        <f>COUNTIFS('All Papers'!$D:$D,"*"&amp;$A1702&amp;"*",'All Papers'!$G:$G,"*"&amp;Table1[[#Headers],[Composition]]&amp;"*")</f>
        <v>0</v>
      </c>
      <c r="D1702" s="8">
        <f>COUNTIFS('All Papers'!$D:$D,"*"&amp;$A1702&amp;"*",'All Papers'!$G:$G,"*"&amp;Table1[[#Headers],[Discovery]]&amp;"*")</f>
        <v>0</v>
      </c>
      <c r="E1702" s="8">
        <f>COUNTIFS('All Papers'!$D:$D,"*"&amp;$A1702&amp;"*",'All Papers'!$G:$G,"*"&amp;Table1[[#Headers],[Selection]]&amp;"*")</f>
        <v>0</v>
      </c>
      <c r="F1702" s="8">
        <f>COUNTIFS('All Papers'!$D:$D,"*"&amp;$A1702&amp;"*",'All Papers'!$G:$G,"*"&amp;Table1[[#Headers],[Recommendation]]&amp;"*")</f>
        <v>0</v>
      </c>
      <c r="G1702" s="8">
        <f>COUNTIFS('All Papers'!$D:$D,"*"&amp;$A1702&amp;"*",'All Papers'!$G:$G,"*"&amp;Table1[[#Headers],[Resource Management-CS]]&amp;"*")</f>
        <v>0</v>
      </c>
      <c r="H1702" s="8">
        <f>COUNTIFS('All Papers'!$D:$D,"*"&amp;$A1702&amp;"*",'All Papers'!$G:$G,"*"&amp;Table1[[#Headers],[Resource Management-PS]]&amp;"*")</f>
        <v>0</v>
      </c>
      <c r="I1702" s="8">
        <f>COUNTIFS('All Papers'!$D:$D,"*"&amp;$A1702&amp;"*",'All Papers'!$G:$G,"*"&amp;Table1[[#Headers],[SLA Management]]&amp;"*")</f>
        <v>0</v>
      </c>
      <c r="J1702" s="8">
        <f>COUNTIFS('All Papers'!$D:$D,"*"&amp;$A1702&amp;"*",'All Papers'!$G:$G,"*"&amp;Table1[[#Headers],[Big Data]]&amp;"*")</f>
        <v>0</v>
      </c>
      <c r="K1702" s="8">
        <f>COUNTIFS('All Papers'!$D:$D,"*"&amp;$A1702&amp;"*",'All Papers'!$G:$G,"*"&amp;Table1[[#Headers],[Energy Management]]&amp;"*")</f>
        <v>0</v>
      </c>
      <c r="L1702" s="8">
        <f>COUNTIFS('All Papers'!$D:$D,"*"&amp;$A1702&amp;"*",'All Papers'!$G:$G,"*"&amp;Table1[[#Headers],[Monitoring]]&amp;"*")</f>
        <v>1</v>
      </c>
      <c r="M1702" s="8">
        <f>COUNTIFS('All Papers'!$D:$D,"*"&amp;$A1702&amp;"*",'All Papers'!$G:$G,"*"&amp;Table1[[#Headers],[Pricing]]&amp;"*")</f>
        <v>0</v>
      </c>
    </row>
    <row r="1703" spans="1:13" x14ac:dyDescent="0.25">
      <c r="A1703" s="8" t="s">
        <v>4136</v>
      </c>
      <c r="B1703" s="8">
        <f>COUNTIF('All Papers'!D:D,"*"&amp;Table1[[#This Row],[Name]]&amp;"*")</f>
        <v>1</v>
      </c>
      <c r="C1703" s="8">
        <f>COUNTIFS('All Papers'!$D:$D,"*"&amp;$A1703&amp;"*",'All Papers'!$G:$G,"*"&amp;Table1[[#Headers],[Composition]]&amp;"*")</f>
        <v>0</v>
      </c>
      <c r="D1703" s="8">
        <f>COUNTIFS('All Papers'!$D:$D,"*"&amp;$A1703&amp;"*",'All Papers'!$G:$G,"*"&amp;Table1[[#Headers],[Discovery]]&amp;"*")</f>
        <v>0</v>
      </c>
      <c r="E1703" s="8">
        <f>COUNTIFS('All Papers'!$D:$D,"*"&amp;$A1703&amp;"*",'All Papers'!$G:$G,"*"&amp;Table1[[#Headers],[Selection]]&amp;"*")</f>
        <v>1</v>
      </c>
      <c r="F1703" s="8">
        <f>COUNTIFS('All Papers'!$D:$D,"*"&amp;$A1703&amp;"*",'All Papers'!$G:$G,"*"&amp;Table1[[#Headers],[Recommendation]]&amp;"*")</f>
        <v>0</v>
      </c>
      <c r="G1703" s="8">
        <f>COUNTIFS('All Papers'!$D:$D,"*"&amp;$A1703&amp;"*",'All Papers'!$G:$G,"*"&amp;Table1[[#Headers],[Resource Management-CS]]&amp;"*")</f>
        <v>0</v>
      </c>
      <c r="H1703" s="8">
        <f>COUNTIFS('All Papers'!$D:$D,"*"&amp;$A1703&amp;"*",'All Papers'!$G:$G,"*"&amp;Table1[[#Headers],[Resource Management-PS]]&amp;"*")</f>
        <v>0</v>
      </c>
      <c r="I1703" s="8">
        <f>COUNTIFS('All Papers'!$D:$D,"*"&amp;$A1703&amp;"*",'All Papers'!$G:$G,"*"&amp;Table1[[#Headers],[SLA Management]]&amp;"*")</f>
        <v>0</v>
      </c>
      <c r="J1703" s="8">
        <f>COUNTIFS('All Papers'!$D:$D,"*"&amp;$A1703&amp;"*",'All Papers'!$G:$G,"*"&amp;Table1[[#Headers],[Big Data]]&amp;"*")</f>
        <v>0</v>
      </c>
      <c r="K1703" s="8">
        <f>COUNTIFS('All Papers'!$D:$D,"*"&amp;$A1703&amp;"*",'All Papers'!$G:$G,"*"&amp;Table1[[#Headers],[Energy Management]]&amp;"*")</f>
        <v>0</v>
      </c>
      <c r="L1703" s="8">
        <f>COUNTIFS('All Papers'!$D:$D,"*"&amp;$A1703&amp;"*",'All Papers'!$G:$G,"*"&amp;Table1[[#Headers],[Monitoring]]&amp;"*")</f>
        <v>0</v>
      </c>
      <c r="M1703" s="8">
        <f>COUNTIFS('All Papers'!$D:$D,"*"&amp;$A1703&amp;"*",'All Papers'!$G:$G,"*"&amp;Table1[[#Headers],[Pricing]]&amp;"*")</f>
        <v>0</v>
      </c>
    </row>
    <row r="1704" spans="1:13" x14ac:dyDescent="0.25">
      <c r="A1704" s="8" t="s">
        <v>4137</v>
      </c>
      <c r="B1704" s="8">
        <f>COUNTIF('All Papers'!D:D,"*"&amp;Table1[[#This Row],[Name]]&amp;"*")</f>
        <v>1</v>
      </c>
      <c r="C1704" s="8">
        <f>COUNTIFS('All Papers'!$D:$D,"*"&amp;$A1704&amp;"*",'All Papers'!$G:$G,"*"&amp;Table1[[#Headers],[Composition]]&amp;"*")</f>
        <v>0</v>
      </c>
      <c r="D1704" s="8">
        <f>COUNTIFS('All Papers'!$D:$D,"*"&amp;$A1704&amp;"*",'All Papers'!$G:$G,"*"&amp;Table1[[#Headers],[Discovery]]&amp;"*")</f>
        <v>0</v>
      </c>
      <c r="E1704" s="8">
        <f>COUNTIFS('All Papers'!$D:$D,"*"&amp;$A1704&amp;"*",'All Papers'!$G:$G,"*"&amp;Table1[[#Headers],[Selection]]&amp;"*")</f>
        <v>1</v>
      </c>
      <c r="F1704" s="8">
        <f>COUNTIFS('All Papers'!$D:$D,"*"&amp;$A1704&amp;"*",'All Papers'!$G:$G,"*"&amp;Table1[[#Headers],[Recommendation]]&amp;"*")</f>
        <v>0</v>
      </c>
      <c r="G1704" s="8">
        <f>COUNTIFS('All Papers'!$D:$D,"*"&amp;$A1704&amp;"*",'All Papers'!$G:$G,"*"&amp;Table1[[#Headers],[Resource Management-CS]]&amp;"*")</f>
        <v>0</v>
      </c>
      <c r="H1704" s="8">
        <f>COUNTIFS('All Papers'!$D:$D,"*"&amp;$A1704&amp;"*",'All Papers'!$G:$G,"*"&amp;Table1[[#Headers],[Resource Management-PS]]&amp;"*")</f>
        <v>0</v>
      </c>
      <c r="I1704" s="8">
        <f>COUNTIFS('All Papers'!$D:$D,"*"&amp;$A1704&amp;"*",'All Papers'!$G:$G,"*"&amp;Table1[[#Headers],[SLA Management]]&amp;"*")</f>
        <v>0</v>
      </c>
      <c r="J1704" s="8">
        <f>COUNTIFS('All Papers'!$D:$D,"*"&amp;$A1704&amp;"*",'All Papers'!$G:$G,"*"&amp;Table1[[#Headers],[Big Data]]&amp;"*")</f>
        <v>0</v>
      </c>
      <c r="K1704" s="8">
        <f>COUNTIFS('All Papers'!$D:$D,"*"&amp;$A1704&amp;"*",'All Papers'!$G:$G,"*"&amp;Table1[[#Headers],[Energy Management]]&amp;"*")</f>
        <v>0</v>
      </c>
      <c r="L1704" s="8">
        <f>COUNTIFS('All Papers'!$D:$D,"*"&amp;$A1704&amp;"*",'All Papers'!$G:$G,"*"&amp;Table1[[#Headers],[Monitoring]]&amp;"*")</f>
        <v>0</v>
      </c>
      <c r="M1704" s="8">
        <f>COUNTIFS('All Papers'!$D:$D,"*"&amp;$A1704&amp;"*",'All Papers'!$G:$G,"*"&amp;Table1[[#Headers],[Pricing]]&amp;"*")</f>
        <v>0</v>
      </c>
    </row>
    <row r="1705" spans="1:13" x14ac:dyDescent="0.25">
      <c r="A1705" s="8" t="s">
        <v>4138</v>
      </c>
      <c r="B1705" s="8">
        <f>COUNTIF('All Papers'!D:D,"*"&amp;Table1[[#This Row],[Name]]&amp;"*")</f>
        <v>1</v>
      </c>
      <c r="C1705" s="8">
        <f>COUNTIFS('All Papers'!$D:$D,"*"&amp;$A1705&amp;"*",'All Papers'!$G:$G,"*"&amp;Table1[[#Headers],[Composition]]&amp;"*")</f>
        <v>0</v>
      </c>
      <c r="D1705" s="8">
        <f>COUNTIFS('All Papers'!$D:$D,"*"&amp;$A1705&amp;"*",'All Papers'!$G:$G,"*"&amp;Table1[[#Headers],[Discovery]]&amp;"*")</f>
        <v>0</v>
      </c>
      <c r="E1705" s="8">
        <f>COUNTIFS('All Papers'!$D:$D,"*"&amp;$A1705&amp;"*",'All Papers'!$G:$G,"*"&amp;Table1[[#Headers],[Selection]]&amp;"*")</f>
        <v>1</v>
      </c>
      <c r="F1705" s="8">
        <f>COUNTIFS('All Papers'!$D:$D,"*"&amp;$A1705&amp;"*",'All Papers'!$G:$G,"*"&amp;Table1[[#Headers],[Recommendation]]&amp;"*")</f>
        <v>0</v>
      </c>
      <c r="G1705" s="8">
        <f>COUNTIFS('All Papers'!$D:$D,"*"&amp;$A1705&amp;"*",'All Papers'!$G:$G,"*"&amp;Table1[[#Headers],[Resource Management-CS]]&amp;"*")</f>
        <v>0</v>
      </c>
      <c r="H1705" s="8">
        <f>COUNTIFS('All Papers'!$D:$D,"*"&amp;$A1705&amp;"*",'All Papers'!$G:$G,"*"&amp;Table1[[#Headers],[Resource Management-PS]]&amp;"*")</f>
        <v>0</v>
      </c>
      <c r="I1705" s="8">
        <f>COUNTIFS('All Papers'!$D:$D,"*"&amp;$A1705&amp;"*",'All Papers'!$G:$G,"*"&amp;Table1[[#Headers],[SLA Management]]&amp;"*")</f>
        <v>0</v>
      </c>
      <c r="J1705" s="8">
        <f>COUNTIFS('All Papers'!$D:$D,"*"&amp;$A1705&amp;"*",'All Papers'!$G:$G,"*"&amp;Table1[[#Headers],[Big Data]]&amp;"*")</f>
        <v>0</v>
      </c>
      <c r="K1705" s="8">
        <f>COUNTIFS('All Papers'!$D:$D,"*"&amp;$A1705&amp;"*",'All Papers'!$G:$G,"*"&amp;Table1[[#Headers],[Energy Management]]&amp;"*")</f>
        <v>0</v>
      </c>
      <c r="L1705" s="8">
        <f>COUNTIFS('All Papers'!$D:$D,"*"&amp;$A1705&amp;"*",'All Papers'!$G:$G,"*"&amp;Table1[[#Headers],[Monitoring]]&amp;"*")</f>
        <v>0</v>
      </c>
      <c r="M1705" s="8">
        <f>COUNTIFS('All Papers'!$D:$D,"*"&amp;$A1705&amp;"*",'All Papers'!$G:$G,"*"&amp;Table1[[#Headers],[Pricing]]&amp;"*")</f>
        <v>0</v>
      </c>
    </row>
    <row r="1706" spans="1:13" x14ac:dyDescent="0.25">
      <c r="A1706" s="8" t="s">
        <v>4139</v>
      </c>
      <c r="B1706" s="8">
        <f>COUNTIF('All Papers'!D:D,"*"&amp;Table1[[#This Row],[Name]]&amp;"*")</f>
        <v>1</v>
      </c>
      <c r="C1706" s="8">
        <f>COUNTIFS('All Papers'!$D:$D,"*"&amp;$A1706&amp;"*",'All Papers'!$G:$G,"*"&amp;Table1[[#Headers],[Composition]]&amp;"*")</f>
        <v>0</v>
      </c>
      <c r="D1706" s="8">
        <f>COUNTIFS('All Papers'!$D:$D,"*"&amp;$A1706&amp;"*",'All Papers'!$G:$G,"*"&amp;Table1[[#Headers],[Discovery]]&amp;"*")</f>
        <v>0</v>
      </c>
      <c r="E1706" s="8">
        <f>COUNTIFS('All Papers'!$D:$D,"*"&amp;$A1706&amp;"*",'All Papers'!$G:$G,"*"&amp;Table1[[#Headers],[Selection]]&amp;"*")</f>
        <v>1</v>
      </c>
      <c r="F1706" s="8">
        <f>COUNTIFS('All Papers'!$D:$D,"*"&amp;$A1706&amp;"*",'All Papers'!$G:$G,"*"&amp;Table1[[#Headers],[Recommendation]]&amp;"*")</f>
        <v>0</v>
      </c>
      <c r="G1706" s="8">
        <f>COUNTIFS('All Papers'!$D:$D,"*"&amp;$A1706&amp;"*",'All Papers'!$G:$G,"*"&amp;Table1[[#Headers],[Resource Management-CS]]&amp;"*")</f>
        <v>0</v>
      </c>
      <c r="H1706" s="8">
        <f>COUNTIFS('All Papers'!$D:$D,"*"&amp;$A1706&amp;"*",'All Papers'!$G:$G,"*"&amp;Table1[[#Headers],[Resource Management-PS]]&amp;"*")</f>
        <v>0</v>
      </c>
      <c r="I1706" s="8">
        <f>COUNTIFS('All Papers'!$D:$D,"*"&amp;$A1706&amp;"*",'All Papers'!$G:$G,"*"&amp;Table1[[#Headers],[SLA Management]]&amp;"*")</f>
        <v>0</v>
      </c>
      <c r="J1706" s="8">
        <f>COUNTIFS('All Papers'!$D:$D,"*"&amp;$A1706&amp;"*",'All Papers'!$G:$G,"*"&amp;Table1[[#Headers],[Big Data]]&amp;"*")</f>
        <v>0</v>
      </c>
      <c r="K1706" s="8">
        <f>COUNTIFS('All Papers'!$D:$D,"*"&amp;$A1706&amp;"*",'All Papers'!$G:$G,"*"&amp;Table1[[#Headers],[Energy Management]]&amp;"*")</f>
        <v>0</v>
      </c>
      <c r="L1706" s="8">
        <f>COUNTIFS('All Papers'!$D:$D,"*"&amp;$A1706&amp;"*",'All Papers'!$G:$G,"*"&amp;Table1[[#Headers],[Monitoring]]&amp;"*")</f>
        <v>0</v>
      </c>
      <c r="M1706" s="8">
        <f>COUNTIFS('All Papers'!$D:$D,"*"&amp;$A1706&amp;"*",'All Papers'!$G:$G,"*"&amp;Table1[[#Headers],[Pricing]]&amp;"*")</f>
        <v>0</v>
      </c>
    </row>
    <row r="1707" spans="1:13" x14ac:dyDescent="0.25">
      <c r="A1707" s="8" t="s">
        <v>4140</v>
      </c>
      <c r="B1707" s="8">
        <f>COUNTIF('All Papers'!D:D,"*"&amp;Table1[[#This Row],[Name]]&amp;"*")</f>
        <v>1</v>
      </c>
      <c r="C1707" s="8">
        <f>COUNTIFS('All Papers'!$D:$D,"*"&amp;$A1707&amp;"*",'All Papers'!$G:$G,"*"&amp;Table1[[#Headers],[Composition]]&amp;"*")</f>
        <v>0</v>
      </c>
      <c r="D1707" s="8">
        <f>COUNTIFS('All Papers'!$D:$D,"*"&amp;$A1707&amp;"*",'All Papers'!$G:$G,"*"&amp;Table1[[#Headers],[Discovery]]&amp;"*")</f>
        <v>0</v>
      </c>
      <c r="E1707" s="8">
        <f>COUNTIFS('All Papers'!$D:$D,"*"&amp;$A1707&amp;"*",'All Papers'!$G:$G,"*"&amp;Table1[[#Headers],[Selection]]&amp;"*")</f>
        <v>1</v>
      </c>
      <c r="F1707" s="8">
        <f>COUNTIFS('All Papers'!$D:$D,"*"&amp;$A1707&amp;"*",'All Papers'!$G:$G,"*"&amp;Table1[[#Headers],[Recommendation]]&amp;"*")</f>
        <v>0</v>
      </c>
      <c r="G1707" s="8">
        <f>COUNTIFS('All Papers'!$D:$D,"*"&amp;$A1707&amp;"*",'All Papers'!$G:$G,"*"&amp;Table1[[#Headers],[Resource Management-CS]]&amp;"*")</f>
        <v>0</v>
      </c>
      <c r="H1707" s="8">
        <f>COUNTIFS('All Papers'!$D:$D,"*"&amp;$A1707&amp;"*",'All Papers'!$G:$G,"*"&amp;Table1[[#Headers],[Resource Management-PS]]&amp;"*")</f>
        <v>0</v>
      </c>
      <c r="I1707" s="8">
        <f>COUNTIFS('All Papers'!$D:$D,"*"&amp;$A1707&amp;"*",'All Papers'!$G:$G,"*"&amp;Table1[[#Headers],[SLA Management]]&amp;"*")</f>
        <v>0</v>
      </c>
      <c r="J1707" s="8">
        <f>COUNTIFS('All Papers'!$D:$D,"*"&amp;$A1707&amp;"*",'All Papers'!$G:$G,"*"&amp;Table1[[#Headers],[Big Data]]&amp;"*")</f>
        <v>0</v>
      </c>
      <c r="K1707" s="8">
        <f>COUNTIFS('All Papers'!$D:$D,"*"&amp;$A1707&amp;"*",'All Papers'!$G:$G,"*"&amp;Table1[[#Headers],[Energy Management]]&amp;"*")</f>
        <v>0</v>
      </c>
      <c r="L1707" s="8">
        <f>COUNTIFS('All Papers'!$D:$D,"*"&amp;$A1707&amp;"*",'All Papers'!$G:$G,"*"&amp;Table1[[#Headers],[Monitoring]]&amp;"*")</f>
        <v>0</v>
      </c>
      <c r="M1707" s="8">
        <f>COUNTIFS('All Papers'!$D:$D,"*"&amp;$A1707&amp;"*",'All Papers'!$G:$G,"*"&amp;Table1[[#Headers],[Pricing]]&amp;"*")</f>
        <v>0</v>
      </c>
    </row>
    <row r="1708" spans="1:13" x14ac:dyDescent="0.25">
      <c r="A1708" s="8" t="s">
        <v>4141</v>
      </c>
      <c r="B1708" s="8">
        <f>COUNTIF('All Papers'!D:D,"*"&amp;Table1[[#This Row],[Name]]&amp;"*")</f>
        <v>1</v>
      </c>
      <c r="C1708" s="8">
        <f>COUNTIFS('All Papers'!$D:$D,"*"&amp;$A1708&amp;"*",'All Papers'!$G:$G,"*"&amp;Table1[[#Headers],[Composition]]&amp;"*")</f>
        <v>0</v>
      </c>
      <c r="D1708" s="8">
        <f>COUNTIFS('All Papers'!$D:$D,"*"&amp;$A1708&amp;"*",'All Papers'!$G:$G,"*"&amp;Table1[[#Headers],[Discovery]]&amp;"*")</f>
        <v>0</v>
      </c>
      <c r="E1708" s="8">
        <f>COUNTIFS('All Papers'!$D:$D,"*"&amp;$A1708&amp;"*",'All Papers'!$G:$G,"*"&amp;Table1[[#Headers],[Selection]]&amp;"*")</f>
        <v>0</v>
      </c>
      <c r="F1708" s="8">
        <f>COUNTIFS('All Papers'!$D:$D,"*"&amp;$A1708&amp;"*",'All Papers'!$G:$G,"*"&amp;Table1[[#Headers],[Recommendation]]&amp;"*")</f>
        <v>0</v>
      </c>
      <c r="G1708" s="8">
        <f>COUNTIFS('All Papers'!$D:$D,"*"&amp;$A1708&amp;"*",'All Papers'!$G:$G,"*"&amp;Table1[[#Headers],[Resource Management-CS]]&amp;"*")</f>
        <v>0</v>
      </c>
      <c r="H1708" s="8">
        <f>COUNTIFS('All Papers'!$D:$D,"*"&amp;$A1708&amp;"*",'All Papers'!$G:$G,"*"&amp;Table1[[#Headers],[Resource Management-PS]]&amp;"*")</f>
        <v>0</v>
      </c>
      <c r="I1708" s="8">
        <f>COUNTIFS('All Papers'!$D:$D,"*"&amp;$A1708&amp;"*",'All Papers'!$G:$G,"*"&amp;Table1[[#Headers],[SLA Management]]&amp;"*")</f>
        <v>0</v>
      </c>
      <c r="J1708" s="8">
        <f>COUNTIFS('All Papers'!$D:$D,"*"&amp;$A1708&amp;"*",'All Papers'!$G:$G,"*"&amp;Table1[[#Headers],[Big Data]]&amp;"*")</f>
        <v>0</v>
      </c>
      <c r="K1708" s="8">
        <f>COUNTIFS('All Papers'!$D:$D,"*"&amp;$A1708&amp;"*",'All Papers'!$G:$G,"*"&amp;Table1[[#Headers],[Energy Management]]&amp;"*")</f>
        <v>0</v>
      </c>
      <c r="L1708" s="8">
        <f>COUNTIFS('All Papers'!$D:$D,"*"&amp;$A1708&amp;"*",'All Papers'!$G:$G,"*"&amp;Table1[[#Headers],[Monitoring]]&amp;"*")</f>
        <v>1</v>
      </c>
      <c r="M1708" s="8">
        <f>COUNTIFS('All Papers'!$D:$D,"*"&amp;$A1708&amp;"*",'All Papers'!$G:$G,"*"&amp;Table1[[#Headers],[Pricing]]&amp;"*")</f>
        <v>0</v>
      </c>
    </row>
    <row r="1709" spans="1:13" x14ac:dyDescent="0.25">
      <c r="A1709" s="8" t="s">
        <v>4142</v>
      </c>
      <c r="B1709" s="8">
        <f>COUNTIF('All Papers'!D:D,"*"&amp;Table1[[#This Row],[Name]]&amp;"*")</f>
        <v>1</v>
      </c>
      <c r="C1709" s="8">
        <f>COUNTIFS('All Papers'!$D:$D,"*"&amp;$A1709&amp;"*",'All Papers'!$G:$G,"*"&amp;Table1[[#Headers],[Composition]]&amp;"*")</f>
        <v>0</v>
      </c>
      <c r="D1709" s="8">
        <f>COUNTIFS('All Papers'!$D:$D,"*"&amp;$A1709&amp;"*",'All Papers'!$G:$G,"*"&amp;Table1[[#Headers],[Discovery]]&amp;"*")</f>
        <v>0</v>
      </c>
      <c r="E1709" s="8">
        <f>COUNTIFS('All Papers'!$D:$D,"*"&amp;$A1709&amp;"*",'All Papers'!$G:$G,"*"&amp;Table1[[#Headers],[Selection]]&amp;"*")</f>
        <v>0</v>
      </c>
      <c r="F1709" s="8">
        <f>COUNTIFS('All Papers'!$D:$D,"*"&amp;$A1709&amp;"*",'All Papers'!$G:$G,"*"&amp;Table1[[#Headers],[Recommendation]]&amp;"*")</f>
        <v>0</v>
      </c>
      <c r="G1709" s="8">
        <f>COUNTIFS('All Papers'!$D:$D,"*"&amp;$A1709&amp;"*",'All Papers'!$G:$G,"*"&amp;Table1[[#Headers],[Resource Management-CS]]&amp;"*")</f>
        <v>0</v>
      </c>
      <c r="H1709" s="8">
        <f>COUNTIFS('All Papers'!$D:$D,"*"&amp;$A1709&amp;"*",'All Papers'!$G:$G,"*"&amp;Table1[[#Headers],[Resource Management-PS]]&amp;"*")</f>
        <v>0</v>
      </c>
      <c r="I1709" s="8">
        <f>COUNTIFS('All Papers'!$D:$D,"*"&amp;$A1709&amp;"*",'All Papers'!$G:$G,"*"&amp;Table1[[#Headers],[SLA Management]]&amp;"*")</f>
        <v>0</v>
      </c>
      <c r="J1709" s="8">
        <f>COUNTIFS('All Papers'!$D:$D,"*"&amp;$A1709&amp;"*",'All Papers'!$G:$G,"*"&amp;Table1[[#Headers],[Big Data]]&amp;"*")</f>
        <v>0</v>
      </c>
      <c r="K1709" s="8">
        <f>COUNTIFS('All Papers'!$D:$D,"*"&amp;$A1709&amp;"*",'All Papers'!$G:$G,"*"&amp;Table1[[#Headers],[Energy Management]]&amp;"*")</f>
        <v>0</v>
      </c>
      <c r="L1709" s="8">
        <f>COUNTIFS('All Papers'!$D:$D,"*"&amp;$A1709&amp;"*",'All Papers'!$G:$G,"*"&amp;Table1[[#Headers],[Monitoring]]&amp;"*")</f>
        <v>1</v>
      </c>
      <c r="M1709" s="8">
        <f>COUNTIFS('All Papers'!$D:$D,"*"&amp;$A1709&amp;"*",'All Papers'!$G:$G,"*"&amp;Table1[[#Headers],[Pricing]]&amp;"*")</f>
        <v>0</v>
      </c>
    </row>
    <row r="1710" spans="1:13" x14ac:dyDescent="0.25">
      <c r="A1710" s="8" t="s">
        <v>4143</v>
      </c>
      <c r="B1710" s="8">
        <f>COUNTIF('All Papers'!D:D,"*"&amp;Table1[[#This Row],[Name]]&amp;"*")</f>
        <v>1</v>
      </c>
      <c r="C1710" s="8">
        <f>COUNTIFS('All Papers'!$D:$D,"*"&amp;$A1710&amp;"*",'All Papers'!$G:$G,"*"&amp;Table1[[#Headers],[Composition]]&amp;"*")</f>
        <v>0</v>
      </c>
      <c r="D1710" s="8">
        <f>COUNTIFS('All Papers'!$D:$D,"*"&amp;$A1710&amp;"*",'All Papers'!$G:$G,"*"&amp;Table1[[#Headers],[Discovery]]&amp;"*")</f>
        <v>0</v>
      </c>
      <c r="E1710" s="8">
        <f>COUNTIFS('All Papers'!$D:$D,"*"&amp;$A1710&amp;"*",'All Papers'!$G:$G,"*"&amp;Table1[[#Headers],[Selection]]&amp;"*")</f>
        <v>0</v>
      </c>
      <c r="F1710" s="8">
        <f>COUNTIFS('All Papers'!$D:$D,"*"&amp;$A1710&amp;"*",'All Papers'!$G:$G,"*"&amp;Table1[[#Headers],[Recommendation]]&amp;"*")</f>
        <v>0</v>
      </c>
      <c r="G1710" s="8">
        <f>COUNTIFS('All Papers'!$D:$D,"*"&amp;$A1710&amp;"*",'All Papers'!$G:$G,"*"&amp;Table1[[#Headers],[Resource Management-CS]]&amp;"*")</f>
        <v>0</v>
      </c>
      <c r="H1710" s="8">
        <f>COUNTIFS('All Papers'!$D:$D,"*"&amp;$A1710&amp;"*",'All Papers'!$G:$G,"*"&amp;Table1[[#Headers],[Resource Management-PS]]&amp;"*")</f>
        <v>0</v>
      </c>
      <c r="I1710" s="8">
        <f>COUNTIFS('All Papers'!$D:$D,"*"&amp;$A1710&amp;"*",'All Papers'!$G:$G,"*"&amp;Table1[[#Headers],[SLA Management]]&amp;"*")</f>
        <v>0</v>
      </c>
      <c r="J1710" s="8">
        <f>COUNTIFS('All Papers'!$D:$D,"*"&amp;$A1710&amp;"*",'All Papers'!$G:$G,"*"&amp;Table1[[#Headers],[Big Data]]&amp;"*")</f>
        <v>0</v>
      </c>
      <c r="K1710" s="8">
        <f>COUNTIFS('All Papers'!$D:$D,"*"&amp;$A1710&amp;"*",'All Papers'!$G:$G,"*"&amp;Table1[[#Headers],[Energy Management]]&amp;"*")</f>
        <v>0</v>
      </c>
      <c r="L1710" s="8">
        <f>COUNTIFS('All Papers'!$D:$D,"*"&amp;$A1710&amp;"*",'All Papers'!$G:$G,"*"&amp;Table1[[#Headers],[Monitoring]]&amp;"*")</f>
        <v>1</v>
      </c>
      <c r="M1710" s="8">
        <f>COUNTIFS('All Papers'!$D:$D,"*"&amp;$A1710&amp;"*",'All Papers'!$G:$G,"*"&amp;Table1[[#Headers],[Pricing]]&amp;"*")</f>
        <v>0</v>
      </c>
    </row>
    <row r="1711" spans="1:13" x14ac:dyDescent="0.25">
      <c r="A1711" s="8" t="s">
        <v>4144</v>
      </c>
      <c r="B1711" s="8">
        <f>COUNTIF('All Papers'!D:D,"*"&amp;Table1[[#This Row],[Name]]&amp;"*")</f>
        <v>1</v>
      </c>
      <c r="C1711" s="8">
        <f>COUNTIFS('All Papers'!$D:$D,"*"&amp;$A1711&amp;"*",'All Papers'!$G:$G,"*"&amp;Table1[[#Headers],[Composition]]&amp;"*")</f>
        <v>0</v>
      </c>
      <c r="D1711" s="8">
        <f>COUNTIFS('All Papers'!$D:$D,"*"&amp;$A1711&amp;"*",'All Papers'!$G:$G,"*"&amp;Table1[[#Headers],[Discovery]]&amp;"*")</f>
        <v>0</v>
      </c>
      <c r="E1711" s="8">
        <f>COUNTIFS('All Papers'!$D:$D,"*"&amp;$A1711&amp;"*",'All Papers'!$G:$G,"*"&amp;Table1[[#Headers],[Selection]]&amp;"*")</f>
        <v>0</v>
      </c>
      <c r="F1711" s="8">
        <f>COUNTIFS('All Papers'!$D:$D,"*"&amp;$A1711&amp;"*",'All Papers'!$G:$G,"*"&amp;Table1[[#Headers],[Recommendation]]&amp;"*")</f>
        <v>0</v>
      </c>
      <c r="G1711" s="8">
        <f>COUNTIFS('All Papers'!$D:$D,"*"&amp;$A1711&amp;"*",'All Papers'!$G:$G,"*"&amp;Table1[[#Headers],[Resource Management-CS]]&amp;"*")</f>
        <v>1</v>
      </c>
      <c r="H1711" s="8">
        <f>COUNTIFS('All Papers'!$D:$D,"*"&amp;$A1711&amp;"*",'All Papers'!$G:$G,"*"&amp;Table1[[#Headers],[Resource Management-PS]]&amp;"*")</f>
        <v>0</v>
      </c>
      <c r="I1711" s="8">
        <f>COUNTIFS('All Papers'!$D:$D,"*"&amp;$A1711&amp;"*",'All Papers'!$G:$G,"*"&amp;Table1[[#Headers],[SLA Management]]&amp;"*")</f>
        <v>0</v>
      </c>
      <c r="J1711" s="8">
        <f>COUNTIFS('All Papers'!$D:$D,"*"&amp;$A1711&amp;"*",'All Papers'!$G:$G,"*"&amp;Table1[[#Headers],[Big Data]]&amp;"*")</f>
        <v>0</v>
      </c>
      <c r="K1711" s="8">
        <f>COUNTIFS('All Papers'!$D:$D,"*"&amp;$A1711&amp;"*",'All Papers'!$G:$G,"*"&amp;Table1[[#Headers],[Energy Management]]&amp;"*")</f>
        <v>0</v>
      </c>
      <c r="L1711" s="8">
        <f>COUNTIFS('All Papers'!$D:$D,"*"&amp;$A1711&amp;"*",'All Papers'!$G:$G,"*"&amp;Table1[[#Headers],[Monitoring]]&amp;"*")</f>
        <v>0</v>
      </c>
      <c r="M1711" s="8">
        <f>COUNTIFS('All Papers'!$D:$D,"*"&amp;$A1711&amp;"*",'All Papers'!$G:$G,"*"&amp;Table1[[#Headers],[Pricing]]&amp;"*")</f>
        <v>0</v>
      </c>
    </row>
    <row r="1712" spans="1:13" x14ac:dyDescent="0.25">
      <c r="A1712" s="8" t="s">
        <v>4145</v>
      </c>
      <c r="B1712" s="8">
        <f>COUNTIF('All Papers'!D:D,"*"&amp;Table1[[#This Row],[Name]]&amp;"*")</f>
        <v>1</v>
      </c>
      <c r="C1712" s="8">
        <f>COUNTIFS('All Papers'!$D:$D,"*"&amp;$A1712&amp;"*",'All Papers'!$G:$G,"*"&amp;Table1[[#Headers],[Composition]]&amp;"*")</f>
        <v>0</v>
      </c>
      <c r="D1712" s="8">
        <f>COUNTIFS('All Papers'!$D:$D,"*"&amp;$A1712&amp;"*",'All Papers'!$G:$G,"*"&amp;Table1[[#Headers],[Discovery]]&amp;"*")</f>
        <v>0</v>
      </c>
      <c r="E1712" s="8">
        <f>COUNTIFS('All Papers'!$D:$D,"*"&amp;$A1712&amp;"*",'All Papers'!$G:$G,"*"&amp;Table1[[#Headers],[Selection]]&amp;"*")</f>
        <v>0</v>
      </c>
      <c r="F1712" s="8">
        <f>COUNTIFS('All Papers'!$D:$D,"*"&amp;$A1712&amp;"*",'All Papers'!$G:$G,"*"&amp;Table1[[#Headers],[Recommendation]]&amp;"*")</f>
        <v>0</v>
      </c>
      <c r="G1712" s="8">
        <f>COUNTIFS('All Papers'!$D:$D,"*"&amp;$A1712&amp;"*",'All Papers'!$G:$G,"*"&amp;Table1[[#Headers],[Resource Management-CS]]&amp;"*")</f>
        <v>1</v>
      </c>
      <c r="H1712" s="8">
        <f>COUNTIFS('All Papers'!$D:$D,"*"&amp;$A1712&amp;"*",'All Papers'!$G:$G,"*"&amp;Table1[[#Headers],[Resource Management-PS]]&amp;"*")</f>
        <v>0</v>
      </c>
      <c r="I1712" s="8">
        <f>COUNTIFS('All Papers'!$D:$D,"*"&amp;$A1712&amp;"*",'All Papers'!$G:$G,"*"&amp;Table1[[#Headers],[SLA Management]]&amp;"*")</f>
        <v>0</v>
      </c>
      <c r="J1712" s="8">
        <f>COUNTIFS('All Papers'!$D:$D,"*"&amp;$A1712&amp;"*",'All Papers'!$G:$G,"*"&amp;Table1[[#Headers],[Big Data]]&amp;"*")</f>
        <v>0</v>
      </c>
      <c r="K1712" s="8">
        <f>COUNTIFS('All Papers'!$D:$D,"*"&amp;$A1712&amp;"*",'All Papers'!$G:$G,"*"&amp;Table1[[#Headers],[Energy Management]]&amp;"*")</f>
        <v>0</v>
      </c>
      <c r="L1712" s="8">
        <f>COUNTIFS('All Papers'!$D:$D,"*"&amp;$A1712&amp;"*",'All Papers'!$G:$G,"*"&amp;Table1[[#Headers],[Monitoring]]&amp;"*")</f>
        <v>0</v>
      </c>
      <c r="M1712" s="8">
        <f>COUNTIFS('All Papers'!$D:$D,"*"&amp;$A1712&amp;"*",'All Papers'!$G:$G,"*"&amp;Table1[[#Headers],[Pricing]]&amp;"*")</f>
        <v>0</v>
      </c>
    </row>
    <row r="1713" spans="1:13" x14ac:dyDescent="0.25">
      <c r="A1713" s="8" t="s">
        <v>4146</v>
      </c>
      <c r="B1713" s="8">
        <f>COUNTIF('All Papers'!D:D,"*"&amp;Table1[[#This Row],[Name]]&amp;"*")</f>
        <v>1</v>
      </c>
      <c r="C1713" s="8">
        <f>COUNTIFS('All Papers'!$D:$D,"*"&amp;$A1713&amp;"*",'All Papers'!$G:$G,"*"&amp;Table1[[#Headers],[Composition]]&amp;"*")</f>
        <v>0</v>
      </c>
      <c r="D1713" s="8">
        <f>COUNTIFS('All Papers'!$D:$D,"*"&amp;$A1713&amp;"*",'All Papers'!$G:$G,"*"&amp;Table1[[#Headers],[Discovery]]&amp;"*")</f>
        <v>0</v>
      </c>
      <c r="E1713" s="8">
        <f>COUNTIFS('All Papers'!$D:$D,"*"&amp;$A1713&amp;"*",'All Papers'!$G:$G,"*"&amp;Table1[[#Headers],[Selection]]&amp;"*")</f>
        <v>0</v>
      </c>
      <c r="F1713" s="8">
        <f>COUNTIFS('All Papers'!$D:$D,"*"&amp;$A1713&amp;"*",'All Papers'!$G:$G,"*"&amp;Table1[[#Headers],[Recommendation]]&amp;"*")</f>
        <v>0</v>
      </c>
      <c r="G1713" s="8">
        <f>COUNTIFS('All Papers'!$D:$D,"*"&amp;$A1713&amp;"*",'All Papers'!$G:$G,"*"&amp;Table1[[#Headers],[Resource Management-CS]]&amp;"*")</f>
        <v>1</v>
      </c>
      <c r="H1713" s="8">
        <f>COUNTIFS('All Papers'!$D:$D,"*"&amp;$A1713&amp;"*",'All Papers'!$G:$G,"*"&amp;Table1[[#Headers],[Resource Management-PS]]&amp;"*")</f>
        <v>0</v>
      </c>
      <c r="I1713" s="8">
        <f>COUNTIFS('All Papers'!$D:$D,"*"&amp;$A1713&amp;"*",'All Papers'!$G:$G,"*"&amp;Table1[[#Headers],[SLA Management]]&amp;"*")</f>
        <v>0</v>
      </c>
      <c r="J1713" s="8">
        <f>COUNTIFS('All Papers'!$D:$D,"*"&amp;$A1713&amp;"*",'All Papers'!$G:$G,"*"&amp;Table1[[#Headers],[Big Data]]&amp;"*")</f>
        <v>0</v>
      </c>
      <c r="K1713" s="8">
        <f>COUNTIFS('All Papers'!$D:$D,"*"&amp;$A1713&amp;"*",'All Papers'!$G:$G,"*"&amp;Table1[[#Headers],[Energy Management]]&amp;"*")</f>
        <v>0</v>
      </c>
      <c r="L1713" s="8">
        <f>COUNTIFS('All Papers'!$D:$D,"*"&amp;$A1713&amp;"*",'All Papers'!$G:$G,"*"&amp;Table1[[#Headers],[Monitoring]]&amp;"*")</f>
        <v>0</v>
      </c>
      <c r="M1713" s="8">
        <f>COUNTIFS('All Papers'!$D:$D,"*"&amp;$A1713&amp;"*",'All Papers'!$G:$G,"*"&amp;Table1[[#Headers],[Pricing]]&amp;"*")</f>
        <v>0</v>
      </c>
    </row>
    <row r="1714" spans="1:13" x14ac:dyDescent="0.25">
      <c r="A1714" s="8" t="s">
        <v>4147</v>
      </c>
      <c r="B1714" s="8">
        <f>COUNTIF('All Papers'!D:D,"*"&amp;Table1[[#This Row],[Name]]&amp;"*")</f>
        <v>1</v>
      </c>
      <c r="C1714" s="8">
        <f>COUNTIFS('All Papers'!$D:$D,"*"&amp;$A1714&amp;"*",'All Papers'!$G:$G,"*"&amp;Table1[[#Headers],[Composition]]&amp;"*")</f>
        <v>0</v>
      </c>
      <c r="D1714" s="8">
        <f>COUNTIFS('All Papers'!$D:$D,"*"&amp;$A1714&amp;"*",'All Papers'!$G:$G,"*"&amp;Table1[[#Headers],[Discovery]]&amp;"*")</f>
        <v>0</v>
      </c>
      <c r="E1714" s="8">
        <f>COUNTIFS('All Papers'!$D:$D,"*"&amp;$A1714&amp;"*",'All Papers'!$G:$G,"*"&amp;Table1[[#Headers],[Selection]]&amp;"*")</f>
        <v>0</v>
      </c>
      <c r="F1714" s="8">
        <f>COUNTIFS('All Papers'!$D:$D,"*"&amp;$A1714&amp;"*",'All Papers'!$G:$G,"*"&amp;Table1[[#Headers],[Recommendation]]&amp;"*")</f>
        <v>0</v>
      </c>
      <c r="G1714" s="8">
        <f>COUNTIFS('All Papers'!$D:$D,"*"&amp;$A1714&amp;"*",'All Papers'!$G:$G,"*"&amp;Table1[[#Headers],[Resource Management-CS]]&amp;"*")</f>
        <v>1</v>
      </c>
      <c r="H1714" s="8">
        <f>COUNTIFS('All Papers'!$D:$D,"*"&amp;$A1714&amp;"*",'All Papers'!$G:$G,"*"&amp;Table1[[#Headers],[Resource Management-PS]]&amp;"*")</f>
        <v>0</v>
      </c>
      <c r="I1714" s="8">
        <f>COUNTIFS('All Papers'!$D:$D,"*"&amp;$A1714&amp;"*",'All Papers'!$G:$G,"*"&amp;Table1[[#Headers],[SLA Management]]&amp;"*")</f>
        <v>0</v>
      </c>
      <c r="J1714" s="8">
        <f>COUNTIFS('All Papers'!$D:$D,"*"&amp;$A1714&amp;"*",'All Papers'!$G:$G,"*"&amp;Table1[[#Headers],[Big Data]]&amp;"*")</f>
        <v>0</v>
      </c>
      <c r="K1714" s="8">
        <f>COUNTIFS('All Papers'!$D:$D,"*"&amp;$A1714&amp;"*",'All Papers'!$G:$G,"*"&amp;Table1[[#Headers],[Energy Management]]&amp;"*")</f>
        <v>0</v>
      </c>
      <c r="L1714" s="8">
        <f>COUNTIFS('All Papers'!$D:$D,"*"&amp;$A1714&amp;"*",'All Papers'!$G:$G,"*"&amp;Table1[[#Headers],[Monitoring]]&amp;"*")</f>
        <v>0</v>
      </c>
      <c r="M1714" s="8">
        <f>COUNTIFS('All Papers'!$D:$D,"*"&amp;$A1714&amp;"*",'All Papers'!$G:$G,"*"&amp;Table1[[#Headers],[Pricing]]&amp;"*")</f>
        <v>0</v>
      </c>
    </row>
    <row r="1715" spans="1:13" x14ac:dyDescent="0.25">
      <c r="A1715" s="8" t="s">
        <v>4148</v>
      </c>
      <c r="B1715" s="8">
        <f>COUNTIF('All Papers'!D:D,"*"&amp;Table1[[#This Row],[Name]]&amp;"*")</f>
        <v>1</v>
      </c>
      <c r="C1715" s="8">
        <f>COUNTIFS('All Papers'!$D:$D,"*"&amp;$A1715&amp;"*",'All Papers'!$G:$G,"*"&amp;Table1[[#Headers],[Composition]]&amp;"*")</f>
        <v>0</v>
      </c>
      <c r="D1715" s="8">
        <f>COUNTIFS('All Papers'!$D:$D,"*"&amp;$A1715&amp;"*",'All Papers'!$G:$G,"*"&amp;Table1[[#Headers],[Discovery]]&amp;"*")</f>
        <v>0</v>
      </c>
      <c r="E1715" s="8">
        <f>COUNTIFS('All Papers'!$D:$D,"*"&amp;$A1715&amp;"*",'All Papers'!$G:$G,"*"&amp;Table1[[#Headers],[Selection]]&amp;"*")</f>
        <v>0</v>
      </c>
      <c r="F1715" s="8">
        <f>COUNTIFS('All Papers'!$D:$D,"*"&amp;$A1715&amp;"*",'All Papers'!$G:$G,"*"&amp;Table1[[#Headers],[Recommendation]]&amp;"*")</f>
        <v>0</v>
      </c>
      <c r="G1715" s="8">
        <f>COUNTIFS('All Papers'!$D:$D,"*"&amp;$A1715&amp;"*",'All Papers'!$G:$G,"*"&amp;Table1[[#Headers],[Resource Management-CS]]&amp;"*")</f>
        <v>1</v>
      </c>
      <c r="H1715" s="8">
        <f>COUNTIFS('All Papers'!$D:$D,"*"&amp;$A1715&amp;"*",'All Papers'!$G:$G,"*"&amp;Table1[[#Headers],[Resource Management-PS]]&amp;"*")</f>
        <v>0</v>
      </c>
      <c r="I1715" s="8">
        <f>COUNTIFS('All Papers'!$D:$D,"*"&amp;$A1715&amp;"*",'All Papers'!$G:$G,"*"&amp;Table1[[#Headers],[SLA Management]]&amp;"*")</f>
        <v>0</v>
      </c>
      <c r="J1715" s="8">
        <f>COUNTIFS('All Papers'!$D:$D,"*"&amp;$A1715&amp;"*",'All Papers'!$G:$G,"*"&amp;Table1[[#Headers],[Big Data]]&amp;"*")</f>
        <v>1</v>
      </c>
      <c r="K1715" s="8">
        <f>COUNTIFS('All Papers'!$D:$D,"*"&amp;$A1715&amp;"*",'All Papers'!$G:$G,"*"&amp;Table1[[#Headers],[Energy Management]]&amp;"*")</f>
        <v>0</v>
      </c>
      <c r="L1715" s="8">
        <f>COUNTIFS('All Papers'!$D:$D,"*"&amp;$A1715&amp;"*",'All Papers'!$G:$G,"*"&amp;Table1[[#Headers],[Monitoring]]&amp;"*")</f>
        <v>0</v>
      </c>
      <c r="M1715" s="8">
        <f>COUNTIFS('All Papers'!$D:$D,"*"&amp;$A1715&amp;"*",'All Papers'!$G:$G,"*"&amp;Table1[[#Headers],[Pricing]]&amp;"*")</f>
        <v>0</v>
      </c>
    </row>
    <row r="1716" spans="1:13" x14ac:dyDescent="0.25">
      <c r="A1716" s="8" t="s">
        <v>4149</v>
      </c>
      <c r="B1716" s="8">
        <f>COUNTIF('All Papers'!D:D,"*"&amp;Table1[[#This Row],[Name]]&amp;"*")</f>
        <v>1</v>
      </c>
      <c r="C1716" s="8">
        <f>COUNTIFS('All Papers'!$D:$D,"*"&amp;$A1716&amp;"*",'All Papers'!$G:$G,"*"&amp;Table1[[#Headers],[Composition]]&amp;"*")</f>
        <v>0</v>
      </c>
      <c r="D1716" s="8">
        <f>COUNTIFS('All Papers'!$D:$D,"*"&amp;$A1716&amp;"*",'All Papers'!$G:$G,"*"&amp;Table1[[#Headers],[Discovery]]&amp;"*")</f>
        <v>0</v>
      </c>
      <c r="E1716" s="8">
        <f>COUNTIFS('All Papers'!$D:$D,"*"&amp;$A1716&amp;"*",'All Papers'!$G:$G,"*"&amp;Table1[[#Headers],[Selection]]&amp;"*")</f>
        <v>0</v>
      </c>
      <c r="F1716" s="8">
        <f>COUNTIFS('All Papers'!$D:$D,"*"&amp;$A1716&amp;"*",'All Papers'!$G:$G,"*"&amp;Table1[[#Headers],[Recommendation]]&amp;"*")</f>
        <v>0</v>
      </c>
      <c r="G1716" s="8">
        <f>COUNTIFS('All Papers'!$D:$D,"*"&amp;$A1716&amp;"*",'All Papers'!$G:$G,"*"&amp;Table1[[#Headers],[Resource Management-CS]]&amp;"*")</f>
        <v>1</v>
      </c>
      <c r="H1716" s="8">
        <f>COUNTIFS('All Papers'!$D:$D,"*"&amp;$A1716&amp;"*",'All Papers'!$G:$G,"*"&amp;Table1[[#Headers],[Resource Management-PS]]&amp;"*")</f>
        <v>0</v>
      </c>
      <c r="I1716" s="8">
        <f>COUNTIFS('All Papers'!$D:$D,"*"&amp;$A1716&amp;"*",'All Papers'!$G:$G,"*"&amp;Table1[[#Headers],[SLA Management]]&amp;"*")</f>
        <v>0</v>
      </c>
      <c r="J1716" s="8">
        <f>COUNTIFS('All Papers'!$D:$D,"*"&amp;$A1716&amp;"*",'All Papers'!$G:$G,"*"&amp;Table1[[#Headers],[Big Data]]&amp;"*")</f>
        <v>1</v>
      </c>
      <c r="K1716" s="8">
        <f>COUNTIFS('All Papers'!$D:$D,"*"&amp;$A1716&amp;"*",'All Papers'!$G:$G,"*"&amp;Table1[[#Headers],[Energy Management]]&amp;"*")</f>
        <v>0</v>
      </c>
      <c r="L1716" s="8">
        <f>COUNTIFS('All Papers'!$D:$D,"*"&amp;$A1716&amp;"*",'All Papers'!$G:$G,"*"&amp;Table1[[#Headers],[Monitoring]]&amp;"*")</f>
        <v>0</v>
      </c>
      <c r="M1716" s="8">
        <f>COUNTIFS('All Papers'!$D:$D,"*"&amp;$A1716&amp;"*",'All Papers'!$G:$G,"*"&amp;Table1[[#Headers],[Pricing]]&amp;"*")</f>
        <v>0</v>
      </c>
    </row>
    <row r="1717" spans="1:13" x14ac:dyDescent="0.25">
      <c r="A1717" s="8" t="s">
        <v>4150</v>
      </c>
      <c r="B1717" s="8">
        <f>COUNTIF('All Papers'!D:D,"*"&amp;Table1[[#This Row],[Name]]&amp;"*")</f>
        <v>1</v>
      </c>
      <c r="C1717" s="8">
        <f>COUNTIFS('All Papers'!$D:$D,"*"&amp;$A1717&amp;"*",'All Papers'!$G:$G,"*"&amp;Table1[[#Headers],[Composition]]&amp;"*")</f>
        <v>0</v>
      </c>
      <c r="D1717" s="8">
        <f>COUNTIFS('All Papers'!$D:$D,"*"&amp;$A1717&amp;"*",'All Papers'!$G:$G,"*"&amp;Table1[[#Headers],[Discovery]]&amp;"*")</f>
        <v>0</v>
      </c>
      <c r="E1717" s="8">
        <f>COUNTIFS('All Papers'!$D:$D,"*"&amp;$A1717&amp;"*",'All Papers'!$G:$G,"*"&amp;Table1[[#Headers],[Selection]]&amp;"*")</f>
        <v>1</v>
      </c>
      <c r="F1717" s="8">
        <f>COUNTIFS('All Papers'!$D:$D,"*"&amp;$A1717&amp;"*",'All Papers'!$G:$G,"*"&amp;Table1[[#Headers],[Recommendation]]&amp;"*")</f>
        <v>0</v>
      </c>
      <c r="G1717" s="8">
        <f>COUNTIFS('All Papers'!$D:$D,"*"&amp;$A1717&amp;"*",'All Papers'!$G:$G,"*"&amp;Table1[[#Headers],[Resource Management-CS]]&amp;"*")</f>
        <v>0</v>
      </c>
      <c r="H1717" s="8">
        <f>COUNTIFS('All Papers'!$D:$D,"*"&amp;$A1717&amp;"*",'All Papers'!$G:$G,"*"&amp;Table1[[#Headers],[Resource Management-PS]]&amp;"*")</f>
        <v>0</v>
      </c>
      <c r="I1717" s="8">
        <f>COUNTIFS('All Papers'!$D:$D,"*"&amp;$A1717&amp;"*",'All Papers'!$G:$G,"*"&amp;Table1[[#Headers],[SLA Management]]&amp;"*")</f>
        <v>0</v>
      </c>
      <c r="J1717" s="8">
        <f>COUNTIFS('All Papers'!$D:$D,"*"&amp;$A1717&amp;"*",'All Papers'!$G:$G,"*"&amp;Table1[[#Headers],[Big Data]]&amp;"*")</f>
        <v>0</v>
      </c>
      <c r="K1717" s="8">
        <f>COUNTIFS('All Papers'!$D:$D,"*"&amp;$A1717&amp;"*",'All Papers'!$G:$G,"*"&amp;Table1[[#Headers],[Energy Management]]&amp;"*")</f>
        <v>0</v>
      </c>
      <c r="L1717" s="8">
        <f>COUNTIFS('All Papers'!$D:$D,"*"&amp;$A1717&amp;"*",'All Papers'!$G:$G,"*"&amp;Table1[[#Headers],[Monitoring]]&amp;"*")</f>
        <v>0</v>
      </c>
      <c r="M1717" s="8">
        <f>COUNTIFS('All Papers'!$D:$D,"*"&amp;$A1717&amp;"*",'All Papers'!$G:$G,"*"&amp;Table1[[#Headers],[Pricing]]&amp;"*")</f>
        <v>0</v>
      </c>
    </row>
    <row r="1718" spans="1:13" x14ac:dyDescent="0.25">
      <c r="A1718" s="8" t="s">
        <v>4151</v>
      </c>
      <c r="B1718" s="8">
        <f>COUNTIF('All Papers'!D:D,"*"&amp;Table1[[#This Row],[Name]]&amp;"*")</f>
        <v>1</v>
      </c>
      <c r="C1718" s="8">
        <f>COUNTIFS('All Papers'!$D:$D,"*"&amp;$A1718&amp;"*",'All Papers'!$G:$G,"*"&amp;Table1[[#Headers],[Composition]]&amp;"*")</f>
        <v>0</v>
      </c>
      <c r="D1718" s="8">
        <f>COUNTIFS('All Papers'!$D:$D,"*"&amp;$A1718&amp;"*",'All Papers'!$G:$G,"*"&amp;Table1[[#Headers],[Discovery]]&amp;"*")</f>
        <v>0</v>
      </c>
      <c r="E1718" s="8">
        <f>COUNTIFS('All Papers'!$D:$D,"*"&amp;$A1718&amp;"*",'All Papers'!$G:$G,"*"&amp;Table1[[#Headers],[Selection]]&amp;"*")</f>
        <v>1</v>
      </c>
      <c r="F1718" s="8">
        <f>COUNTIFS('All Papers'!$D:$D,"*"&amp;$A1718&amp;"*",'All Papers'!$G:$G,"*"&amp;Table1[[#Headers],[Recommendation]]&amp;"*")</f>
        <v>0</v>
      </c>
      <c r="G1718" s="8">
        <f>COUNTIFS('All Papers'!$D:$D,"*"&amp;$A1718&amp;"*",'All Papers'!$G:$G,"*"&amp;Table1[[#Headers],[Resource Management-CS]]&amp;"*")</f>
        <v>0</v>
      </c>
      <c r="H1718" s="8">
        <f>COUNTIFS('All Papers'!$D:$D,"*"&amp;$A1718&amp;"*",'All Papers'!$G:$G,"*"&amp;Table1[[#Headers],[Resource Management-PS]]&amp;"*")</f>
        <v>0</v>
      </c>
      <c r="I1718" s="8">
        <f>COUNTIFS('All Papers'!$D:$D,"*"&amp;$A1718&amp;"*",'All Papers'!$G:$G,"*"&amp;Table1[[#Headers],[SLA Management]]&amp;"*")</f>
        <v>0</v>
      </c>
      <c r="J1718" s="8">
        <f>COUNTIFS('All Papers'!$D:$D,"*"&amp;$A1718&amp;"*",'All Papers'!$G:$G,"*"&amp;Table1[[#Headers],[Big Data]]&amp;"*")</f>
        <v>0</v>
      </c>
      <c r="K1718" s="8">
        <f>COUNTIFS('All Papers'!$D:$D,"*"&amp;$A1718&amp;"*",'All Papers'!$G:$G,"*"&amp;Table1[[#Headers],[Energy Management]]&amp;"*")</f>
        <v>0</v>
      </c>
      <c r="L1718" s="8">
        <f>COUNTIFS('All Papers'!$D:$D,"*"&amp;$A1718&amp;"*",'All Papers'!$G:$G,"*"&amp;Table1[[#Headers],[Monitoring]]&amp;"*")</f>
        <v>0</v>
      </c>
      <c r="M1718" s="8">
        <f>COUNTIFS('All Papers'!$D:$D,"*"&amp;$A1718&amp;"*",'All Papers'!$G:$G,"*"&amp;Table1[[#Headers],[Pricing]]&amp;"*")</f>
        <v>0</v>
      </c>
    </row>
    <row r="1719" spans="1:13" x14ac:dyDescent="0.25">
      <c r="A1719" s="8" t="s">
        <v>4152</v>
      </c>
      <c r="B1719" s="8">
        <f>COUNTIF('All Papers'!D:D,"*"&amp;Table1[[#This Row],[Name]]&amp;"*")</f>
        <v>1</v>
      </c>
      <c r="C1719" s="8">
        <f>COUNTIFS('All Papers'!$D:$D,"*"&amp;$A1719&amp;"*",'All Papers'!$G:$G,"*"&amp;Table1[[#Headers],[Composition]]&amp;"*")</f>
        <v>0</v>
      </c>
      <c r="D1719" s="8">
        <f>COUNTIFS('All Papers'!$D:$D,"*"&amp;$A1719&amp;"*",'All Papers'!$G:$G,"*"&amp;Table1[[#Headers],[Discovery]]&amp;"*")</f>
        <v>0</v>
      </c>
      <c r="E1719" s="8">
        <f>COUNTIFS('All Papers'!$D:$D,"*"&amp;$A1719&amp;"*",'All Papers'!$G:$G,"*"&amp;Table1[[#Headers],[Selection]]&amp;"*")</f>
        <v>1</v>
      </c>
      <c r="F1719" s="8">
        <f>COUNTIFS('All Papers'!$D:$D,"*"&amp;$A1719&amp;"*",'All Papers'!$G:$G,"*"&amp;Table1[[#Headers],[Recommendation]]&amp;"*")</f>
        <v>0</v>
      </c>
      <c r="G1719" s="8">
        <f>COUNTIFS('All Papers'!$D:$D,"*"&amp;$A1719&amp;"*",'All Papers'!$G:$G,"*"&amp;Table1[[#Headers],[Resource Management-CS]]&amp;"*")</f>
        <v>0</v>
      </c>
      <c r="H1719" s="8">
        <f>COUNTIFS('All Papers'!$D:$D,"*"&amp;$A1719&amp;"*",'All Papers'!$G:$G,"*"&amp;Table1[[#Headers],[Resource Management-PS]]&amp;"*")</f>
        <v>0</v>
      </c>
      <c r="I1719" s="8">
        <f>COUNTIFS('All Papers'!$D:$D,"*"&amp;$A1719&amp;"*",'All Papers'!$G:$G,"*"&amp;Table1[[#Headers],[SLA Management]]&amp;"*")</f>
        <v>0</v>
      </c>
      <c r="J1719" s="8">
        <f>COUNTIFS('All Papers'!$D:$D,"*"&amp;$A1719&amp;"*",'All Papers'!$G:$G,"*"&amp;Table1[[#Headers],[Big Data]]&amp;"*")</f>
        <v>0</v>
      </c>
      <c r="K1719" s="8">
        <f>COUNTIFS('All Papers'!$D:$D,"*"&amp;$A1719&amp;"*",'All Papers'!$G:$G,"*"&amp;Table1[[#Headers],[Energy Management]]&amp;"*")</f>
        <v>0</v>
      </c>
      <c r="L1719" s="8">
        <f>COUNTIFS('All Papers'!$D:$D,"*"&amp;$A1719&amp;"*",'All Papers'!$G:$G,"*"&amp;Table1[[#Headers],[Monitoring]]&amp;"*")</f>
        <v>0</v>
      </c>
      <c r="M1719" s="8">
        <f>COUNTIFS('All Papers'!$D:$D,"*"&amp;$A1719&amp;"*",'All Papers'!$G:$G,"*"&amp;Table1[[#Headers],[Pricing]]&amp;"*")</f>
        <v>0</v>
      </c>
    </row>
    <row r="1720" spans="1:13" x14ac:dyDescent="0.25">
      <c r="A1720" s="8" t="s">
        <v>4153</v>
      </c>
      <c r="B1720" s="8">
        <f>COUNTIF('All Papers'!D:D,"*"&amp;Table1[[#This Row],[Name]]&amp;"*")</f>
        <v>1</v>
      </c>
      <c r="C1720" s="8">
        <f>COUNTIFS('All Papers'!$D:$D,"*"&amp;$A1720&amp;"*",'All Papers'!$G:$G,"*"&amp;Table1[[#Headers],[Composition]]&amp;"*")</f>
        <v>0</v>
      </c>
      <c r="D1720" s="8">
        <f>COUNTIFS('All Papers'!$D:$D,"*"&amp;$A1720&amp;"*",'All Papers'!$G:$G,"*"&amp;Table1[[#Headers],[Discovery]]&amp;"*")</f>
        <v>0</v>
      </c>
      <c r="E1720" s="8">
        <f>COUNTIFS('All Papers'!$D:$D,"*"&amp;$A1720&amp;"*",'All Papers'!$G:$G,"*"&amp;Table1[[#Headers],[Selection]]&amp;"*")</f>
        <v>1</v>
      </c>
      <c r="F1720" s="8">
        <f>COUNTIFS('All Papers'!$D:$D,"*"&amp;$A1720&amp;"*",'All Papers'!$G:$G,"*"&amp;Table1[[#Headers],[Recommendation]]&amp;"*")</f>
        <v>0</v>
      </c>
      <c r="G1720" s="8">
        <f>COUNTIFS('All Papers'!$D:$D,"*"&amp;$A1720&amp;"*",'All Papers'!$G:$G,"*"&amp;Table1[[#Headers],[Resource Management-CS]]&amp;"*")</f>
        <v>0</v>
      </c>
      <c r="H1720" s="8">
        <f>COUNTIFS('All Papers'!$D:$D,"*"&amp;$A1720&amp;"*",'All Papers'!$G:$G,"*"&amp;Table1[[#Headers],[Resource Management-PS]]&amp;"*")</f>
        <v>0</v>
      </c>
      <c r="I1720" s="8">
        <f>COUNTIFS('All Papers'!$D:$D,"*"&amp;$A1720&amp;"*",'All Papers'!$G:$G,"*"&amp;Table1[[#Headers],[SLA Management]]&amp;"*")</f>
        <v>0</v>
      </c>
      <c r="J1720" s="8">
        <f>COUNTIFS('All Papers'!$D:$D,"*"&amp;$A1720&amp;"*",'All Papers'!$G:$G,"*"&amp;Table1[[#Headers],[Big Data]]&amp;"*")</f>
        <v>0</v>
      </c>
      <c r="K1720" s="8">
        <f>COUNTIFS('All Papers'!$D:$D,"*"&amp;$A1720&amp;"*",'All Papers'!$G:$G,"*"&amp;Table1[[#Headers],[Energy Management]]&amp;"*")</f>
        <v>0</v>
      </c>
      <c r="L1720" s="8">
        <f>COUNTIFS('All Papers'!$D:$D,"*"&amp;$A1720&amp;"*",'All Papers'!$G:$G,"*"&amp;Table1[[#Headers],[Monitoring]]&amp;"*")</f>
        <v>0</v>
      </c>
      <c r="M1720" s="8">
        <f>COUNTIFS('All Papers'!$D:$D,"*"&amp;$A1720&amp;"*",'All Papers'!$G:$G,"*"&amp;Table1[[#Headers],[Pricing]]&amp;"*")</f>
        <v>0</v>
      </c>
    </row>
    <row r="1721" spans="1:13" x14ac:dyDescent="0.25">
      <c r="A1721" s="8" t="s">
        <v>4154</v>
      </c>
      <c r="B1721" s="8">
        <f>COUNTIF('All Papers'!D:D,"*"&amp;Table1[[#This Row],[Name]]&amp;"*")</f>
        <v>1</v>
      </c>
      <c r="C1721" s="8">
        <f>COUNTIFS('All Papers'!$D:$D,"*"&amp;$A1721&amp;"*",'All Papers'!$G:$G,"*"&amp;Table1[[#Headers],[Composition]]&amp;"*")</f>
        <v>0</v>
      </c>
      <c r="D1721" s="8">
        <f>COUNTIFS('All Papers'!$D:$D,"*"&amp;$A1721&amp;"*",'All Papers'!$G:$G,"*"&amp;Table1[[#Headers],[Discovery]]&amp;"*")</f>
        <v>1</v>
      </c>
      <c r="E1721" s="8">
        <f>COUNTIFS('All Papers'!$D:$D,"*"&amp;$A1721&amp;"*",'All Papers'!$G:$G,"*"&amp;Table1[[#Headers],[Selection]]&amp;"*")</f>
        <v>0</v>
      </c>
      <c r="F1721" s="8">
        <f>COUNTIFS('All Papers'!$D:$D,"*"&amp;$A1721&amp;"*",'All Papers'!$G:$G,"*"&amp;Table1[[#Headers],[Recommendation]]&amp;"*")</f>
        <v>0</v>
      </c>
      <c r="G1721" s="8">
        <f>COUNTIFS('All Papers'!$D:$D,"*"&amp;$A1721&amp;"*",'All Papers'!$G:$G,"*"&amp;Table1[[#Headers],[Resource Management-CS]]&amp;"*")</f>
        <v>0</v>
      </c>
      <c r="H1721" s="8">
        <f>COUNTIFS('All Papers'!$D:$D,"*"&amp;$A1721&amp;"*",'All Papers'!$G:$G,"*"&amp;Table1[[#Headers],[Resource Management-PS]]&amp;"*")</f>
        <v>0</v>
      </c>
      <c r="I1721" s="8">
        <f>COUNTIFS('All Papers'!$D:$D,"*"&amp;$A1721&amp;"*",'All Papers'!$G:$G,"*"&amp;Table1[[#Headers],[SLA Management]]&amp;"*")</f>
        <v>0</v>
      </c>
      <c r="J1721" s="8">
        <f>COUNTIFS('All Papers'!$D:$D,"*"&amp;$A1721&amp;"*",'All Papers'!$G:$G,"*"&amp;Table1[[#Headers],[Big Data]]&amp;"*")</f>
        <v>0</v>
      </c>
      <c r="K1721" s="8">
        <f>COUNTIFS('All Papers'!$D:$D,"*"&amp;$A1721&amp;"*",'All Papers'!$G:$G,"*"&amp;Table1[[#Headers],[Energy Management]]&amp;"*")</f>
        <v>0</v>
      </c>
      <c r="L1721" s="8">
        <f>COUNTIFS('All Papers'!$D:$D,"*"&amp;$A1721&amp;"*",'All Papers'!$G:$G,"*"&amp;Table1[[#Headers],[Monitoring]]&amp;"*")</f>
        <v>0</v>
      </c>
      <c r="M1721" s="8">
        <f>COUNTIFS('All Papers'!$D:$D,"*"&amp;$A1721&amp;"*",'All Papers'!$G:$G,"*"&amp;Table1[[#Headers],[Pricing]]&amp;"*")</f>
        <v>0</v>
      </c>
    </row>
    <row r="1722" spans="1:13" x14ac:dyDescent="0.25">
      <c r="A1722" s="8" t="s">
        <v>4155</v>
      </c>
      <c r="B1722" s="8">
        <f>COUNTIF('All Papers'!D:D,"*"&amp;Table1[[#This Row],[Name]]&amp;"*")</f>
        <v>1</v>
      </c>
      <c r="C1722" s="8">
        <f>COUNTIFS('All Papers'!$D:$D,"*"&amp;$A1722&amp;"*",'All Papers'!$G:$G,"*"&amp;Table1[[#Headers],[Composition]]&amp;"*")</f>
        <v>0</v>
      </c>
      <c r="D1722" s="8">
        <f>COUNTIFS('All Papers'!$D:$D,"*"&amp;$A1722&amp;"*",'All Papers'!$G:$G,"*"&amp;Table1[[#Headers],[Discovery]]&amp;"*")</f>
        <v>1</v>
      </c>
      <c r="E1722" s="8">
        <f>COUNTIFS('All Papers'!$D:$D,"*"&amp;$A1722&amp;"*",'All Papers'!$G:$G,"*"&amp;Table1[[#Headers],[Selection]]&amp;"*")</f>
        <v>0</v>
      </c>
      <c r="F1722" s="8">
        <f>COUNTIFS('All Papers'!$D:$D,"*"&amp;$A1722&amp;"*",'All Papers'!$G:$G,"*"&amp;Table1[[#Headers],[Recommendation]]&amp;"*")</f>
        <v>0</v>
      </c>
      <c r="G1722" s="8">
        <f>COUNTIFS('All Papers'!$D:$D,"*"&amp;$A1722&amp;"*",'All Papers'!$G:$G,"*"&amp;Table1[[#Headers],[Resource Management-CS]]&amp;"*")</f>
        <v>0</v>
      </c>
      <c r="H1722" s="8">
        <f>COUNTIFS('All Papers'!$D:$D,"*"&amp;$A1722&amp;"*",'All Papers'!$G:$G,"*"&amp;Table1[[#Headers],[Resource Management-PS]]&amp;"*")</f>
        <v>0</v>
      </c>
      <c r="I1722" s="8">
        <f>COUNTIFS('All Papers'!$D:$D,"*"&amp;$A1722&amp;"*",'All Papers'!$G:$G,"*"&amp;Table1[[#Headers],[SLA Management]]&amp;"*")</f>
        <v>0</v>
      </c>
      <c r="J1722" s="8">
        <f>COUNTIFS('All Papers'!$D:$D,"*"&amp;$A1722&amp;"*",'All Papers'!$G:$G,"*"&amp;Table1[[#Headers],[Big Data]]&amp;"*")</f>
        <v>0</v>
      </c>
      <c r="K1722" s="8">
        <f>COUNTIFS('All Papers'!$D:$D,"*"&amp;$A1722&amp;"*",'All Papers'!$G:$G,"*"&amp;Table1[[#Headers],[Energy Management]]&amp;"*")</f>
        <v>0</v>
      </c>
      <c r="L1722" s="8">
        <f>COUNTIFS('All Papers'!$D:$D,"*"&amp;$A1722&amp;"*",'All Papers'!$G:$G,"*"&amp;Table1[[#Headers],[Monitoring]]&amp;"*")</f>
        <v>0</v>
      </c>
      <c r="M1722" s="8">
        <f>COUNTIFS('All Papers'!$D:$D,"*"&amp;$A1722&amp;"*",'All Papers'!$G:$G,"*"&amp;Table1[[#Headers],[Pricing]]&amp;"*")</f>
        <v>0</v>
      </c>
    </row>
    <row r="1723" spans="1:13" x14ac:dyDescent="0.25">
      <c r="A1723" s="8" t="s">
        <v>4156</v>
      </c>
      <c r="B1723" s="8">
        <f>COUNTIF('All Papers'!D:D,"*"&amp;Table1[[#This Row],[Name]]&amp;"*")</f>
        <v>1</v>
      </c>
      <c r="C1723" s="8">
        <f>COUNTIFS('All Papers'!$D:$D,"*"&amp;$A1723&amp;"*",'All Papers'!$G:$G,"*"&amp;Table1[[#Headers],[Composition]]&amp;"*")</f>
        <v>0</v>
      </c>
      <c r="D1723" s="8">
        <f>COUNTIFS('All Papers'!$D:$D,"*"&amp;$A1723&amp;"*",'All Papers'!$G:$G,"*"&amp;Table1[[#Headers],[Discovery]]&amp;"*")</f>
        <v>1</v>
      </c>
      <c r="E1723" s="8">
        <f>COUNTIFS('All Papers'!$D:$D,"*"&amp;$A1723&amp;"*",'All Papers'!$G:$G,"*"&amp;Table1[[#Headers],[Selection]]&amp;"*")</f>
        <v>0</v>
      </c>
      <c r="F1723" s="8">
        <f>COUNTIFS('All Papers'!$D:$D,"*"&amp;$A1723&amp;"*",'All Papers'!$G:$G,"*"&amp;Table1[[#Headers],[Recommendation]]&amp;"*")</f>
        <v>0</v>
      </c>
      <c r="G1723" s="8">
        <f>COUNTIFS('All Papers'!$D:$D,"*"&amp;$A1723&amp;"*",'All Papers'!$G:$G,"*"&amp;Table1[[#Headers],[Resource Management-CS]]&amp;"*")</f>
        <v>0</v>
      </c>
      <c r="H1723" s="8">
        <f>COUNTIFS('All Papers'!$D:$D,"*"&amp;$A1723&amp;"*",'All Papers'!$G:$G,"*"&amp;Table1[[#Headers],[Resource Management-PS]]&amp;"*")</f>
        <v>0</v>
      </c>
      <c r="I1723" s="8">
        <f>COUNTIFS('All Papers'!$D:$D,"*"&amp;$A1723&amp;"*",'All Papers'!$G:$G,"*"&amp;Table1[[#Headers],[SLA Management]]&amp;"*")</f>
        <v>0</v>
      </c>
      <c r="J1723" s="8">
        <f>COUNTIFS('All Papers'!$D:$D,"*"&amp;$A1723&amp;"*",'All Papers'!$G:$G,"*"&amp;Table1[[#Headers],[Big Data]]&amp;"*")</f>
        <v>0</v>
      </c>
      <c r="K1723" s="8">
        <f>COUNTIFS('All Papers'!$D:$D,"*"&amp;$A1723&amp;"*",'All Papers'!$G:$G,"*"&amp;Table1[[#Headers],[Energy Management]]&amp;"*")</f>
        <v>0</v>
      </c>
      <c r="L1723" s="8">
        <f>COUNTIFS('All Papers'!$D:$D,"*"&amp;$A1723&amp;"*",'All Papers'!$G:$G,"*"&amp;Table1[[#Headers],[Monitoring]]&amp;"*")</f>
        <v>0</v>
      </c>
      <c r="M1723" s="8">
        <f>COUNTIFS('All Papers'!$D:$D,"*"&amp;$A1723&amp;"*",'All Papers'!$G:$G,"*"&amp;Table1[[#Headers],[Pricing]]&amp;"*")</f>
        <v>0</v>
      </c>
    </row>
    <row r="1724" spans="1:13" x14ac:dyDescent="0.25">
      <c r="A1724" s="8" t="s">
        <v>4157</v>
      </c>
      <c r="B1724" s="8">
        <f>COUNTIF('All Papers'!D:D,"*"&amp;Table1[[#This Row],[Name]]&amp;"*")</f>
        <v>1</v>
      </c>
      <c r="C1724" s="8">
        <f>COUNTIFS('All Papers'!$D:$D,"*"&amp;$A1724&amp;"*",'All Papers'!$G:$G,"*"&amp;Table1[[#Headers],[Composition]]&amp;"*")</f>
        <v>0</v>
      </c>
      <c r="D1724" s="8">
        <f>COUNTIFS('All Papers'!$D:$D,"*"&amp;$A1724&amp;"*",'All Papers'!$G:$G,"*"&amp;Table1[[#Headers],[Discovery]]&amp;"*")</f>
        <v>1</v>
      </c>
      <c r="E1724" s="8">
        <f>COUNTIFS('All Papers'!$D:$D,"*"&amp;$A1724&amp;"*",'All Papers'!$G:$G,"*"&amp;Table1[[#Headers],[Selection]]&amp;"*")</f>
        <v>0</v>
      </c>
      <c r="F1724" s="8">
        <f>COUNTIFS('All Papers'!$D:$D,"*"&amp;$A1724&amp;"*",'All Papers'!$G:$G,"*"&amp;Table1[[#Headers],[Recommendation]]&amp;"*")</f>
        <v>0</v>
      </c>
      <c r="G1724" s="8">
        <f>COUNTIFS('All Papers'!$D:$D,"*"&amp;$A1724&amp;"*",'All Papers'!$G:$G,"*"&amp;Table1[[#Headers],[Resource Management-CS]]&amp;"*")</f>
        <v>0</v>
      </c>
      <c r="H1724" s="8">
        <f>COUNTIFS('All Papers'!$D:$D,"*"&amp;$A1724&amp;"*",'All Papers'!$G:$G,"*"&amp;Table1[[#Headers],[Resource Management-PS]]&amp;"*")</f>
        <v>0</v>
      </c>
      <c r="I1724" s="8">
        <f>COUNTIFS('All Papers'!$D:$D,"*"&amp;$A1724&amp;"*",'All Papers'!$G:$G,"*"&amp;Table1[[#Headers],[SLA Management]]&amp;"*")</f>
        <v>0</v>
      </c>
      <c r="J1724" s="8">
        <f>COUNTIFS('All Papers'!$D:$D,"*"&amp;$A1724&amp;"*",'All Papers'!$G:$G,"*"&amp;Table1[[#Headers],[Big Data]]&amp;"*")</f>
        <v>0</v>
      </c>
      <c r="K1724" s="8">
        <f>COUNTIFS('All Papers'!$D:$D,"*"&amp;$A1724&amp;"*",'All Papers'!$G:$G,"*"&amp;Table1[[#Headers],[Energy Management]]&amp;"*")</f>
        <v>0</v>
      </c>
      <c r="L1724" s="8">
        <f>COUNTIFS('All Papers'!$D:$D,"*"&amp;$A1724&amp;"*",'All Papers'!$G:$G,"*"&amp;Table1[[#Headers],[Monitoring]]&amp;"*")</f>
        <v>0</v>
      </c>
      <c r="M1724" s="8">
        <f>COUNTIFS('All Papers'!$D:$D,"*"&amp;$A1724&amp;"*",'All Papers'!$G:$G,"*"&amp;Table1[[#Headers],[Pricing]]&amp;"*")</f>
        <v>0</v>
      </c>
    </row>
    <row r="1725" spans="1:13" x14ac:dyDescent="0.25">
      <c r="A1725" s="8" t="s">
        <v>4158</v>
      </c>
      <c r="B1725" s="8">
        <f>COUNTIF('All Papers'!D:D,"*"&amp;Table1[[#This Row],[Name]]&amp;"*")</f>
        <v>1</v>
      </c>
      <c r="C1725" s="8">
        <f>COUNTIFS('All Papers'!$D:$D,"*"&amp;$A1725&amp;"*",'All Papers'!$G:$G,"*"&amp;Table1[[#Headers],[Composition]]&amp;"*")</f>
        <v>0</v>
      </c>
      <c r="D1725" s="8">
        <f>COUNTIFS('All Papers'!$D:$D,"*"&amp;$A1725&amp;"*",'All Papers'!$G:$G,"*"&amp;Table1[[#Headers],[Discovery]]&amp;"*")</f>
        <v>1</v>
      </c>
      <c r="E1725" s="8">
        <f>COUNTIFS('All Papers'!$D:$D,"*"&amp;$A1725&amp;"*",'All Papers'!$G:$G,"*"&amp;Table1[[#Headers],[Selection]]&amp;"*")</f>
        <v>0</v>
      </c>
      <c r="F1725" s="8">
        <f>COUNTIFS('All Papers'!$D:$D,"*"&amp;$A1725&amp;"*",'All Papers'!$G:$G,"*"&amp;Table1[[#Headers],[Recommendation]]&amp;"*")</f>
        <v>0</v>
      </c>
      <c r="G1725" s="8">
        <f>COUNTIFS('All Papers'!$D:$D,"*"&amp;$A1725&amp;"*",'All Papers'!$G:$G,"*"&amp;Table1[[#Headers],[Resource Management-CS]]&amp;"*")</f>
        <v>0</v>
      </c>
      <c r="H1725" s="8">
        <f>COUNTIFS('All Papers'!$D:$D,"*"&amp;$A1725&amp;"*",'All Papers'!$G:$G,"*"&amp;Table1[[#Headers],[Resource Management-PS]]&amp;"*")</f>
        <v>0</v>
      </c>
      <c r="I1725" s="8">
        <f>COUNTIFS('All Papers'!$D:$D,"*"&amp;$A1725&amp;"*",'All Papers'!$G:$G,"*"&amp;Table1[[#Headers],[SLA Management]]&amp;"*")</f>
        <v>0</v>
      </c>
      <c r="J1725" s="8">
        <f>COUNTIFS('All Papers'!$D:$D,"*"&amp;$A1725&amp;"*",'All Papers'!$G:$G,"*"&amp;Table1[[#Headers],[Big Data]]&amp;"*")</f>
        <v>0</v>
      </c>
      <c r="K1725" s="8">
        <f>COUNTIFS('All Papers'!$D:$D,"*"&amp;$A1725&amp;"*",'All Papers'!$G:$G,"*"&amp;Table1[[#Headers],[Energy Management]]&amp;"*")</f>
        <v>0</v>
      </c>
      <c r="L1725" s="8">
        <f>COUNTIFS('All Papers'!$D:$D,"*"&amp;$A1725&amp;"*",'All Papers'!$G:$G,"*"&amp;Table1[[#Headers],[Monitoring]]&amp;"*")</f>
        <v>0</v>
      </c>
      <c r="M1725" s="8">
        <f>COUNTIFS('All Papers'!$D:$D,"*"&amp;$A1725&amp;"*",'All Papers'!$G:$G,"*"&amp;Table1[[#Headers],[Pricing]]&amp;"*")</f>
        <v>0</v>
      </c>
    </row>
    <row r="1726" spans="1:13" x14ac:dyDescent="0.25">
      <c r="A1726" s="8" t="s">
        <v>4159</v>
      </c>
      <c r="B1726" s="8">
        <f>COUNTIF('All Papers'!D:D,"*"&amp;Table1[[#This Row],[Name]]&amp;"*")</f>
        <v>1</v>
      </c>
      <c r="C1726" s="8">
        <f>COUNTIFS('All Papers'!$D:$D,"*"&amp;$A1726&amp;"*",'All Papers'!$G:$G,"*"&amp;Table1[[#Headers],[Composition]]&amp;"*")</f>
        <v>0</v>
      </c>
      <c r="D1726" s="8">
        <f>COUNTIFS('All Papers'!$D:$D,"*"&amp;$A1726&amp;"*",'All Papers'!$G:$G,"*"&amp;Table1[[#Headers],[Discovery]]&amp;"*")</f>
        <v>1</v>
      </c>
      <c r="E1726" s="8">
        <f>COUNTIFS('All Papers'!$D:$D,"*"&amp;$A1726&amp;"*",'All Papers'!$G:$G,"*"&amp;Table1[[#Headers],[Selection]]&amp;"*")</f>
        <v>0</v>
      </c>
      <c r="F1726" s="8">
        <f>COUNTIFS('All Papers'!$D:$D,"*"&amp;$A1726&amp;"*",'All Papers'!$G:$G,"*"&amp;Table1[[#Headers],[Recommendation]]&amp;"*")</f>
        <v>0</v>
      </c>
      <c r="G1726" s="8">
        <f>COUNTIFS('All Papers'!$D:$D,"*"&amp;$A1726&amp;"*",'All Papers'!$G:$G,"*"&amp;Table1[[#Headers],[Resource Management-CS]]&amp;"*")</f>
        <v>0</v>
      </c>
      <c r="H1726" s="8">
        <f>COUNTIFS('All Papers'!$D:$D,"*"&amp;$A1726&amp;"*",'All Papers'!$G:$G,"*"&amp;Table1[[#Headers],[Resource Management-PS]]&amp;"*")</f>
        <v>0</v>
      </c>
      <c r="I1726" s="8">
        <f>COUNTIFS('All Papers'!$D:$D,"*"&amp;$A1726&amp;"*",'All Papers'!$G:$G,"*"&amp;Table1[[#Headers],[SLA Management]]&amp;"*")</f>
        <v>0</v>
      </c>
      <c r="J1726" s="8">
        <f>COUNTIFS('All Papers'!$D:$D,"*"&amp;$A1726&amp;"*",'All Papers'!$G:$G,"*"&amp;Table1[[#Headers],[Big Data]]&amp;"*")</f>
        <v>0</v>
      </c>
      <c r="K1726" s="8">
        <f>COUNTIFS('All Papers'!$D:$D,"*"&amp;$A1726&amp;"*",'All Papers'!$G:$G,"*"&amp;Table1[[#Headers],[Energy Management]]&amp;"*")</f>
        <v>0</v>
      </c>
      <c r="L1726" s="8">
        <f>COUNTIFS('All Papers'!$D:$D,"*"&amp;$A1726&amp;"*",'All Papers'!$G:$G,"*"&amp;Table1[[#Headers],[Monitoring]]&amp;"*")</f>
        <v>0</v>
      </c>
      <c r="M1726" s="8">
        <f>COUNTIFS('All Papers'!$D:$D,"*"&amp;$A1726&amp;"*",'All Papers'!$G:$G,"*"&amp;Table1[[#Headers],[Pricing]]&amp;"*")</f>
        <v>0</v>
      </c>
    </row>
    <row r="1727" spans="1:13" x14ac:dyDescent="0.25">
      <c r="A1727" s="8" t="s">
        <v>4160</v>
      </c>
      <c r="B1727" s="8">
        <f>COUNTIF('All Papers'!D:D,"*"&amp;Table1[[#This Row],[Name]]&amp;"*")</f>
        <v>1</v>
      </c>
      <c r="C1727" s="8">
        <f>COUNTIFS('All Papers'!$D:$D,"*"&amp;$A1727&amp;"*",'All Papers'!$G:$G,"*"&amp;Table1[[#Headers],[Composition]]&amp;"*")</f>
        <v>0</v>
      </c>
      <c r="D1727" s="8">
        <f>COUNTIFS('All Papers'!$D:$D,"*"&amp;$A1727&amp;"*",'All Papers'!$G:$G,"*"&amp;Table1[[#Headers],[Discovery]]&amp;"*")</f>
        <v>0</v>
      </c>
      <c r="E1727" s="8">
        <f>COUNTIFS('All Papers'!$D:$D,"*"&amp;$A1727&amp;"*",'All Papers'!$G:$G,"*"&amp;Table1[[#Headers],[Selection]]&amp;"*")</f>
        <v>1</v>
      </c>
      <c r="F1727" s="8">
        <f>COUNTIFS('All Papers'!$D:$D,"*"&amp;$A1727&amp;"*",'All Papers'!$G:$G,"*"&amp;Table1[[#Headers],[Recommendation]]&amp;"*")</f>
        <v>0</v>
      </c>
      <c r="G1727" s="8">
        <f>COUNTIFS('All Papers'!$D:$D,"*"&amp;$A1727&amp;"*",'All Papers'!$G:$G,"*"&amp;Table1[[#Headers],[Resource Management-CS]]&amp;"*")</f>
        <v>1</v>
      </c>
      <c r="H1727" s="8">
        <f>COUNTIFS('All Papers'!$D:$D,"*"&amp;$A1727&amp;"*",'All Papers'!$G:$G,"*"&amp;Table1[[#Headers],[Resource Management-PS]]&amp;"*")</f>
        <v>0</v>
      </c>
      <c r="I1727" s="8">
        <f>COUNTIFS('All Papers'!$D:$D,"*"&amp;$A1727&amp;"*",'All Papers'!$G:$G,"*"&amp;Table1[[#Headers],[SLA Management]]&amp;"*")</f>
        <v>0</v>
      </c>
      <c r="J1727" s="8">
        <f>COUNTIFS('All Papers'!$D:$D,"*"&amp;$A1727&amp;"*",'All Papers'!$G:$G,"*"&amp;Table1[[#Headers],[Big Data]]&amp;"*")</f>
        <v>0</v>
      </c>
      <c r="K1727" s="8">
        <f>COUNTIFS('All Papers'!$D:$D,"*"&amp;$A1727&amp;"*",'All Papers'!$G:$G,"*"&amp;Table1[[#Headers],[Energy Management]]&amp;"*")</f>
        <v>0</v>
      </c>
      <c r="L1727" s="8">
        <f>COUNTIFS('All Papers'!$D:$D,"*"&amp;$A1727&amp;"*",'All Papers'!$G:$G,"*"&amp;Table1[[#Headers],[Monitoring]]&amp;"*")</f>
        <v>0</v>
      </c>
      <c r="M1727" s="8">
        <f>COUNTIFS('All Papers'!$D:$D,"*"&amp;$A1727&amp;"*",'All Papers'!$G:$G,"*"&amp;Table1[[#Headers],[Pricing]]&amp;"*")</f>
        <v>0</v>
      </c>
    </row>
    <row r="1728" spans="1:13" x14ac:dyDescent="0.25">
      <c r="A1728" s="8" t="s">
        <v>4161</v>
      </c>
      <c r="B1728" s="8">
        <f>COUNTIF('All Papers'!D:D,"*"&amp;Table1[[#This Row],[Name]]&amp;"*")</f>
        <v>1</v>
      </c>
      <c r="C1728" s="8">
        <f>COUNTIFS('All Papers'!$D:$D,"*"&amp;$A1728&amp;"*",'All Papers'!$G:$G,"*"&amp;Table1[[#Headers],[Composition]]&amp;"*")</f>
        <v>0</v>
      </c>
      <c r="D1728" s="8">
        <f>COUNTIFS('All Papers'!$D:$D,"*"&amp;$A1728&amp;"*",'All Papers'!$G:$G,"*"&amp;Table1[[#Headers],[Discovery]]&amp;"*")</f>
        <v>0</v>
      </c>
      <c r="E1728" s="8">
        <f>COUNTIFS('All Papers'!$D:$D,"*"&amp;$A1728&amp;"*",'All Papers'!$G:$G,"*"&amp;Table1[[#Headers],[Selection]]&amp;"*")</f>
        <v>1</v>
      </c>
      <c r="F1728" s="8">
        <f>COUNTIFS('All Papers'!$D:$D,"*"&amp;$A1728&amp;"*",'All Papers'!$G:$G,"*"&amp;Table1[[#Headers],[Recommendation]]&amp;"*")</f>
        <v>0</v>
      </c>
      <c r="G1728" s="8">
        <f>COUNTIFS('All Papers'!$D:$D,"*"&amp;$A1728&amp;"*",'All Papers'!$G:$G,"*"&amp;Table1[[#Headers],[Resource Management-CS]]&amp;"*")</f>
        <v>1</v>
      </c>
      <c r="H1728" s="8">
        <f>COUNTIFS('All Papers'!$D:$D,"*"&amp;$A1728&amp;"*",'All Papers'!$G:$G,"*"&amp;Table1[[#Headers],[Resource Management-PS]]&amp;"*")</f>
        <v>0</v>
      </c>
      <c r="I1728" s="8">
        <f>COUNTIFS('All Papers'!$D:$D,"*"&amp;$A1728&amp;"*",'All Papers'!$G:$G,"*"&amp;Table1[[#Headers],[SLA Management]]&amp;"*")</f>
        <v>0</v>
      </c>
      <c r="J1728" s="8">
        <f>COUNTIFS('All Papers'!$D:$D,"*"&amp;$A1728&amp;"*",'All Papers'!$G:$G,"*"&amp;Table1[[#Headers],[Big Data]]&amp;"*")</f>
        <v>0</v>
      </c>
      <c r="K1728" s="8">
        <f>COUNTIFS('All Papers'!$D:$D,"*"&amp;$A1728&amp;"*",'All Papers'!$G:$G,"*"&amp;Table1[[#Headers],[Energy Management]]&amp;"*")</f>
        <v>0</v>
      </c>
      <c r="L1728" s="8">
        <f>COUNTIFS('All Papers'!$D:$D,"*"&amp;$A1728&amp;"*",'All Papers'!$G:$G,"*"&amp;Table1[[#Headers],[Monitoring]]&amp;"*")</f>
        <v>0</v>
      </c>
      <c r="M1728" s="8">
        <f>COUNTIFS('All Papers'!$D:$D,"*"&amp;$A1728&amp;"*",'All Papers'!$G:$G,"*"&amp;Table1[[#Headers],[Pricing]]&amp;"*")</f>
        <v>0</v>
      </c>
    </row>
    <row r="1729" spans="1:13" x14ac:dyDescent="0.25">
      <c r="A1729" s="8" t="s">
        <v>4162</v>
      </c>
      <c r="B1729" s="8">
        <f>COUNTIF('All Papers'!D:D,"*"&amp;Table1[[#This Row],[Name]]&amp;"*")</f>
        <v>1</v>
      </c>
      <c r="C1729" s="8">
        <f>COUNTIFS('All Papers'!$D:$D,"*"&amp;$A1729&amp;"*",'All Papers'!$G:$G,"*"&amp;Table1[[#Headers],[Composition]]&amp;"*")</f>
        <v>0</v>
      </c>
      <c r="D1729" s="8">
        <f>COUNTIFS('All Papers'!$D:$D,"*"&amp;$A1729&amp;"*",'All Papers'!$G:$G,"*"&amp;Table1[[#Headers],[Discovery]]&amp;"*")</f>
        <v>0</v>
      </c>
      <c r="E1729" s="8">
        <f>COUNTIFS('All Papers'!$D:$D,"*"&amp;$A1729&amp;"*",'All Papers'!$G:$G,"*"&amp;Table1[[#Headers],[Selection]]&amp;"*")</f>
        <v>1</v>
      </c>
      <c r="F1729" s="8">
        <f>COUNTIFS('All Papers'!$D:$D,"*"&amp;$A1729&amp;"*",'All Papers'!$G:$G,"*"&amp;Table1[[#Headers],[Recommendation]]&amp;"*")</f>
        <v>0</v>
      </c>
      <c r="G1729" s="8">
        <f>COUNTIFS('All Papers'!$D:$D,"*"&amp;$A1729&amp;"*",'All Papers'!$G:$G,"*"&amp;Table1[[#Headers],[Resource Management-CS]]&amp;"*")</f>
        <v>1</v>
      </c>
      <c r="H1729" s="8">
        <f>COUNTIFS('All Papers'!$D:$D,"*"&amp;$A1729&amp;"*",'All Papers'!$G:$G,"*"&amp;Table1[[#Headers],[Resource Management-PS]]&amp;"*")</f>
        <v>0</v>
      </c>
      <c r="I1729" s="8">
        <f>COUNTIFS('All Papers'!$D:$D,"*"&amp;$A1729&amp;"*",'All Papers'!$G:$G,"*"&amp;Table1[[#Headers],[SLA Management]]&amp;"*")</f>
        <v>0</v>
      </c>
      <c r="J1729" s="8">
        <f>COUNTIFS('All Papers'!$D:$D,"*"&amp;$A1729&amp;"*",'All Papers'!$G:$G,"*"&amp;Table1[[#Headers],[Big Data]]&amp;"*")</f>
        <v>0</v>
      </c>
      <c r="K1729" s="8">
        <f>COUNTIFS('All Papers'!$D:$D,"*"&amp;$A1729&amp;"*",'All Papers'!$G:$G,"*"&amp;Table1[[#Headers],[Energy Management]]&amp;"*")</f>
        <v>0</v>
      </c>
      <c r="L1729" s="8">
        <f>COUNTIFS('All Papers'!$D:$D,"*"&amp;$A1729&amp;"*",'All Papers'!$G:$G,"*"&amp;Table1[[#Headers],[Monitoring]]&amp;"*")</f>
        <v>0</v>
      </c>
      <c r="M1729" s="8">
        <f>COUNTIFS('All Papers'!$D:$D,"*"&amp;$A1729&amp;"*",'All Papers'!$G:$G,"*"&amp;Table1[[#Headers],[Pricing]]&amp;"*")</f>
        <v>0</v>
      </c>
    </row>
    <row r="1730" spans="1:13" x14ac:dyDescent="0.25">
      <c r="A1730" s="8" t="s">
        <v>4163</v>
      </c>
      <c r="B1730" s="8">
        <f>COUNTIF('All Papers'!D:D,"*"&amp;Table1[[#This Row],[Name]]&amp;"*")</f>
        <v>1</v>
      </c>
      <c r="C1730" s="8">
        <f>COUNTIFS('All Papers'!$D:$D,"*"&amp;$A1730&amp;"*",'All Papers'!$G:$G,"*"&amp;Table1[[#Headers],[Composition]]&amp;"*")</f>
        <v>0</v>
      </c>
      <c r="D1730" s="8">
        <f>COUNTIFS('All Papers'!$D:$D,"*"&amp;$A1730&amp;"*",'All Papers'!$G:$G,"*"&amp;Table1[[#Headers],[Discovery]]&amp;"*")</f>
        <v>0</v>
      </c>
      <c r="E1730" s="8">
        <f>COUNTIFS('All Papers'!$D:$D,"*"&amp;$A1730&amp;"*",'All Papers'!$G:$G,"*"&amp;Table1[[#Headers],[Selection]]&amp;"*")</f>
        <v>1</v>
      </c>
      <c r="F1730" s="8">
        <f>COUNTIFS('All Papers'!$D:$D,"*"&amp;$A1730&amp;"*",'All Papers'!$G:$G,"*"&amp;Table1[[#Headers],[Recommendation]]&amp;"*")</f>
        <v>0</v>
      </c>
      <c r="G1730" s="8">
        <f>COUNTIFS('All Papers'!$D:$D,"*"&amp;$A1730&amp;"*",'All Papers'!$G:$G,"*"&amp;Table1[[#Headers],[Resource Management-CS]]&amp;"*")</f>
        <v>1</v>
      </c>
      <c r="H1730" s="8">
        <f>COUNTIFS('All Papers'!$D:$D,"*"&amp;$A1730&amp;"*",'All Papers'!$G:$G,"*"&amp;Table1[[#Headers],[Resource Management-PS]]&amp;"*")</f>
        <v>0</v>
      </c>
      <c r="I1730" s="8">
        <f>COUNTIFS('All Papers'!$D:$D,"*"&amp;$A1730&amp;"*",'All Papers'!$G:$G,"*"&amp;Table1[[#Headers],[SLA Management]]&amp;"*")</f>
        <v>0</v>
      </c>
      <c r="J1730" s="8">
        <f>COUNTIFS('All Papers'!$D:$D,"*"&amp;$A1730&amp;"*",'All Papers'!$G:$G,"*"&amp;Table1[[#Headers],[Big Data]]&amp;"*")</f>
        <v>0</v>
      </c>
      <c r="K1730" s="8">
        <f>COUNTIFS('All Papers'!$D:$D,"*"&amp;$A1730&amp;"*",'All Papers'!$G:$G,"*"&amp;Table1[[#Headers],[Energy Management]]&amp;"*")</f>
        <v>0</v>
      </c>
      <c r="L1730" s="8">
        <f>COUNTIFS('All Papers'!$D:$D,"*"&amp;$A1730&amp;"*",'All Papers'!$G:$G,"*"&amp;Table1[[#Headers],[Monitoring]]&amp;"*")</f>
        <v>0</v>
      </c>
      <c r="M1730" s="8">
        <f>COUNTIFS('All Papers'!$D:$D,"*"&amp;$A1730&amp;"*",'All Papers'!$G:$G,"*"&amp;Table1[[#Headers],[Pricing]]&amp;"*")</f>
        <v>0</v>
      </c>
    </row>
    <row r="1731" spans="1:13" x14ac:dyDescent="0.25">
      <c r="A1731" s="8" t="s">
        <v>4164</v>
      </c>
      <c r="B1731" s="8">
        <f>COUNTIF('All Papers'!D:D,"*"&amp;Table1[[#This Row],[Name]]&amp;"*")</f>
        <v>1</v>
      </c>
      <c r="C1731" s="8">
        <f>COUNTIFS('All Papers'!$D:$D,"*"&amp;$A1731&amp;"*",'All Papers'!$G:$G,"*"&amp;Table1[[#Headers],[Composition]]&amp;"*")</f>
        <v>0</v>
      </c>
      <c r="D1731" s="8">
        <f>COUNTIFS('All Papers'!$D:$D,"*"&amp;$A1731&amp;"*",'All Papers'!$G:$G,"*"&amp;Table1[[#Headers],[Discovery]]&amp;"*")</f>
        <v>0</v>
      </c>
      <c r="E1731" s="8">
        <f>COUNTIFS('All Papers'!$D:$D,"*"&amp;$A1731&amp;"*",'All Papers'!$G:$G,"*"&amp;Table1[[#Headers],[Selection]]&amp;"*")</f>
        <v>0</v>
      </c>
      <c r="F1731" s="8">
        <f>COUNTIFS('All Papers'!$D:$D,"*"&amp;$A1731&amp;"*",'All Papers'!$G:$G,"*"&amp;Table1[[#Headers],[Recommendation]]&amp;"*")</f>
        <v>0</v>
      </c>
      <c r="G1731" s="8">
        <f>COUNTIFS('All Papers'!$D:$D,"*"&amp;$A1731&amp;"*",'All Papers'!$G:$G,"*"&amp;Table1[[#Headers],[Resource Management-CS]]&amp;"*")</f>
        <v>1</v>
      </c>
      <c r="H1731" s="8">
        <f>COUNTIFS('All Papers'!$D:$D,"*"&amp;$A1731&amp;"*",'All Papers'!$G:$G,"*"&amp;Table1[[#Headers],[Resource Management-PS]]&amp;"*")</f>
        <v>0</v>
      </c>
      <c r="I1731" s="8">
        <f>COUNTIFS('All Papers'!$D:$D,"*"&amp;$A1731&amp;"*",'All Papers'!$G:$G,"*"&amp;Table1[[#Headers],[SLA Management]]&amp;"*")</f>
        <v>0</v>
      </c>
      <c r="J1731" s="8">
        <f>COUNTIFS('All Papers'!$D:$D,"*"&amp;$A1731&amp;"*",'All Papers'!$G:$G,"*"&amp;Table1[[#Headers],[Big Data]]&amp;"*")</f>
        <v>0</v>
      </c>
      <c r="K1731" s="8">
        <f>COUNTIFS('All Papers'!$D:$D,"*"&amp;$A1731&amp;"*",'All Papers'!$G:$G,"*"&amp;Table1[[#Headers],[Energy Management]]&amp;"*")</f>
        <v>0</v>
      </c>
      <c r="L1731" s="8">
        <f>COUNTIFS('All Papers'!$D:$D,"*"&amp;$A1731&amp;"*",'All Papers'!$G:$G,"*"&amp;Table1[[#Headers],[Monitoring]]&amp;"*")</f>
        <v>0</v>
      </c>
      <c r="M1731" s="8">
        <f>COUNTIFS('All Papers'!$D:$D,"*"&amp;$A1731&amp;"*",'All Papers'!$G:$G,"*"&amp;Table1[[#Headers],[Pricing]]&amp;"*")</f>
        <v>0</v>
      </c>
    </row>
    <row r="1732" spans="1:13" x14ac:dyDescent="0.25">
      <c r="A1732" s="8" t="s">
        <v>4165</v>
      </c>
      <c r="B1732" s="8">
        <f>COUNTIF('All Papers'!D:D,"*"&amp;Table1[[#This Row],[Name]]&amp;"*")</f>
        <v>1</v>
      </c>
      <c r="C1732" s="8">
        <f>COUNTIFS('All Papers'!$D:$D,"*"&amp;$A1732&amp;"*",'All Papers'!$G:$G,"*"&amp;Table1[[#Headers],[Composition]]&amp;"*")</f>
        <v>0</v>
      </c>
      <c r="D1732" s="8">
        <f>COUNTIFS('All Papers'!$D:$D,"*"&amp;$A1732&amp;"*",'All Papers'!$G:$G,"*"&amp;Table1[[#Headers],[Discovery]]&amp;"*")</f>
        <v>0</v>
      </c>
      <c r="E1732" s="8">
        <f>COUNTIFS('All Papers'!$D:$D,"*"&amp;$A1732&amp;"*",'All Papers'!$G:$G,"*"&amp;Table1[[#Headers],[Selection]]&amp;"*")</f>
        <v>0</v>
      </c>
      <c r="F1732" s="8">
        <f>COUNTIFS('All Papers'!$D:$D,"*"&amp;$A1732&amp;"*",'All Papers'!$G:$G,"*"&amp;Table1[[#Headers],[Recommendation]]&amp;"*")</f>
        <v>0</v>
      </c>
      <c r="G1732" s="8">
        <f>COUNTIFS('All Papers'!$D:$D,"*"&amp;$A1732&amp;"*",'All Papers'!$G:$G,"*"&amp;Table1[[#Headers],[Resource Management-CS]]&amp;"*")</f>
        <v>1</v>
      </c>
      <c r="H1732" s="8">
        <f>COUNTIFS('All Papers'!$D:$D,"*"&amp;$A1732&amp;"*",'All Papers'!$G:$G,"*"&amp;Table1[[#Headers],[Resource Management-PS]]&amp;"*")</f>
        <v>0</v>
      </c>
      <c r="I1732" s="8">
        <f>COUNTIFS('All Papers'!$D:$D,"*"&amp;$A1732&amp;"*",'All Papers'!$G:$G,"*"&amp;Table1[[#Headers],[SLA Management]]&amp;"*")</f>
        <v>0</v>
      </c>
      <c r="J1732" s="8">
        <f>COUNTIFS('All Papers'!$D:$D,"*"&amp;$A1732&amp;"*",'All Papers'!$G:$G,"*"&amp;Table1[[#Headers],[Big Data]]&amp;"*")</f>
        <v>0</v>
      </c>
      <c r="K1732" s="8">
        <f>COUNTIFS('All Papers'!$D:$D,"*"&amp;$A1732&amp;"*",'All Papers'!$G:$G,"*"&amp;Table1[[#Headers],[Energy Management]]&amp;"*")</f>
        <v>0</v>
      </c>
      <c r="L1732" s="8">
        <f>COUNTIFS('All Papers'!$D:$D,"*"&amp;$A1732&amp;"*",'All Papers'!$G:$G,"*"&amp;Table1[[#Headers],[Monitoring]]&amp;"*")</f>
        <v>0</v>
      </c>
      <c r="M1732" s="8">
        <f>COUNTIFS('All Papers'!$D:$D,"*"&amp;$A1732&amp;"*",'All Papers'!$G:$G,"*"&amp;Table1[[#Headers],[Pricing]]&amp;"*")</f>
        <v>0</v>
      </c>
    </row>
    <row r="1733" spans="1:13" x14ac:dyDescent="0.25">
      <c r="A1733" s="8" t="s">
        <v>4166</v>
      </c>
      <c r="B1733" s="8">
        <f>COUNTIF('All Papers'!D:D,"*"&amp;Table1[[#This Row],[Name]]&amp;"*")</f>
        <v>1</v>
      </c>
      <c r="C1733" s="8">
        <f>COUNTIFS('All Papers'!$D:$D,"*"&amp;$A1733&amp;"*",'All Papers'!$G:$G,"*"&amp;Table1[[#Headers],[Composition]]&amp;"*")</f>
        <v>0</v>
      </c>
      <c r="D1733" s="8">
        <f>COUNTIFS('All Papers'!$D:$D,"*"&amp;$A1733&amp;"*",'All Papers'!$G:$G,"*"&amp;Table1[[#Headers],[Discovery]]&amp;"*")</f>
        <v>0</v>
      </c>
      <c r="E1733" s="8">
        <f>COUNTIFS('All Papers'!$D:$D,"*"&amp;$A1733&amp;"*",'All Papers'!$G:$G,"*"&amp;Table1[[#Headers],[Selection]]&amp;"*")</f>
        <v>0</v>
      </c>
      <c r="F1733" s="8">
        <f>COUNTIFS('All Papers'!$D:$D,"*"&amp;$A1733&amp;"*",'All Papers'!$G:$G,"*"&amp;Table1[[#Headers],[Recommendation]]&amp;"*")</f>
        <v>0</v>
      </c>
      <c r="G1733" s="8">
        <f>COUNTIFS('All Papers'!$D:$D,"*"&amp;$A1733&amp;"*",'All Papers'!$G:$G,"*"&amp;Table1[[#Headers],[Resource Management-CS]]&amp;"*")</f>
        <v>1</v>
      </c>
      <c r="H1733" s="8">
        <f>COUNTIFS('All Papers'!$D:$D,"*"&amp;$A1733&amp;"*",'All Papers'!$G:$G,"*"&amp;Table1[[#Headers],[Resource Management-PS]]&amp;"*")</f>
        <v>0</v>
      </c>
      <c r="I1733" s="8">
        <f>COUNTIFS('All Papers'!$D:$D,"*"&amp;$A1733&amp;"*",'All Papers'!$G:$G,"*"&amp;Table1[[#Headers],[SLA Management]]&amp;"*")</f>
        <v>0</v>
      </c>
      <c r="J1733" s="8">
        <f>COUNTIFS('All Papers'!$D:$D,"*"&amp;$A1733&amp;"*",'All Papers'!$G:$G,"*"&amp;Table1[[#Headers],[Big Data]]&amp;"*")</f>
        <v>0</v>
      </c>
      <c r="K1733" s="8">
        <f>COUNTIFS('All Papers'!$D:$D,"*"&amp;$A1733&amp;"*",'All Papers'!$G:$G,"*"&amp;Table1[[#Headers],[Energy Management]]&amp;"*")</f>
        <v>0</v>
      </c>
      <c r="L1733" s="8">
        <f>COUNTIFS('All Papers'!$D:$D,"*"&amp;$A1733&amp;"*",'All Papers'!$G:$G,"*"&amp;Table1[[#Headers],[Monitoring]]&amp;"*")</f>
        <v>0</v>
      </c>
      <c r="M1733" s="8">
        <f>COUNTIFS('All Papers'!$D:$D,"*"&amp;$A1733&amp;"*",'All Papers'!$G:$G,"*"&amp;Table1[[#Headers],[Pricing]]&amp;"*")</f>
        <v>0</v>
      </c>
    </row>
    <row r="1734" spans="1:13" x14ac:dyDescent="0.25">
      <c r="A1734" s="8" t="s">
        <v>4167</v>
      </c>
      <c r="B1734" s="8">
        <f>COUNTIF('All Papers'!D:D,"*"&amp;Table1[[#This Row],[Name]]&amp;"*")</f>
        <v>1</v>
      </c>
      <c r="C1734" s="8">
        <f>COUNTIFS('All Papers'!$D:$D,"*"&amp;$A1734&amp;"*",'All Papers'!$G:$G,"*"&amp;Table1[[#Headers],[Composition]]&amp;"*")</f>
        <v>0</v>
      </c>
      <c r="D1734" s="8">
        <f>COUNTIFS('All Papers'!$D:$D,"*"&amp;$A1734&amp;"*",'All Papers'!$G:$G,"*"&amp;Table1[[#Headers],[Discovery]]&amp;"*")</f>
        <v>0</v>
      </c>
      <c r="E1734" s="8">
        <f>COUNTIFS('All Papers'!$D:$D,"*"&amp;$A1734&amp;"*",'All Papers'!$G:$G,"*"&amp;Table1[[#Headers],[Selection]]&amp;"*")</f>
        <v>0</v>
      </c>
      <c r="F1734" s="8">
        <f>COUNTIFS('All Papers'!$D:$D,"*"&amp;$A1734&amp;"*",'All Papers'!$G:$G,"*"&amp;Table1[[#Headers],[Recommendation]]&amp;"*")</f>
        <v>0</v>
      </c>
      <c r="G1734" s="8">
        <f>COUNTIFS('All Papers'!$D:$D,"*"&amp;$A1734&amp;"*",'All Papers'!$G:$G,"*"&amp;Table1[[#Headers],[Resource Management-CS]]&amp;"*")</f>
        <v>0</v>
      </c>
      <c r="H1734" s="8">
        <f>COUNTIFS('All Papers'!$D:$D,"*"&amp;$A1734&amp;"*",'All Papers'!$G:$G,"*"&amp;Table1[[#Headers],[Resource Management-PS]]&amp;"*")</f>
        <v>1</v>
      </c>
      <c r="I1734" s="8">
        <f>COUNTIFS('All Papers'!$D:$D,"*"&amp;$A1734&amp;"*",'All Papers'!$G:$G,"*"&amp;Table1[[#Headers],[SLA Management]]&amp;"*")</f>
        <v>0</v>
      </c>
      <c r="J1734" s="8">
        <f>COUNTIFS('All Papers'!$D:$D,"*"&amp;$A1734&amp;"*",'All Papers'!$G:$G,"*"&amp;Table1[[#Headers],[Big Data]]&amp;"*")</f>
        <v>0</v>
      </c>
      <c r="K1734" s="8">
        <f>COUNTIFS('All Papers'!$D:$D,"*"&amp;$A1734&amp;"*",'All Papers'!$G:$G,"*"&amp;Table1[[#Headers],[Energy Management]]&amp;"*")</f>
        <v>0</v>
      </c>
      <c r="L1734" s="8">
        <f>COUNTIFS('All Papers'!$D:$D,"*"&amp;$A1734&amp;"*",'All Papers'!$G:$G,"*"&amp;Table1[[#Headers],[Monitoring]]&amp;"*")</f>
        <v>0</v>
      </c>
      <c r="M1734" s="8">
        <f>COUNTIFS('All Papers'!$D:$D,"*"&amp;$A1734&amp;"*",'All Papers'!$G:$G,"*"&amp;Table1[[#Headers],[Pricing]]&amp;"*")</f>
        <v>0</v>
      </c>
    </row>
    <row r="1735" spans="1:13" x14ac:dyDescent="0.25">
      <c r="A1735" s="8" t="s">
        <v>4168</v>
      </c>
      <c r="B1735" s="8">
        <f>COUNTIF('All Papers'!D:D,"*"&amp;Table1[[#This Row],[Name]]&amp;"*")</f>
        <v>1</v>
      </c>
      <c r="C1735" s="8">
        <f>COUNTIFS('All Papers'!$D:$D,"*"&amp;$A1735&amp;"*",'All Papers'!$G:$G,"*"&amp;Table1[[#Headers],[Composition]]&amp;"*")</f>
        <v>0</v>
      </c>
      <c r="D1735" s="8">
        <f>COUNTIFS('All Papers'!$D:$D,"*"&amp;$A1735&amp;"*",'All Papers'!$G:$G,"*"&amp;Table1[[#Headers],[Discovery]]&amp;"*")</f>
        <v>0</v>
      </c>
      <c r="E1735" s="8">
        <f>COUNTIFS('All Papers'!$D:$D,"*"&amp;$A1735&amp;"*",'All Papers'!$G:$G,"*"&amp;Table1[[#Headers],[Selection]]&amp;"*")</f>
        <v>0</v>
      </c>
      <c r="F1735" s="8">
        <f>COUNTIFS('All Papers'!$D:$D,"*"&amp;$A1735&amp;"*",'All Papers'!$G:$G,"*"&amp;Table1[[#Headers],[Recommendation]]&amp;"*")</f>
        <v>0</v>
      </c>
      <c r="G1735" s="8">
        <f>COUNTIFS('All Papers'!$D:$D,"*"&amp;$A1735&amp;"*",'All Papers'!$G:$G,"*"&amp;Table1[[#Headers],[Resource Management-CS]]&amp;"*")</f>
        <v>0</v>
      </c>
      <c r="H1735" s="8">
        <f>COUNTIFS('All Papers'!$D:$D,"*"&amp;$A1735&amp;"*",'All Papers'!$G:$G,"*"&amp;Table1[[#Headers],[Resource Management-PS]]&amp;"*")</f>
        <v>1</v>
      </c>
      <c r="I1735" s="8">
        <f>COUNTIFS('All Papers'!$D:$D,"*"&amp;$A1735&amp;"*",'All Papers'!$G:$G,"*"&amp;Table1[[#Headers],[SLA Management]]&amp;"*")</f>
        <v>0</v>
      </c>
      <c r="J1735" s="8">
        <f>COUNTIFS('All Papers'!$D:$D,"*"&amp;$A1735&amp;"*",'All Papers'!$G:$G,"*"&amp;Table1[[#Headers],[Big Data]]&amp;"*")</f>
        <v>0</v>
      </c>
      <c r="K1735" s="8">
        <f>COUNTIFS('All Papers'!$D:$D,"*"&amp;$A1735&amp;"*",'All Papers'!$G:$G,"*"&amp;Table1[[#Headers],[Energy Management]]&amp;"*")</f>
        <v>0</v>
      </c>
      <c r="L1735" s="8">
        <f>COUNTIFS('All Papers'!$D:$D,"*"&amp;$A1735&amp;"*",'All Papers'!$G:$G,"*"&amp;Table1[[#Headers],[Monitoring]]&amp;"*")</f>
        <v>0</v>
      </c>
      <c r="M1735" s="8">
        <f>COUNTIFS('All Papers'!$D:$D,"*"&amp;$A1735&amp;"*",'All Papers'!$G:$G,"*"&amp;Table1[[#Headers],[Pricing]]&amp;"*")</f>
        <v>0</v>
      </c>
    </row>
    <row r="1736" spans="1:13" x14ac:dyDescent="0.25">
      <c r="A1736" s="8" t="s">
        <v>4169</v>
      </c>
      <c r="B1736" s="8">
        <f>COUNTIF('All Papers'!D:D,"*"&amp;Table1[[#This Row],[Name]]&amp;"*")</f>
        <v>1</v>
      </c>
      <c r="C1736" s="8">
        <f>COUNTIFS('All Papers'!$D:$D,"*"&amp;$A1736&amp;"*",'All Papers'!$G:$G,"*"&amp;Table1[[#Headers],[Composition]]&amp;"*")</f>
        <v>0</v>
      </c>
      <c r="D1736" s="8">
        <f>COUNTIFS('All Papers'!$D:$D,"*"&amp;$A1736&amp;"*",'All Papers'!$G:$G,"*"&amp;Table1[[#Headers],[Discovery]]&amp;"*")</f>
        <v>0</v>
      </c>
      <c r="E1736" s="8">
        <f>COUNTIFS('All Papers'!$D:$D,"*"&amp;$A1736&amp;"*",'All Papers'!$G:$G,"*"&amp;Table1[[#Headers],[Selection]]&amp;"*")</f>
        <v>0</v>
      </c>
      <c r="F1736" s="8">
        <f>COUNTIFS('All Papers'!$D:$D,"*"&amp;$A1736&amp;"*",'All Papers'!$G:$G,"*"&amp;Table1[[#Headers],[Recommendation]]&amp;"*")</f>
        <v>0</v>
      </c>
      <c r="G1736" s="8">
        <f>COUNTIFS('All Papers'!$D:$D,"*"&amp;$A1736&amp;"*",'All Papers'!$G:$G,"*"&amp;Table1[[#Headers],[Resource Management-CS]]&amp;"*")</f>
        <v>0</v>
      </c>
      <c r="H1736" s="8">
        <f>COUNTIFS('All Papers'!$D:$D,"*"&amp;$A1736&amp;"*",'All Papers'!$G:$G,"*"&amp;Table1[[#Headers],[Resource Management-PS]]&amp;"*")</f>
        <v>0</v>
      </c>
      <c r="I1736" s="8">
        <f>COUNTIFS('All Papers'!$D:$D,"*"&amp;$A1736&amp;"*",'All Papers'!$G:$G,"*"&amp;Table1[[#Headers],[SLA Management]]&amp;"*")</f>
        <v>1</v>
      </c>
      <c r="J1736" s="8">
        <f>COUNTIFS('All Papers'!$D:$D,"*"&amp;$A1736&amp;"*",'All Papers'!$G:$G,"*"&amp;Table1[[#Headers],[Big Data]]&amp;"*")</f>
        <v>0</v>
      </c>
      <c r="K1736" s="8">
        <f>COUNTIFS('All Papers'!$D:$D,"*"&amp;$A1736&amp;"*",'All Papers'!$G:$G,"*"&amp;Table1[[#Headers],[Energy Management]]&amp;"*")</f>
        <v>0</v>
      </c>
      <c r="L1736" s="8">
        <f>COUNTIFS('All Papers'!$D:$D,"*"&amp;$A1736&amp;"*",'All Papers'!$G:$G,"*"&amp;Table1[[#Headers],[Monitoring]]&amp;"*")</f>
        <v>0</v>
      </c>
      <c r="M1736" s="8">
        <f>COUNTIFS('All Papers'!$D:$D,"*"&amp;$A1736&amp;"*",'All Papers'!$G:$G,"*"&amp;Table1[[#Headers],[Pricing]]&amp;"*")</f>
        <v>0</v>
      </c>
    </row>
    <row r="1737" spans="1:13" x14ac:dyDescent="0.25">
      <c r="A1737" s="8" t="s">
        <v>4170</v>
      </c>
      <c r="B1737" s="8">
        <f>COUNTIF('All Papers'!D:D,"*"&amp;Table1[[#This Row],[Name]]&amp;"*")</f>
        <v>1</v>
      </c>
      <c r="C1737" s="8">
        <f>COUNTIFS('All Papers'!$D:$D,"*"&amp;$A1737&amp;"*",'All Papers'!$G:$G,"*"&amp;Table1[[#Headers],[Composition]]&amp;"*")</f>
        <v>0</v>
      </c>
      <c r="D1737" s="8">
        <f>COUNTIFS('All Papers'!$D:$D,"*"&amp;$A1737&amp;"*",'All Papers'!$G:$G,"*"&amp;Table1[[#Headers],[Discovery]]&amp;"*")</f>
        <v>0</v>
      </c>
      <c r="E1737" s="8">
        <f>COUNTIFS('All Papers'!$D:$D,"*"&amp;$A1737&amp;"*",'All Papers'!$G:$G,"*"&amp;Table1[[#Headers],[Selection]]&amp;"*")</f>
        <v>0</v>
      </c>
      <c r="F1737" s="8">
        <f>COUNTIFS('All Papers'!$D:$D,"*"&amp;$A1737&amp;"*",'All Papers'!$G:$G,"*"&amp;Table1[[#Headers],[Recommendation]]&amp;"*")</f>
        <v>0</v>
      </c>
      <c r="G1737" s="8">
        <f>COUNTIFS('All Papers'!$D:$D,"*"&amp;$A1737&amp;"*",'All Papers'!$G:$G,"*"&amp;Table1[[#Headers],[Resource Management-CS]]&amp;"*")</f>
        <v>0</v>
      </c>
      <c r="H1737" s="8">
        <f>COUNTIFS('All Papers'!$D:$D,"*"&amp;$A1737&amp;"*",'All Papers'!$G:$G,"*"&amp;Table1[[#Headers],[Resource Management-PS]]&amp;"*")</f>
        <v>0</v>
      </c>
      <c r="I1737" s="8">
        <f>COUNTIFS('All Papers'!$D:$D,"*"&amp;$A1737&amp;"*",'All Papers'!$G:$G,"*"&amp;Table1[[#Headers],[SLA Management]]&amp;"*")</f>
        <v>1</v>
      </c>
      <c r="J1737" s="8">
        <f>COUNTIFS('All Papers'!$D:$D,"*"&amp;$A1737&amp;"*",'All Papers'!$G:$G,"*"&amp;Table1[[#Headers],[Big Data]]&amp;"*")</f>
        <v>0</v>
      </c>
      <c r="K1737" s="8">
        <f>COUNTIFS('All Papers'!$D:$D,"*"&amp;$A1737&amp;"*",'All Papers'!$G:$G,"*"&amp;Table1[[#Headers],[Energy Management]]&amp;"*")</f>
        <v>0</v>
      </c>
      <c r="L1737" s="8">
        <f>COUNTIFS('All Papers'!$D:$D,"*"&amp;$A1737&amp;"*",'All Papers'!$G:$G,"*"&amp;Table1[[#Headers],[Monitoring]]&amp;"*")</f>
        <v>0</v>
      </c>
      <c r="M1737" s="8">
        <f>COUNTIFS('All Papers'!$D:$D,"*"&amp;$A1737&amp;"*",'All Papers'!$G:$G,"*"&amp;Table1[[#Headers],[Pricing]]&amp;"*")</f>
        <v>0</v>
      </c>
    </row>
    <row r="1738" spans="1:13" x14ac:dyDescent="0.25">
      <c r="A1738" s="8" t="s">
        <v>4171</v>
      </c>
      <c r="B1738" s="8">
        <f>COUNTIF('All Papers'!D:D,"*"&amp;Table1[[#This Row],[Name]]&amp;"*")</f>
        <v>1</v>
      </c>
      <c r="C1738" s="8">
        <f>COUNTIFS('All Papers'!$D:$D,"*"&amp;$A1738&amp;"*",'All Papers'!$G:$G,"*"&amp;Table1[[#Headers],[Composition]]&amp;"*")</f>
        <v>1</v>
      </c>
      <c r="D1738" s="8">
        <f>COUNTIFS('All Papers'!$D:$D,"*"&amp;$A1738&amp;"*",'All Papers'!$G:$G,"*"&amp;Table1[[#Headers],[Discovery]]&amp;"*")</f>
        <v>0</v>
      </c>
      <c r="E1738" s="8">
        <f>COUNTIFS('All Papers'!$D:$D,"*"&amp;$A1738&amp;"*",'All Papers'!$G:$G,"*"&amp;Table1[[#Headers],[Selection]]&amp;"*")</f>
        <v>0</v>
      </c>
      <c r="F1738" s="8">
        <f>COUNTIFS('All Papers'!$D:$D,"*"&amp;$A1738&amp;"*",'All Papers'!$G:$G,"*"&amp;Table1[[#Headers],[Recommendation]]&amp;"*")</f>
        <v>0</v>
      </c>
      <c r="G1738" s="8">
        <f>COUNTIFS('All Papers'!$D:$D,"*"&amp;$A1738&amp;"*",'All Papers'!$G:$G,"*"&amp;Table1[[#Headers],[Resource Management-CS]]&amp;"*")</f>
        <v>0</v>
      </c>
      <c r="H1738" s="8">
        <f>COUNTIFS('All Papers'!$D:$D,"*"&amp;$A1738&amp;"*",'All Papers'!$G:$G,"*"&amp;Table1[[#Headers],[Resource Management-PS]]&amp;"*")</f>
        <v>0</v>
      </c>
      <c r="I1738" s="8">
        <f>COUNTIFS('All Papers'!$D:$D,"*"&amp;$A1738&amp;"*",'All Papers'!$G:$G,"*"&amp;Table1[[#Headers],[SLA Management]]&amp;"*")</f>
        <v>0</v>
      </c>
      <c r="J1738" s="8">
        <f>COUNTIFS('All Papers'!$D:$D,"*"&amp;$A1738&amp;"*",'All Papers'!$G:$G,"*"&amp;Table1[[#Headers],[Big Data]]&amp;"*")</f>
        <v>0</v>
      </c>
      <c r="K1738" s="8">
        <f>COUNTIFS('All Papers'!$D:$D,"*"&amp;$A1738&amp;"*",'All Papers'!$G:$G,"*"&amp;Table1[[#Headers],[Energy Management]]&amp;"*")</f>
        <v>0</v>
      </c>
      <c r="L1738" s="8">
        <f>COUNTIFS('All Papers'!$D:$D,"*"&amp;$A1738&amp;"*",'All Papers'!$G:$G,"*"&amp;Table1[[#Headers],[Monitoring]]&amp;"*")</f>
        <v>0</v>
      </c>
      <c r="M1738" s="8">
        <f>COUNTIFS('All Papers'!$D:$D,"*"&amp;$A1738&amp;"*",'All Papers'!$G:$G,"*"&amp;Table1[[#Headers],[Pricing]]&amp;"*")</f>
        <v>0</v>
      </c>
    </row>
    <row r="1739" spans="1:13" x14ac:dyDescent="0.25">
      <c r="A1739" s="8" t="s">
        <v>4172</v>
      </c>
      <c r="B1739" s="8">
        <f>COUNTIF('All Papers'!D:D,"*"&amp;Table1[[#This Row],[Name]]&amp;"*")</f>
        <v>1</v>
      </c>
      <c r="C1739" s="8">
        <f>COUNTIFS('All Papers'!$D:$D,"*"&amp;$A1739&amp;"*",'All Papers'!$G:$G,"*"&amp;Table1[[#Headers],[Composition]]&amp;"*")</f>
        <v>0</v>
      </c>
      <c r="D1739" s="8">
        <f>COUNTIFS('All Papers'!$D:$D,"*"&amp;$A1739&amp;"*",'All Papers'!$G:$G,"*"&amp;Table1[[#Headers],[Discovery]]&amp;"*")</f>
        <v>0</v>
      </c>
      <c r="E1739" s="8">
        <f>COUNTIFS('All Papers'!$D:$D,"*"&amp;$A1739&amp;"*",'All Papers'!$G:$G,"*"&amp;Table1[[#Headers],[Selection]]&amp;"*")</f>
        <v>0</v>
      </c>
      <c r="F1739" s="8">
        <f>COUNTIFS('All Papers'!$D:$D,"*"&amp;$A1739&amp;"*",'All Papers'!$G:$G,"*"&amp;Table1[[#Headers],[Recommendation]]&amp;"*")</f>
        <v>0</v>
      </c>
      <c r="G1739" s="8">
        <f>COUNTIFS('All Papers'!$D:$D,"*"&amp;$A1739&amp;"*",'All Papers'!$G:$G,"*"&amp;Table1[[#Headers],[Resource Management-CS]]&amp;"*")</f>
        <v>0</v>
      </c>
      <c r="H1739" s="8">
        <f>COUNTIFS('All Papers'!$D:$D,"*"&amp;$A1739&amp;"*",'All Papers'!$G:$G,"*"&amp;Table1[[#Headers],[Resource Management-PS]]&amp;"*")</f>
        <v>0</v>
      </c>
      <c r="I1739" s="8">
        <f>COUNTIFS('All Papers'!$D:$D,"*"&amp;$A1739&amp;"*",'All Papers'!$G:$G,"*"&amp;Table1[[#Headers],[SLA Management]]&amp;"*")</f>
        <v>1</v>
      </c>
      <c r="J1739" s="8">
        <f>COUNTIFS('All Papers'!$D:$D,"*"&amp;$A1739&amp;"*",'All Papers'!$G:$G,"*"&amp;Table1[[#Headers],[Big Data]]&amp;"*")</f>
        <v>0</v>
      </c>
      <c r="K1739" s="8">
        <f>COUNTIFS('All Papers'!$D:$D,"*"&amp;$A1739&amp;"*",'All Papers'!$G:$G,"*"&amp;Table1[[#Headers],[Energy Management]]&amp;"*")</f>
        <v>0</v>
      </c>
      <c r="L1739" s="8">
        <f>COUNTIFS('All Papers'!$D:$D,"*"&amp;$A1739&amp;"*",'All Papers'!$G:$G,"*"&amp;Table1[[#Headers],[Monitoring]]&amp;"*")</f>
        <v>0</v>
      </c>
      <c r="M1739" s="8">
        <f>COUNTIFS('All Papers'!$D:$D,"*"&amp;$A1739&amp;"*",'All Papers'!$G:$G,"*"&amp;Table1[[#Headers],[Pricing]]&amp;"*")</f>
        <v>0</v>
      </c>
    </row>
    <row r="1740" spans="1:13" x14ac:dyDescent="0.25">
      <c r="A1740" s="8" t="s">
        <v>4173</v>
      </c>
      <c r="B1740" s="8">
        <f>COUNTIF('All Papers'!D:D,"*"&amp;Table1[[#This Row],[Name]]&amp;"*")</f>
        <v>1</v>
      </c>
      <c r="C1740" s="8">
        <f>COUNTIFS('All Papers'!$D:$D,"*"&amp;$A1740&amp;"*",'All Papers'!$G:$G,"*"&amp;Table1[[#Headers],[Composition]]&amp;"*")</f>
        <v>0</v>
      </c>
      <c r="D1740" s="8">
        <f>COUNTIFS('All Papers'!$D:$D,"*"&amp;$A1740&amp;"*",'All Papers'!$G:$G,"*"&amp;Table1[[#Headers],[Discovery]]&amp;"*")</f>
        <v>0</v>
      </c>
      <c r="E1740" s="8">
        <f>COUNTIFS('All Papers'!$D:$D,"*"&amp;$A1740&amp;"*",'All Papers'!$G:$G,"*"&amp;Table1[[#Headers],[Selection]]&amp;"*")</f>
        <v>0</v>
      </c>
      <c r="F1740" s="8">
        <f>COUNTIFS('All Papers'!$D:$D,"*"&amp;$A1740&amp;"*",'All Papers'!$G:$G,"*"&amp;Table1[[#Headers],[Recommendation]]&amp;"*")</f>
        <v>0</v>
      </c>
      <c r="G1740" s="8">
        <f>COUNTIFS('All Papers'!$D:$D,"*"&amp;$A1740&amp;"*",'All Papers'!$G:$G,"*"&amp;Table1[[#Headers],[Resource Management-CS]]&amp;"*")</f>
        <v>1</v>
      </c>
      <c r="H1740" s="8">
        <f>COUNTIFS('All Papers'!$D:$D,"*"&amp;$A1740&amp;"*",'All Papers'!$G:$G,"*"&amp;Table1[[#Headers],[Resource Management-PS]]&amp;"*")</f>
        <v>0</v>
      </c>
      <c r="I1740" s="8">
        <f>COUNTIFS('All Papers'!$D:$D,"*"&amp;$A1740&amp;"*",'All Papers'!$G:$G,"*"&amp;Table1[[#Headers],[SLA Management]]&amp;"*")</f>
        <v>0</v>
      </c>
      <c r="J1740" s="8">
        <f>COUNTIFS('All Papers'!$D:$D,"*"&amp;$A1740&amp;"*",'All Papers'!$G:$G,"*"&amp;Table1[[#Headers],[Big Data]]&amp;"*")</f>
        <v>0</v>
      </c>
      <c r="K1740" s="8">
        <f>COUNTIFS('All Papers'!$D:$D,"*"&amp;$A1740&amp;"*",'All Papers'!$G:$G,"*"&amp;Table1[[#Headers],[Energy Management]]&amp;"*")</f>
        <v>0</v>
      </c>
      <c r="L1740" s="8">
        <f>COUNTIFS('All Papers'!$D:$D,"*"&amp;$A1740&amp;"*",'All Papers'!$G:$G,"*"&amp;Table1[[#Headers],[Monitoring]]&amp;"*")</f>
        <v>0</v>
      </c>
      <c r="M1740" s="8">
        <f>COUNTIFS('All Papers'!$D:$D,"*"&amp;$A1740&amp;"*",'All Papers'!$G:$G,"*"&amp;Table1[[#Headers],[Pricing]]&amp;"*")</f>
        <v>0</v>
      </c>
    </row>
    <row r="1741" spans="1:13" x14ac:dyDescent="0.25">
      <c r="A1741" s="8" t="s">
        <v>4174</v>
      </c>
      <c r="B1741" s="8">
        <f>COUNTIF('All Papers'!D:D,"*"&amp;Table1[[#This Row],[Name]]&amp;"*")</f>
        <v>1</v>
      </c>
      <c r="C1741" s="8">
        <f>COUNTIFS('All Papers'!$D:$D,"*"&amp;$A1741&amp;"*",'All Papers'!$G:$G,"*"&amp;Table1[[#Headers],[Composition]]&amp;"*")</f>
        <v>0</v>
      </c>
      <c r="D1741" s="8">
        <f>COUNTIFS('All Papers'!$D:$D,"*"&amp;$A1741&amp;"*",'All Papers'!$G:$G,"*"&amp;Table1[[#Headers],[Discovery]]&amp;"*")</f>
        <v>0</v>
      </c>
      <c r="E1741" s="8">
        <f>COUNTIFS('All Papers'!$D:$D,"*"&amp;$A1741&amp;"*",'All Papers'!$G:$G,"*"&amp;Table1[[#Headers],[Selection]]&amp;"*")</f>
        <v>0</v>
      </c>
      <c r="F1741" s="8">
        <f>COUNTIFS('All Papers'!$D:$D,"*"&amp;$A1741&amp;"*",'All Papers'!$G:$G,"*"&amp;Table1[[#Headers],[Recommendation]]&amp;"*")</f>
        <v>0</v>
      </c>
      <c r="G1741" s="8">
        <f>COUNTIFS('All Papers'!$D:$D,"*"&amp;$A1741&amp;"*",'All Papers'!$G:$G,"*"&amp;Table1[[#Headers],[Resource Management-CS]]&amp;"*")</f>
        <v>1</v>
      </c>
      <c r="H1741" s="8">
        <f>COUNTIFS('All Papers'!$D:$D,"*"&amp;$A1741&amp;"*",'All Papers'!$G:$G,"*"&amp;Table1[[#Headers],[Resource Management-PS]]&amp;"*")</f>
        <v>0</v>
      </c>
      <c r="I1741" s="8">
        <f>COUNTIFS('All Papers'!$D:$D,"*"&amp;$A1741&amp;"*",'All Papers'!$G:$G,"*"&amp;Table1[[#Headers],[SLA Management]]&amp;"*")</f>
        <v>0</v>
      </c>
      <c r="J1741" s="8">
        <f>COUNTIFS('All Papers'!$D:$D,"*"&amp;$A1741&amp;"*",'All Papers'!$G:$G,"*"&amp;Table1[[#Headers],[Big Data]]&amp;"*")</f>
        <v>0</v>
      </c>
      <c r="K1741" s="8">
        <f>COUNTIFS('All Papers'!$D:$D,"*"&amp;$A1741&amp;"*",'All Papers'!$G:$G,"*"&amp;Table1[[#Headers],[Energy Management]]&amp;"*")</f>
        <v>0</v>
      </c>
      <c r="L1741" s="8">
        <f>COUNTIFS('All Papers'!$D:$D,"*"&amp;$A1741&amp;"*",'All Papers'!$G:$G,"*"&amp;Table1[[#Headers],[Monitoring]]&amp;"*")</f>
        <v>0</v>
      </c>
      <c r="M1741" s="8">
        <f>COUNTIFS('All Papers'!$D:$D,"*"&amp;$A1741&amp;"*",'All Papers'!$G:$G,"*"&amp;Table1[[#Headers],[Pricing]]&amp;"*")</f>
        <v>0</v>
      </c>
    </row>
    <row r="1742" spans="1:13" x14ac:dyDescent="0.25">
      <c r="A1742" s="8" t="s">
        <v>4175</v>
      </c>
      <c r="B1742" s="8">
        <f>COUNTIF('All Papers'!D:D,"*"&amp;Table1[[#This Row],[Name]]&amp;"*")</f>
        <v>1</v>
      </c>
      <c r="C1742" s="8">
        <f>COUNTIFS('All Papers'!$D:$D,"*"&amp;$A1742&amp;"*",'All Papers'!$G:$G,"*"&amp;Table1[[#Headers],[Composition]]&amp;"*")</f>
        <v>1</v>
      </c>
      <c r="D1742" s="8">
        <f>COUNTIFS('All Papers'!$D:$D,"*"&amp;$A1742&amp;"*",'All Papers'!$G:$G,"*"&amp;Table1[[#Headers],[Discovery]]&amp;"*")</f>
        <v>0</v>
      </c>
      <c r="E1742" s="8">
        <f>COUNTIFS('All Papers'!$D:$D,"*"&amp;$A1742&amp;"*",'All Papers'!$G:$G,"*"&amp;Table1[[#Headers],[Selection]]&amp;"*")</f>
        <v>0</v>
      </c>
      <c r="F1742" s="8">
        <f>COUNTIFS('All Papers'!$D:$D,"*"&amp;$A1742&amp;"*",'All Papers'!$G:$G,"*"&amp;Table1[[#Headers],[Recommendation]]&amp;"*")</f>
        <v>0</v>
      </c>
      <c r="G1742" s="8">
        <f>COUNTIFS('All Papers'!$D:$D,"*"&amp;$A1742&amp;"*",'All Papers'!$G:$G,"*"&amp;Table1[[#Headers],[Resource Management-CS]]&amp;"*")</f>
        <v>0</v>
      </c>
      <c r="H1742" s="8">
        <f>COUNTIFS('All Papers'!$D:$D,"*"&amp;$A1742&amp;"*",'All Papers'!$G:$G,"*"&amp;Table1[[#Headers],[Resource Management-PS]]&amp;"*")</f>
        <v>0</v>
      </c>
      <c r="I1742" s="8">
        <f>COUNTIFS('All Papers'!$D:$D,"*"&amp;$A1742&amp;"*",'All Papers'!$G:$G,"*"&amp;Table1[[#Headers],[SLA Management]]&amp;"*")</f>
        <v>0</v>
      </c>
      <c r="J1742" s="8">
        <f>COUNTIFS('All Papers'!$D:$D,"*"&amp;$A1742&amp;"*",'All Papers'!$G:$G,"*"&amp;Table1[[#Headers],[Big Data]]&amp;"*")</f>
        <v>0</v>
      </c>
      <c r="K1742" s="8">
        <f>COUNTIFS('All Papers'!$D:$D,"*"&amp;$A1742&amp;"*",'All Papers'!$G:$G,"*"&amp;Table1[[#Headers],[Energy Management]]&amp;"*")</f>
        <v>0</v>
      </c>
      <c r="L1742" s="8">
        <f>COUNTIFS('All Papers'!$D:$D,"*"&amp;$A1742&amp;"*",'All Papers'!$G:$G,"*"&amp;Table1[[#Headers],[Monitoring]]&amp;"*")</f>
        <v>0</v>
      </c>
      <c r="M1742" s="8">
        <f>COUNTIFS('All Papers'!$D:$D,"*"&amp;$A1742&amp;"*",'All Papers'!$G:$G,"*"&amp;Table1[[#Headers],[Pricing]]&amp;"*")</f>
        <v>0</v>
      </c>
    </row>
    <row r="1743" spans="1:13" x14ac:dyDescent="0.25">
      <c r="A1743" s="8" t="s">
        <v>4176</v>
      </c>
      <c r="B1743" s="8">
        <f>COUNTIF('All Papers'!D:D,"*"&amp;Table1[[#This Row],[Name]]&amp;"*")</f>
        <v>1</v>
      </c>
      <c r="C1743" s="8">
        <f>COUNTIFS('All Papers'!$D:$D,"*"&amp;$A1743&amp;"*",'All Papers'!$G:$G,"*"&amp;Table1[[#Headers],[Composition]]&amp;"*")</f>
        <v>1</v>
      </c>
      <c r="D1743" s="8">
        <f>COUNTIFS('All Papers'!$D:$D,"*"&amp;$A1743&amp;"*",'All Papers'!$G:$G,"*"&amp;Table1[[#Headers],[Discovery]]&amp;"*")</f>
        <v>0</v>
      </c>
      <c r="E1743" s="8">
        <f>COUNTIFS('All Papers'!$D:$D,"*"&amp;$A1743&amp;"*",'All Papers'!$G:$G,"*"&amp;Table1[[#Headers],[Selection]]&amp;"*")</f>
        <v>0</v>
      </c>
      <c r="F1743" s="8">
        <f>COUNTIFS('All Papers'!$D:$D,"*"&amp;$A1743&amp;"*",'All Papers'!$G:$G,"*"&amp;Table1[[#Headers],[Recommendation]]&amp;"*")</f>
        <v>0</v>
      </c>
      <c r="G1743" s="8">
        <f>COUNTIFS('All Papers'!$D:$D,"*"&amp;$A1743&amp;"*",'All Papers'!$G:$G,"*"&amp;Table1[[#Headers],[Resource Management-CS]]&amp;"*")</f>
        <v>0</v>
      </c>
      <c r="H1743" s="8">
        <f>COUNTIFS('All Papers'!$D:$D,"*"&amp;$A1743&amp;"*",'All Papers'!$G:$G,"*"&amp;Table1[[#Headers],[Resource Management-PS]]&amp;"*")</f>
        <v>0</v>
      </c>
      <c r="I1743" s="8">
        <f>COUNTIFS('All Papers'!$D:$D,"*"&amp;$A1743&amp;"*",'All Papers'!$G:$G,"*"&amp;Table1[[#Headers],[SLA Management]]&amp;"*")</f>
        <v>0</v>
      </c>
      <c r="J1743" s="8">
        <f>COUNTIFS('All Papers'!$D:$D,"*"&amp;$A1743&amp;"*",'All Papers'!$G:$G,"*"&amp;Table1[[#Headers],[Big Data]]&amp;"*")</f>
        <v>0</v>
      </c>
      <c r="K1743" s="8">
        <f>COUNTIFS('All Papers'!$D:$D,"*"&amp;$A1743&amp;"*",'All Papers'!$G:$G,"*"&amp;Table1[[#Headers],[Energy Management]]&amp;"*")</f>
        <v>0</v>
      </c>
      <c r="L1743" s="8">
        <f>COUNTIFS('All Papers'!$D:$D,"*"&amp;$A1743&amp;"*",'All Papers'!$G:$G,"*"&amp;Table1[[#Headers],[Monitoring]]&amp;"*")</f>
        <v>0</v>
      </c>
      <c r="M1743" s="8">
        <f>COUNTIFS('All Papers'!$D:$D,"*"&amp;$A1743&amp;"*",'All Papers'!$G:$G,"*"&amp;Table1[[#Headers],[Pricing]]&amp;"*")</f>
        <v>0</v>
      </c>
    </row>
    <row r="1744" spans="1:13" x14ac:dyDescent="0.25">
      <c r="A1744" s="8" t="s">
        <v>4177</v>
      </c>
      <c r="B1744" s="8">
        <f>COUNTIF('All Papers'!D:D,"*"&amp;Table1[[#This Row],[Name]]&amp;"*")</f>
        <v>1</v>
      </c>
      <c r="C1744" s="8">
        <f>COUNTIFS('All Papers'!$D:$D,"*"&amp;$A1744&amp;"*",'All Papers'!$G:$G,"*"&amp;Table1[[#Headers],[Composition]]&amp;"*")</f>
        <v>1</v>
      </c>
      <c r="D1744" s="8">
        <f>COUNTIFS('All Papers'!$D:$D,"*"&amp;$A1744&amp;"*",'All Papers'!$G:$G,"*"&amp;Table1[[#Headers],[Discovery]]&amp;"*")</f>
        <v>0</v>
      </c>
      <c r="E1744" s="8">
        <f>COUNTIFS('All Papers'!$D:$D,"*"&amp;$A1744&amp;"*",'All Papers'!$G:$G,"*"&amp;Table1[[#Headers],[Selection]]&amp;"*")</f>
        <v>0</v>
      </c>
      <c r="F1744" s="8">
        <f>COUNTIFS('All Papers'!$D:$D,"*"&amp;$A1744&amp;"*",'All Papers'!$G:$G,"*"&amp;Table1[[#Headers],[Recommendation]]&amp;"*")</f>
        <v>0</v>
      </c>
      <c r="G1744" s="8">
        <f>COUNTIFS('All Papers'!$D:$D,"*"&amp;$A1744&amp;"*",'All Papers'!$G:$G,"*"&amp;Table1[[#Headers],[Resource Management-CS]]&amp;"*")</f>
        <v>0</v>
      </c>
      <c r="H1744" s="8">
        <f>COUNTIFS('All Papers'!$D:$D,"*"&amp;$A1744&amp;"*",'All Papers'!$G:$G,"*"&amp;Table1[[#Headers],[Resource Management-PS]]&amp;"*")</f>
        <v>0</v>
      </c>
      <c r="I1744" s="8">
        <f>COUNTIFS('All Papers'!$D:$D,"*"&amp;$A1744&amp;"*",'All Papers'!$G:$G,"*"&amp;Table1[[#Headers],[SLA Management]]&amp;"*")</f>
        <v>0</v>
      </c>
      <c r="J1744" s="8">
        <f>COUNTIFS('All Papers'!$D:$D,"*"&amp;$A1744&amp;"*",'All Papers'!$G:$G,"*"&amp;Table1[[#Headers],[Big Data]]&amp;"*")</f>
        <v>0</v>
      </c>
      <c r="K1744" s="8">
        <f>COUNTIFS('All Papers'!$D:$D,"*"&amp;$A1744&amp;"*",'All Papers'!$G:$G,"*"&amp;Table1[[#Headers],[Energy Management]]&amp;"*")</f>
        <v>0</v>
      </c>
      <c r="L1744" s="8">
        <f>COUNTIFS('All Papers'!$D:$D,"*"&amp;$A1744&amp;"*",'All Papers'!$G:$G,"*"&amp;Table1[[#Headers],[Monitoring]]&amp;"*")</f>
        <v>0</v>
      </c>
      <c r="M1744" s="8">
        <f>COUNTIFS('All Papers'!$D:$D,"*"&amp;$A1744&amp;"*",'All Papers'!$G:$G,"*"&amp;Table1[[#Headers],[Pricing]]&amp;"*")</f>
        <v>0</v>
      </c>
    </row>
    <row r="1745" spans="1:13" x14ac:dyDescent="0.25">
      <c r="A1745" s="8" t="s">
        <v>4178</v>
      </c>
      <c r="B1745" s="8">
        <f>COUNTIF('All Papers'!D:D,"*"&amp;Table1[[#This Row],[Name]]&amp;"*")</f>
        <v>1</v>
      </c>
      <c r="C1745" s="8">
        <f>COUNTIFS('All Papers'!$D:$D,"*"&amp;$A1745&amp;"*",'All Papers'!$G:$G,"*"&amp;Table1[[#Headers],[Composition]]&amp;"*")</f>
        <v>1</v>
      </c>
      <c r="D1745" s="8">
        <f>COUNTIFS('All Papers'!$D:$D,"*"&amp;$A1745&amp;"*",'All Papers'!$G:$G,"*"&amp;Table1[[#Headers],[Discovery]]&amp;"*")</f>
        <v>0</v>
      </c>
      <c r="E1745" s="8">
        <f>COUNTIFS('All Papers'!$D:$D,"*"&amp;$A1745&amp;"*",'All Papers'!$G:$G,"*"&amp;Table1[[#Headers],[Selection]]&amp;"*")</f>
        <v>0</v>
      </c>
      <c r="F1745" s="8">
        <f>COUNTIFS('All Papers'!$D:$D,"*"&amp;$A1745&amp;"*",'All Papers'!$G:$G,"*"&amp;Table1[[#Headers],[Recommendation]]&amp;"*")</f>
        <v>0</v>
      </c>
      <c r="G1745" s="8">
        <f>COUNTIFS('All Papers'!$D:$D,"*"&amp;$A1745&amp;"*",'All Papers'!$G:$G,"*"&amp;Table1[[#Headers],[Resource Management-CS]]&amp;"*")</f>
        <v>0</v>
      </c>
      <c r="H1745" s="8">
        <f>COUNTIFS('All Papers'!$D:$D,"*"&amp;$A1745&amp;"*",'All Papers'!$G:$G,"*"&amp;Table1[[#Headers],[Resource Management-PS]]&amp;"*")</f>
        <v>0</v>
      </c>
      <c r="I1745" s="8">
        <f>COUNTIFS('All Papers'!$D:$D,"*"&amp;$A1745&amp;"*",'All Papers'!$G:$G,"*"&amp;Table1[[#Headers],[SLA Management]]&amp;"*")</f>
        <v>0</v>
      </c>
      <c r="J1745" s="8">
        <f>COUNTIFS('All Papers'!$D:$D,"*"&amp;$A1745&amp;"*",'All Papers'!$G:$G,"*"&amp;Table1[[#Headers],[Big Data]]&amp;"*")</f>
        <v>0</v>
      </c>
      <c r="K1745" s="8">
        <f>COUNTIFS('All Papers'!$D:$D,"*"&amp;$A1745&amp;"*",'All Papers'!$G:$G,"*"&amp;Table1[[#Headers],[Energy Management]]&amp;"*")</f>
        <v>0</v>
      </c>
      <c r="L1745" s="8">
        <f>COUNTIFS('All Papers'!$D:$D,"*"&amp;$A1745&amp;"*",'All Papers'!$G:$G,"*"&amp;Table1[[#Headers],[Monitoring]]&amp;"*")</f>
        <v>0</v>
      </c>
      <c r="M1745" s="8">
        <f>COUNTIFS('All Papers'!$D:$D,"*"&amp;$A1745&amp;"*",'All Papers'!$G:$G,"*"&amp;Table1[[#Headers],[Pricing]]&amp;"*")</f>
        <v>0</v>
      </c>
    </row>
    <row r="1746" spans="1:13" x14ac:dyDescent="0.25">
      <c r="A1746" s="8" t="s">
        <v>4179</v>
      </c>
      <c r="B1746" s="8">
        <f>COUNTIF('All Papers'!D:D,"*"&amp;Table1[[#This Row],[Name]]&amp;"*")</f>
        <v>1</v>
      </c>
      <c r="C1746" s="8">
        <f>COUNTIFS('All Papers'!$D:$D,"*"&amp;$A1746&amp;"*",'All Papers'!$G:$G,"*"&amp;Table1[[#Headers],[Composition]]&amp;"*")</f>
        <v>0</v>
      </c>
      <c r="D1746" s="8">
        <f>COUNTIFS('All Papers'!$D:$D,"*"&amp;$A1746&amp;"*",'All Papers'!$G:$G,"*"&amp;Table1[[#Headers],[Discovery]]&amp;"*")</f>
        <v>0</v>
      </c>
      <c r="E1746" s="8">
        <f>COUNTIFS('All Papers'!$D:$D,"*"&amp;$A1746&amp;"*",'All Papers'!$G:$G,"*"&amp;Table1[[#Headers],[Selection]]&amp;"*")</f>
        <v>0</v>
      </c>
      <c r="F1746" s="8">
        <f>COUNTIFS('All Papers'!$D:$D,"*"&amp;$A1746&amp;"*",'All Papers'!$G:$G,"*"&amp;Table1[[#Headers],[Recommendation]]&amp;"*")</f>
        <v>0</v>
      </c>
      <c r="G1746" s="8">
        <f>COUNTIFS('All Papers'!$D:$D,"*"&amp;$A1746&amp;"*",'All Papers'!$G:$G,"*"&amp;Table1[[#Headers],[Resource Management-CS]]&amp;"*")</f>
        <v>0</v>
      </c>
      <c r="H1746" s="8">
        <f>COUNTIFS('All Papers'!$D:$D,"*"&amp;$A1746&amp;"*",'All Papers'!$G:$G,"*"&amp;Table1[[#Headers],[Resource Management-PS]]&amp;"*")</f>
        <v>0</v>
      </c>
      <c r="I1746" s="8">
        <f>COUNTIFS('All Papers'!$D:$D,"*"&amp;$A1746&amp;"*",'All Papers'!$G:$G,"*"&amp;Table1[[#Headers],[SLA Management]]&amp;"*")</f>
        <v>0</v>
      </c>
      <c r="J1746" s="8">
        <f>COUNTIFS('All Papers'!$D:$D,"*"&amp;$A1746&amp;"*",'All Papers'!$G:$G,"*"&amp;Table1[[#Headers],[Big Data]]&amp;"*")</f>
        <v>0</v>
      </c>
      <c r="K1746" s="8">
        <f>COUNTIFS('All Papers'!$D:$D,"*"&amp;$A1746&amp;"*",'All Papers'!$G:$G,"*"&amp;Table1[[#Headers],[Energy Management]]&amp;"*")</f>
        <v>0</v>
      </c>
      <c r="L1746" s="8">
        <f>COUNTIFS('All Papers'!$D:$D,"*"&amp;$A1746&amp;"*",'All Papers'!$G:$G,"*"&amp;Table1[[#Headers],[Monitoring]]&amp;"*")</f>
        <v>1</v>
      </c>
      <c r="M1746" s="8">
        <f>COUNTIFS('All Papers'!$D:$D,"*"&amp;$A1746&amp;"*",'All Papers'!$G:$G,"*"&amp;Table1[[#Headers],[Pricing]]&amp;"*")</f>
        <v>0</v>
      </c>
    </row>
    <row r="1747" spans="1:13" x14ac:dyDescent="0.25">
      <c r="A1747" s="8" t="s">
        <v>4180</v>
      </c>
      <c r="B1747" s="8">
        <f>COUNTIF('All Papers'!D:D,"*"&amp;Table1[[#This Row],[Name]]&amp;"*")</f>
        <v>1</v>
      </c>
      <c r="C1747" s="8">
        <f>COUNTIFS('All Papers'!$D:$D,"*"&amp;$A1747&amp;"*",'All Papers'!$G:$G,"*"&amp;Table1[[#Headers],[Composition]]&amp;"*")</f>
        <v>0</v>
      </c>
      <c r="D1747" s="8">
        <f>COUNTIFS('All Papers'!$D:$D,"*"&amp;$A1747&amp;"*",'All Papers'!$G:$G,"*"&amp;Table1[[#Headers],[Discovery]]&amp;"*")</f>
        <v>0</v>
      </c>
      <c r="E1747" s="8">
        <f>COUNTIFS('All Papers'!$D:$D,"*"&amp;$A1747&amp;"*",'All Papers'!$G:$G,"*"&amp;Table1[[#Headers],[Selection]]&amp;"*")</f>
        <v>0</v>
      </c>
      <c r="F1747" s="8">
        <f>COUNTIFS('All Papers'!$D:$D,"*"&amp;$A1747&amp;"*",'All Papers'!$G:$G,"*"&amp;Table1[[#Headers],[Recommendation]]&amp;"*")</f>
        <v>0</v>
      </c>
      <c r="G1747" s="8">
        <f>COUNTIFS('All Papers'!$D:$D,"*"&amp;$A1747&amp;"*",'All Papers'!$G:$G,"*"&amp;Table1[[#Headers],[Resource Management-CS]]&amp;"*")</f>
        <v>0</v>
      </c>
      <c r="H1747" s="8">
        <f>COUNTIFS('All Papers'!$D:$D,"*"&amp;$A1747&amp;"*",'All Papers'!$G:$G,"*"&amp;Table1[[#Headers],[Resource Management-PS]]&amp;"*")</f>
        <v>0</v>
      </c>
      <c r="I1747" s="8">
        <f>COUNTIFS('All Papers'!$D:$D,"*"&amp;$A1747&amp;"*",'All Papers'!$G:$G,"*"&amp;Table1[[#Headers],[SLA Management]]&amp;"*")</f>
        <v>0</v>
      </c>
      <c r="J1747" s="8">
        <f>COUNTIFS('All Papers'!$D:$D,"*"&amp;$A1747&amp;"*",'All Papers'!$G:$G,"*"&amp;Table1[[#Headers],[Big Data]]&amp;"*")</f>
        <v>0</v>
      </c>
      <c r="K1747" s="8">
        <f>COUNTIFS('All Papers'!$D:$D,"*"&amp;$A1747&amp;"*",'All Papers'!$G:$G,"*"&amp;Table1[[#Headers],[Energy Management]]&amp;"*")</f>
        <v>0</v>
      </c>
      <c r="L1747" s="8">
        <f>COUNTIFS('All Papers'!$D:$D,"*"&amp;$A1747&amp;"*",'All Papers'!$G:$G,"*"&amp;Table1[[#Headers],[Monitoring]]&amp;"*")</f>
        <v>1</v>
      </c>
      <c r="M1747" s="8">
        <f>COUNTIFS('All Papers'!$D:$D,"*"&amp;$A1747&amp;"*",'All Papers'!$G:$G,"*"&amp;Table1[[#Headers],[Pricing]]&amp;"*")</f>
        <v>0</v>
      </c>
    </row>
    <row r="1748" spans="1:13" x14ac:dyDescent="0.25">
      <c r="A1748" s="8" t="s">
        <v>4181</v>
      </c>
      <c r="B1748" s="8">
        <f>COUNTIF('All Papers'!D:D,"*"&amp;Table1[[#This Row],[Name]]&amp;"*")</f>
        <v>1</v>
      </c>
      <c r="C1748" s="8">
        <f>COUNTIFS('All Papers'!$D:$D,"*"&amp;$A1748&amp;"*",'All Papers'!$G:$G,"*"&amp;Table1[[#Headers],[Composition]]&amp;"*")</f>
        <v>0</v>
      </c>
      <c r="D1748" s="8">
        <f>COUNTIFS('All Papers'!$D:$D,"*"&amp;$A1748&amp;"*",'All Papers'!$G:$G,"*"&amp;Table1[[#Headers],[Discovery]]&amp;"*")</f>
        <v>0</v>
      </c>
      <c r="E1748" s="8">
        <f>COUNTIFS('All Papers'!$D:$D,"*"&amp;$A1748&amp;"*",'All Papers'!$G:$G,"*"&amp;Table1[[#Headers],[Selection]]&amp;"*")</f>
        <v>0</v>
      </c>
      <c r="F1748" s="8">
        <f>COUNTIFS('All Papers'!$D:$D,"*"&amp;$A1748&amp;"*",'All Papers'!$G:$G,"*"&amp;Table1[[#Headers],[Recommendation]]&amp;"*")</f>
        <v>0</v>
      </c>
      <c r="G1748" s="8">
        <f>COUNTIFS('All Papers'!$D:$D,"*"&amp;$A1748&amp;"*",'All Papers'!$G:$G,"*"&amp;Table1[[#Headers],[Resource Management-CS]]&amp;"*")</f>
        <v>0</v>
      </c>
      <c r="H1748" s="8">
        <f>COUNTIFS('All Papers'!$D:$D,"*"&amp;$A1748&amp;"*",'All Papers'!$G:$G,"*"&amp;Table1[[#Headers],[Resource Management-PS]]&amp;"*")</f>
        <v>0</v>
      </c>
      <c r="I1748" s="8">
        <f>COUNTIFS('All Papers'!$D:$D,"*"&amp;$A1748&amp;"*",'All Papers'!$G:$G,"*"&amp;Table1[[#Headers],[SLA Management]]&amp;"*")</f>
        <v>0</v>
      </c>
      <c r="J1748" s="8">
        <f>COUNTIFS('All Papers'!$D:$D,"*"&amp;$A1748&amp;"*",'All Papers'!$G:$G,"*"&amp;Table1[[#Headers],[Big Data]]&amp;"*")</f>
        <v>0</v>
      </c>
      <c r="K1748" s="8">
        <f>COUNTIFS('All Papers'!$D:$D,"*"&amp;$A1748&amp;"*",'All Papers'!$G:$G,"*"&amp;Table1[[#Headers],[Energy Management]]&amp;"*")</f>
        <v>0</v>
      </c>
      <c r="L1748" s="8">
        <f>COUNTIFS('All Papers'!$D:$D,"*"&amp;$A1748&amp;"*",'All Papers'!$G:$G,"*"&amp;Table1[[#Headers],[Monitoring]]&amp;"*")</f>
        <v>1</v>
      </c>
      <c r="M1748" s="8">
        <f>COUNTIFS('All Papers'!$D:$D,"*"&amp;$A1748&amp;"*",'All Papers'!$G:$G,"*"&amp;Table1[[#Headers],[Pricing]]&amp;"*")</f>
        <v>0</v>
      </c>
    </row>
    <row r="1749" spans="1:13" x14ac:dyDescent="0.25">
      <c r="A1749" s="8" t="s">
        <v>4182</v>
      </c>
      <c r="B1749" s="8">
        <f>COUNTIF('All Papers'!D:D,"*"&amp;Table1[[#This Row],[Name]]&amp;"*")</f>
        <v>1</v>
      </c>
      <c r="C1749" s="8">
        <f>COUNTIFS('All Papers'!$D:$D,"*"&amp;$A1749&amp;"*",'All Papers'!$G:$G,"*"&amp;Table1[[#Headers],[Composition]]&amp;"*")</f>
        <v>0</v>
      </c>
      <c r="D1749" s="8">
        <f>COUNTIFS('All Papers'!$D:$D,"*"&amp;$A1749&amp;"*",'All Papers'!$G:$G,"*"&amp;Table1[[#Headers],[Discovery]]&amp;"*")</f>
        <v>0</v>
      </c>
      <c r="E1749" s="8">
        <f>COUNTIFS('All Papers'!$D:$D,"*"&amp;$A1749&amp;"*",'All Papers'!$G:$G,"*"&amp;Table1[[#Headers],[Selection]]&amp;"*")</f>
        <v>0</v>
      </c>
      <c r="F1749" s="8">
        <f>COUNTIFS('All Papers'!$D:$D,"*"&amp;$A1749&amp;"*",'All Papers'!$G:$G,"*"&amp;Table1[[#Headers],[Recommendation]]&amp;"*")</f>
        <v>0</v>
      </c>
      <c r="G1749" s="8">
        <f>COUNTIFS('All Papers'!$D:$D,"*"&amp;$A1749&amp;"*",'All Papers'!$G:$G,"*"&amp;Table1[[#Headers],[Resource Management-CS]]&amp;"*")</f>
        <v>0</v>
      </c>
      <c r="H1749" s="8">
        <f>COUNTIFS('All Papers'!$D:$D,"*"&amp;$A1749&amp;"*",'All Papers'!$G:$G,"*"&amp;Table1[[#Headers],[Resource Management-PS]]&amp;"*")</f>
        <v>0</v>
      </c>
      <c r="I1749" s="8">
        <f>COUNTIFS('All Papers'!$D:$D,"*"&amp;$A1749&amp;"*",'All Papers'!$G:$G,"*"&amp;Table1[[#Headers],[SLA Management]]&amp;"*")</f>
        <v>0</v>
      </c>
      <c r="J1749" s="8">
        <f>COUNTIFS('All Papers'!$D:$D,"*"&amp;$A1749&amp;"*",'All Papers'!$G:$G,"*"&amp;Table1[[#Headers],[Big Data]]&amp;"*")</f>
        <v>0</v>
      </c>
      <c r="K1749" s="8">
        <f>COUNTIFS('All Papers'!$D:$D,"*"&amp;$A1749&amp;"*",'All Papers'!$G:$G,"*"&amp;Table1[[#Headers],[Energy Management]]&amp;"*")</f>
        <v>0</v>
      </c>
      <c r="L1749" s="8">
        <f>COUNTIFS('All Papers'!$D:$D,"*"&amp;$A1749&amp;"*",'All Papers'!$G:$G,"*"&amp;Table1[[#Headers],[Monitoring]]&amp;"*")</f>
        <v>1</v>
      </c>
      <c r="M1749" s="8">
        <f>COUNTIFS('All Papers'!$D:$D,"*"&amp;$A1749&amp;"*",'All Papers'!$G:$G,"*"&amp;Table1[[#Headers],[Pricing]]&amp;"*")</f>
        <v>0</v>
      </c>
    </row>
    <row r="1750" spans="1:13" x14ac:dyDescent="0.25">
      <c r="A1750" s="8" t="s">
        <v>4183</v>
      </c>
      <c r="B1750" s="8">
        <f>COUNTIF('All Papers'!D:D,"*"&amp;Table1[[#This Row],[Name]]&amp;"*")</f>
        <v>1</v>
      </c>
      <c r="C1750" s="8">
        <f>COUNTIFS('All Papers'!$D:$D,"*"&amp;$A1750&amp;"*",'All Papers'!$G:$G,"*"&amp;Table1[[#Headers],[Composition]]&amp;"*")</f>
        <v>0</v>
      </c>
      <c r="D1750" s="8">
        <f>COUNTIFS('All Papers'!$D:$D,"*"&amp;$A1750&amp;"*",'All Papers'!$G:$G,"*"&amp;Table1[[#Headers],[Discovery]]&amp;"*")</f>
        <v>0</v>
      </c>
      <c r="E1750" s="8">
        <f>COUNTIFS('All Papers'!$D:$D,"*"&amp;$A1750&amp;"*",'All Papers'!$G:$G,"*"&amp;Table1[[#Headers],[Selection]]&amp;"*")</f>
        <v>1</v>
      </c>
      <c r="F1750" s="8">
        <f>COUNTIFS('All Papers'!$D:$D,"*"&amp;$A1750&amp;"*",'All Papers'!$G:$G,"*"&amp;Table1[[#Headers],[Recommendation]]&amp;"*")</f>
        <v>0</v>
      </c>
      <c r="G1750" s="8">
        <f>COUNTIFS('All Papers'!$D:$D,"*"&amp;$A1750&amp;"*",'All Papers'!$G:$G,"*"&amp;Table1[[#Headers],[Resource Management-CS]]&amp;"*")</f>
        <v>0</v>
      </c>
      <c r="H1750" s="8">
        <f>COUNTIFS('All Papers'!$D:$D,"*"&amp;$A1750&amp;"*",'All Papers'!$G:$G,"*"&amp;Table1[[#Headers],[Resource Management-PS]]&amp;"*")</f>
        <v>0</v>
      </c>
      <c r="I1750" s="8">
        <f>COUNTIFS('All Papers'!$D:$D,"*"&amp;$A1750&amp;"*",'All Papers'!$G:$G,"*"&amp;Table1[[#Headers],[SLA Management]]&amp;"*")</f>
        <v>0</v>
      </c>
      <c r="J1750" s="8">
        <f>COUNTIFS('All Papers'!$D:$D,"*"&amp;$A1750&amp;"*",'All Papers'!$G:$G,"*"&amp;Table1[[#Headers],[Big Data]]&amp;"*")</f>
        <v>0</v>
      </c>
      <c r="K1750" s="8">
        <f>COUNTIFS('All Papers'!$D:$D,"*"&amp;$A1750&amp;"*",'All Papers'!$G:$G,"*"&amp;Table1[[#Headers],[Energy Management]]&amp;"*")</f>
        <v>0</v>
      </c>
      <c r="L1750" s="8">
        <f>COUNTIFS('All Papers'!$D:$D,"*"&amp;$A1750&amp;"*",'All Papers'!$G:$G,"*"&amp;Table1[[#Headers],[Monitoring]]&amp;"*")</f>
        <v>0</v>
      </c>
      <c r="M1750" s="8">
        <f>COUNTIFS('All Papers'!$D:$D,"*"&amp;$A1750&amp;"*",'All Papers'!$G:$G,"*"&amp;Table1[[#Headers],[Pricing]]&amp;"*")</f>
        <v>0</v>
      </c>
    </row>
    <row r="1751" spans="1:13" x14ac:dyDescent="0.25">
      <c r="A1751" s="8" t="s">
        <v>4184</v>
      </c>
      <c r="B1751" s="8">
        <f>COUNTIF('All Papers'!D:D,"*"&amp;Table1[[#This Row],[Name]]&amp;"*")</f>
        <v>1</v>
      </c>
      <c r="C1751" s="8">
        <f>COUNTIFS('All Papers'!$D:$D,"*"&amp;$A1751&amp;"*",'All Papers'!$G:$G,"*"&amp;Table1[[#Headers],[Composition]]&amp;"*")</f>
        <v>0</v>
      </c>
      <c r="D1751" s="8">
        <f>COUNTIFS('All Papers'!$D:$D,"*"&amp;$A1751&amp;"*",'All Papers'!$G:$G,"*"&amp;Table1[[#Headers],[Discovery]]&amp;"*")</f>
        <v>0</v>
      </c>
      <c r="E1751" s="8">
        <f>COUNTIFS('All Papers'!$D:$D,"*"&amp;$A1751&amp;"*",'All Papers'!$G:$G,"*"&amp;Table1[[#Headers],[Selection]]&amp;"*")</f>
        <v>1</v>
      </c>
      <c r="F1751" s="8">
        <f>COUNTIFS('All Papers'!$D:$D,"*"&amp;$A1751&amp;"*",'All Papers'!$G:$G,"*"&amp;Table1[[#Headers],[Recommendation]]&amp;"*")</f>
        <v>0</v>
      </c>
      <c r="G1751" s="8">
        <f>COUNTIFS('All Papers'!$D:$D,"*"&amp;$A1751&amp;"*",'All Papers'!$G:$G,"*"&amp;Table1[[#Headers],[Resource Management-CS]]&amp;"*")</f>
        <v>0</v>
      </c>
      <c r="H1751" s="8">
        <f>COUNTIFS('All Papers'!$D:$D,"*"&amp;$A1751&amp;"*",'All Papers'!$G:$G,"*"&amp;Table1[[#Headers],[Resource Management-PS]]&amp;"*")</f>
        <v>0</v>
      </c>
      <c r="I1751" s="8">
        <f>COUNTIFS('All Papers'!$D:$D,"*"&amp;$A1751&amp;"*",'All Papers'!$G:$G,"*"&amp;Table1[[#Headers],[SLA Management]]&amp;"*")</f>
        <v>0</v>
      </c>
      <c r="J1751" s="8">
        <f>COUNTIFS('All Papers'!$D:$D,"*"&amp;$A1751&amp;"*",'All Papers'!$G:$G,"*"&amp;Table1[[#Headers],[Big Data]]&amp;"*")</f>
        <v>0</v>
      </c>
      <c r="K1751" s="8">
        <f>COUNTIFS('All Papers'!$D:$D,"*"&amp;$A1751&amp;"*",'All Papers'!$G:$G,"*"&amp;Table1[[#Headers],[Energy Management]]&amp;"*")</f>
        <v>0</v>
      </c>
      <c r="L1751" s="8">
        <f>COUNTIFS('All Papers'!$D:$D,"*"&amp;$A1751&amp;"*",'All Papers'!$G:$G,"*"&amp;Table1[[#Headers],[Monitoring]]&amp;"*")</f>
        <v>0</v>
      </c>
      <c r="M1751" s="8">
        <f>COUNTIFS('All Papers'!$D:$D,"*"&amp;$A1751&amp;"*",'All Papers'!$G:$G,"*"&amp;Table1[[#Headers],[Pricing]]&amp;"*")</f>
        <v>0</v>
      </c>
    </row>
    <row r="1752" spans="1:13" x14ac:dyDescent="0.25">
      <c r="A1752" s="8" t="s">
        <v>4185</v>
      </c>
      <c r="B1752" s="8">
        <f>COUNTIF('All Papers'!D:D,"*"&amp;Table1[[#This Row],[Name]]&amp;"*")</f>
        <v>1</v>
      </c>
      <c r="C1752" s="8">
        <f>COUNTIFS('All Papers'!$D:$D,"*"&amp;$A1752&amp;"*",'All Papers'!$G:$G,"*"&amp;Table1[[#Headers],[Composition]]&amp;"*")</f>
        <v>0</v>
      </c>
      <c r="D1752" s="8">
        <f>COUNTIFS('All Papers'!$D:$D,"*"&amp;$A1752&amp;"*",'All Papers'!$G:$G,"*"&amp;Table1[[#Headers],[Discovery]]&amp;"*")</f>
        <v>0</v>
      </c>
      <c r="E1752" s="8">
        <f>COUNTIFS('All Papers'!$D:$D,"*"&amp;$A1752&amp;"*",'All Papers'!$G:$G,"*"&amp;Table1[[#Headers],[Selection]]&amp;"*")</f>
        <v>1</v>
      </c>
      <c r="F1752" s="8">
        <f>COUNTIFS('All Papers'!$D:$D,"*"&amp;$A1752&amp;"*",'All Papers'!$G:$G,"*"&amp;Table1[[#Headers],[Recommendation]]&amp;"*")</f>
        <v>0</v>
      </c>
      <c r="G1752" s="8">
        <f>COUNTIFS('All Papers'!$D:$D,"*"&amp;$A1752&amp;"*",'All Papers'!$G:$G,"*"&amp;Table1[[#Headers],[Resource Management-CS]]&amp;"*")</f>
        <v>0</v>
      </c>
      <c r="H1752" s="8">
        <f>COUNTIFS('All Papers'!$D:$D,"*"&amp;$A1752&amp;"*",'All Papers'!$G:$G,"*"&amp;Table1[[#Headers],[Resource Management-PS]]&amp;"*")</f>
        <v>0</v>
      </c>
      <c r="I1752" s="8">
        <f>COUNTIFS('All Papers'!$D:$D,"*"&amp;$A1752&amp;"*",'All Papers'!$G:$G,"*"&amp;Table1[[#Headers],[SLA Management]]&amp;"*")</f>
        <v>0</v>
      </c>
      <c r="J1752" s="8">
        <f>COUNTIFS('All Papers'!$D:$D,"*"&amp;$A1752&amp;"*",'All Papers'!$G:$G,"*"&amp;Table1[[#Headers],[Big Data]]&amp;"*")</f>
        <v>0</v>
      </c>
      <c r="K1752" s="8">
        <f>COUNTIFS('All Papers'!$D:$D,"*"&amp;$A1752&amp;"*",'All Papers'!$G:$G,"*"&amp;Table1[[#Headers],[Energy Management]]&amp;"*")</f>
        <v>0</v>
      </c>
      <c r="L1752" s="8">
        <f>COUNTIFS('All Papers'!$D:$D,"*"&amp;$A1752&amp;"*",'All Papers'!$G:$G,"*"&amp;Table1[[#Headers],[Monitoring]]&amp;"*")</f>
        <v>0</v>
      </c>
      <c r="M1752" s="8">
        <f>COUNTIFS('All Papers'!$D:$D,"*"&amp;$A1752&amp;"*",'All Papers'!$G:$G,"*"&amp;Table1[[#Headers],[Pricing]]&amp;"*")</f>
        <v>0</v>
      </c>
    </row>
    <row r="1753" spans="1:13" x14ac:dyDescent="0.25">
      <c r="A1753" s="8" t="s">
        <v>4186</v>
      </c>
      <c r="B1753" s="8">
        <f>COUNTIF('All Papers'!D:D,"*"&amp;Table1[[#This Row],[Name]]&amp;"*")</f>
        <v>1</v>
      </c>
      <c r="C1753" s="8">
        <f>COUNTIFS('All Papers'!$D:$D,"*"&amp;$A1753&amp;"*",'All Papers'!$G:$G,"*"&amp;Table1[[#Headers],[Composition]]&amp;"*")</f>
        <v>0</v>
      </c>
      <c r="D1753" s="8">
        <f>COUNTIFS('All Papers'!$D:$D,"*"&amp;$A1753&amp;"*",'All Papers'!$G:$G,"*"&amp;Table1[[#Headers],[Discovery]]&amp;"*")</f>
        <v>1</v>
      </c>
      <c r="E1753" s="8">
        <f>COUNTIFS('All Papers'!$D:$D,"*"&amp;$A1753&amp;"*",'All Papers'!$G:$G,"*"&amp;Table1[[#Headers],[Selection]]&amp;"*")</f>
        <v>0</v>
      </c>
      <c r="F1753" s="8">
        <f>COUNTIFS('All Papers'!$D:$D,"*"&amp;$A1753&amp;"*",'All Papers'!$G:$G,"*"&amp;Table1[[#Headers],[Recommendation]]&amp;"*")</f>
        <v>0</v>
      </c>
      <c r="G1753" s="8">
        <f>COUNTIFS('All Papers'!$D:$D,"*"&amp;$A1753&amp;"*",'All Papers'!$G:$G,"*"&amp;Table1[[#Headers],[Resource Management-CS]]&amp;"*")</f>
        <v>0</v>
      </c>
      <c r="H1753" s="8">
        <f>COUNTIFS('All Papers'!$D:$D,"*"&amp;$A1753&amp;"*",'All Papers'!$G:$G,"*"&amp;Table1[[#Headers],[Resource Management-PS]]&amp;"*")</f>
        <v>0</v>
      </c>
      <c r="I1753" s="8">
        <f>COUNTIFS('All Papers'!$D:$D,"*"&amp;$A1753&amp;"*",'All Papers'!$G:$G,"*"&amp;Table1[[#Headers],[SLA Management]]&amp;"*")</f>
        <v>0</v>
      </c>
      <c r="J1753" s="8">
        <f>COUNTIFS('All Papers'!$D:$D,"*"&amp;$A1753&amp;"*",'All Papers'!$G:$G,"*"&amp;Table1[[#Headers],[Big Data]]&amp;"*")</f>
        <v>0</v>
      </c>
      <c r="K1753" s="8">
        <f>COUNTIFS('All Papers'!$D:$D,"*"&amp;$A1753&amp;"*",'All Papers'!$G:$G,"*"&amp;Table1[[#Headers],[Energy Management]]&amp;"*")</f>
        <v>0</v>
      </c>
      <c r="L1753" s="8">
        <f>COUNTIFS('All Papers'!$D:$D,"*"&amp;$A1753&amp;"*",'All Papers'!$G:$G,"*"&amp;Table1[[#Headers],[Monitoring]]&amp;"*")</f>
        <v>0</v>
      </c>
      <c r="M1753" s="8">
        <f>COUNTIFS('All Papers'!$D:$D,"*"&amp;$A1753&amp;"*",'All Papers'!$G:$G,"*"&amp;Table1[[#Headers],[Pricing]]&amp;"*")</f>
        <v>0</v>
      </c>
    </row>
    <row r="1754" spans="1:13" x14ac:dyDescent="0.25">
      <c r="A1754" s="8" t="s">
        <v>4187</v>
      </c>
      <c r="B1754" s="8">
        <f>COUNTIF('All Papers'!D:D,"*"&amp;Table1[[#This Row],[Name]]&amp;"*")</f>
        <v>1</v>
      </c>
      <c r="C1754" s="8">
        <f>COUNTIFS('All Papers'!$D:$D,"*"&amp;$A1754&amp;"*",'All Papers'!$G:$G,"*"&amp;Table1[[#Headers],[Composition]]&amp;"*")</f>
        <v>0</v>
      </c>
      <c r="D1754" s="8">
        <f>COUNTIFS('All Papers'!$D:$D,"*"&amp;$A1754&amp;"*",'All Papers'!$G:$G,"*"&amp;Table1[[#Headers],[Discovery]]&amp;"*")</f>
        <v>1</v>
      </c>
      <c r="E1754" s="8">
        <f>COUNTIFS('All Papers'!$D:$D,"*"&amp;$A1754&amp;"*",'All Papers'!$G:$G,"*"&amp;Table1[[#Headers],[Selection]]&amp;"*")</f>
        <v>0</v>
      </c>
      <c r="F1754" s="8">
        <f>COUNTIFS('All Papers'!$D:$D,"*"&amp;$A1754&amp;"*",'All Papers'!$G:$G,"*"&amp;Table1[[#Headers],[Recommendation]]&amp;"*")</f>
        <v>0</v>
      </c>
      <c r="G1754" s="8">
        <f>COUNTIFS('All Papers'!$D:$D,"*"&amp;$A1754&amp;"*",'All Papers'!$G:$G,"*"&amp;Table1[[#Headers],[Resource Management-CS]]&amp;"*")</f>
        <v>0</v>
      </c>
      <c r="H1754" s="8">
        <f>COUNTIFS('All Papers'!$D:$D,"*"&amp;$A1754&amp;"*",'All Papers'!$G:$G,"*"&amp;Table1[[#Headers],[Resource Management-PS]]&amp;"*")</f>
        <v>0</v>
      </c>
      <c r="I1754" s="8">
        <f>COUNTIFS('All Papers'!$D:$D,"*"&amp;$A1754&amp;"*",'All Papers'!$G:$G,"*"&amp;Table1[[#Headers],[SLA Management]]&amp;"*")</f>
        <v>0</v>
      </c>
      <c r="J1754" s="8">
        <f>COUNTIFS('All Papers'!$D:$D,"*"&amp;$A1754&amp;"*",'All Papers'!$G:$G,"*"&amp;Table1[[#Headers],[Big Data]]&amp;"*")</f>
        <v>0</v>
      </c>
      <c r="K1754" s="8">
        <f>COUNTIFS('All Papers'!$D:$D,"*"&amp;$A1754&amp;"*",'All Papers'!$G:$G,"*"&amp;Table1[[#Headers],[Energy Management]]&amp;"*")</f>
        <v>0</v>
      </c>
      <c r="L1754" s="8">
        <f>COUNTIFS('All Papers'!$D:$D,"*"&amp;$A1754&amp;"*",'All Papers'!$G:$G,"*"&amp;Table1[[#Headers],[Monitoring]]&amp;"*")</f>
        <v>0</v>
      </c>
      <c r="M1754" s="8">
        <f>COUNTIFS('All Papers'!$D:$D,"*"&amp;$A1754&amp;"*",'All Papers'!$G:$G,"*"&amp;Table1[[#Headers],[Pricing]]&amp;"*")</f>
        <v>0</v>
      </c>
    </row>
    <row r="1755" spans="1:13" x14ac:dyDescent="0.25">
      <c r="A1755" s="8" t="s">
        <v>4188</v>
      </c>
      <c r="B1755" s="8">
        <f>COUNTIF('All Papers'!D:D,"*"&amp;Table1[[#This Row],[Name]]&amp;"*")</f>
        <v>1</v>
      </c>
      <c r="C1755" s="8">
        <f>COUNTIFS('All Papers'!$D:$D,"*"&amp;$A1755&amp;"*",'All Papers'!$G:$G,"*"&amp;Table1[[#Headers],[Composition]]&amp;"*")</f>
        <v>0</v>
      </c>
      <c r="D1755" s="8">
        <f>COUNTIFS('All Papers'!$D:$D,"*"&amp;$A1755&amp;"*",'All Papers'!$G:$G,"*"&amp;Table1[[#Headers],[Discovery]]&amp;"*")</f>
        <v>1</v>
      </c>
      <c r="E1755" s="8">
        <f>COUNTIFS('All Papers'!$D:$D,"*"&amp;$A1755&amp;"*",'All Papers'!$G:$G,"*"&amp;Table1[[#Headers],[Selection]]&amp;"*")</f>
        <v>0</v>
      </c>
      <c r="F1755" s="8">
        <f>COUNTIFS('All Papers'!$D:$D,"*"&amp;$A1755&amp;"*",'All Papers'!$G:$G,"*"&amp;Table1[[#Headers],[Recommendation]]&amp;"*")</f>
        <v>0</v>
      </c>
      <c r="G1755" s="8">
        <f>COUNTIFS('All Papers'!$D:$D,"*"&amp;$A1755&amp;"*",'All Papers'!$G:$G,"*"&amp;Table1[[#Headers],[Resource Management-CS]]&amp;"*")</f>
        <v>0</v>
      </c>
      <c r="H1755" s="8">
        <f>COUNTIFS('All Papers'!$D:$D,"*"&amp;$A1755&amp;"*",'All Papers'!$G:$G,"*"&amp;Table1[[#Headers],[Resource Management-PS]]&amp;"*")</f>
        <v>0</v>
      </c>
      <c r="I1755" s="8">
        <f>COUNTIFS('All Papers'!$D:$D,"*"&amp;$A1755&amp;"*",'All Papers'!$G:$G,"*"&amp;Table1[[#Headers],[SLA Management]]&amp;"*")</f>
        <v>0</v>
      </c>
      <c r="J1755" s="8">
        <f>COUNTIFS('All Papers'!$D:$D,"*"&amp;$A1755&amp;"*",'All Papers'!$G:$G,"*"&amp;Table1[[#Headers],[Big Data]]&amp;"*")</f>
        <v>0</v>
      </c>
      <c r="K1755" s="8">
        <f>COUNTIFS('All Papers'!$D:$D,"*"&amp;$A1755&amp;"*",'All Papers'!$G:$G,"*"&amp;Table1[[#Headers],[Energy Management]]&amp;"*")</f>
        <v>0</v>
      </c>
      <c r="L1755" s="8">
        <f>COUNTIFS('All Papers'!$D:$D,"*"&amp;$A1755&amp;"*",'All Papers'!$G:$G,"*"&amp;Table1[[#Headers],[Monitoring]]&amp;"*")</f>
        <v>0</v>
      </c>
      <c r="M1755" s="8">
        <f>COUNTIFS('All Papers'!$D:$D,"*"&amp;$A1755&amp;"*",'All Papers'!$G:$G,"*"&amp;Table1[[#Headers],[Pricing]]&amp;"*")</f>
        <v>0</v>
      </c>
    </row>
    <row r="1756" spans="1:13" x14ac:dyDescent="0.25">
      <c r="A1756" s="8" t="s">
        <v>4189</v>
      </c>
      <c r="B1756" s="8">
        <f>COUNTIF('All Papers'!D:D,"*"&amp;Table1[[#This Row],[Name]]&amp;"*")</f>
        <v>1</v>
      </c>
      <c r="C1756" s="8">
        <f>COUNTIFS('All Papers'!$D:$D,"*"&amp;$A1756&amp;"*",'All Papers'!$G:$G,"*"&amp;Table1[[#Headers],[Composition]]&amp;"*")</f>
        <v>0</v>
      </c>
      <c r="D1756" s="8">
        <f>COUNTIFS('All Papers'!$D:$D,"*"&amp;$A1756&amp;"*",'All Papers'!$G:$G,"*"&amp;Table1[[#Headers],[Discovery]]&amp;"*")</f>
        <v>1</v>
      </c>
      <c r="E1756" s="8">
        <f>COUNTIFS('All Papers'!$D:$D,"*"&amp;$A1756&amp;"*",'All Papers'!$G:$G,"*"&amp;Table1[[#Headers],[Selection]]&amp;"*")</f>
        <v>0</v>
      </c>
      <c r="F1756" s="8">
        <f>COUNTIFS('All Papers'!$D:$D,"*"&amp;$A1756&amp;"*",'All Papers'!$G:$G,"*"&amp;Table1[[#Headers],[Recommendation]]&amp;"*")</f>
        <v>0</v>
      </c>
      <c r="G1756" s="8">
        <f>COUNTIFS('All Papers'!$D:$D,"*"&amp;$A1756&amp;"*",'All Papers'!$G:$G,"*"&amp;Table1[[#Headers],[Resource Management-CS]]&amp;"*")</f>
        <v>0</v>
      </c>
      <c r="H1756" s="8">
        <f>COUNTIFS('All Papers'!$D:$D,"*"&amp;$A1756&amp;"*",'All Papers'!$G:$G,"*"&amp;Table1[[#Headers],[Resource Management-PS]]&amp;"*")</f>
        <v>0</v>
      </c>
      <c r="I1756" s="8">
        <f>COUNTIFS('All Papers'!$D:$D,"*"&amp;$A1756&amp;"*",'All Papers'!$G:$G,"*"&amp;Table1[[#Headers],[SLA Management]]&amp;"*")</f>
        <v>0</v>
      </c>
      <c r="J1756" s="8">
        <f>COUNTIFS('All Papers'!$D:$D,"*"&amp;$A1756&amp;"*",'All Papers'!$G:$G,"*"&amp;Table1[[#Headers],[Big Data]]&amp;"*")</f>
        <v>0</v>
      </c>
      <c r="K1756" s="8">
        <f>COUNTIFS('All Papers'!$D:$D,"*"&amp;$A1756&amp;"*",'All Papers'!$G:$G,"*"&amp;Table1[[#Headers],[Energy Management]]&amp;"*")</f>
        <v>0</v>
      </c>
      <c r="L1756" s="8">
        <f>COUNTIFS('All Papers'!$D:$D,"*"&amp;$A1756&amp;"*",'All Papers'!$G:$G,"*"&amp;Table1[[#Headers],[Monitoring]]&amp;"*")</f>
        <v>0</v>
      </c>
      <c r="M1756" s="8">
        <f>COUNTIFS('All Papers'!$D:$D,"*"&amp;$A1756&amp;"*",'All Papers'!$G:$G,"*"&amp;Table1[[#Headers],[Pricing]]&amp;"*")</f>
        <v>0</v>
      </c>
    </row>
    <row r="1757" spans="1:13" x14ac:dyDescent="0.25">
      <c r="A1757" s="8" t="s">
        <v>4190</v>
      </c>
      <c r="B1757" s="8">
        <f>COUNTIF('All Papers'!D:D,"*"&amp;Table1[[#This Row],[Name]]&amp;"*")</f>
        <v>1</v>
      </c>
      <c r="C1757" s="8">
        <f>COUNTIFS('All Papers'!$D:$D,"*"&amp;$A1757&amp;"*",'All Papers'!$G:$G,"*"&amp;Table1[[#Headers],[Composition]]&amp;"*")</f>
        <v>0</v>
      </c>
      <c r="D1757" s="8">
        <f>COUNTIFS('All Papers'!$D:$D,"*"&amp;$A1757&amp;"*",'All Papers'!$G:$G,"*"&amp;Table1[[#Headers],[Discovery]]&amp;"*")</f>
        <v>1</v>
      </c>
      <c r="E1757" s="8">
        <f>COUNTIFS('All Papers'!$D:$D,"*"&amp;$A1757&amp;"*",'All Papers'!$G:$G,"*"&amp;Table1[[#Headers],[Selection]]&amp;"*")</f>
        <v>0</v>
      </c>
      <c r="F1757" s="8">
        <f>COUNTIFS('All Papers'!$D:$D,"*"&amp;$A1757&amp;"*",'All Papers'!$G:$G,"*"&amp;Table1[[#Headers],[Recommendation]]&amp;"*")</f>
        <v>0</v>
      </c>
      <c r="G1757" s="8">
        <f>COUNTIFS('All Papers'!$D:$D,"*"&amp;$A1757&amp;"*",'All Papers'!$G:$G,"*"&amp;Table1[[#Headers],[Resource Management-CS]]&amp;"*")</f>
        <v>0</v>
      </c>
      <c r="H1757" s="8">
        <f>COUNTIFS('All Papers'!$D:$D,"*"&amp;$A1757&amp;"*",'All Papers'!$G:$G,"*"&amp;Table1[[#Headers],[Resource Management-PS]]&amp;"*")</f>
        <v>0</v>
      </c>
      <c r="I1757" s="8">
        <f>COUNTIFS('All Papers'!$D:$D,"*"&amp;$A1757&amp;"*",'All Papers'!$G:$G,"*"&amp;Table1[[#Headers],[SLA Management]]&amp;"*")</f>
        <v>0</v>
      </c>
      <c r="J1757" s="8">
        <f>COUNTIFS('All Papers'!$D:$D,"*"&amp;$A1757&amp;"*",'All Papers'!$G:$G,"*"&amp;Table1[[#Headers],[Big Data]]&amp;"*")</f>
        <v>0</v>
      </c>
      <c r="K1757" s="8">
        <f>COUNTIFS('All Papers'!$D:$D,"*"&amp;$A1757&amp;"*",'All Papers'!$G:$G,"*"&amp;Table1[[#Headers],[Energy Management]]&amp;"*")</f>
        <v>0</v>
      </c>
      <c r="L1757" s="8">
        <f>COUNTIFS('All Papers'!$D:$D,"*"&amp;$A1757&amp;"*",'All Papers'!$G:$G,"*"&amp;Table1[[#Headers],[Monitoring]]&amp;"*")</f>
        <v>0</v>
      </c>
      <c r="M1757" s="8">
        <f>COUNTIFS('All Papers'!$D:$D,"*"&amp;$A1757&amp;"*",'All Papers'!$G:$G,"*"&amp;Table1[[#Headers],[Pricing]]&amp;"*")</f>
        <v>0</v>
      </c>
    </row>
    <row r="1758" spans="1:13" x14ac:dyDescent="0.25">
      <c r="A1758" s="8" t="s">
        <v>4191</v>
      </c>
      <c r="B1758" s="8">
        <f>COUNTIF('All Papers'!D:D,"*"&amp;Table1[[#This Row],[Name]]&amp;"*")</f>
        <v>1</v>
      </c>
      <c r="C1758" s="8">
        <f>COUNTIFS('All Papers'!$D:$D,"*"&amp;$A1758&amp;"*",'All Papers'!$G:$G,"*"&amp;Table1[[#Headers],[Composition]]&amp;"*")</f>
        <v>0</v>
      </c>
      <c r="D1758" s="8">
        <f>COUNTIFS('All Papers'!$D:$D,"*"&amp;$A1758&amp;"*",'All Papers'!$G:$G,"*"&amp;Table1[[#Headers],[Discovery]]&amp;"*")</f>
        <v>1</v>
      </c>
      <c r="E1758" s="8">
        <f>COUNTIFS('All Papers'!$D:$D,"*"&amp;$A1758&amp;"*",'All Papers'!$G:$G,"*"&amp;Table1[[#Headers],[Selection]]&amp;"*")</f>
        <v>0</v>
      </c>
      <c r="F1758" s="8">
        <f>COUNTIFS('All Papers'!$D:$D,"*"&amp;$A1758&amp;"*",'All Papers'!$G:$G,"*"&amp;Table1[[#Headers],[Recommendation]]&amp;"*")</f>
        <v>0</v>
      </c>
      <c r="G1758" s="8">
        <f>COUNTIFS('All Papers'!$D:$D,"*"&amp;$A1758&amp;"*",'All Papers'!$G:$G,"*"&amp;Table1[[#Headers],[Resource Management-CS]]&amp;"*")</f>
        <v>0</v>
      </c>
      <c r="H1758" s="8">
        <f>COUNTIFS('All Papers'!$D:$D,"*"&amp;$A1758&amp;"*",'All Papers'!$G:$G,"*"&amp;Table1[[#Headers],[Resource Management-PS]]&amp;"*")</f>
        <v>0</v>
      </c>
      <c r="I1758" s="8">
        <f>COUNTIFS('All Papers'!$D:$D,"*"&amp;$A1758&amp;"*",'All Papers'!$G:$G,"*"&amp;Table1[[#Headers],[SLA Management]]&amp;"*")</f>
        <v>0</v>
      </c>
      <c r="J1758" s="8">
        <f>COUNTIFS('All Papers'!$D:$D,"*"&amp;$A1758&amp;"*",'All Papers'!$G:$G,"*"&amp;Table1[[#Headers],[Big Data]]&amp;"*")</f>
        <v>0</v>
      </c>
      <c r="K1758" s="8">
        <f>COUNTIFS('All Papers'!$D:$D,"*"&amp;$A1758&amp;"*",'All Papers'!$G:$G,"*"&amp;Table1[[#Headers],[Energy Management]]&amp;"*")</f>
        <v>0</v>
      </c>
      <c r="L1758" s="8">
        <f>COUNTIFS('All Papers'!$D:$D,"*"&amp;$A1758&amp;"*",'All Papers'!$G:$G,"*"&amp;Table1[[#Headers],[Monitoring]]&amp;"*")</f>
        <v>0</v>
      </c>
      <c r="M1758" s="8">
        <f>COUNTIFS('All Papers'!$D:$D,"*"&amp;$A1758&amp;"*",'All Papers'!$G:$G,"*"&amp;Table1[[#Headers],[Pricing]]&amp;"*")</f>
        <v>0</v>
      </c>
    </row>
    <row r="1759" spans="1:13" x14ac:dyDescent="0.25">
      <c r="A1759" s="8" t="s">
        <v>4192</v>
      </c>
      <c r="B1759" s="8">
        <f>COUNTIF('All Papers'!D:D,"*"&amp;Table1[[#This Row],[Name]]&amp;"*")</f>
        <v>1</v>
      </c>
      <c r="C1759" s="8">
        <f>COUNTIFS('All Papers'!$D:$D,"*"&amp;$A1759&amp;"*",'All Papers'!$G:$G,"*"&amp;Table1[[#Headers],[Composition]]&amp;"*")</f>
        <v>0</v>
      </c>
      <c r="D1759" s="8">
        <f>COUNTIFS('All Papers'!$D:$D,"*"&amp;$A1759&amp;"*",'All Papers'!$G:$G,"*"&amp;Table1[[#Headers],[Discovery]]&amp;"*")</f>
        <v>1</v>
      </c>
      <c r="E1759" s="8">
        <f>COUNTIFS('All Papers'!$D:$D,"*"&amp;$A1759&amp;"*",'All Papers'!$G:$G,"*"&amp;Table1[[#Headers],[Selection]]&amp;"*")</f>
        <v>0</v>
      </c>
      <c r="F1759" s="8">
        <f>COUNTIFS('All Papers'!$D:$D,"*"&amp;$A1759&amp;"*",'All Papers'!$G:$G,"*"&amp;Table1[[#Headers],[Recommendation]]&amp;"*")</f>
        <v>0</v>
      </c>
      <c r="G1759" s="8">
        <f>COUNTIFS('All Papers'!$D:$D,"*"&amp;$A1759&amp;"*",'All Papers'!$G:$G,"*"&amp;Table1[[#Headers],[Resource Management-CS]]&amp;"*")</f>
        <v>0</v>
      </c>
      <c r="H1759" s="8">
        <f>COUNTIFS('All Papers'!$D:$D,"*"&amp;$A1759&amp;"*",'All Papers'!$G:$G,"*"&amp;Table1[[#Headers],[Resource Management-PS]]&amp;"*")</f>
        <v>0</v>
      </c>
      <c r="I1759" s="8">
        <f>COUNTIFS('All Papers'!$D:$D,"*"&amp;$A1759&amp;"*",'All Papers'!$G:$G,"*"&amp;Table1[[#Headers],[SLA Management]]&amp;"*")</f>
        <v>0</v>
      </c>
      <c r="J1759" s="8">
        <f>COUNTIFS('All Papers'!$D:$D,"*"&amp;$A1759&amp;"*",'All Papers'!$G:$G,"*"&amp;Table1[[#Headers],[Big Data]]&amp;"*")</f>
        <v>0</v>
      </c>
      <c r="K1759" s="8">
        <f>COUNTIFS('All Papers'!$D:$D,"*"&amp;$A1759&amp;"*",'All Papers'!$G:$G,"*"&amp;Table1[[#Headers],[Energy Management]]&amp;"*")</f>
        <v>0</v>
      </c>
      <c r="L1759" s="8">
        <f>COUNTIFS('All Papers'!$D:$D,"*"&amp;$A1759&amp;"*",'All Papers'!$G:$G,"*"&amp;Table1[[#Headers],[Monitoring]]&amp;"*")</f>
        <v>0</v>
      </c>
      <c r="M1759" s="8">
        <f>COUNTIFS('All Papers'!$D:$D,"*"&amp;$A1759&amp;"*",'All Papers'!$G:$G,"*"&amp;Table1[[#Headers],[Pricing]]&amp;"*")</f>
        <v>0</v>
      </c>
    </row>
    <row r="1760" spans="1:13" x14ac:dyDescent="0.25">
      <c r="A1760" s="8" t="s">
        <v>4193</v>
      </c>
      <c r="B1760" s="8">
        <f>COUNTIF('All Papers'!D:D,"*"&amp;Table1[[#This Row],[Name]]&amp;"*")</f>
        <v>1</v>
      </c>
      <c r="C1760" s="8">
        <f>COUNTIFS('All Papers'!$D:$D,"*"&amp;$A1760&amp;"*",'All Papers'!$G:$G,"*"&amp;Table1[[#Headers],[Composition]]&amp;"*")</f>
        <v>0</v>
      </c>
      <c r="D1760" s="8">
        <f>COUNTIFS('All Papers'!$D:$D,"*"&amp;$A1760&amp;"*",'All Papers'!$G:$G,"*"&amp;Table1[[#Headers],[Discovery]]&amp;"*")</f>
        <v>0</v>
      </c>
      <c r="E1760" s="8">
        <f>COUNTIFS('All Papers'!$D:$D,"*"&amp;$A1760&amp;"*",'All Papers'!$G:$G,"*"&amp;Table1[[#Headers],[Selection]]&amp;"*")</f>
        <v>0</v>
      </c>
      <c r="F1760" s="8">
        <f>COUNTIFS('All Papers'!$D:$D,"*"&amp;$A1760&amp;"*",'All Papers'!$G:$G,"*"&amp;Table1[[#Headers],[Recommendation]]&amp;"*")</f>
        <v>0</v>
      </c>
      <c r="G1760" s="8">
        <f>COUNTIFS('All Papers'!$D:$D,"*"&amp;$A1760&amp;"*",'All Papers'!$G:$G,"*"&amp;Table1[[#Headers],[Resource Management-CS]]&amp;"*")</f>
        <v>1</v>
      </c>
      <c r="H1760" s="8">
        <f>COUNTIFS('All Papers'!$D:$D,"*"&amp;$A1760&amp;"*",'All Papers'!$G:$G,"*"&amp;Table1[[#Headers],[Resource Management-PS]]&amp;"*")</f>
        <v>0</v>
      </c>
      <c r="I1760" s="8">
        <f>COUNTIFS('All Papers'!$D:$D,"*"&amp;$A1760&amp;"*",'All Papers'!$G:$G,"*"&amp;Table1[[#Headers],[SLA Management]]&amp;"*")</f>
        <v>0</v>
      </c>
      <c r="J1760" s="8">
        <f>COUNTIFS('All Papers'!$D:$D,"*"&amp;$A1760&amp;"*",'All Papers'!$G:$G,"*"&amp;Table1[[#Headers],[Big Data]]&amp;"*")</f>
        <v>0</v>
      </c>
      <c r="K1760" s="8">
        <f>COUNTIFS('All Papers'!$D:$D,"*"&amp;$A1760&amp;"*",'All Papers'!$G:$G,"*"&amp;Table1[[#Headers],[Energy Management]]&amp;"*")</f>
        <v>0</v>
      </c>
      <c r="L1760" s="8">
        <f>COUNTIFS('All Papers'!$D:$D,"*"&amp;$A1760&amp;"*",'All Papers'!$G:$G,"*"&amp;Table1[[#Headers],[Monitoring]]&amp;"*")</f>
        <v>0</v>
      </c>
      <c r="M1760" s="8">
        <f>COUNTIFS('All Papers'!$D:$D,"*"&amp;$A1760&amp;"*",'All Papers'!$G:$G,"*"&amp;Table1[[#Headers],[Pricing]]&amp;"*")</f>
        <v>1</v>
      </c>
    </row>
    <row r="1761" spans="1:13" x14ac:dyDescent="0.25">
      <c r="A1761" s="8" t="s">
        <v>4194</v>
      </c>
      <c r="B1761" s="8">
        <f>COUNTIF('All Papers'!D:D,"*"&amp;Table1[[#This Row],[Name]]&amp;"*")</f>
        <v>1</v>
      </c>
      <c r="C1761" s="8">
        <f>COUNTIFS('All Papers'!$D:$D,"*"&amp;$A1761&amp;"*",'All Papers'!$G:$G,"*"&amp;Table1[[#Headers],[Composition]]&amp;"*")</f>
        <v>0</v>
      </c>
      <c r="D1761" s="8">
        <f>COUNTIFS('All Papers'!$D:$D,"*"&amp;$A1761&amp;"*",'All Papers'!$G:$G,"*"&amp;Table1[[#Headers],[Discovery]]&amp;"*")</f>
        <v>0</v>
      </c>
      <c r="E1761" s="8">
        <f>COUNTIFS('All Papers'!$D:$D,"*"&amp;$A1761&amp;"*",'All Papers'!$G:$G,"*"&amp;Table1[[#Headers],[Selection]]&amp;"*")</f>
        <v>0</v>
      </c>
      <c r="F1761" s="8">
        <f>COUNTIFS('All Papers'!$D:$D,"*"&amp;$A1761&amp;"*",'All Papers'!$G:$G,"*"&amp;Table1[[#Headers],[Recommendation]]&amp;"*")</f>
        <v>0</v>
      </c>
      <c r="G1761" s="8">
        <f>COUNTIFS('All Papers'!$D:$D,"*"&amp;$A1761&amp;"*",'All Papers'!$G:$G,"*"&amp;Table1[[#Headers],[Resource Management-CS]]&amp;"*")</f>
        <v>1</v>
      </c>
      <c r="H1761" s="8">
        <f>COUNTIFS('All Papers'!$D:$D,"*"&amp;$A1761&amp;"*",'All Papers'!$G:$G,"*"&amp;Table1[[#Headers],[Resource Management-PS]]&amp;"*")</f>
        <v>0</v>
      </c>
      <c r="I1761" s="8">
        <f>COUNTIFS('All Papers'!$D:$D,"*"&amp;$A1761&amp;"*",'All Papers'!$G:$G,"*"&amp;Table1[[#Headers],[SLA Management]]&amp;"*")</f>
        <v>0</v>
      </c>
      <c r="J1761" s="8">
        <f>COUNTIFS('All Papers'!$D:$D,"*"&amp;$A1761&amp;"*",'All Papers'!$G:$G,"*"&amp;Table1[[#Headers],[Big Data]]&amp;"*")</f>
        <v>0</v>
      </c>
      <c r="K1761" s="8">
        <f>COUNTIFS('All Papers'!$D:$D,"*"&amp;$A1761&amp;"*",'All Papers'!$G:$G,"*"&amp;Table1[[#Headers],[Energy Management]]&amp;"*")</f>
        <v>0</v>
      </c>
      <c r="L1761" s="8">
        <f>COUNTIFS('All Papers'!$D:$D,"*"&amp;$A1761&amp;"*",'All Papers'!$G:$G,"*"&amp;Table1[[#Headers],[Monitoring]]&amp;"*")</f>
        <v>0</v>
      </c>
      <c r="M1761" s="8">
        <f>COUNTIFS('All Papers'!$D:$D,"*"&amp;$A1761&amp;"*",'All Papers'!$G:$G,"*"&amp;Table1[[#Headers],[Pricing]]&amp;"*")</f>
        <v>1</v>
      </c>
    </row>
    <row r="1762" spans="1:13" x14ac:dyDescent="0.25">
      <c r="A1762" s="8" t="s">
        <v>4195</v>
      </c>
      <c r="B1762" s="8">
        <f>COUNTIF('All Papers'!D:D,"*"&amp;Table1[[#This Row],[Name]]&amp;"*")</f>
        <v>1</v>
      </c>
      <c r="C1762" s="8">
        <f>COUNTIFS('All Papers'!$D:$D,"*"&amp;$A1762&amp;"*",'All Papers'!$G:$G,"*"&amp;Table1[[#Headers],[Composition]]&amp;"*")</f>
        <v>0</v>
      </c>
      <c r="D1762" s="8">
        <f>COUNTIFS('All Papers'!$D:$D,"*"&amp;$A1762&amp;"*",'All Papers'!$G:$G,"*"&amp;Table1[[#Headers],[Discovery]]&amp;"*")</f>
        <v>0</v>
      </c>
      <c r="E1762" s="8">
        <f>COUNTIFS('All Papers'!$D:$D,"*"&amp;$A1762&amp;"*",'All Papers'!$G:$G,"*"&amp;Table1[[#Headers],[Selection]]&amp;"*")</f>
        <v>0</v>
      </c>
      <c r="F1762" s="8">
        <f>COUNTIFS('All Papers'!$D:$D,"*"&amp;$A1762&amp;"*",'All Papers'!$G:$G,"*"&amp;Table1[[#Headers],[Recommendation]]&amp;"*")</f>
        <v>0</v>
      </c>
      <c r="G1762" s="8">
        <f>COUNTIFS('All Papers'!$D:$D,"*"&amp;$A1762&amp;"*",'All Papers'!$G:$G,"*"&amp;Table1[[#Headers],[Resource Management-CS]]&amp;"*")</f>
        <v>1</v>
      </c>
      <c r="H1762" s="8">
        <f>COUNTIFS('All Papers'!$D:$D,"*"&amp;$A1762&amp;"*",'All Papers'!$G:$G,"*"&amp;Table1[[#Headers],[Resource Management-PS]]&amp;"*")</f>
        <v>0</v>
      </c>
      <c r="I1762" s="8">
        <f>COUNTIFS('All Papers'!$D:$D,"*"&amp;$A1762&amp;"*",'All Papers'!$G:$G,"*"&amp;Table1[[#Headers],[SLA Management]]&amp;"*")</f>
        <v>0</v>
      </c>
      <c r="J1762" s="8">
        <f>COUNTIFS('All Papers'!$D:$D,"*"&amp;$A1762&amp;"*",'All Papers'!$G:$G,"*"&amp;Table1[[#Headers],[Big Data]]&amp;"*")</f>
        <v>0</v>
      </c>
      <c r="K1762" s="8">
        <f>COUNTIFS('All Papers'!$D:$D,"*"&amp;$A1762&amp;"*",'All Papers'!$G:$G,"*"&amp;Table1[[#Headers],[Energy Management]]&amp;"*")</f>
        <v>0</v>
      </c>
      <c r="L1762" s="8">
        <f>COUNTIFS('All Papers'!$D:$D,"*"&amp;$A1762&amp;"*",'All Papers'!$G:$G,"*"&amp;Table1[[#Headers],[Monitoring]]&amp;"*")</f>
        <v>0</v>
      </c>
      <c r="M1762" s="8">
        <f>COUNTIFS('All Papers'!$D:$D,"*"&amp;$A1762&amp;"*",'All Papers'!$G:$G,"*"&amp;Table1[[#Headers],[Pricing]]&amp;"*")</f>
        <v>1</v>
      </c>
    </row>
    <row r="1763" spans="1:13" x14ac:dyDescent="0.25">
      <c r="A1763" s="8" t="s">
        <v>4196</v>
      </c>
      <c r="B1763" s="8">
        <f>COUNTIF('All Papers'!D:D,"*"&amp;Table1[[#This Row],[Name]]&amp;"*")</f>
        <v>1</v>
      </c>
      <c r="C1763" s="8">
        <f>COUNTIFS('All Papers'!$D:$D,"*"&amp;$A1763&amp;"*",'All Papers'!$G:$G,"*"&amp;Table1[[#Headers],[Composition]]&amp;"*")</f>
        <v>0</v>
      </c>
      <c r="D1763" s="8">
        <f>COUNTIFS('All Papers'!$D:$D,"*"&amp;$A1763&amp;"*",'All Papers'!$G:$G,"*"&amp;Table1[[#Headers],[Discovery]]&amp;"*")</f>
        <v>0</v>
      </c>
      <c r="E1763" s="8">
        <f>COUNTIFS('All Papers'!$D:$D,"*"&amp;$A1763&amp;"*",'All Papers'!$G:$G,"*"&amp;Table1[[#Headers],[Selection]]&amp;"*")</f>
        <v>0</v>
      </c>
      <c r="F1763" s="8">
        <f>COUNTIFS('All Papers'!$D:$D,"*"&amp;$A1763&amp;"*",'All Papers'!$G:$G,"*"&amp;Table1[[#Headers],[Recommendation]]&amp;"*")</f>
        <v>0</v>
      </c>
      <c r="G1763" s="8">
        <f>COUNTIFS('All Papers'!$D:$D,"*"&amp;$A1763&amp;"*",'All Papers'!$G:$G,"*"&amp;Table1[[#Headers],[Resource Management-CS]]&amp;"*")</f>
        <v>1</v>
      </c>
      <c r="H1763" s="8">
        <f>COUNTIFS('All Papers'!$D:$D,"*"&amp;$A1763&amp;"*",'All Papers'!$G:$G,"*"&amp;Table1[[#Headers],[Resource Management-PS]]&amp;"*")</f>
        <v>0</v>
      </c>
      <c r="I1763" s="8">
        <f>COUNTIFS('All Papers'!$D:$D,"*"&amp;$A1763&amp;"*",'All Papers'!$G:$G,"*"&amp;Table1[[#Headers],[SLA Management]]&amp;"*")</f>
        <v>0</v>
      </c>
      <c r="J1763" s="8">
        <f>COUNTIFS('All Papers'!$D:$D,"*"&amp;$A1763&amp;"*",'All Papers'!$G:$G,"*"&amp;Table1[[#Headers],[Big Data]]&amp;"*")</f>
        <v>0</v>
      </c>
      <c r="K1763" s="8">
        <f>COUNTIFS('All Papers'!$D:$D,"*"&amp;$A1763&amp;"*",'All Papers'!$G:$G,"*"&amp;Table1[[#Headers],[Energy Management]]&amp;"*")</f>
        <v>0</v>
      </c>
      <c r="L1763" s="8">
        <f>COUNTIFS('All Papers'!$D:$D,"*"&amp;$A1763&amp;"*",'All Papers'!$G:$G,"*"&amp;Table1[[#Headers],[Monitoring]]&amp;"*")</f>
        <v>0</v>
      </c>
      <c r="M1763" s="8">
        <f>COUNTIFS('All Papers'!$D:$D,"*"&amp;$A1763&amp;"*",'All Papers'!$G:$G,"*"&amp;Table1[[#Headers],[Pricing]]&amp;"*")</f>
        <v>1</v>
      </c>
    </row>
    <row r="1764" spans="1:13" x14ac:dyDescent="0.25">
      <c r="A1764" s="8" t="s">
        <v>4197</v>
      </c>
      <c r="B1764" s="8">
        <f>COUNTIF('All Papers'!D:D,"*"&amp;Table1[[#This Row],[Name]]&amp;"*")</f>
        <v>1</v>
      </c>
      <c r="C1764" s="8">
        <f>COUNTIFS('All Papers'!$D:$D,"*"&amp;$A1764&amp;"*",'All Papers'!$G:$G,"*"&amp;Table1[[#Headers],[Composition]]&amp;"*")</f>
        <v>0</v>
      </c>
      <c r="D1764" s="8">
        <f>COUNTIFS('All Papers'!$D:$D,"*"&amp;$A1764&amp;"*",'All Papers'!$G:$G,"*"&amp;Table1[[#Headers],[Discovery]]&amp;"*")</f>
        <v>0</v>
      </c>
      <c r="E1764" s="8">
        <f>COUNTIFS('All Papers'!$D:$D,"*"&amp;$A1764&amp;"*",'All Papers'!$G:$G,"*"&amp;Table1[[#Headers],[Selection]]&amp;"*")</f>
        <v>0</v>
      </c>
      <c r="F1764" s="8">
        <f>COUNTIFS('All Papers'!$D:$D,"*"&amp;$A1764&amp;"*",'All Papers'!$G:$G,"*"&amp;Table1[[#Headers],[Recommendation]]&amp;"*")</f>
        <v>0</v>
      </c>
      <c r="G1764" s="8">
        <f>COUNTIFS('All Papers'!$D:$D,"*"&amp;$A1764&amp;"*",'All Papers'!$G:$G,"*"&amp;Table1[[#Headers],[Resource Management-CS]]&amp;"*")</f>
        <v>0</v>
      </c>
      <c r="H1764" s="8">
        <f>COUNTIFS('All Papers'!$D:$D,"*"&amp;$A1764&amp;"*",'All Papers'!$G:$G,"*"&amp;Table1[[#Headers],[Resource Management-PS]]&amp;"*")</f>
        <v>1</v>
      </c>
      <c r="I1764" s="8">
        <f>COUNTIFS('All Papers'!$D:$D,"*"&amp;$A1764&amp;"*",'All Papers'!$G:$G,"*"&amp;Table1[[#Headers],[SLA Management]]&amp;"*")</f>
        <v>0</v>
      </c>
      <c r="J1764" s="8">
        <f>COUNTIFS('All Papers'!$D:$D,"*"&amp;$A1764&amp;"*",'All Papers'!$G:$G,"*"&amp;Table1[[#Headers],[Big Data]]&amp;"*")</f>
        <v>0</v>
      </c>
      <c r="K1764" s="8">
        <f>COUNTIFS('All Papers'!$D:$D,"*"&amp;$A1764&amp;"*",'All Papers'!$G:$G,"*"&amp;Table1[[#Headers],[Energy Management]]&amp;"*")</f>
        <v>0</v>
      </c>
      <c r="L1764" s="8">
        <f>COUNTIFS('All Papers'!$D:$D,"*"&amp;$A1764&amp;"*",'All Papers'!$G:$G,"*"&amp;Table1[[#Headers],[Monitoring]]&amp;"*")</f>
        <v>0</v>
      </c>
      <c r="M1764" s="8">
        <f>COUNTIFS('All Papers'!$D:$D,"*"&amp;$A1764&amp;"*",'All Papers'!$G:$G,"*"&amp;Table1[[#Headers],[Pricing]]&amp;"*")</f>
        <v>0</v>
      </c>
    </row>
    <row r="1765" spans="1:13" x14ac:dyDescent="0.25">
      <c r="A1765" s="8" t="s">
        <v>4198</v>
      </c>
      <c r="B1765" s="8">
        <f>COUNTIF('All Papers'!D:D,"*"&amp;Table1[[#This Row],[Name]]&amp;"*")</f>
        <v>1</v>
      </c>
      <c r="C1765" s="8">
        <f>COUNTIFS('All Papers'!$D:$D,"*"&amp;$A1765&amp;"*",'All Papers'!$G:$G,"*"&amp;Table1[[#Headers],[Composition]]&amp;"*")</f>
        <v>0</v>
      </c>
      <c r="D1765" s="8">
        <f>COUNTIFS('All Papers'!$D:$D,"*"&amp;$A1765&amp;"*",'All Papers'!$G:$G,"*"&amp;Table1[[#Headers],[Discovery]]&amp;"*")</f>
        <v>0</v>
      </c>
      <c r="E1765" s="8">
        <f>COUNTIFS('All Papers'!$D:$D,"*"&amp;$A1765&amp;"*",'All Papers'!$G:$G,"*"&amp;Table1[[#Headers],[Selection]]&amp;"*")</f>
        <v>0</v>
      </c>
      <c r="F1765" s="8">
        <f>COUNTIFS('All Papers'!$D:$D,"*"&amp;$A1765&amp;"*",'All Papers'!$G:$G,"*"&amp;Table1[[#Headers],[Recommendation]]&amp;"*")</f>
        <v>0</v>
      </c>
      <c r="G1765" s="8">
        <f>COUNTIFS('All Papers'!$D:$D,"*"&amp;$A1765&amp;"*",'All Papers'!$G:$G,"*"&amp;Table1[[#Headers],[Resource Management-CS]]&amp;"*")</f>
        <v>0</v>
      </c>
      <c r="H1765" s="8">
        <f>COUNTIFS('All Papers'!$D:$D,"*"&amp;$A1765&amp;"*",'All Papers'!$G:$G,"*"&amp;Table1[[#Headers],[Resource Management-PS]]&amp;"*")</f>
        <v>1</v>
      </c>
      <c r="I1765" s="8">
        <f>COUNTIFS('All Papers'!$D:$D,"*"&amp;$A1765&amp;"*",'All Papers'!$G:$G,"*"&amp;Table1[[#Headers],[SLA Management]]&amp;"*")</f>
        <v>0</v>
      </c>
      <c r="J1765" s="8">
        <f>COUNTIFS('All Papers'!$D:$D,"*"&amp;$A1765&amp;"*",'All Papers'!$G:$G,"*"&amp;Table1[[#Headers],[Big Data]]&amp;"*")</f>
        <v>0</v>
      </c>
      <c r="K1765" s="8">
        <f>COUNTIFS('All Papers'!$D:$D,"*"&amp;$A1765&amp;"*",'All Papers'!$G:$G,"*"&amp;Table1[[#Headers],[Energy Management]]&amp;"*")</f>
        <v>0</v>
      </c>
      <c r="L1765" s="8">
        <f>COUNTIFS('All Papers'!$D:$D,"*"&amp;$A1765&amp;"*",'All Papers'!$G:$G,"*"&amp;Table1[[#Headers],[Monitoring]]&amp;"*")</f>
        <v>0</v>
      </c>
      <c r="M1765" s="8">
        <f>COUNTIFS('All Papers'!$D:$D,"*"&amp;$A1765&amp;"*",'All Papers'!$G:$G,"*"&amp;Table1[[#Headers],[Pricing]]&amp;"*")</f>
        <v>0</v>
      </c>
    </row>
    <row r="1766" spans="1:13" x14ac:dyDescent="0.25">
      <c r="A1766" s="8" t="s">
        <v>4199</v>
      </c>
      <c r="B1766" s="8">
        <f>COUNTIF('All Papers'!D:D,"*"&amp;Table1[[#This Row],[Name]]&amp;"*")</f>
        <v>1</v>
      </c>
      <c r="C1766" s="8">
        <f>COUNTIFS('All Papers'!$D:$D,"*"&amp;$A1766&amp;"*",'All Papers'!$G:$G,"*"&amp;Table1[[#Headers],[Composition]]&amp;"*")</f>
        <v>0</v>
      </c>
      <c r="D1766" s="8">
        <f>COUNTIFS('All Papers'!$D:$D,"*"&amp;$A1766&amp;"*",'All Papers'!$G:$G,"*"&amp;Table1[[#Headers],[Discovery]]&amp;"*")</f>
        <v>0</v>
      </c>
      <c r="E1766" s="8">
        <f>COUNTIFS('All Papers'!$D:$D,"*"&amp;$A1766&amp;"*",'All Papers'!$G:$G,"*"&amp;Table1[[#Headers],[Selection]]&amp;"*")</f>
        <v>0</v>
      </c>
      <c r="F1766" s="8">
        <f>COUNTIFS('All Papers'!$D:$D,"*"&amp;$A1766&amp;"*",'All Papers'!$G:$G,"*"&amp;Table1[[#Headers],[Recommendation]]&amp;"*")</f>
        <v>0</v>
      </c>
      <c r="G1766" s="8">
        <f>COUNTIFS('All Papers'!$D:$D,"*"&amp;$A1766&amp;"*",'All Papers'!$G:$G,"*"&amp;Table1[[#Headers],[Resource Management-CS]]&amp;"*")</f>
        <v>0</v>
      </c>
      <c r="H1766" s="8">
        <f>COUNTIFS('All Papers'!$D:$D,"*"&amp;$A1766&amp;"*",'All Papers'!$G:$G,"*"&amp;Table1[[#Headers],[Resource Management-PS]]&amp;"*")</f>
        <v>1</v>
      </c>
      <c r="I1766" s="8">
        <f>COUNTIFS('All Papers'!$D:$D,"*"&amp;$A1766&amp;"*",'All Papers'!$G:$G,"*"&amp;Table1[[#Headers],[SLA Management]]&amp;"*")</f>
        <v>0</v>
      </c>
      <c r="J1766" s="8">
        <f>COUNTIFS('All Papers'!$D:$D,"*"&amp;$A1766&amp;"*",'All Papers'!$G:$G,"*"&amp;Table1[[#Headers],[Big Data]]&amp;"*")</f>
        <v>0</v>
      </c>
      <c r="K1766" s="8">
        <f>COUNTIFS('All Papers'!$D:$D,"*"&amp;$A1766&amp;"*",'All Papers'!$G:$G,"*"&amp;Table1[[#Headers],[Energy Management]]&amp;"*")</f>
        <v>0</v>
      </c>
      <c r="L1766" s="8">
        <f>COUNTIFS('All Papers'!$D:$D,"*"&amp;$A1766&amp;"*",'All Papers'!$G:$G,"*"&amp;Table1[[#Headers],[Monitoring]]&amp;"*")</f>
        <v>0</v>
      </c>
      <c r="M1766" s="8">
        <f>COUNTIFS('All Papers'!$D:$D,"*"&amp;$A1766&amp;"*",'All Papers'!$G:$G,"*"&amp;Table1[[#Headers],[Pricing]]&amp;"*")</f>
        <v>0</v>
      </c>
    </row>
    <row r="1767" spans="1:13" x14ac:dyDescent="0.25">
      <c r="A1767" s="8" t="s">
        <v>4200</v>
      </c>
      <c r="B1767" s="8">
        <f>COUNTIF('All Papers'!D:D,"*"&amp;Table1[[#This Row],[Name]]&amp;"*")</f>
        <v>1</v>
      </c>
      <c r="C1767" s="8">
        <f>COUNTIFS('All Papers'!$D:$D,"*"&amp;$A1767&amp;"*",'All Papers'!$G:$G,"*"&amp;Table1[[#Headers],[Composition]]&amp;"*")</f>
        <v>0</v>
      </c>
      <c r="D1767" s="8">
        <f>COUNTIFS('All Papers'!$D:$D,"*"&amp;$A1767&amp;"*",'All Papers'!$G:$G,"*"&amp;Table1[[#Headers],[Discovery]]&amp;"*")</f>
        <v>0</v>
      </c>
      <c r="E1767" s="8">
        <f>COUNTIFS('All Papers'!$D:$D,"*"&amp;$A1767&amp;"*",'All Papers'!$G:$G,"*"&amp;Table1[[#Headers],[Selection]]&amp;"*")</f>
        <v>0</v>
      </c>
      <c r="F1767" s="8">
        <f>COUNTIFS('All Papers'!$D:$D,"*"&amp;$A1767&amp;"*",'All Papers'!$G:$G,"*"&amp;Table1[[#Headers],[Recommendation]]&amp;"*")</f>
        <v>0</v>
      </c>
      <c r="G1767" s="8">
        <f>COUNTIFS('All Papers'!$D:$D,"*"&amp;$A1767&amp;"*",'All Papers'!$G:$G,"*"&amp;Table1[[#Headers],[Resource Management-CS]]&amp;"*")</f>
        <v>0</v>
      </c>
      <c r="H1767" s="8">
        <f>COUNTIFS('All Papers'!$D:$D,"*"&amp;$A1767&amp;"*",'All Papers'!$G:$G,"*"&amp;Table1[[#Headers],[Resource Management-PS]]&amp;"*")</f>
        <v>1</v>
      </c>
      <c r="I1767" s="8">
        <f>COUNTIFS('All Papers'!$D:$D,"*"&amp;$A1767&amp;"*",'All Papers'!$G:$G,"*"&amp;Table1[[#Headers],[SLA Management]]&amp;"*")</f>
        <v>0</v>
      </c>
      <c r="J1767" s="8">
        <f>COUNTIFS('All Papers'!$D:$D,"*"&amp;$A1767&amp;"*",'All Papers'!$G:$G,"*"&amp;Table1[[#Headers],[Big Data]]&amp;"*")</f>
        <v>0</v>
      </c>
      <c r="K1767" s="8">
        <f>COUNTIFS('All Papers'!$D:$D,"*"&amp;$A1767&amp;"*",'All Papers'!$G:$G,"*"&amp;Table1[[#Headers],[Energy Management]]&amp;"*")</f>
        <v>0</v>
      </c>
      <c r="L1767" s="8">
        <f>COUNTIFS('All Papers'!$D:$D,"*"&amp;$A1767&amp;"*",'All Papers'!$G:$G,"*"&amp;Table1[[#Headers],[Monitoring]]&amp;"*")</f>
        <v>0</v>
      </c>
      <c r="M1767" s="8">
        <f>COUNTIFS('All Papers'!$D:$D,"*"&amp;$A1767&amp;"*",'All Papers'!$G:$G,"*"&amp;Table1[[#Headers],[Pricing]]&amp;"*")</f>
        <v>0</v>
      </c>
    </row>
    <row r="1768" spans="1:13" x14ac:dyDescent="0.25">
      <c r="A1768" s="8" t="s">
        <v>4201</v>
      </c>
      <c r="B1768" s="8">
        <f>COUNTIF('All Papers'!D:D,"*"&amp;Table1[[#This Row],[Name]]&amp;"*")</f>
        <v>1</v>
      </c>
      <c r="C1768" s="8">
        <f>COUNTIFS('All Papers'!$D:$D,"*"&amp;$A1768&amp;"*",'All Papers'!$G:$G,"*"&amp;Table1[[#Headers],[Composition]]&amp;"*")</f>
        <v>0</v>
      </c>
      <c r="D1768" s="8">
        <f>COUNTIFS('All Papers'!$D:$D,"*"&amp;$A1768&amp;"*",'All Papers'!$G:$G,"*"&amp;Table1[[#Headers],[Discovery]]&amp;"*")</f>
        <v>0</v>
      </c>
      <c r="E1768" s="8">
        <f>COUNTIFS('All Papers'!$D:$D,"*"&amp;$A1768&amp;"*",'All Papers'!$G:$G,"*"&amp;Table1[[#Headers],[Selection]]&amp;"*")</f>
        <v>0</v>
      </c>
      <c r="F1768" s="8">
        <f>COUNTIFS('All Papers'!$D:$D,"*"&amp;$A1768&amp;"*",'All Papers'!$G:$G,"*"&amp;Table1[[#Headers],[Recommendation]]&amp;"*")</f>
        <v>0</v>
      </c>
      <c r="G1768" s="8">
        <f>COUNTIFS('All Papers'!$D:$D,"*"&amp;$A1768&amp;"*",'All Papers'!$G:$G,"*"&amp;Table1[[#Headers],[Resource Management-CS]]&amp;"*")</f>
        <v>0</v>
      </c>
      <c r="H1768" s="8">
        <f>COUNTIFS('All Papers'!$D:$D,"*"&amp;$A1768&amp;"*",'All Papers'!$G:$G,"*"&amp;Table1[[#Headers],[Resource Management-PS]]&amp;"*")</f>
        <v>1</v>
      </c>
      <c r="I1768" s="8">
        <f>COUNTIFS('All Papers'!$D:$D,"*"&amp;$A1768&amp;"*",'All Papers'!$G:$G,"*"&amp;Table1[[#Headers],[SLA Management]]&amp;"*")</f>
        <v>0</v>
      </c>
      <c r="J1768" s="8">
        <f>COUNTIFS('All Papers'!$D:$D,"*"&amp;$A1768&amp;"*",'All Papers'!$G:$G,"*"&amp;Table1[[#Headers],[Big Data]]&amp;"*")</f>
        <v>0</v>
      </c>
      <c r="K1768" s="8">
        <f>COUNTIFS('All Papers'!$D:$D,"*"&amp;$A1768&amp;"*",'All Papers'!$G:$G,"*"&amp;Table1[[#Headers],[Energy Management]]&amp;"*")</f>
        <v>0</v>
      </c>
      <c r="L1768" s="8">
        <f>COUNTIFS('All Papers'!$D:$D,"*"&amp;$A1768&amp;"*",'All Papers'!$G:$G,"*"&amp;Table1[[#Headers],[Monitoring]]&amp;"*")</f>
        <v>0</v>
      </c>
      <c r="M1768" s="8">
        <f>COUNTIFS('All Papers'!$D:$D,"*"&amp;$A1768&amp;"*",'All Papers'!$G:$G,"*"&amp;Table1[[#Headers],[Pricing]]&amp;"*")</f>
        <v>0</v>
      </c>
    </row>
    <row r="1769" spans="1:13" x14ac:dyDescent="0.25">
      <c r="A1769" s="8" t="s">
        <v>4202</v>
      </c>
      <c r="B1769" s="8">
        <f>COUNTIF('All Papers'!D:D,"*"&amp;Table1[[#This Row],[Name]]&amp;"*")</f>
        <v>1</v>
      </c>
      <c r="C1769" s="8">
        <f>COUNTIFS('All Papers'!$D:$D,"*"&amp;$A1769&amp;"*",'All Papers'!$G:$G,"*"&amp;Table1[[#Headers],[Composition]]&amp;"*")</f>
        <v>0</v>
      </c>
      <c r="D1769" s="8">
        <f>COUNTIFS('All Papers'!$D:$D,"*"&amp;$A1769&amp;"*",'All Papers'!$G:$G,"*"&amp;Table1[[#Headers],[Discovery]]&amp;"*")</f>
        <v>0</v>
      </c>
      <c r="E1769" s="8">
        <f>COUNTIFS('All Papers'!$D:$D,"*"&amp;$A1769&amp;"*",'All Papers'!$G:$G,"*"&amp;Table1[[#Headers],[Selection]]&amp;"*")</f>
        <v>1</v>
      </c>
      <c r="F1769" s="8">
        <f>COUNTIFS('All Papers'!$D:$D,"*"&amp;$A1769&amp;"*",'All Papers'!$G:$G,"*"&amp;Table1[[#Headers],[Recommendation]]&amp;"*")</f>
        <v>0</v>
      </c>
      <c r="G1769" s="8">
        <f>COUNTIFS('All Papers'!$D:$D,"*"&amp;$A1769&amp;"*",'All Papers'!$G:$G,"*"&amp;Table1[[#Headers],[Resource Management-CS]]&amp;"*")</f>
        <v>0</v>
      </c>
      <c r="H1769" s="8">
        <f>COUNTIFS('All Papers'!$D:$D,"*"&amp;$A1769&amp;"*",'All Papers'!$G:$G,"*"&amp;Table1[[#Headers],[Resource Management-PS]]&amp;"*")</f>
        <v>0</v>
      </c>
      <c r="I1769" s="8">
        <f>COUNTIFS('All Papers'!$D:$D,"*"&amp;$A1769&amp;"*",'All Papers'!$G:$G,"*"&amp;Table1[[#Headers],[SLA Management]]&amp;"*")</f>
        <v>0</v>
      </c>
      <c r="J1769" s="8">
        <f>COUNTIFS('All Papers'!$D:$D,"*"&amp;$A1769&amp;"*",'All Papers'!$G:$G,"*"&amp;Table1[[#Headers],[Big Data]]&amp;"*")</f>
        <v>0</v>
      </c>
      <c r="K1769" s="8">
        <f>COUNTIFS('All Papers'!$D:$D,"*"&amp;$A1769&amp;"*",'All Papers'!$G:$G,"*"&amp;Table1[[#Headers],[Energy Management]]&amp;"*")</f>
        <v>0</v>
      </c>
      <c r="L1769" s="8">
        <f>COUNTIFS('All Papers'!$D:$D,"*"&amp;$A1769&amp;"*",'All Papers'!$G:$G,"*"&amp;Table1[[#Headers],[Monitoring]]&amp;"*")</f>
        <v>0</v>
      </c>
      <c r="M1769" s="8">
        <f>COUNTIFS('All Papers'!$D:$D,"*"&amp;$A1769&amp;"*",'All Papers'!$G:$G,"*"&amp;Table1[[#Headers],[Pricing]]&amp;"*")</f>
        <v>0</v>
      </c>
    </row>
    <row r="1770" spans="1:13" x14ac:dyDescent="0.25">
      <c r="A1770" s="8" t="s">
        <v>4203</v>
      </c>
      <c r="B1770" s="8">
        <f>COUNTIF('All Papers'!D:D,"*"&amp;Table1[[#This Row],[Name]]&amp;"*")</f>
        <v>1</v>
      </c>
      <c r="C1770" s="8">
        <f>COUNTIFS('All Papers'!$D:$D,"*"&amp;$A1770&amp;"*",'All Papers'!$G:$G,"*"&amp;Table1[[#Headers],[Composition]]&amp;"*")</f>
        <v>0</v>
      </c>
      <c r="D1770" s="8">
        <f>COUNTIFS('All Papers'!$D:$D,"*"&amp;$A1770&amp;"*",'All Papers'!$G:$G,"*"&amp;Table1[[#Headers],[Discovery]]&amp;"*")</f>
        <v>0</v>
      </c>
      <c r="E1770" s="8">
        <f>COUNTIFS('All Papers'!$D:$D,"*"&amp;$A1770&amp;"*",'All Papers'!$G:$G,"*"&amp;Table1[[#Headers],[Selection]]&amp;"*")</f>
        <v>0</v>
      </c>
      <c r="F1770" s="8">
        <f>COUNTIFS('All Papers'!$D:$D,"*"&amp;$A1770&amp;"*",'All Papers'!$G:$G,"*"&amp;Table1[[#Headers],[Recommendation]]&amp;"*")</f>
        <v>0</v>
      </c>
      <c r="G1770" s="8">
        <f>COUNTIFS('All Papers'!$D:$D,"*"&amp;$A1770&amp;"*",'All Papers'!$G:$G,"*"&amp;Table1[[#Headers],[Resource Management-CS]]&amp;"*")</f>
        <v>0</v>
      </c>
      <c r="H1770" s="8">
        <f>COUNTIFS('All Papers'!$D:$D,"*"&amp;$A1770&amp;"*",'All Papers'!$G:$G,"*"&amp;Table1[[#Headers],[Resource Management-PS]]&amp;"*")</f>
        <v>0</v>
      </c>
      <c r="I1770" s="8">
        <f>COUNTIFS('All Papers'!$D:$D,"*"&amp;$A1770&amp;"*",'All Papers'!$G:$G,"*"&amp;Table1[[#Headers],[SLA Management]]&amp;"*")</f>
        <v>1</v>
      </c>
      <c r="J1770" s="8">
        <f>COUNTIFS('All Papers'!$D:$D,"*"&amp;$A1770&amp;"*",'All Papers'!$G:$G,"*"&amp;Table1[[#Headers],[Big Data]]&amp;"*")</f>
        <v>0</v>
      </c>
      <c r="K1770" s="8">
        <f>COUNTIFS('All Papers'!$D:$D,"*"&amp;$A1770&amp;"*",'All Papers'!$G:$G,"*"&amp;Table1[[#Headers],[Energy Management]]&amp;"*")</f>
        <v>0</v>
      </c>
      <c r="L1770" s="8">
        <f>COUNTIFS('All Papers'!$D:$D,"*"&amp;$A1770&amp;"*",'All Papers'!$G:$G,"*"&amp;Table1[[#Headers],[Monitoring]]&amp;"*")</f>
        <v>0</v>
      </c>
      <c r="M1770" s="8">
        <f>COUNTIFS('All Papers'!$D:$D,"*"&amp;$A1770&amp;"*",'All Papers'!$G:$G,"*"&amp;Table1[[#Headers],[Pricing]]&amp;"*")</f>
        <v>0</v>
      </c>
    </row>
    <row r="1771" spans="1:13" x14ac:dyDescent="0.25">
      <c r="A1771" s="8" t="s">
        <v>4204</v>
      </c>
      <c r="B1771" s="8">
        <f>COUNTIF('All Papers'!D:D,"*"&amp;Table1[[#This Row],[Name]]&amp;"*")</f>
        <v>1</v>
      </c>
      <c r="C1771" s="8">
        <f>COUNTIFS('All Papers'!$D:$D,"*"&amp;$A1771&amp;"*",'All Papers'!$G:$G,"*"&amp;Table1[[#Headers],[Composition]]&amp;"*")</f>
        <v>1</v>
      </c>
      <c r="D1771" s="8">
        <f>COUNTIFS('All Papers'!$D:$D,"*"&amp;$A1771&amp;"*",'All Papers'!$G:$G,"*"&amp;Table1[[#Headers],[Discovery]]&amp;"*")</f>
        <v>0</v>
      </c>
      <c r="E1771" s="8">
        <f>COUNTIFS('All Papers'!$D:$D,"*"&amp;$A1771&amp;"*",'All Papers'!$G:$G,"*"&amp;Table1[[#Headers],[Selection]]&amp;"*")</f>
        <v>0</v>
      </c>
      <c r="F1771" s="8">
        <f>COUNTIFS('All Papers'!$D:$D,"*"&amp;$A1771&amp;"*",'All Papers'!$G:$G,"*"&amp;Table1[[#Headers],[Recommendation]]&amp;"*")</f>
        <v>0</v>
      </c>
      <c r="G1771" s="8">
        <f>COUNTIFS('All Papers'!$D:$D,"*"&amp;$A1771&amp;"*",'All Papers'!$G:$G,"*"&amp;Table1[[#Headers],[Resource Management-CS]]&amp;"*")</f>
        <v>0</v>
      </c>
      <c r="H1771" s="8">
        <f>COUNTIFS('All Papers'!$D:$D,"*"&amp;$A1771&amp;"*",'All Papers'!$G:$G,"*"&amp;Table1[[#Headers],[Resource Management-PS]]&amp;"*")</f>
        <v>0</v>
      </c>
      <c r="I1771" s="8">
        <f>COUNTIFS('All Papers'!$D:$D,"*"&amp;$A1771&amp;"*",'All Papers'!$G:$G,"*"&amp;Table1[[#Headers],[SLA Management]]&amp;"*")</f>
        <v>0</v>
      </c>
      <c r="J1771" s="8">
        <f>COUNTIFS('All Papers'!$D:$D,"*"&amp;$A1771&amp;"*",'All Papers'!$G:$G,"*"&amp;Table1[[#Headers],[Big Data]]&amp;"*")</f>
        <v>0</v>
      </c>
      <c r="K1771" s="8">
        <f>COUNTIFS('All Papers'!$D:$D,"*"&amp;$A1771&amp;"*",'All Papers'!$G:$G,"*"&amp;Table1[[#Headers],[Energy Management]]&amp;"*")</f>
        <v>0</v>
      </c>
      <c r="L1771" s="8">
        <f>COUNTIFS('All Papers'!$D:$D,"*"&amp;$A1771&amp;"*",'All Papers'!$G:$G,"*"&amp;Table1[[#Headers],[Monitoring]]&amp;"*")</f>
        <v>0</v>
      </c>
      <c r="M1771" s="8">
        <f>COUNTIFS('All Papers'!$D:$D,"*"&amp;$A1771&amp;"*",'All Papers'!$G:$G,"*"&amp;Table1[[#Headers],[Pricing]]&amp;"*")</f>
        <v>0</v>
      </c>
    </row>
    <row r="1772" spans="1:13" x14ac:dyDescent="0.25">
      <c r="A1772" s="8" t="s">
        <v>4205</v>
      </c>
      <c r="B1772" s="8">
        <f>COUNTIF('All Papers'!D:D,"*"&amp;Table1[[#This Row],[Name]]&amp;"*")</f>
        <v>1</v>
      </c>
      <c r="C1772" s="8">
        <f>COUNTIFS('All Papers'!$D:$D,"*"&amp;$A1772&amp;"*",'All Papers'!$G:$G,"*"&amp;Table1[[#Headers],[Composition]]&amp;"*")</f>
        <v>1</v>
      </c>
      <c r="D1772" s="8">
        <f>COUNTIFS('All Papers'!$D:$D,"*"&amp;$A1772&amp;"*",'All Papers'!$G:$G,"*"&amp;Table1[[#Headers],[Discovery]]&amp;"*")</f>
        <v>0</v>
      </c>
      <c r="E1772" s="8">
        <f>COUNTIFS('All Papers'!$D:$D,"*"&amp;$A1772&amp;"*",'All Papers'!$G:$G,"*"&amp;Table1[[#Headers],[Selection]]&amp;"*")</f>
        <v>0</v>
      </c>
      <c r="F1772" s="8">
        <f>COUNTIFS('All Papers'!$D:$D,"*"&amp;$A1772&amp;"*",'All Papers'!$G:$G,"*"&amp;Table1[[#Headers],[Recommendation]]&amp;"*")</f>
        <v>0</v>
      </c>
      <c r="G1772" s="8">
        <f>COUNTIFS('All Papers'!$D:$D,"*"&amp;$A1772&amp;"*",'All Papers'!$G:$G,"*"&amp;Table1[[#Headers],[Resource Management-CS]]&amp;"*")</f>
        <v>0</v>
      </c>
      <c r="H1772" s="8">
        <f>COUNTIFS('All Papers'!$D:$D,"*"&amp;$A1772&amp;"*",'All Papers'!$G:$G,"*"&amp;Table1[[#Headers],[Resource Management-PS]]&amp;"*")</f>
        <v>0</v>
      </c>
      <c r="I1772" s="8">
        <f>COUNTIFS('All Papers'!$D:$D,"*"&amp;$A1772&amp;"*",'All Papers'!$G:$G,"*"&amp;Table1[[#Headers],[SLA Management]]&amp;"*")</f>
        <v>0</v>
      </c>
      <c r="J1772" s="8">
        <f>COUNTIFS('All Papers'!$D:$D,"*"&amp;$A1772&amp;"*",'All Papers'!$G:$G,"*"&amp;Table1[[#Headers],[Big Data]]&amp;"*")</f>
        <v>0</v>
      </c>
      <c r="K1772" s="8">
        <f>COUNTIFS('All Papers'!$D:$D,"*"&amp;$A1772&amp;"*",'All Papers'!$G:$G,"*"&amp;Table1[[#Headers],[Energy Management]]&amp;"*")</f>
        <v>0</v>
      </c>
      <c r="L1772" s="8">
        <f>COUNTIFS('All Papers'!$D:$D,"*"&amp;$A1772&amp;"*",'All Papers'!$G:$G,"*"&amp;Table1[[#Headers],[Monitoring]]&amp;"*")</f>
        <v>0</v>
      </c>
      <c r="M1772" s="8">
        <f>COUNTIFS('All Papers'!$D:$D,"*"&amp;$A1772&amp;"*",'All Papers'!$G:$G,"*"&amp;Table1[[#Headers],[Pricing]]&amp;"*")</f>
        <v>0</v>
      </c>
    </row>
    <row r="1773" spans="1:13" x14ac:dyDescent="0.25">
      <c r="A1773" s="8" t="s">
        <v>4206</v>
      </c>
      <c r="B1773" s="8">
        <f>COUNTIF('All Papers'!D:D,"*"&amp;Table1[[#This Row],[Name]]&amp;"*")</f>
        <v>1</v>
      </c>
      <c r="C1773" s="8">
        <f>COUNTIFS('All Papers'!$D:$D,"*"&amp;$A1773&amp;"*",'All Papers'!$G:$G,"*"&amp;Table1[[#Headers],[Composition]]&amp;"*")</f>
        <v>0</v>
      </c>
      <c r="D1773" s="8">
        <f>COUNTIFS('All Papers'!$D:$D,"*"&amp;$A1773&amp;"*",'All Papers'!$G:$G,"*"&amp;Table1[[#Headers],[Discovery]]&amp;"*")</f>
        <v>0</v>
      </c>
      <c r="E1773" s="8">
        <f>COUNTIFS('All Papers'!$D:$D,"*"&amp;$A1773&amp;"*",'All Papers'!$G:$G,"*"&amp;Table1[[#Headers],[Selection]]&amp;"*")</f>
        <v>0</v>
      </c>
      <c r="F1773" s="8">
        <f>COUNTIFS('All Papers'!$D:$D,"*"&amp;$A1773&amp;"*",'All Papers'!$G:$G,"*"&amp;Table1[[#Headers],[Recommendation]]&amp;"*")</f>
        <v>0</v>
      </c>
      <c r="G1773" s="8">
        <f>COUNTIFS('All Papers'!$D:$D,"*"&amp;$A1773&amp;"*",'All Papers'!$G:$G,"*"&amp;Table1[[#Headers],[Resource Management-CS]]&amp;"*")</f>
        <v>0</v>
      </c>
      <c r="H1773" s="8">
        <f>COUNTIFS('All Papers'!$D:$D,"*"&amp;$A1773&amp;"*",'All Papers'!$G:$G,"*"&amp;Table1[[#Headers],[Resource Management-PS]]&amp;"*")</f>
        <v>0</v>
      </c>
      <c r="I1773" s="8">
        <f>COUNTIFS('All Papers'!$D:$D,"*"&amp;$A1773&amp;"*",'All Papers'!$G:$G,"*"&amp;Table1[[#Headers],[SLA Management]]&amp;"*")</f>
        <v>0</v>
      </c>
      <c r="J1773" s="8">
        <f>COUNTIFS('All Papers'!$D:$D,"*"&amp;$A1773&amp;"*",'All Papers'!$G:$G,"*"&amp;Table1[[#Headers],[Big Data]]&amp;"*")</f>
        <v>0</v>
      </c>
      <c r="K1773" s="8">
        <f>COUNTIFS('All Papers'!$D:$D,"*"&amp;$A1773&amp;"*",'All Papers'!$G:$G,"*"&amp;Table1[[#Headers],[Energy Management]]&amp;"*")</f>
        <v>0</v>
      </c>
      <c r="L1773" s="8">
        <f>COUNTIFS('All Papers'!$D:$D,"*"&amp;$A1773&amp;"*",'All Papers'!$G:$G,"*"&amp;Table1[[#Headers],[Monitoring]]&amp;"*")</f>
        <v>0</v>
      </c>
      <c r="M1773" s="8">
        <f>COUNTIFS('All Papers'!$D:$D,"*"&amp;$A1773&amp;"*",'All Papers'!$G:$G,"*"&amp;Table1[[#Headers],[Pricing]]&amp;"*")</f>
        <v>1</v>
      </c>
    </row>
    <row r="1774" spans="1:13" x14ac:dyDescent="0.25">
      <c r="A1774" s="8" t="s">
        <v>4207</v>
      </c>
      <c r="B1774" s="8">
        <f>COUNTIF('All Papers'!D:D,"*"&amp;Table1[[#This Row],[Name]]&amp;"*")</f>
        <v>1</v>
      </c>
      <c r="C1774" s="8">
        <f>COUNTIFS('All Papers'!$D:$D,"*"&amp;$A1774&amp;"*",'All Papers'!$G:$G,"*"&amp;Table1[[#Headers],[Composition]]&amp;"*")</f>
        <v>0</v>
      </c>
      <c r="D1774" s="8">
        <f>COUNTIFS('All Papers'!$D:$D,"*"&amp;$A1774&amp;"*",'All Papers'!$G:$G,"*"&amp;Table1[[#Headers],[Discovery]]&amp;"*")</f>
        <v>0</v>
      </c>
      <c r="E1774" s="8">
        <f>COUNTIFS('All Papers'!$D:$D,"*"&amp;$A1774&amp;"*",'All Papers'!$G:$G,"*"&amp;Table1[[#Headers],[Selection]]&amp;"*")</f>
        <v>0</v>
      </c>
      <c r="F1774" s="8">
        <f>COUNTIFS('All Papers'!$D:$D,"*"&amp;$A1774&amp;"*",'All Papers'!$G:$G,"*"&amp;Table1[[#Headers],[Recommendation]]&amp;"*")</f>
        <v>0</v>
      </c>
      <c r="G1774" s="8">
        <f>COUNTIFS('All Papers'!$D:$D,"*"&amp;$A1774&amp;"*",'All Papers'!$G:$G,"*"&amp;Table1[[#Headers],[Resource Management-CS]]&amp;"*")</f>
        <v>0</v>
      </c>
      <c r="H1774" s="8">
        <f>COUNTIFS('All Papers'!$D:$D,"*"&amp;$A1774&amp;"*",'All Papers'!$G:$G,"*"&amp;Table1[[#Headers],[Resource Management-PS]]&amp;"*")</f>
        <v>0</v>
      </c>
      <c r="I1774" s="8">
        <f>COUNTIFS('All Papers'!$D:$D,"*"&amp;$A1774&amp;"*",'All Papers'!$G:$G,"*"&amp;Table1[[#Headers],[SLA Management]]&amp;"*")</f>
        <v>0</v>
      </c>
      <c r="J1774" s="8">
        <f>COUNTIFS('All Papers'!$D:$D,"*"&amp;$A1774&amp;"*",'All Papers'!$G:$G,"*"&amp;Table1[[#Headers],[Big Data]]&amp;"*")</f>
        <v>0</v>
      </c>
      <c r="K1774" s="8">
        <f>COUNTIFS('All Papers'!$D:$D,"*"&amp;$A1774&amp;"*",'All Papers'!$G:$G,"*"&amp;Table1[[#Headers],[Energy Management]]&amp;"*")</f>
        <v>0</v>
      </c>
      <c r="L1774" s="8">
        <f>COUNTIFS('All Papers'!$D:$D,"*"&amp;$A1774&amp;"*",'All Papers'!$G:$G,"*"&amp;Table1[[#Headers],[Monitoring]]&amp;"*")</f>
        <v>0</v>
      </c>
      <c r="M1774" s="8">
        <f>COUNTIFS('All Papers'!$D:$D,"*"&amp;$A1774&amp;"*",'All Papers'!$G:$G,"*"&amp;Table1[[#Headers],[Pricing]]&amp;"*")</f>
        <v>1</v>
      </c>
    </row>
    <row r="1775" spans="1:13" x14ac:dyDescent="0.25">
      <c r="A1775" s="8" t="s">
        <v>4208</v>
      </c>
      <c r="B1775" s="8">
        <f>COUNTIF('All Papers'!D:D,"*"&amp;Table1[[#This Row],[Name]]&amp;"*")</f>
        <v>1</v>
      </c>
      <c r="C1775" s="8">
        <f>COUNTIFS('All Papers'!$D:$D,"*"&amp;$A1775&amp;"*",'All Papers'!$G:$G,"*"&amp;Table1[[#Headers],[Composition]]&amp;"*")</f>
        <v>0</v>
      </c>
      <c r="D1775" s="8">
        <f>COUNTIFS('All Papers'!$D:$D,"*"&amp;$A1775&amp;"*",'All Papers'!$G:$G,"*"&amp;Table1[[#Headers],[Discovery]]&amp;"*")</f>
        <v>0</v>
      </c>
      <c r="E1775" s="8">
        <f>COUNTIFS('All Papers'!$D:$D,"*"&amp;$A1775&amp;"*",'All Papers'!$G:$G,"*"&amp;Table1[[#Headers],[Selection]]&amp;"*")</f>
        <v>0</v>
      </c>
      <c r="F1775" s="8">
        <f>COUNTIFS('All Papers'!$D:$D,"*"&amp;$A1775&amp;"*",'All Papers'!$G:$G,"*"&amp;Table1[[#Headers],[Recommendation]]&amp;"*")</f>
        <v>0</v>
      </c>
      <c r="G1775" s="8">
        <f>COUNTIFS('All Papers'!$D:$D,"*"&amp;$A1775&amp;"*",'All Papers'!$G:$G,"*"&amp;Table1[[#Headers],[Resource Management-CS]]&amp;"*")</f>
        <v>0</v>
      </c>
      <c r="H1775" s="8">
        <f>COUNTIFS('All Papers'!$D:$D,"*"&amp;$A1775&amp;"*",'All Papers'!$G:$G,"*"&amp;Table1[[#Headers],[Resource Management-PS]]&amp;"*")</f>
        <v>1</v>
      </c>
      <c r="I1775" s="8">
        <f>COUNTIFS('All Papers'!$D:$D,"*"&amp;$A1775&amp;"*",'All Papers'!$G:$G,"*"&amp;Table1[[#Headers],[SLA Management]]&amp;"*")</f>
        <v>0</v>
      </c>
      <c r="J1775" s="8">
        <f>COUNTIFS('All Papers'!$D:$D,"*"&amp;$A1775&amp;"*",'All Papers'!$G:$G,"*"&amp;Table1[[#Headers],[Big Data]]&amp;"*")</f>
        <v>0</v>
      </c>
      <c r="K1775" s="8">
        <f>COUNTIFS('All Papers'!$D:$D,"*"&amp;$A1775&amp;"*",'All Papers'!$G:$G,"*"&amp;Table1[[#Headers],[Energy Management]]&amp;"*")</f>
        <v>0</v>
      </c>
      <c r="L1775" s="8">
        <f>COUNTIFS('All Papers'!$D:$D,"*"&amp;$A1775&amp;"*",'All Papers'!$G:$G,"*"&amp;Table1[[#Headers],[Monitoring]]&amp;"*")</f>
        <v>0</v>
      </c>
      <c r="M1775" s="8">
        <f>COUNTIFS('All Papers'!$D:$D,"*"&amp;$A1775&amp;"*",'All Papers'!$G:$G,"*"&amp;Table1[[#Headers],[Pricing]]&amp;"*")</f>
        <v>0</v>
      </c>
    </row>
    <row r="1776" spans="1:13" x14ac:dyDescent="0.25">
      <c r="A1776" s="8" t="s">
        <v>4209</v>
      </c>
      <c r="B1776" s="8">
        <f>COUNTIF('All Papers'!D:D,"*"&amp;Table1[[#This Row],[Name]]&amp;"*")</f>
        <v>1</v>
      </c>
      <c r="C1776" s="8">
        <f>COUNTIFS('All Papers'!$D:$D,"*"&amp;$A1776&amp;"*",'All Papers'!$G:$G,"*"&amp;Table1[[#Headers],[Composition]]&amp;"*")</f>
        <v>0</v>
      </c>
      <c r="D1776" s="8">
        <f>COUNTIFS('All Papers'!$D:$D,"*"&amp;$A1776&amp;"*",'All Papers'!$G:$G,"*"&amp;Table1[[#Headers],[Discovery]]&amp;"*")</f>
        <v>0</v>
      </c>
      <c r="E1776" s="8">
        <f>COUNTIFS('All Papers'!$D:$D,"*"&amp;$A1776&amp;"*",'All Papers'!$G:$G,"*"&amp;Table1[[#Headers],[Selection]]&amp;"*")</f>
        <v>0</v>
      </c>
      <c r="F1776" s="8">
        <f>COUNTIFS('All Papers'!$D:$D,"*"&amp;$A1776&amp;"*",'All Papers'!$G:$G,"*"&amp;Table1[[#Headers],[Recommendation]]&amp;"*")</f>
        <v>0</v>
      </c>
      <c r="G1776" s="8">
        <f>COUNTIFS('All Papers'!$D:$D,"*"&amp;$A1776&amp;"*",'All Papers'!$G:$G,"*"&amp;Table1[[#Headers],[Resource Management-CS]]&amp;"*")</f>
        <v>0</v>
      </c>
      <c r="H1776" s="8">
        <f>COUNTIFS('All Papers'!$D:$D,"*"&amp;$A1776&amp;"*",'All Papers'!$G:$G,"*"&amp;Table1[[#Headers],[Resource Management-PS]]&amp;"*")</f>
        <v>1</v>
      </c>
      <c r="I1776" s="8">
        <f>COUNTIFS('All Papers'!$D:$D,"*"&amp;$A1776&amp;"*",'All Papers'!$G:$G,"*"&amp;Table1[[#Headers],[SLA Management]]&amp;"*")</f>
        <v>0</v>
      </c>
      <c r="J1776" s="8">
        <f>COUNTIFS('All Papers'!$D:$D,"*"&amp;$A1776&amp;"*",'All Papers'!$G:$G,"*"&amp;Table1[[#Headers],[Big Data]]&amp;"*")</f>
        <v>0</v>
      </c>
      <c r="K1776" s="8">
        <f>COUNTIFS('All Papers'!$D:$D,"*"&amp;$A1776&amp;"*",'All Papers'!$G:$G,"*"&amp;Table1[[#Headers],[Energy Management]]&amp;"*")</f>
        <v>0</v>
      </c>
      <c r="L1776" s="8">
        <f>COUNTIFS('All Papers'!$D:$D,"*"&amp;$A1776&amp;"*",'All Papers'!$G:$G,"*"&amp;Table1[[#Headers],[Monitoring]]&amp;"*")</f>
        <v>0</v>
      </c>
      <c r="M1776" s="8">
        <f>COUNTIFS('All Papers'!$D:$D,"*"&amp;$A1776&amp;"*",'All Papers'!$G:$G,"*"&amp;Table1[[#Headers],[Pricing]]&amp;"*")</f>
        <v>0</v>
      </c>
    </row>
    <row r="1777" spans="1:13" x14ac:dyDescent="0.25">
      <c r="A1777" s="8" t="s">
        <v>4210</v>
      </c>
      <c r="B1777" s="8">
        <f>COUNTIF('All Papers'!D:D,"*"&amp;Table1[[#This Row],[Name]]&amp;"*")</f>
        <v>1</v>
      </c>
      <c r="C1777" s="8">
        <f>COUNTIFS('All Papers'!$D:$D,"*"&amp;$A1777&amp;"*",'All Papers'!$G:$G,"*"&amp;Table1[[#Headers],[Composition]]&amp;"*")</f>
        <v>0</v>
      </c>
      <c r="D1777" s="8">
        <f>COUNTIFS('All Papers'!$D:$D,"*"&amp;$A1777&amp;"*",'All Papers'!$G:$G,"*"&amp;Table1[[#Headers],[Discovery]]&amp;"*")</f>
        <v>0</v>
      </c>
      <c r="E1777" s="8">
        <f>COUNTIFS('All Papers'!$D:$D,"*"&amp;$A1777&amp;"*",'All Papers'!$G:$G,"*"&amp;Table1[[#Headers],[Selection]]&amp;"*")</f>
        <v>0</v>
      </c>
      <c r="F1777" s="8">
        <f>COUNTIFS('All Papers'!$D:$D,"*"&amp;$A1777&amp;"*",'All Papers'!$G:$G,"*"&amp;Table1[[#Headers],[Recommendation]]&amp;"*")</f>
        <v>0</v>
      </c>
      <c r="G1777" s="8">
        <f>COUNTIFS('All Papers'!$D:$D,"*"&amp;$A1777&amp;"*",'All Papers'!$G:$G,"*"&amp;Table1[[#Headers],[Resource Management-CS]]&amp;"*")</f>
        <v>0</v>
      </c>
      <c r="H1777" s="8">
        <f>COUNTIFS('All Papers'!$D:$D,"*"&amp;$A1777&amp;"*",'All Papers'!$G:$G,"*"&amp;Table1[[#Headers],[Resource Management-PS]]&amp;"*")</f>
        <v>1</v>
      </c>
      <c r="I1777" s="8">
        <f>COUNTIFS('All Papers'!$D:$D,"*"&amp;$A1777&amp;"*",'All Papers'!$G:$G,"*"&amp;Table1[[#Headers],[SLA Management]]&amp;"*")</f>
        <v>0</v>
      </c>
      <c r="J1777" s="8">
        <f>COUNTIFS('All Papers'!$D:$D,"*"&amp;$A1777&amp;"*",'All Papers'!$G:$G,"*"&amp;Table1[[#Headers],[Big Data]]&amp;"*")</f>
        <v>0</v>
      </c>
      <c r="K1777" s="8">
        <f>COUNTIFS('All Papers'!$D:$D,"*"&amp;$A1777&amp;"*",'All Papers'!$G:$G,"*"&amp;Table1[[#Headers],[Energy Management]]&amp;"*")</f>
        <v>0</v>
      </c>
      <c r="L1777" s="8">
        <f>COUNTIFS('All Papers'!$D:$D,"*"&amp;$A1777&amp;"*",'All Papers'!$G:$G,"*"&amp;Table1[[#Headers],[Monitoring]]&amp;"*")</f>
        <v>0</v>
      </c>
      <c r="M1777" s="8">
        <f>COUNTIFS('All Papers'!$D:$D,"*"&amp;$A1777&amp;"*",'All Papers'!$G:$G,"*"&amp;Table1[[#Headers],[Pricing]]&amp;"*")</f>
        <v>0</v>
      </c>
    </row>
    <row r="1778" spans="1:13" x14ac:dyDescent="0.25">
      <c r="A1778" s="8" t="s">
        <v>4211</v>
      </c>
      <c r="B1778" s="8">
        <f>COUNTIF('All Papers'!D:D,"*"&amp;Table1[[#This Row],[Name]]&amp;"*")</f>
        <v>1</v>
      </c>
      <c r="C1778" s="8">
        <f>COUNTIFS('All Papers'!$D:$D,"*"&amp;$A1778&amp;"*",'All Papers'!$G:$G,"*"&amp;Table1[[#Headers],[Composition]]&amp;"*")</f>
        <v>0</v>
      </c>
      <c r="D1778" s="8">
        <f>COUNTIFS('All Papers'!$D:$D,"*"&amp;$A1778&amp;"*",'All Papers'!$G:$G,"*"&amp;Table1[[#Headers],[Discovery]]&amp;"*")</f>
        <v>0</v>
      </c>
      <c r="E1778" s="8">
        <f>COUNTIFS('All Papers'!$D:$D,"*"&amp;$A1778&amp;"*",'All Papers'!$G:$G,"*"&amp;Table1[[#Headers],[Selection]]&amp;"*")</f>
        <v>0</v>
      </c>
      <c r="F1778" s="8">
        <f>COUNTIFS('All Papers'!$D:$D,"*"&amp;$A1778&amp;"*",'All Papers'!$G:$G,"*"&amp;Table1[[#Headers],[Recommendation]]&amp;"*")</f>
        <v>0</v>
      </c>
      <c r="G1778" s="8">
        <f>COUNTIFS('All Papers'!$D:$D,"*"&amp;$A1778&amp;"*",'All Papers'!$G:$G,"*"&amp;Table1[[#Headers],[Resource Management-CS]]&amp;"*")</f>
        <v>0</v>
      </c>
      <c r="H1778" s="8">
        <f>COUNTIFS('All Papers'!$D:$D,"*"&amp;$A1778&amp;"*",'All Papers'!$G:$G,"*"&amp;Table1[[#Headers],[Resource Management-PS]]&amp;"*")</f>
        <v>0</v>
      </c>
      <c r="I1778" s="8">
        <f>COUNTIFS('All Papers'!$D:$D,"*"&amp;$A1778&amp;"*",'All Papers'!$G:$G,"*"&amp;Table1[[#Headers],[SLA Management]]&amp;"*")</f>
        <v>0</v>
      </c>
      <c r="J1778" s="8">
        <f>COUNTIFS('All Papers'!$D:$D,"*"&amp;$A1778&amp;"*",'All Papers'!$G:$G,"*"&amp;Table1[[#Headers],[Big Data]]&amp;"*")</f>
        <v>0</v>
      </c>
      <c r="K1778" s="8">
        <f>COUNTIFS('All Papers'!$D:$D,"*"&amp;$A1778&amp;"*",'All Papers'!$G:$G,"*"&amp;Table1[[#Headers],[Energy Management]]&amp;"*")</f>
        <v>0</v>
      </c>
      <c r="L1778" s="8">
        <f>COUNTIFS('All Papers'!$D:$D,"*"&amp;$A1778&amp;"*",'All Papers'!$G:$G,"*"&amp;Table1[[#Headers],[Monitoring]]&amp;"*")</f>
        <v>1</v>
      </c>
      <c r="M1778" s="8">
        <f>COUNTIFS('All Papers'!$D:$D,"*"&amp;$A1778&amp;"*",'All Papers'!$G:$G,"*"&amp;Table1[[#Headers],[Pricing]]&amp;"*")</f>
        <v>0</v>
      </c>
    </row>
    <row r="1779" spans="1:13" x14ac:dyDescent="0.25">
      <c r="A1779" s="8" t="s">
        <v>4212</v>
      </c>
      <c r="B1779" s="8">
        <f>COUNTIF('All Papers'!D:D,"*"&amp;Table1[[#This Row],[Name]]&amp;"*")</f>
        <v>1</v>
      </c>
      <c r="C1779" s="8">
        <f>COUNTIFS('All Papers'!$D:$D,"*"&amp;$A1779&amp;"*",'All Papers'!$G:$G,"*"&amp;Table1[[#Headers],[Composition]]&amp;"*")</f>
        <v>0</v>
      </c>
      <c r="D1779" s="8">
        <f>COUNTIFS('All Papers'!$D:$D,"*"&amp;$A1779&amp;"*",'All Papers'!$G:$G,"*"&amp;Table1[[#Headers],[Discovery]]&amp;"*")</f>
        <v>0</v>
      </c>
      <c r="E1779" s="8">
        <f>COUNTIFS('All Papers'!$D:$D,"*"&amp;$A1779&amp;"*",'All Papers'!$G:$G,"*"&amp;Table1[[#Headers],[Selection]]&amp;"*")</f>
        <v>0</v>
      </c>
      <c r="F1779" s="8">
        <f>COUNTIFS('All Papers'!$D:$D,"*"&amp;$A1779&amp;"*",'All Papers'!$G:$G,"*"&amp;Table1[[#Headers],[Recommendation]]&amp;"*")</f>
        <v>0</v>
      </c>
      <c r="G1779" s="8">
        <f>COUNTIFS('All Papers'!$D:$D,"*"&amp;$A1779&amp;"*",'All Papers'!$G:$G,"*"&amp;Table1[[#Headers],[Resource Management-CS]]&amp;"*")</f>
        <v>0</v>
      </c>
      <c r="H1779" s="8">
        <f>COUNTIFS('All Papers'!$D:$D,"*"&amp;$A1779&amp;"*",'All Papers'!$G:$G,"*"&amp;Table1[[#Headers],[Resource Management-PS]]&amp;"*")</f>
        <v>0</v>
      </c>
      <c r="I1779" s="8">
        <f>COUNTIFS('All Papers'!$D:$D,"*"&amp;$A1779&amp;"*",'All Papers'!$G:$G,"*"&amp;Table1[[#Headers],[SLA Management]]&amp;"*")</f>
        <v>0</v>
      </c>
      <c r="J1779" s="8">
        <f>COUNTIFS('All Papers'!$D:$D,"*"&amp;$A1779&amp;"*",'All Papers'!$G:$G,"*"&amp;Table1[[#Headers],[Big Data]]&amp;"*")</f>
        <v>0</v>
      </c>
      <c r="K1779" s="8">
        <f>COUNTIFS('All Papers'!$D:$D,"*"&amp;$A1779&amp;"*",'All Papers'!$G:$G,"*"&amp;Table1[[#Headers],[Energy Management]]&amp;"*")</f>
        <v>0</v>
      </c>
      <c r="L1779" s="8">
        <f>COUNTIFS('All Papers'!$D:$D,"*"&amp;$A1779&amp;"*",'All Papers'!$G:$G,"*"&amp;Table1[[#Headers],[Monitoring]]&amp;"*")</f>
        <v>1</v>
      </c>
      <c r="M1779" s="8">
        <f>COUNTIFS('All Papers'!$D:$D,"*"&amp;$A1779&amp;"*",'All Papers'!$G:$G,"*"&amp;Table1[[#Headers],[Pricing]]&amp;"*")</f>
        <v>0</v>
      </c>
    </row>
    <row r="1780" spans="1:13" x14ac:dyDescent="0.25">
      <c r="A1780" s="8" t="s">
        <v>4213</v>
      </c>
      <c r="B1780" s="8">
        <f>COUNTIF('All Papers'!D:D,"*"&amp;Table1[[#This Row],[Name]]&amp;"*")</f>
        <v>1</v>
      </c>
      <c r="C1780" s="8">
        <f>COUNTIFS('All Papers'!$D:$D,"*"&amp;$A1780&amp;"*",'All Papers'!$G:$G,"*"&amp;Table1[[#Headers],[Composition]]&amp;"*")</f>
        <v>0</v>
      </c>
      <c r="D1780" s="8">
        <f>COUNTIFS('All Papers'!$D:$D,"*"&amp;$A1780&amp;"*",'All Papers'!$G:$G,"*"&amp;Table1[[#Headers],[Discovery]]&amp;"*")</f>
        <v>0</v>
      </c>
      <c r="E1780" s="8">
        <f>COUNTIFS('All Papers'!$D:$D,"*"&amp;$A1780&amp;"*",'All Papers'!$G:$G,"*"&amp;Table1[[#Headers],[Selection]]&amp;"*")</f>
        <v>0</v>
      </c>
      <c r="F1780" s="8">
        <f>COUNTIFS('All Papers'!$D:$D,"*"&amp;$A1780&amp;"*",'All Papers'!$G:$G,"*"&amp;Table1[[#Headers],[Recommendation]]&amp;"*")</f>
        <v>0</v>
      </c>
      <c r="G1780" s="8">
        <f>COUNTIFS('All Papers'!$D:$D,"*"&amp;$A1780&amp;"*",'All Papers'!$G:$G,"*"&amp;Table1[[#Headers],[Resource Management-CS]]&amp;"*")</f>
        <v>0</v>
      </c>
      <c r="H1780" s="8">
        <f>COUNTIFS('All Papers'!$D:$D,"*"&amp;$A1780&amp;"*",'All Papers'!$G:$G,"*"&amp;Table1[[#Headers],[Resource Management-PS]]&amp;"*")</f>
        <v>0</v>
      </c>
      <c r="I1780" s="8">
        <f>COUNTIFS('All Papers'!$D:$D,"*"&amp;$A1780&amp;"*",'All Papers'!$G:$G,"*"&amp;Table1[[#Headers],[SLA Management]]&amp;"*")</f>
        <v>0</v>
      </c>
      <c r="J1780" s="8">
        <f>COUNTIFS('All Papers'!$D:$D,"*"&amp;$A1780&amp;"*",'All Papers'!$G:$G,"*"&amp;Table1[[#Headers],[Big Data]]&amp;"*")</f>
        <v>0</v>
      </c>
      <c r="K1780" s="8">
        <f>COUNTIFS('All Papers'!$D:$D,"*"&amp;$A1780&amp;"*",'All Papers'!$G:$G,"*"&amp;Table1[[#Headers],[Energy Management]]&amp;"*")</f>
        <v>0</v>
      </c>
      <c r="L1780" s="8">
        <f>COUNTIFS('All Papers'!$D:$D,"*"&amp;$A1780&amp;"*",'All Papers'!$G:$G,"*"&amp;Table1[[#Headers],[Monitoring]]&amp;"*")</f>
        <v>1</v>
      </c>
      <c r="M1780" s="8">
        <f>COUNTIFS('All Papers'!$D:$D,"*"&amp;$A1780&amp;"*",'All Papers'!$G:$G,"*"&amp;Table1[[#Headers],[Pricing]]&amp;"*")</f>
        <v>0</v>
      </c>
    </row>
    <row r="1781" spans="1:13" x14ac:dyDescent="0.25">
      <c r="A1781" s="8" t="s">
        <v>4214</v>
      </c>
      <c r="B1781" s="8">
        <f>COUNTIF('All Papers'!D:D,"*"&amp;Table1[[#This Row],[Name]]&amp;"*")</f>
        <v>1</v>
      </c>
      <c r="C1781" s="8">
        <f>COUNTIFS('All Papers'!$D:$D,"*"&amp;$A1781&amp;"*",'All Papers'!$G:$G,"*"&amp;Table1[[#Headers],[Composition]]&amp;"*")</f>
        <v>0</v>
      </c>
      <c r="D1781" s="8">
        <f>COUNTIFS('All Papers'!$D:$D,"*"&amp;$A1781&amp;"*",'All Papers'!$G:$G,"*"&amp;Table1[[#Headers],[Discovery]]&amp;"*")</f>
        <v>0</v>
      </c>
      <c r="E1781" s="8">
        <f>COUNTIFS('All Papers'!$D:$D,"*"&amp;$A1781&amp;"*",'All Papers'!$G:$G,"*"&amp;Table1[[#Headers],[Selection]]&amp;"*")</f>
        <v>0</v>
      </c>
      <c r="F1781" s="8">
        <f>COUNTIFS('All Papers'!$D:$D,"*"&amp;$A1781&amp;"*",'All Papers'!$G:$G,"*"&amp;Table1[[#Headers],[Recommendation]]&amp;"*")</f>
        <v>0</v>
      </c>
      <c r="G1781" s="8">
        <f>COUNTIFS('All Papers'!$D:$D,"*"&amp;$A1781&amp;"*",'All Papers'!$G:$G,"*"&amp;Table1[[#Headers],[Resource Management-CS]]&amp;"*")</f>
        <v>0</v>
      </c>
      <c r="H1781" s="8">
        <f>COUNTIFS('All Papers'!$D:$D,"*"&amp;$A1781&amp;"*",'All Papers'!$G:$G,"*"&amp;Table1[[#Headers],[Resource Management-PS]]&amp;"*")</f>
        <v>0</v>
      </c>
      <c r="I1781" s="8">
        <f>COUNTIFS('All Papers'!$D:$D,"*"&amp;$A1781&amp;"*",'All Papers'!$G:$G,"*"&amp;Table1[[#Headers],[SLA Management]]&amp;"*")</f>
        <v>0</v>
      </c>
      <c r="J1781" s="8">
        <f>COUNTIFS('All Papers'!$D:$D,"*"&amp;$A1781&amp;"*",'All Papers'!$G:$G,"*"&amp;Table1[[#Headers],[Big Data]]&amp;"*")</f>
        <v>0</v>
      </c>
      <c r="K1781" s="8">
        <f>COUNTIFS('All Papers'!$D:$D,"*"&amp;$A1781&amp;"*",'All Papers'!$G:$G,"*"&amp;Table1[[#Headers],[Energy Management]]&amp;"*")</f>
        <v>0</v>
      </c>
      <c r="L1781" s="8">
        <f>COUNTIFS('All Papers'!$D:$D,"*"&amp;$A1781&amp;"*",'All Papers'!$G:$G,"*"&amp;Table1[[#Headers],[Monitoring]]&amp;"*")</f>
        <v>1</v>
      </c>
      <c r="M1781" s="8">
        <f>COUNTIFS('All Papers'!$D:$D,"*"&amp;$A1781&amp;"*",'All Papers'!$G:$G,"*"&amp;Table1[[#Headers],[Pricing]]&amp;"*")</f>
        <v>0</v>
      </c>
    </row>
    <row r="1782" spans="1:13" x14ac:dyDescent="0.25">
      <c r="A1782" s="8" t="s">
        <v>4215</v>
      </c>
      <c r="B1782" s="8">
        <f>COUNTIF('All Papers'!D:D,"*"&amp;Table1[[#This Row],[Name]]&amp;"*")</f>
        <v>1</v>
      </c>
      <c r="C1782" s="8">
        <f>COUNTIFS('All Papers'!$D:$D,"*"&amp;$A1782&amp;"*",'All Papers'!$G:$G,"*"&amp;Table1[[#Headers],[Composition]]&amp;"*")</f>
        <v>0</v>
      </c>
      <c r="D1782" s="8">
        <f>COUNTIFS('All Papers'!$D:$D,"*"&amp;$A1782&amp;"*",'All Papers'!$G:$G,"*"&amp;Table1[[#Headers],[Discovery]]&amp;"*")</f>
        <v>0</v>
      </c>
      <c r="E1782" s="8">
        <f>COUNTIFS('All Papers'!$D:$D,"*"&amp;$A1782&amp;"*",'All Papers'!$G:$G,"*"&amp;Table1[[#Headers],[Selection]]&amp;"*")</f>
        <v>0</v>
      </c>
      <c r="F1782" s="8">
        <f>COUNTIFS('All Papers'!$D:$D,"*"&amp;$A1782&amp;"*",'All Papers'!$G:$G,"*"&amp;Table1[[#Headers],[Recommendation]]&amp;"*")</f>
        <v>0</v>
      </c>
      <c r="G1782" s="8">
        <f>COUNTIFS('All Papers'!$D:$D,"*"&amp;$A1782&amp;"*",'All Papers'!$G:$G,"*"&amp;Table1[[#Headers],[Resource Management-CS]]&amp;"*")</f>
        <v>0</v>
      </c>
      <c r="H1782" s="8">
        <f>COUNTIFS('All Papers'!$D:$D,"*"&amp;$A1782&amp;"*",'All Papers'!$G:$G,"*"&amp;Table1[[#Headers],[Resource Management-PS]]&amp;"*")</f>
        <v>0</v>
      </c>
      <c r="I1782" s="8">
        <f>COUNTIFS('All Papers'!$D:$D,"*"&amp;$A1782&amp;"*",'All Papers'!$G:$G,"*"&amp;Table1[[#Headers],[SLA Management]]&amp;"*")</f>
        <v>0</v>
      </c>
      <c r="J1782" s="8">
        <f>COUNTIFS('All Papers'!$D:$D,"*"&amp;$A1782&amp;"*",'All Papers'!$G:$G,"*"&amp;Table1[[#Headers],[Big Data]]&amp;"*")</f>
        <v>0</v>
      </c>
      <c r="K1782" s="8">
        <f>COUNTIFS('All Papers'!$D:$D,"*"&amp;$A1782&amp;"*",'All Papers'!$G:$G,"*"&amp;Table1[[#Headers],[Energy Management]]&amp;"*")</f>
        <v>0</v>
      </c>
      <c r="L1782" s="8">
        <f>COUNTIFS('All Papers'!$D:$D,"*"&amp;$A1782&amp;"*",'All Papers'!$G:$G,"*"&amp;Table1[[#Headers],[Monitoring]]&amp;"*")</f>
        <v>1</v>
      </c>
      <c r="M1782" s="8">
        <f>COUNTIFS('All Papers'!$D:$D,"*"&amp;$A1782&amp;"*",'All Papers'!$G:$G,"*"&amp;Table1[[#Headers],[Pricing]]&amp;"*")</f>
        <v>0</v>
      </c>
    </row>
    <row r="1783" spans="1:13" x14ac:dyDescent="0.25">
      <c r="A1783" s="8" t="s">
        <v>4216</v>
      </c>
      <c r="B1783" s="8">
        <f>COUNTIF('All Papers'!D:D,"*"&amp;Table1[[#This Row],[Name]]&amp;"*")</f>
        <v>1</v>
      </c>
      <c r="C1783" s="8">
        <f>COUNTIFS('All Papers'!$D:$D,"*"&amp;$A1783&amp;"*",'All Papers'!$G:$G,"*"&amp;Table1[[#Headers],[Composition]]&amp;"*")</f>
        <v>0</v>
      </c>
      <c r="D1783" s="8">
        <f>COUNTIFS('All Papers'!$D:$D,"*"&amp;$A1783&amp;"*",'All Papers'!$G:$G,"*"&amp;Table1[[#Headers],[Discovery]]&amp;"*")</f>
        <v>1</v>
      </c>
      <c r="E1783" s="8">
        <f>COUNTIFS('All Papers'!$D:$D,"*"&amp;$A1783&amp;"*",'All Papers'!$G:$G,"*"&amp;Table1[[#Headers],[Selection]]&amp;"*")</f>
        <v>0</v>
      </c>
      <c r="F1783" s="8">
        <f>COUNTIFS('All Papers'!$D:$D,"*"&amp;$A1783&amp;"*",'All Papers'!$G:$G,"*"&amp;Table1[[#Headers],[Recommendation]]&amp;"*")</f>
        <v>0</v>
      </c>
      <c r="G1783" s="8">
        <f>COUNTIFS('All Papers'!$D:$D,"*"&amp;$A1783&amp;"*",'All Papers'!$G:$G,"*"&amp;Table1[[#Headers],[Resource Management-CS]]&amp;"*")</f>
        <v>0</v>
      </c>
      <c r="H1783" s="8">
        <f>COUNTIFS('All Papers'!$D:$D,"*"&amp;$A1783&amp;"*",'All Papers'!$G:$G,"*"&amp;Table1[[#Headers],[Resource Management-PS]]&amp;"*")</f>
        <v>1</v>
      </c>
      <c r="I1783" s="8">
        <f>COUNTIFS('All Papers'!$D:$D,"*"&amp;$A1783&amp;"*",'All Papers'!$G:$G,"*"&amp;Table1[[#Headers],[SLA Management]]&amp;"*")</f>
        <v>0</v>
      </c>
      <c r="J1783" s="8">
        <f>COUNTIFS('All Papers'!$D:$D,"*"&amp;$A1783&amp;"*",'All Papers'!$G:$G,"*"&amp;Table1[[#Headers],[Big Data]]&amp;"*")</f>
        <v>0</v>
      </c>
      <c r="K1783" s="8">
        <f>COUNTIFS('All Papers'!$D:$D,"*"&amp;$A1783&amp;"*",'All Papers'!$G:$G,"*"&amp;Table1[[#Headers],[Energy Management]]&amp;"*")</f>
        <v>0</v>
      </c>
      <c r="L1783" s="8">
        <f>COUNTIFS('All Papers'!$D:$D,"*"&amp;$A1783&amp;"*",'All Papers'!$G:$G,"*"&amp;Table1[[#Headers],[Monitoring]]&amp;"*")</f>
        <v>0</v>
      </c>
      <c r="M1783" s="8">
        <f>COUNTIFS('All Papers'!$D:$D,"*"&amp;$A1783&amp;"*",'All Papers'!$G:$G,"*"&amp;Table1[[#Headers],[Pricing]]&amp;"*")</f>
        <v>0</v>
      </c>
    </row>
    <row r="1784" spans="1:13" x14ac:dyDescent="0.25">
      <c r="A1784" s="8" t="s">
        <v>4217</v>
      </c>
      <c r="B1784" s="8">
        <f>COUNTIF('All Papers'!D:D,"*"&amp;Table1[[#This Row],[Name]]&amp;"*")</f>
        <v>1</v>
      </c>
      <c r="C1784" s="8">
        <f>COUNTIFS('All Papers'!$D:$D,"*"&amp;$A1784&amp;"*",'All Papers'!$G:$G,"*"&amp;Table1[[#Headers],[Composition]]&amp;"*")</f>
        <v>0</v>
      </c>
      <c r="D1784" s="8">
        <f>COUNTIFS('All Papers'!$D:$D,"*"&amp;$A1784&amp;"*",'All Papers'!$G:$G,"*"&amp;Table1[[#Headers],[Discovery]]&amp;"*")</f>
        <v>1</v>
      </c>
      <c r="E1784" s="8">
        <f>COUNTIFS('All Papers'!$D:$D,"*"&amp;$A1784&amp;"*",'All Papers'!$G:$G,"*"&amp;Table1[[#Headers],[Selection]]&amp;"*")</f>
        <v>0</v>
      </c>
      <c r="F1784" s="8">
        <f>COUNTIFS('All Papers'!$D:$D,"*"&amp;$A1784&amp;"*",'All Papers'!$G:$G,"*"&amp;Table1[[#Headers],[Recommendation]]&amp;"*")</f>
        <v>0</v>
      </c>
      <c r="G1784" s="8">
        <f>COUNTIFS('All Papers'!$D:$D,"*"&amp;$A1784&amp;"*",'All Papers'!$G:$G,"*"&amp;Table1[[#Headers],[Resource Management-CS]]&amp;"*")</f>
        <v>0</v>
      </c>
      <c r="H1784" s="8">
        <f>COUNTIFS('All Papers'!$D:$D,"*"&amp;$A1784&amp;"*",'All Papers'!$G:$G,"*"&amp;Table1[[#Headers],[Resource Management-PS]]&amp;"*")</f>
        <v>1</v>
      </c>
      <c r="I1784" s="8">
        <f>COUNTIFS('All Papers'!$D:$D,"*"&amp;$A1784&amp;"*",'All Papers'!$G:$G,"*"&amp;Table1[[#Headers],[SLA Management]]&amp;"*")</f>
        <v>0</v>
      </c>
      <c r="J1784" s="8">
        <f>COUNTIFS('All Papers'!$D:$D,"*"&amp;$A1784&amp;"*",'All Papers'!$G:$G,"*"&amp;Table1[[#Headers],[Big Data]]&amp;"*")</f>
        <v>0</v>
      </c>
      <c r="K1784" s="8">
        <f>COUNTIFS('All Papers'!$D:$D,"*"&amp;$A1784&amp;"*",'All Papers'!$G:$G,"*"&amp;Table1[[#Headers],[Energy Management]]&amp;"*")</f>
        <v>0</v>
      </c>
      <c r="L1784" s="8">
        <f>COUNTIFS('All Papers'!$D:$D,"*"&amp;$A1784&amp;"*",'All Papers'!$G:$G,"*"&amp;Table1[[#Headers],[Monitoring]]&amp;"*")</f>
        <v>0</v>
      </c>
      <c r="M1784" s="8">
        <f>COUNTIFS('All Papers'!$D:$D,"*"&amp;$A1784&amp;"*",'All Papers'!$G:$G,"*"&amp;Table1[[#Headers],[Pricing]]&amp;"*")</f>
        <v>0</v>
      </c>
    </row>
    <row r="1785" spans="1:13" x14ac:dyDescent="0.25">
      <c r="A1785" s="8" t="s">
        <v>4218</v>
      </c>
      <c r="B1785" s="8">
        <f>COUNTIF('All Papers'!D:D,"*"&amp;Table1[[#This Row],[Name]]&amp;"*")</f>
        <v>1</v>
      </c>
      <c r="C1785" s="8">
        <f>COUNTIFS('All Papers'!$D:$D,"*"&amp;$A1785&amp;"*",'All Papers'!$G:$G,"*"&amp;Table1[[#Headers],[Composition]]&amp;"*")</f>
        <v>0</v>
      </c>
      <c r="D1785" s="8">
        <f>COUNTIFS('All Papers'!$D:$D,"*"&amp;$A1785&amp;"*",'All Papers'!$G:$G,"*"&amp;Table1[[#Headers],[Discovery]]&amp;"*")</f>
        <v>1</v>
      </c>
      <c r="E1785" s="8">
        <f>COUNTIFS('All Papers'!$D:$D,"*"&amp;$A1785&amp;"*",'All Papers'!$G:$G,"*"&amp;Table1[[#Headers],[Selection]]&amp;"*")</f>
        <v>0</v>
      </c>
      <c r="F1785" s="8">
        <f>COUNTIFS('All Papers'!$D:$D,"*"&amp;$A1785&amp;"*",'All Papers'!$G:$G,"*"&amp;Table1[[#Headers],[Recommendation]]&amp;"*")</f>
        <v>0</v>
      </c>
      <c r="G1785" s="8">
        <f>COUNTIFS('All Papers'!$D:$D,"*"&amp;$A1785&amp;"*",'All Papers'!$G:$G,"*"&amp;Table1[[#Headers],[Resource Management-CS]]&amp;"*")</f>
        <v>0</v>
      </c>
      <c r="H1785" s="8">
        <f>COUNTIFS('All Papers'!$D:$D,"*"&amp;$A1785&amp;"*",'All Papers'!$G:$G,"*"&amp;Table1[[#Headers],[Resource Management-PS]]&amp;"*")</f>
        <v>1</v>
      </c>
      <c r="I1785" s="8">
        <f>COUNTIFS('All Papers'!$D:$D,"*"&amp;$A1785&amp;"*",'All Papers'!$G:$G,"*"&amp;Table1[[#Headers],[SLA Management]]&amp;"*")</f>
        <v>0</v>
      </c>
      <c r="J1785" s="8">
        <f>COUNTIFS('All Papers'!$D:$D,"*"&amp;$A1785&amp;"*",'All Papers'!$G:$G,"*"&amp;Table1[[#Headers],[Big Data]]&amp;"*")</f>
        <v>0</v>
      </c>
      <c r="K1785" s="8">
        <f>COUNTIFS('All Papers'!$D:$D,"*"&amp;$A1785&amp;"*",'All Papers'!$G:$G,"*"&amp;Table1[[#Headers],[Energy Management]]&amp;"*")</f>
        <v>0</v>
      </c>
      <c r="L1785" s="8">
        <f>COUNTIFS('All Papers'!$D:$D,"*"&amp;$A1785&amp;"*",'All Papers'!$G:$G,"*"&amp;Table1[[#Headers],[Monitoring]]&amp;"*")</f>
        <v>0</v>
      </c>
      <c r="M1785" s="8">
        <f>COUNTIFS('All Papers'!$D:$D,"*"&amp;$A1785&amp;"*",'All Papers'!$G:$G,"*"&amp;Table1[[#Headers],[Pricing]]&amp;"*")</f>
        <v>0</v>
      </c>
    </row>
    <row r="1786" spans="1:13" x14ac:dyDescent="0.25">
      <c r="A1786" s="8" t="s">
        <v>4219</v>
      </c>
      <c r="B1786" s="8">
        <f>COUNTIF('All Papers'!D:D,"*"&amp;Table1[[#This Row],[Name]]&amp;"*")</f>
        <v>1</v>
      </c>
      <c r="C1786" s="8">
        <f>COUNTIFS('All Papers'!$D:$D,"*"&amp;$A1786&amp;"*",'All Papers'!$G:$G,"*"&amp;Table1[[#Headers],[Composition]]&amp;"*")</f>
        <v>0</v>
      </c>
      <c r="D1786" s="8">
        <f>COUNTIFS('All Papers'!$D:$D,"*"&amp;$A1786&amp;"*",'All Papers'!$G:$G,"*"&amp;Table1[[#Headers],[Discovery]]&amp;"*")</f>
        <v>1</v>
      </c>
      <c r="E1786" s="8">
        <f>COUNTIFS('All Papers'!$D:$D,"*"&amp;$A1786&amp;"*",'All Papers'!$G:$G,"*"&amp;Table1[[#Headers],[Selection]]&amp;"*")</f>
        <v>0</v>
      </c>
      <c r="F1786" s="8">
        <f>COUNTIFS('All Papers'!$D:$D,"*"&amp;$A1786&amp;"*",'All Papers'!$G:$G,"*"&amp;Table1[[#Headers],[Recommendation]]&amp;"*")</f>
        <v>0</v>
      </c>
      <c r="G1786" s="8">
        <f>COUNTIFS('All Papers'!$D:$D,"*"&amp;$A1786&amp;"*",'All Papers'!$G:$G,"*"&amp;Table1[[#Headers],[Resource Management-CS]]&amp;"*")</f>
        <v>0</v>
      </c>
      <c r="H1786" s="8">
        <f>COUNTIFS('All Papers'!$D:$D,"*"&amp;$A1786&amp;"*",'All Papers'!$G:$G,"*"&amp;Table1[[#Headers],[Resource Management-PS]]&amp;"*")</f>
        <v>1</v>
      </c>
      <c r="I1786" s="8">
        <f>COUNTIFS('All Papers'!$D:$D,"*"&amp;$A1786&amp;"*",'All Papers'!$G:$G,"*"&amp;Table1[[#Headers],[SLA Management]]&amp;"*")</f>
        <v>0</v>
      </c>
      <c r="J1786" s="8">
        <f>COUNTIFS('All Papers'!$D:$D,"*"&amp;$A1786&amp;"*",'All Papers'!$G:$G,"*"&amp;Table1[[#Headers],[Big Data]]&amp;"*")</f>
        <v>0</v>
      </c>
      <c r="K1786" s="8">
        <f>COUNTIFS('All Papers'!$D:$D,"*"&amp;$A1786&amp;"*",'All Papers'!$G:$G,"*"&amp;Table1[[#Headers],[Energy Management]]&amp;"*")</f>
        <v>0</v>
      </c>
      <c r="L1786" s="8">
        <f>COUNTIFS('All Papers'!$D:$D,"*"&amp;$A1786&amp;"*",'All Papers'!$G:$G,"*"&amp;Table1[[#Headers],[Monitoring]]&amp;"*")</f>
        <v>0</v>
      </c>
      <c r="M1786" s="8">
        <f>COUNTIFS('All Papers'!$D:$D,"*"&amp;$A1786&amp;"*",'All Papers'!$G:$G,"*"&amp;Table1[[#Headers],[Pricing]]&amp;"*")</f>
        <v>0</v>
      </c>
    </row>
    <row r="1787" spans="1:13" x14ac:dyDescent="0.25">
      <c r="A1787" s="8" t="s">
        <v>4220</v>
      </c>
      <c r="B1787" s="8">
        <f>COUNTIF('All Papers'!D:D,"*"&amp;Table1[[#This Row],[Name]]&amp;"*")</f>
        <v>1</v>
      </c>
      <c r="C1787" s="8">
        <f>COUNTIFS('All Papers'!$D:$D,"*"&amp;$A1787&amp;"*",'All Papers'!$G:$G,"*"&amp;Table1[[#Headers],[Composition]]&amp;"*")</f>
        <v>0</v>
      </c>
      <c r="D1787" s="8">
        <f>COUNTIFS('All Papers'!$D:$D,"*"&amp;$A1787&amp;"*",'All Papers'!$G:$G,"*"&amp;Table1[[#Headers],[Discovery]]&amp;"*")</f>
        <v>0</v>
      </c>
      <c r="E1787" s="8">
        <f>COUNTIFS('All Papers'!$D:$D,"*"&amp;$A1787&amp;"*",'All Papers'!$G:$G,"*"&amp;Table1[[#Headers],[Selection]]&amp;"*")</f>
        <v>0</v>
      </c>
      <c r="F1787" s="8">
        <f>COUNTIFS('All Papers'!$D:$D,"*"&amp;$A1787&amp;"*",'All Papers'!$G:$G,"*"&amp;Table1[[#Headers],[Recommendation]]&amp;"*")</f>
        <v>0</v>
      </c>
      <c r="G1787" s="8">
        <f>COUNTIFS('All Papers'!$D:$D,"*"&amp;$A1787&amp;"*",'All Papers'!$G:$G,"*"&amp;Table1[[#Headers],[Resource Management-CS]]&amp;"*")</f>
        <v>1</v>
      </c>
      <c r="H1787" s="8">
        <f>COUNTIFS('All Papers'!$D:$D,"*"&amp;$A1787&amp;"*",'All Papers'!$G:$G,"*"&amp;Table1[[#Headers],[Resource Management-PS]]&amp;"*")</f>
        <v>0</v>
      </c>
      <c r="I1787" s="8">
        <f>COUNTIFS('All Papers'!$D:$D,"*"&amp;$A1787&amp;"*",'All Papers'!$G:$G,"*"&amp;Table1[[#Headers],[SLA Management]]&amp;"*")</f>
        <v>0</v>
      </c>
      <c r="J1787" s="8">
        <f>COUNTIFS('All Papers'!$D:$D,"*"&amp;$A1787&amp;"*",'All Papers'!$G:$G,"*"&amp;Table1[[#Headers],[Big Data]]&amp;"*")</f>
        <v>0</v>
      </c>
      <c r="K1787" s="8">
        <f>COUNTIFS('All Papers'!$D:$D,"*"&amp;$A1787&amp;"*",'All Papers'!$G:$G,"*"&amp;Table1[[#Headers],[Energy Management]]&amp;"*")</f>
        <v>0</v>
      </c>
      <c r="L1787" s="8">
        <f>COUNTIFS('All Papers'!$D:$D,"*"&amp;$A1787&amp;"*",'All Papers'!$G:$G,"*"&amp;Table1[[#Headers],[Monitoring]]&amp;"*")</f>
        <v>0</v>
      </c>
      <c r="M1787" s="8">
        <f>COUNTIFS('All Papers'!$D:$D,"*"&amp;$A1787&amp;"*",'All Papers'!$G:$G,"*"&amp;Table1[[#Headers],[Pricing]]&amp;"*")</f>
        <v>0</v>
      </c>
    </row>
    <row r="1788" spans="1:13" x14ac:dyDescent="0.25">
      <c r="A1788" s="8" t="s">
        <v>4221</v>
      </c>
      <c r="B1788" s="8">
        <f>COUNTIF('All Papers'!D:D,"*"&amp;Table1[[#This Row],[Name]]&amp;"*")</f>
        <v>1</v>
      </c>
      <c r="C1788" s="8">
        <f>COUNTIFS('All Papers'!$D:$D,"*"&amp;$A1788&amp;"*",'All Papers'!$G:$G,"*"&amp;Table1[[#Headers],[Composition]]&amp;"*")</f>
        <v>0</v>
      </c>
      <c r="D1788" s="8">
        <f>COUNTIFS('All Papers'!$D:$D,"*"&amp;$A1788&amp;"*",'All Papers'!$G:$G,"*"&amp;Table1[[#Headers],[Discovery]]&amp;"*")</f>
        <v>0</v>
      </c>
      <c r="E1788" s="8">
        <f>COUNTIFS('All Papers'!$D:$D,"*"&amp;$A1788&amp;"*",'All Papers'!$G:$G,"*"&amp;Table1[[#Headers],[Selection]]&amp;"*")</f>
        <v>0</v>
      </c>
      <c r="F1788" s="8">
        <f>COUNTIFS('All Papers'!$D:$D,"*"&amp;$A1788&amp;"*",'All Papers'!$G:$G,"*"&amp;Table1[[#Headers],[Recommendation]]&amp;"*")</f>
        <v>0</v>
      </c>
      <c r="G1788" s="8">
        <f>COUNTIFS('All Papers'!$D:$D,"*"&amp;$A1788&amp;"*",'All Papers'!$G:$G,"*"&amp;Table1[[#Headers],[Resource Management-CS]]&amp;"*")</f>
        <v>1</v>
      </c>
      <c r="H1788" s="8">
        <f>COUNTIFS('All Papers'!$D:$D,"*"&amp;$A1788&amp;"*",'All Papers'!$G:$G,"*"&amp;Table1[[#Headers],[Resource Management-PS]]&amp;"*")</f>
        <v>0</v>
      </c>
      <c r="I1788" s="8">
        <f>COUNTIFS('All Papers'!$D:$D,"*"&amp;$A1788&amp;"*",'All Papers'!$G:$G,"*"&amp;Table1[[#Headers],[SLA Management]]&amp;"*")</f>
        <v>0</v>
      </c>
      <c r="J1788" s="8">
        <f>COUNTIFS('All Papers'!$D:$D,"*"&amp;$A1788&amp;"*",'All Papers'!$G:$G,"*"&amp;Table1[[#Headers],[Big Data]]&amp;"*")</f>
        <v>0</v>
      </c>
      <c r="K1788" s="8">
        <f>COUNTIFS('All Papers'!$D:$D,"*"&amp;$A1788&amp;"*",'All Papers'!$G:$G,"*"&amp;Table1[[#Headers],[Energy Management]]&amp;"*")</f>
        <v>0</v>
      </c>
      <c r="L1788" s="8">
        <f>COUNTIFS('All Papers'!$D:$D,"*"&amp;$A1788&amp;"*",'All Papers'!$G:$G,"*"&amp;Table1[[#Headers],[Monitoring]]&amp;"*")</f>
        <v>0</v>
      </c>
      <c r="M1788" s="8">
        <f>COUNTIFS('All Papers'!$D:$D,"*"&amp;$A1788&amp;"*",'All Papers'!$G:$G,"*"&amp;Table1[[#Headers],[Pricing]]&amp;"*")</f>
        <v>0</v>
      </c>
    </row>
    <row r="1789" spans="1:13" x14ac:dyDescent="0.25">
      <c r="A1789" s="8" t="s">
        <v>4222</v>
      </c>
      <c r="B1789" s="8">
        <f>COUNTIF('All Papers'!D:D,"*"&amp;Table1[[#This Row],[Name]]&amp;"*")</f>
        <v>1</v>
      </c>
      <c r="C1789" s="8">
        <f>COUNTIFS('All Papers'!$D:$D,"*"&amp;$A1789&amp;"*",'All Papers'!$G:$G,"*"&amp;Table1[[#Headers],[Composition]]&amp;"*")</f>
        <v>0</v>
      </c>
      <c r="D1789" s="8">
        <f>COUNTIFS('All Papers'!$D:$D,"*"&amp;$A1789&amp;"*",'All Papers'!$G:$G,"*"&amp;Table1[[#Headers],[Discovery]]&amp;"*")</f>
        <v>0</v>
      </c>
      <c r="E1789" s="8">
        <f>COUNTIFS('All Papers'!$D:$D,"*"&amp;$A1789&amp;"*",'All Papers'!$G:$G,"*"&amp;Table1[[#Headers],[Selection]]&amp;"*")</f>
        <v>0</v>
      </c>
      <c r="F1789" s="8">
        <f>COUNTIFS('All Papers'!$D:$D,"*"&amp;$A1789&amp;"*",'All Papers'!$G:$G,"*"&amp;Table1[[#Headers],[Recommendation]]&amp;"*")</f>
        <v>0</v>
      </c>
      <c r="G1789" s="8">
        <f>COUNTIFS('All Papers'!$D:$D,"*"&amp;$A1789&amp;"*",'All Papers'!$G:$G,"*"&amp;Table1[[#Headers],[Resource Management-CS]]&amp;"*")</f>
        <v>0</v>
      </c>
      <c r="H1789" s="8">
        <f>COUNTIFS('All Papers'!$D:$D,"*"&amp;$A1789&amp;"*",'All Papers'!$G:$G,"*"&amp;Table1[[#Headers],[Resource Management-PS]]&amp;"*")</f>
        <v>1</v>
      </c>
      <c r="I1789" s="8">
        <f>COUNTIFS('All Papers'!$D:$D,"*"&amp;$A1789&amp;"*",'All Papers'!$G:$G,"*"&amp;Table1[[#Headers],[SLA Management]]&amp;"*")</f>
        <v>0</v>
      </c>
      <c r="J1789" s="8">
        <f>COUNTIFS('All Papers'!$D:$D,"*"&amp;$A1789&amp;"*",'All Papers'!$G:$G,"*"&amp;Table1[[#Headers],[Big Data]]&amp;"*")</f>
        <v>0</v>
      </c>
      <c r="K1789" s="8">
        <f>COUNTIFS('All Papers'!$D:$D,"*"&amp;$A1789&amp;"*",'All Papers'!$G:$G,"*"&amp;Table1[[#Headers],[Energy Management]]&amp;"*")</f>
        <v>0</v>
      </c>
      <c r="L1789" s="8">
        <f>COUNTIFS('All Papers'!$D:$D,"*"&amp;$A1789&amp;"*",'All Papers'!$G:$G,"*"&amp;Table1[[#Headers],[Monitoring]]&amp;"*")</f>
        <v>0</v>
      </c>
      <c r="M1789" s="8">
        <f>COUNTIFS('All Papers'!$D:$D,"*"&amp;$A1789&amp;"*",'All Papers'!$G:$G,"*"&amp;Table1[[#Headers],[Pricing]]&amp;"*")</f>
        <v>0</v>
      </c>
    </row>
    <row r="1790" spans="1:13" x14ac:dyDescent="0.25">
      <c r="A1790" s="8" t="s">
        <v>4223</v>
      </c>
      <c r="B1790" s="8">
        <f>COUNTIF('All Papers'!D:D,"*"&amp;Table1[[#This Row],[Name]]&amp;"*")</f>
        <v>1</v>
      </c>
      <c r="C1790" s="8">
        <f>COUNTIFS('All Papers'!$D:$D,"*"&amp;$A1790&amp;"*",'All Papers'!$G:$G,"*"&amp;Table1[[#Headers],[Composition]]&amp;"*")</f>
        <v>1</v>
      </c>
      <c r="D1790" s="8">
        <f>COUNTIFS('All Papers'!$D:$D,"*"&amp;$A1790&amp;"*",'All Papers'!$G:$G,"*"&amp;Table1[[#Headers],[Discovery]]&amp;"*")</f>
        <v>0</v>
      </c>
      <c r="E1790" s="8">
        <f>COUNTIFS('All Papers'!$D:$D,"*"&amp;$A1790&amp;"*",'All Papers'!$G:$G,"*"&amp;Table1[[#Headers],[Selection]]&amp;"*")</f>
        <v>0</v>
      </c>
      <c r="F1790" s="8">
        <f>COUNTIFS('All Papers'!$D:$D,"*"&amp;$A1790&amp;"*",'All Papers'!$G:$G,"*"&amp;Table1[[#Headers],[Recommendation]]&amp;"*")</f>
        <v>0</v>
      </c>
      <c r="G1790" s="8">
        <f>COUNTIFS('All Papers'!$D:$D,"*"&amp;$A1790&amp;"*",'All Papers'!$G:$G,"*"&amp;Table1[[#Headers],[Resource Management-CS]]&amp;"*")</f>
        <v>0</v>
      </c>
      <c r="H1790" s="8">
        <f>COUNTIFS('All Papers'!$D:$D,"*"&amp;$A1790&amp;"*",'All Papers'!$G:$G,"*"&amp;Table1[[#Headers],[Resource Management-PS]]&amp;"*")</f>
        <v>0</v>
      </c>
      <c r="I1790" s="8">
        <f>COUNTIFS('All Papers'!$D:$D,"*"&amp;$A1790&amp;"*",'All Papers'!$G:$G,"*"&amp;Table1[[#Headers],[SLA Management]]&amp;"*")</f>
        <v>0</v>
      </c>
      <c r="J1790" s="8">
        <f>COUNTIFS('All Papers'!$D:$D,"*"&amp;$A1790&amp;"*",'All Papers'!$G:$G,"*"&amp;Table1[[#Headers],[Big Data]]&amp;"*")</f>
        <v>0</v>
      </c>
      <c r="K1790" s="8">
        <f>COUNTIFS('All Papers'!$D:$D,"*"&amp;$A1790&amp;"*",'All Papers'!$G:$G,"*"&amp;Table1[[#Headers],[Energy Management]]&amp;"*")</f>
        <v>0</v>
      </c>
      <c r="L1790" s="8">
        <f>COUNTIFS('All Papers'!$D:$D,"*"&amp;$A1790&amp;"*",'All Papers'!$G:$G,"*"&amp;Table1[[#Headers],[Monitoring]]&amp;"*")</f>
        <v>0</v>
      </c>
      <c r="M1790" s="8">
        <f>COUNTIFS('All Papers'!$D:$D,"*"&amp;$A1790&amp;"*",'All Papers'!$G:$G,"*"&amp;Table1[[#Headers],[Pricing]]&amp;"*")</f>
        <v>1</v>
      </c>
    </row>
    <row r="1791" spans="1:13" x14ac:dyDescent="0.25">
      <c r="A1791" s="8" t="s">
        <v>4224</v>
      </c>
      <c r="B1791" s="8">
        <f>COUNTIF('All Papers'!D:D,"*"&amp;Table1[[#This Row],[Name]]&amp;"*")</f>
        <v>1</v>
      </c>
      <c r="C1791" s="8">
        <f>COUNTIFS('All Papers'!$D:$D,"*"&amp;$A1791&amp;"*",'All Papers'!$G:$G,"*"&amp;Table1[[#Headers],[Composition]]&amp;"*")</f>
        <v>1</v>
      </c>
      <c r="D1791" s="8">
        <f>COUNTIFS('All Papers'!$D:$D,"*"&amp;$A1791&amp;"*",'All Papers'!$G:$G,"*"&amp;Table1[[#Headers],[Discovery]]&amp;"*")</f>
        <v>0</v>
      </c>
      <c r="E1791" s="8">
        <f>COUNTIFS('All Papers'!$D:$D,"*"&amp;$A1791&amp;"*",'All Papers'!$G:$G,"*"&amp;Table1[[#Headers],[Selection]]&amp;"*")</f>
        <v>0</v>
      </c>
      <c r="F1791" s="8">
        <f>COUNTIFS('All Papers'!$D:$D,"*"&amp;$A1791&amp;"*",'All Papers'!$G:$G,"*"&amp;Table1[[#Headers],[Recommendation]]&amp;"*")</f>
        <v>0</v>
      </c>
      <c r="G1791" s="8">
        <f>COUNTIFS('All Papers'!$D:$D,"*"&amp;$A1791&amp;"*",'All Papers'!$G:$G,"*"&amp;Table1[[#Headers],[Resource Management-CS]]&amp;"*")</f>
        <v>0</v>
      </c>
      <c r="H1791" s="8">
        <f>COUNTIFS('All Papers'!$D:$D,"*"&amp;$A1791&amp;"*",'All Papers'!$G:$G,"*"&amp;Table1[[#Headers],[Resource Management-PS]]&amp;"*")</f>
        <v>0</v>
      </c>
      <c r="I1791" s="8">
        <f>COUNTIFS('All Papers'!$D:$D,"*"&amp;$A1791&amp;"*",'All Papers'!$G:$G,"*"&amp;Table1[[#Headers],[SLA Management]]&amp;"*")</f>
        <v>0</v>
      </c>
      <c r="J1791" s="8">
        <f>COUNTIFS('All Papers'!$D:$D,"*"&amp;$A1791&amp;"*",'All Papers'!$G:$G,"*"&amp;Table1[[#Headers],[Big Data]]&amp;"*")</f>
        <v>0</v>
      </c>
      <c r="K1791" s="8">
        <f>COUNTIFS('All Papers'!$D:$D,"*"&amp;$A1791&amp;"*",'All Papers'!$G:$G,"*"&amp;Table1[[#Headers],[Energy Management]]&amp;"*")</f>
        <v>0</v>
      </c>
      <c r="L1791" s="8">
        <f>COUNTIFS('All Papers'!$D:$D,"*"&amp;$A1791&amp;"*",'All Papers'!$G:$G,"*"&amp;Table1[[#Headers],[Monitoring]]&amp;"*")</f>
        <v>0</v>
      </c>
      <c r="M1791" s="8">
        <f>COUNTIFS('All Papers'!$D:$D,"*"&amp;$A1791&amp;"*",'All Papers'!$G:$G,"*"&amp;Table1[[#Headers],[Pricing]]&amp;"*")</f>
        <v>1</v>
      </c>
    </row>
    <row r="1792" spans="1:13" x14ac:dyDescent="0.25">
      <c r="A1792" s="8" t="s">
        <v>4225</v>
      </c>
      <c r="B1792" s="8">
        <f>COUNTIF('All Papers'!D:D,"*"&amp;Table1[[#This Row],[Name]]&amp;"*")</f>
        <v>1</v>
      </c>
      <c r="C1792" s="8">
        <f>COUNTIFS('All Papers'!$D:$D,"*"&amp;$A1792&amp;"*",'All Papers'!$G:$G,"*"&amp;Table1[[#Headers],[Composition]]&amp;"*")</f>
        <v>1</v>
      </c>
      <c r="D1792" s="8">
        <f>COUNTIFS('All Papers'!$D:$D,"*"&amp;$A1792&amp;"*",'All Papers'!$G:$G,"*"&amp;Table1[[#Headers],[Discovery]]&amp;"*")</f>
        <v>0</v>
      </c>
      <c r="E1792" s="8">
        <f>COUNTIFS('All Papers'!$D:$D,"*"&amp;$A1792&amp;"*",'All Papers'!$G:$G,"*"&amp;Table1[[#Headers],[Selection]]&amp;"*")</f>
        <v>0</v>
      </c>
      <c r="F1792" s="8">
        <f>COUNTIFS('All Papers'!$D:$D,"*"&amp;$A1792&amp;"*",'All Papers'!$G:$G,"*"&amp;Table1[[#Headers],[Recommendation]]&amp;"*")</f>
        <v>0</v>
      </c>
      <c r="G1792" s="8">
        <f>COUNTIFS('All Papers'!$D:$D,"*"&amp;$A1792&amp;"*",'All Papers'!$G:$G,"*"&amp;Table1[[#Headers],[Resource Management-CS]]&amp;"*")</f>
        <v>0</v>
      </c>
      <c r="H1792" s="8">
        <f>COUNTIFS('All Papers'!$D:$D,"*"&amp;$A1792&amp;"*",'All Papers'!$G:$G,"*"&amp;Table1[[#Headers],[Resource Management-PS]]&amp;"*")</f>
        <v>0</v>
      </c>
      <c r="I1792" s="8">
        <f>COUNTIFS('All Papers'!$D:$D,"*"&amp;$A1792&amp;"*",'All Papers'!$G:$G,"*"&amp;Table1[[#Headers],[SLA Management]]&amp;"*")</f>
        <v>0</v>
      </c>
      <c r="J1792" s="8">
        <f>COUNTIFS('All Papers'!$D:$D,"*"&amp;$A1792&amp;"*",'All Papers'!$G:$G,"*"&amp;Table1[[#Headers],[Big Data]]&amp;"*")</f>
        <v>0</v>
      </c>
      <c r="K1792" s="8">
        <f>COUNTIFS('All Papers'!$D:$D,"*"&amp;$A1792&amp;"*",'All Papers'!$G:$G,"*"&amp;Table1[[#Headers],[Energy Management]]&amp;"*")</f>
        <v>0</v>
      </c>
      <c r="L1792" s="8">
        <f>COUNTIFS('All Papers'!$D:$D,"*"&amp;$A1792&amp;"*",'All Papers'!$G:$G,"*"&amp;Table1[[#Headers],[Monitoring]]&amp;"*")</f>
        <v>0</v>
      </c>
      <c r="M1792" s="8">
        <f>COUNTIFS('All Papers'!$D:$D,"*"&amp;$A1792&amp;"*",'All Papers'!$G:$G,"*"&amp;Table1[[#Headers],[Pricing]]&amp;"*")</f>
        <v>1</v>
      </c>
    </row>
    <row r="1793" spans="1:13" x14ac:dyDescent="0.25">
      <c r="A1793" s="8" t="s">
        <v>4226</v>
      </c>
      <c r="B1793" s="8">
        <f>COUNTIF('All Papers'!D:D,"*"&amp;Table1[[#This Row],[Name]]&amp;"*")</f>
        <v>1</v>
      </c>
      <c r="C1793" s="8">
        <f>COUNTIFS('All Papers'!$D:$D,"*"&amp;$A1793&amp;"*",'All Papers'!$G:$G,"*"&amp;Table1[[#Headers],[Composition]]&amp;"*")</f>
        <v>0</v>
      </c>
      <c r="D1793" s="8">
        <f>COUNTIFS('All Papers'!$D:$D,"*"&amp;$A1793&amp;"*",'All Papers'!$G:$G,"*"&amp;Table1[[#Headers],[Discovery]]&amp;"*")</f>
        <v>0</v>
      </c>
      <c r="E1793" s="8">
        <f>COUNTIFS('All Papers'!$D:$D,"*"&amp;$A1793&amp;"*",'All Papers'!$G:$G,"*"&amp;Table1[[#Headers],[Selection]]&amp;"*")</f>
        <v>0</v>
      </c>
      <c r="F1793" s="8">
        <f>COUNTIFS('All Papers'!$D:$D,"*"&amp;$A1793&amp;"*",'All Papers'!$G:$G,"*"&amp;Table1[[#Headers],[Recommendation]]&amp;"*")</f>
        <v>0</v>
      </c>
      <c r="G1793" s="8">
        <f>COUNTIFS('All Papers'!$D:$D,"*"&amp;$A1793&amp;"*",'All Papers'!$G:$G,"*"&amp;Table1[[#Headers],[Resource Management-CS]]&amp;"*")</f>
        <v>0</v>
      </c>
      <c r="H1793" s="8">
        <f>COUNTIFS('All Papers'!$D:$D,"*"&amp;$A1793&amp;"*",'All Papers'!$G:$G,"*"&amp;Table1[[#Headers],[Resource Management-PS]]&amp;"*")</f>
        <v>1</v>
      </c>
      <c r="I1793" s="8">
        <f>COUNTIFS('All Papers'!$D:$D,"*"&amp;$A1793&amp;"*",'All Papers'!$G:$G,"*"&amp;Table1[[#Headers],[SLA Management]]&amp;"*")</f>
        <v>0</v>
      </c>
      <c r="J1793" s="8">
        <f>COUNTIFS('All Papers'!$D:$D,"*"&amp;$A1793&amp;"*",'All Papers'!$G:$G,"*"&amp;Table1[[#Headers],[Big Data]]&amp;"*")</f>
        <v>0</v>
      </c>
      <c r="K1793" s="8">
        <f>COUNTIFS('All Papers'!$D:$D,"*"&amp;$A1793&amp;"*",'All Papers'!$G:$G,"*"&amp;Table1[[#Headers],[Energy Management]]&amp;"*")</f>
        <v>0</v>
      </c>
      <c r="L1793" s="8">
        <f>COUNTIFS('All Papers'!$D:$D,"*"&amp;$A1793&amp;"*",'All Papers'!$G:$G,"*"&amp;Table1[[#Headers],[Monitoring]]&amp;"*")</f>
        <v>0</v>
      </c>
      <c r="M1793" s="8">
        <f>COUNTIFS('All Papers'!$D:$D,"*"&amp;$A1793&amp;"*",'All Papers'!$G:$G,"*"&amp;Table1[[#Headers],[Pricing]]&amp;"*")</f>
        <v>0</v>
      </c>
    </row>
    <row r="1794" spans="1:13" x14ac:dyDescent="0.25">
      <c r="A1794" s="8" t="s">
        <v>4227</v>
      </c>
      <c r="B1794" s="8">
        <f>COUNTIF('All Papers'!D:D,"*"&amp;Table1[[#This Row],[Name]]&amp;"*")</f>
        <v>1</v>
      </c>
      <c r="C1794" s="8">
        <f>COUNTIFS('All Papers'!$D:$D,"*"&amp;$A1794&amp;"*",'All Papers'!$G:$G,"*"&amp;Table1[[#Headers],[Composition]]&amp;"*")</f>
        <v>0</v>
      </c>
      <c r="D1794" s="8">
        <f>COUNTIFS('All Papers'!$D:$D,"*"&amp;$A1794&amp;"*",'All Papers'!$G:$G,"*"&amp;Table1[[#Headers],[Discovery]]&amp;"*")</f>
        <v>0</v>
      </c>
      <c r="E1794" s="8">
        <f>COUNTIFS('All Papers'!$D:$D,"*"&amp;$A1794&amp;"*",'All Papers'!$G:$G,"*"&amp;Table1[[#Headers],[Selection]]&amp;"*")</f>
        <v>0</v>
      </c>
      <c r="F1794" s="8">
        <f>COUNTIFS('All Papers'!$D:$D,"*"&amp;$A1794&amp;"*",'All Papers'!$G:$G,"*"&amp;Table1[[#Headers],[Recommendation]]&amp;"*")</f>
        <v>0</v>
      </c>
      <c r="G1794" s="8">
        <f>COUNTIFS('All Papers'!$D:$D,"*"&amp;$A1794&amp;"*",'All Papers'!$G:$G,"*"&amp;Table1[[#Headers],[Resource Management-CS]]&amp;"*")</f>
        <v>0</v>
      </c>
      <c r="H1794" s="8">
        <f>COUNTIFS('All Papers'!$D:$D,"*"&amp;$A1794&amp;"*",'All Papers'!$G:$G,"*"&amp;Table1[[#Headers],[Resource Management-PS]]&amp;"*")</f>
        <v>1</v>
      </c>
      <c r="I1794" s="8">
        <f>COUNTIFS('All Papers'!$D:$D,"*"&amp;$A1794&amp;"*",'All Papers'!$G:$G,"*"&amp;Table1[[#Headers],[SLA Management]]&amp;"*")</f>
        <v>0</v>
      </c>
      <c r="J1794" s="8">
        <f>COUNTIFS('All Papers'!$D:$D,"*"&amp;$A1794&amp;"*",'All Papers'!$G:$G,"*"&amp;Table1[[#Headers],[Big Data]]&amp;"*")</f>
        <v>0</v>
      </c>
      <c r="K1794" s="8">
        <f>COUNTIFS('All Papers'!$D:$D,"*"&amp;$A1794&amp;"*",'All Papers'!$G:$G,"*"&amp;Table1[[#Headers],[Energy Management]]&amp;"*")</f>
        <v>0</v>
      </c>
      <c r="L1794" s="8">
        <f>COUNTIFS('All Papers'!$D:$D,"*"&amp;$A1794&amp;"*",'All Papers'!$G:$G,"*"&amp;Table1[[#Headers],[Monitoring]]&amp;"*")</f>
        <v>0</v>
      </c>
      <c r="M1794" s="8">
        <f>COUNTIFS('All Papers'!$D:$D,"*"&amp;$A1794&amp;"*",'All Papers'!$G:$G,"*"&amp;Table1[[#Headers],[Pricing]]&amp;"*")</f>
        <v>0</v>
      </c>
    </row>
    <row r="1795" spans="1:13" x14ac:dyDescent="0.25">
      <c r="A1795" s="8" t="s">
        <v>4228</v>
      </c>
      <c r="B1795" s="8">
        <f>COUNTIF('All Papers'!D:D,"*"&amp;Table1[[#This Row],[Name]]&amp;"*")</f>
        <v>1</v>
      </c>
      <c r="C1795" s="8">
        <f>COUNTIFS('All Papers'!$D:$D,"*"&amp;$A1795&amp;"*",'All Papers'!$G:$G,"*"&amp;Table1[[#Headers],[Composition]]&amp;"*")</f>
        <v>0</v>
      </c>
      <c r="D1795" s="8">
        <f>COUNTIFS('All Papers'!$D:$D,"*"&amp;$A1795&amp;"*",'All Papers'!$G:$G,"*"&amp;Table1[[#Headers],[Discovery]]&amp;"*")</f>
        <v>0</v>
      </c>
      <c r="E1795" s="8">
        <f>COUNTIFS('All Papers'!$D:$D,"*"&amp;$A1795&amp;"*",'All Papers'!$G:$G,"*"&amp;Table1[[#Headers],[Selection]]&amp;"*")</f>
        <v>0</v>
      </c>
      <c r="F1795" s="8">
        <f>COUNTIFS('All Papers'!$D:$D,"*"&amp;$A1795&amp;"*",'All Papers'!$G:$G,"*"&amp;Table1[[#Headers],[Recommendation]]&amp;"*")</f>
        <v>0</v>
      </c>
      <c r="G1795" s="8">
        <f>COUNTIFS('All Papers'!$D:$D,"*"&amp;$A1795&amp;"*",'All Papers'!$G:$G,"*"&amp;Table1[[#Headers],[Resource Management-CS]]&amp;"*")</f>
        <v>0</v>
      </c>
      <c r="H1795" s="8">
        <f>COUNTIFS('All Papers'!$D:$D,"*"&amp;$A1795&amp;"*",'All Papers'!$G:$G,"*"&amp;Table1[[#Headers],[Resource Management-PS]]&amp;"*")</f>
        <v>1</v>
      </c>
      <c r="I1795" s="8">
        <f>COUNTIFS('All Papers'!$D:$D,"*"&amp;$A1795&amp;"*",'All Papers'!$G:$G,"*"&amp;Table1[[#Headers],[SLA Management]]&amp;"*")</f>
        <v>0</v>
      </c>
      <c r="J1795" s="8">
        <f>COUNTIFS('All Papers'!$D:$D,"*"&amp;$A1795&amp;"*",'All Papers'!$G:$G,"*"&amp;Table1[[#Headers],[Big Data]]&amp;"*")</f>
        <v>0</v>
      </c>
      <c r="K1795" s="8">
        <f>COUNTIFS('All Papers'!$D:$D,"*"&amp;$A1795&amp;"*",'All Papers'!$G:$G,"*"&amp;Table1[[#Headers],[Energy Management]]&amp;"*")</f>
        <v>0</v>
      </c>
      <c r="L1795" s="8">
        <f>COUNTIFS('All Papers'!$D:$D,"*"&amp;$A1795&amp;"*",'All Papers'!$G:$G,"*"&amp;Table1[[#Headers],[Monitoring]]&amp;"*")</f>
        <v>0</v>
      </c>
      <c r="M1795" s="8">
        <f>COUNTIFS('All Papers'!$D:$D,"*"&amp;$A1795&amp;"*",'All Papers'!$G:$G,"*"&amp;Table1[[#Headers],[Pricing]]&amp;"*")</f>
        <v>0</v>
      </c>
    </row>
    <row r="1796" spans="1:13" x14ac:dyDescent="0.25">
      <c r="A1796" s="8" t="s">
        <v>4229</v>
      </c>
      <c r="B1796" s="8">
        <f>COUNTIF('All Papers'!D:D,"*"&amp;Table1[[#This Row],[Name]]&amp;"*")</f>
        <v>1</v>
      </c>
      <c r="C1796" s="8">
        <f>COUNTIFS('All Papers'!$D:$D,"*"&amp;$A1796&amp;"*",'All Papers'!$G:$G,"*"&amp;Table1[[#Headers],[Composition]]&amp;"*")</f>
        <v>0</v>
      </c>
      <c r="D1796" s="8">
        <f>COUNTIFS('All Papers'!$D:$D,"*"&amp;$A1796&amp;"*",'All Papers'!$G:$G,"*"&amp;Table1[[#Headers],[Discovery]]&amp;"*")</f>
        <v>0</v>
      </c>
      <c r="E1796" s="8">
        <f>COUNTIFS('All Papers'!$D:$D,"*"&amp;$A1796&amp;"*",'All Papers'!$G:$G,"*"&amp;Table1[[#Headers],[Selection]]&amp;"*")</f>
        <v>0</v>
      </c>
      <c r="F1796" s="8">
        <f>COUNTIFS('All Papers'!$D:$D,"*"&amp;$A1796&amp;"*",'All Papers'!$G:$G,"*"&amp;Table1[[#Headers],[Recommendation]]&amp;"*")</f>
        <v>0</v>
      </c>
      <c r="G1796" s="8">
        <f>COUNTIFS('All Papers'!$D:$D,"*"&amp;$A1796&amp;"*",'All Papers'!$G:$G,"*"&amp;Table1[[#Headers],[Resource Management-CS]]&amp;"*")</f>
        <v>0</v>
      </c>
      <c r="H1796" s="8">
        <f>COUNTIFS('All Papers'!$D:$D,"*"&amp;$A1796&amp;"*",'All Papers'!$G:$G,"*"&amp;Table1[[#Headers],[Resource Management-PS]]&amp;"*")</f>
        <v>1</v>
      </c>
      <c r="I1796" s="8">
        <f>COUNTIFS('All Papers'!$D:$D,"*"&amp;$A1796&amp;"*",'All Papers'!$G:$G,"*"&amp;Table1[[#Headers],[SLA Management]]&amp;"*")</f>
        <v>0</v>
      </c>
      <c r="J1796" s="8">
        <f>COUNTIFS('All Papers'!$D:$D,"*"&amp;$A1796&amp;"*",'All Papers'!$G:$G,"*"&amp;Table1[[#Headers],[Big Data]]&amp;"*")</f>
        <v>0</v>
      </c>
      <c r="K1796" s="8">
        <f>COUNTIFS('All Papers'!$D:$D,"*"&amp;$A1796&amp;"*",'All Papers'!$G:$G,"*"&amp;Table1[[#Headers],[Energy Management]]&amp;"*")</f>
        <v>0</v>
      </c>
      <c r="L1796" s="8">
        <f>COUNTIFS('All Papers'!$D:$D,"*"&amp;$A1796&amp;"*",'All Papers'!$G:$G,"*"&amp;Table1[[#Headers],[Monitoring]]&amp;"*")</f>
        <v>0</v>
      </c>
      <c r="M1796" s="8">
        <f>COUNTIFS('All Papers'!$D:$D,"*"&amp;$A1796&amp;"*",'All Papers'!$G:$G,"*"&amp;Table1[[#Headers],[Pricing]]&amp;"*")</f>
        <v>0</v>
      </c>
    </row>
    <row r="1797" spans="1:13" x14ac:dyDescent="0.25">
      <c r="A1797" s="8" t="s">
        <v>4230</v>
      </c>
      <c r="B1797" s="8">
        <f>COUNTIF('All Papers'!D:D,"*"&amp;Table1[[#This Row],[Name]]&amp;"*")</f>
        <v>1</v>
      </c>
      <c r="C1797" s="8">
        <f>COUNTIFS('All Papers'!$D:$D,"*"&amp;$A1797&amp;"*",'All Papers'!$G:$G,"*"&amp;Table1[[#Headers],[Composition]]&amp;"*")</f>
        <v>0</v>
      </c>
      <c r="D1797" s="8">
        <f>COUNTIFS('All Papers'!$D:$D,"*"&amp;$A1797&amp;"*",'All Papers'!$G:$G,"*"&amp;Table1[[#Headers],[Discovery]]&amp;"*")</f>
        <v>0</v>
      </c>
      <c r="E1797" s="8">
        <f>COUNTIFS('All Papers'!$D:$D,"*"&amp;$A1797&amp;"*",'All Papers'!$G:$G,"*"&amp;Table1[[#Headers],[Selection]]&amp;"*")</f>
        <v>0</v>
      </c>
      <c r="F1797" s="8">
        <f>COUNTIFS('All Papers'!$D:$D,"*"&amp;$A1797&amp;"*",'All Papers'!$G:$G,"*"&amp;Table1[[#Headers],[Recommendation]]&amp;"*")</f>
        <v>0</v>
      </c>
      <c r="G1797" s="8">
        <f>COUNTIFS('All Papers'!$D:$D,"*"&amp;$A1797&amp;"*",'All Papers'!$G:$G,"*"&amp;Table1[[#Headers],[Resource Management-CS]]&amp;"*")</f>
        <v>0</v>
      </c>
      <c r="H1797" s="8">
        <f>COUNTIFS('All Papers'!$D:$D,"*"&amp;$A1797&amp;"*",'All Papers'!$G:$G,"*"&amp;Table1[[#Headers],[Resource Management-PS]]&amp;"*")</f>
        <v>1</v>
      </c>
      <c r="I1797" s="8">
        <f>COUNTIFS('All Papers'!$D:$D,"*"&amp;$A1797&amp;"*",'All Papers'!$G:$G,"*"&amp;Table1[[#Headers],[SLA Management]]&amp;"*")</f>
        <v>0</v>
      </c>
      <c r="J1797" s="8">
        <f>COUNTIFS('All Papers'!$D:$D,"*"&amp;$A1797&amp;"*",'All Papers'!$G:$G,"*"&amp;Table1[[#Headers],[Big Data]]&amp;"*")</f>
        <v>0</v>
      </c>
      <c r="K1797" s="8">
        <f>COUNTIFS('All Papers'!$D:$D,"*"&amp;$A1797&amp;"*",'All Papers'!$G:$G,"*"&amp;Table1[[#Headers],[Energy Management]]&amp;"*")</f>
        <v>0</v>
      </c>
      <c r="L1797" s="8">
        <f>COUNTIFS('All Papers'!$D:$D,"*"&amp;$A1797&amp;"*",'All Papers'!$G:$G,"*"&amp;Table1[[#Headers],[Monitoring]]&amp;"*")</f>
        <v>0</v>
      </c>
      <c r="M1797" s="8">
        <f>COUNTIFS('All Papers'!$D:$D,"*"&amp;$A1797&amp;"*",'All Papers'!$G:$G,"*"&amp;Table1[[#Headers],[Pricing]]&amp;"*")</f>
        <v>0</v>
      </c>
    </row>
    <row r="1798" spans="1:13" x14ac:dyDescent="0.25">
      <c r="A1798" s="8" t="s">
        <v>4231</v>
      </c>
      <c r="B1798" s="8">
        <f>COUNTIF('All Papers'!D:D,"*"&amp;Table1[[#This Row],[Name]]&amp;"*")</f>
        <v>1</v>
      </c>
      <c r="C1798" s="8">
        <f>COUNTIFS('All Papers'!$D:$D,"*"&amp;$A1798&amp;"*",'All Papers'!$G:$G,"*"&amp;Table1[[#Headers],[Composition]]&amp;"*")</f>
        <v>0</v>
      </c>
      <c r="D1798" s="8">
        <f>COUNTIFS('All Papers'!$D:$D,"*"&amp;$A1798&amp;"*",'All Papers'!$G:$G,"*"&amp;Table1[[#Headers],[Discovery]]&amp;"*")</f>
        <v>0</v>
      </c>
      <c r="E1798" s="8">
        <f>COUNTIFS('All Papers'!$D:$D,"*"&amp;$A1798&amp;"*",'All Papers'!$G:$G,"*"&amp;Table1[[#Headers],[Selection]]&amp;"*")</f>
        <v>0</v>
      </c>
      <c r="F1798" s="8">
        <f>COUNTIFS('All Papers'!$D:$D,"*"&amp;$A1798&amp;"*",'All Papers'!$G:$G,"*"&amp;Table1[[#Headers],[Recommendation]]&amp;"*")</f>
        <v>0</v>
      </c>
      <c r="G1798" s="8">
        <f>COUNTIFS('All Papers'!$D:$D,"*"&amp;$A1798&amp;"*",'All Papers'!$G:$G,"*"&amp;Table1[[#Headers],[Resource Management-CS]]&amp;"*")</f>
        <v>1</v>
      </c>
      <c r="H1798" s="8">
        <f>COUNTIFS('All Papers'!$D:$D,"*"&amp;$A1798&amp;"*",'All Papers'!$G:$G,"*"&amp;Table1[[#Headers],[Resource Management-PS]]&amp;"*")</f>
        <v>0</v>
      </c>
      <c r="I1798" s="8">
        <f>COUNTIFS('All Papers'!$D:$D,"*"&amp;$A1798&amp;"*",'All Papers'!$G:$G,"*"&amp;Table1[[#Headers],[SLA Management]]&amp;"*")</f>
        <v>0</v>
      </c>
      <c r="J1798" s="8">
        <f>COUNTIFS('All Papers'!$D:$D,"*"&amp;$A1798&amp;"*",'All Papers'!$G:$G,"*"&amp;Table1[[#Headers],[Big Data]]&amp;"*")</f>
        <v>0</v>
      </c>
      <c r="K1798" s="8">
        <f>COUNTIFS('All Papers'!$D:$D,"*"&amp;$A1798&amp;"*",'All Papers'!$G:$G,"*"&amp;Table1[[#Headers],[Energy Management]]&amp;"*")</f>
        <v>0</v>
      </c>
      <c r="L1798" s="8">
        <f>COUNTIFS('All Papers'!$D:$D,"*"&amp;$A1798&amp;"*",'All Papers'!$G:$G,"*"&amp;Table1[[#Headers],[Monitoring]]&amp;"*")</f>
        <v>0</v>
      </c>
      <c r="M1798" s="8">
        <f>COUNTIFS('All Papers'!$D:$D,"*"&amp;$A1798&amp;"*",'All Papers'!$G:$G,"*"&amp;Table1[[#Headers],[Pricing]]&amp;"*")</f>
        <v>0</v>
      </c>
    </row>
    <row r="1799" spans="1:13" x14ac:dyDescent="0.25">
      <c r="A1799" s="8" t="s">
        <v>4232</v>
      </c>
      <c r="B1799" s="8">
        <f>COUNTIF('All Papers'!D:D,"*"&amp;Table1[[#This Row],[Name]]&amp;"*")</f>
        <v>1</v>
      </c>
      <c r="C1799" s="8">
        <f>COUNTIFS('All Papers'!$D:$D,"*"&amp;$A1799&amp;"*",'All Papers'!$G:$G,"*"&amp;Table1[[#Headers],[Composition]]&amp;"*")</f>
        <v>0</v>
      </c>
      <c r="D1799" s="8">
        <f>COUNTIFS('All Papers'!$D:$D,"*"&amp;$A1799&amp;"*",'All Papers'!$G:$G,"*"&amp;Table1[[#Headers],[Discovery]]&amp;"*")</f>
        <v>0</v>
      </c>
      <c r="E1799" s="8">
        <f>COUNTIFS('All Papers'!$D:$D,"*"&amp;$A1799&amp;"*",'All Papers'!$G:$G,"*"&amp;Table1[[#Headers],[Selection]]&amp;"*")</f>
        <v>0</v>
      </c>
      <c r="F1799" s="8">
        <f>COUNTIFS('All Papers'!$D:$D,"*"&amp;$A1799&amp;"*",'All Papers'!$G:$G,"*"&amp;Table1[[#Headers],[Recommendation]]&amp;"*")</f>
        <v>0</v>
      </c>
      <c r="G1799" s="8">
        <f>COUNTIFS('All Papers'!$D:$D,"*"&amp;$A1799&amp;"*",'All Papers'!$G:$G,"*"&amp;Table1[[#Headers],[Resource Management-CS]]&amp;"*")</f>
        <v>1</v>
      </c>
      <c r="H1799" s="8">
        <f>COUNTIFS('All Papers'!$D:$D,"*"&amp;$A1799&amp;"*",'All Papers'!$G:$G,"*"&amp;Table1[[#Headers],[Resource Management-PS]]&amp;"*")</f>
        <v>0</v>
      </c>
      <c r="I1799" s="8">
        <f>COUNTIFS('All Papers'!$D:$D,"*"&amp;$A1799&amp;"*",'All Papers'!$G:$G,"*"&amp;Table1[[#Headers],[SLA Management]]&amp;"*")</f>
        <v>0</v>
      </c>
      <c r="J1799" s="8">
        <f>COUNTIFS('All Papers'!$D:$D,"*"&amp;$A1799&amp;"*",'All Papers'!$G:$G,"*"&amp;Table1[[#Headers],[Big Data]]&amp;"*")</f>
        <v>0</v>
      </c>
      <c r="K1799" s="8">
        <f>COUNTIFS('All Papers'!$D:$D,"*"&amp;$A1799&amp;"*",'All Papers'!$G:$G,"*"&amp;Table1[[#Headers],[Energy Management]]&amp;"*")</f>
        <v>0</v>
      </c>
      <c r="L1799" s="8">
        <f>COUNTIFS('All Papers'!$D:$D,"*"&amp;$A1799&amp;"*",'All Papers'!$G:$G,"*"&amp;Table1[[#Headers],[Monitoring]]&amp;"*")</f>
        <v>0</v>
      </c>
      <c r="M1799" s="8">
        <f>COUNTIFS('All Papers'!$D:$D,"*"&amp;$A1799&amp;"*",'All Papers'!$G:$G,"*"&amp;Table1[[#Headers],[Pricing]]&amp;"*")</f>
        <v>0</v>
      </c>
    </row>
    <row r="1800" spans="1:13" x14ac:dyDescent="0.25">
      <c r="A1800" s="8" t="s">
        <v>4233</v>
      </c>
      <c r="B1800" s="8">
        <f>COUNTIF('All Papers'!D:D,"*"&amp;Table1[[#This Row],[Name]]&amp;"*")</f>
        <v>1</v>
      </c>
      <c r="C1800" s="8">
        <f>COUNTIFS('All Papers'!$D:$D,"*"&amp;$A1800&amp;"*",'All Papers'!$G:$G,"*"&amp;Table1[[#Headers],[Composition]]&amp;"*")</f>
        <v>0</v>
      </c>
      <c r="D1800" s="8">
        <f>COUNTIFS('All Papers'!$D:$D,"*"&amp;$A1800&amp;"*",'All Papers'!$G:$G,"*"&amp;Table1[[#Headers],[Discovery]]&amp;"*")</f>
        <v>0</v>
      </c>
      <c r="E1800" s="8">
        <f>COUNTIFS('All Papers'!$D:$D,"*"&amp;$A1800&amp;"*",'All Papers'!$G:$G,"*"&amp;Table1[[#Headers],[Selection]]&amp;"*")</f>
        <v>0</v>
      </c>
      <c r="F1800" s="8">
        <f>COUNTIFS('All Papers'!$D:$D,"*"&amp;$A1800&amp;"*",'All Papers'!$G:$G,"*"&amp;Table1[[#Headers],[Recommendation]]&amp;"*")</f>
        <v>0</v>
      </c>
      <c r="G1800" s="8">
        <f>COUNTIFS('All Papers'!$D:$D,"*"&amp;$A1800&amp;"*",'All Papers'!$G:$G,"*"&amp;Table1[[#Headers],[Resource Management-CS]]&amp;"*")</f>
        <v>0</v>
      </c>
      <c r="H1800" s="8">
        <f>COUNTIFS('All Papers'!$D:$D,"*"&amp;$A1800&amp;"*",'All Papers'!$G:$G,"*"&amp;Table1[[#Headers],[Resource Management-PS]]&amp;"*")</f>
        <v>0</v>
      </c>
      <c r="I1800" s="8">
        <f>COUNTIFS('All Papers'!$D:$D,"*"&amp;$A1800&amp;"*",'All Papers'!$G:$G,"*"&amp;Table1[[#Headers],[SLA Management]]&amp;"*")</f>
        <v>0</v>
      </c>
      <c r="J1800" s="8">
        <f>COUNTIFS('All Papers'!$D:$D,"*"&amp;$A1800&amp;"*",'All Papers'!$G:$G,"*"&amp;Table1[[#Headers],[Big Data]]&amp;"*")</f>
        <v>0</v>
      </c>
      <c r="K1800" s="8">
        <f>COUNTIFS('All Papers'!$D:$D,"*"&amp;$A1800&amp;"*",'All Papers'!$G:$G,"*"&amp;Table1[[#Headers],[Energy Management]]&amp;"*")</f>
        <v>0</v>
      </c>
      <c r="L1800" s="8">
        <f>COUNTIFS('All Papers'!$D:$D,"*"&amp;$A1800&amp;"*",'All Papers'!$G:$G,"*"&amp;Table1[[#Headers],[Monitoring]]&amp;"*")</f>
        <v>1</v>
      </c>
      <c r="M1800" s="8">
        <f>COUNTIFS('All Papers'!$D:$D,"*"&amp;$A1800&amp;"*",'All Papers'!$G:$G,"*"&amp;Table1[[#Headers],[Pricing]]&amp;"*")</f>
        <v>0</v>
      </c>
    </row>
    <row r="1801" spans="1:13" x14ac:dyDescent="0.25">
      <c r="A1801" s="8" t="s">
        <v>4234</v>
      </c>
      <c r="B1801" s="8">
        <f>COUNTIF('All Papers'!D:D,"*"&amp;Table1[[#This Row],[Name]]&amp;"*")</f>
        <v>1</v>
      </c>
      <c r="C1801" s="8">
        <f>COUNTIFS('All Papers'!$D:$D,"*"&amp;$A1801&amp;"*",'All Papers'!$G:$G,"*"&amp;Table1[[#Headers],[Composition]]&amp;"*")</f>
        <v>0</v>
      </c>
      <c r="D1801" s="8">
        <f>COUNTIFS('All Papers'!$D:$D,"*"&amp;$A1801&amp;"*",'All Papers'!$G:$G,"*"&amp;Table1[[#Headers],[Discovery]]&amp;"*")</f>
        <v>0</v>
      </c>
      <c r="E1801" s="8">
        <f>COUNTIFS('All Papers'!$D:$D,"*"&amp;$A1801&amp;"*",'All Papers'!$G:$G,"*"&amp;Table1[[#Headers],[Selection]]&amp;"*")</f>
        <v>0</v>
      </c>
      <c r="F1801" s="8">
        <f>COUNTIFS('All Papers'!$D:$D,"*"&amp;$A1801&amp;"*",'All Papers'!$G:$G,"*"&amp;Table1[[#Headers],[Recommendation]]&amp;"*")</f>
        <v>0</v>
      </c>
      <c r="G1801" s="8">
        <f>COUNTIFS('All Papers'!$D:$D,"*"&amp;$A1801&amp;"*",'All Papers'!$G:$G,"*"&amp;Table1[[#Headers],[Resource Management-CS]]&amp;"*")</f>
        <v>0</v>
      </c>
      <c r="H1801" s="8">
        <f>COUNTIFS('All Papers'!$D:$D,"*"&amp;$A1801&amp;"*",'All Papers'!$G:$G,"*"&amp;Table1[[#Headers],[Resource Management-PS]]&amp;"*")</f>
        <v>0</v>
      </c>
      <c r="I1801" s="8">
        <f>COUNTIFS('All Papers'!$D:$D,"*"&amp;$A1801&amp;"*",'All Papers'!$G:$G,"*"&amp;Table1[[#Headers],[SLA Management]]&amp;"*")</f>
        <v>0</v>
      </c>
      <c r="J1801" s="8">
        <f>COUNTIFS('All Papers'!$D:$D,"*"&amp;$A1801&amp;"*",'All Papers'!$G:$G,"*"&amp;Table1[[#Headers],[Big Data]]&amp;"*")</f>
        <v>0</v>
      </c>
      <c r="K1801" s="8">
        <f>COUNTIFS('All Papers'!$D:$D,"*"&amp;$A1801&amp;"*",'All Papers'!$G:$G,"*"&amp;Table1[[#Headers],[Energy Management]]&amp;"*")</f>
        <v>0</v>
      </c>
      <c r="L1801" s="8">
        <f>COUNTIFS('All Papers'!$D:$D,"*"&amp;$A1801&amp;"*",'All Papers'!$G:$G,"*"&amp;Table1[[#Headers],[Monitoring]]&amp;"*")</f>
        <v>1</v>
      </c>
      <c r="M1801" s="8">
        <f>COUNTIFS('All Papers'!$D:$D,"*"&amp;$A1801&amp;"*",'All Papers'!$G:$G,"*"&amp;Table1[[#Headers],[Pricing]]&amp;"*")</f>
        <v>0</v>
      </c>
    </row>
    <row r="1802" spans="1:13" x14ac:dyDescent="0.25">
      <c r="A1802" s="8" t="s">
        <v>4235</v>
      </c>
      <c r="B1802" s="8">
        <f>COUNTIF('All Papers'!D:D,"*"&amp;Table1[[#This Row],[Name]]&amp;"*")</f>
        <v>1</v>
      </c>
      <c r="C1802" s="8">
        <f>COUNTIFS('All Papers'!$D:$D,"*"&amp;$A1802&amp;"*",'All Papers'!$G:$G,"*"&amp;Table1[[#Headers],[Composition]]&amp;"*")</f>
        <v>0</v>
      </c>
      <c r="D1802" s="8">
        <f>COUNTIFS('All Papers'!$D:$D,"*"&amp;$A1802&amp;"*",'All Papers'!$G:$G,"*"&amp;Table1[[#Headers],[Discovery]]&amp;"*")</f>
        <v>0</v>
      </c>
      <c r="E1802" s="8">
        <f>COUNTIFS('All Papers'!$D:$D,"*"&amp;$A1802&amp;"*",'All Papers'!$G:$G,"*"&amp;Table1[[#Headers],[Selection]]&amp;"*")</f>
        <v>0</v>
      </c>
      <c r="F1802" s="8">
        <f>COUNTIFS('All Papers'!$D:$D,"*"&amp;$A1802&amp;"*",'All Papers'!$G:$G,"*"&amp;Table1[[#Headers],[Recommendation]]&amp;"*")</f>
        <v>0</v>
      </c>
      <c r="G1802" s="8">
        <f>COUNTIFS('All Papers'!$D:$D,"*"&amp;$A1802&amp;"*",'All Papers'!$G:$G,"*"&amp;Table1[[#Headers],[Resource Management-CS]]&amp;"*")</f>
        <v>0</v>
      </c>
      <c r="H1802" s="8">
        <f>COUNTIFS('All Papers'!$D:$D,"*"&amp;$A1802&amp;"*",'All Papers'!$G:$G,"*"&amp;Table1[[#Headers],[Resource Management-PS]]&amp;"*")</f>
        <v>0</v>
      </c>
      <c r="I1802" s="8">
        <f>COUNTIFS('All Papers'!$D:$D,"*"&amp;$A1802&amp;"*",'All Papers'!$G:$G,"*"&amp;Table1[[#Headers],[SLA Management]]&amp;"*")</f>
        <v>0</v>
      </c>
      <c r="J1802" s="8">
        <f>COUNTIFS('All Papers'!$D:$D,"*"&amp;$A1802&amp;"*",'All Papers'!$G:$G,"*"&amp;Table1[[#Headers],[Big Data]]&amp;"*")</f>
        <v>0</v>
      </c>
      <c r="K1802" s="8">
        <f>COUNTIFS('All Papers'!$D:$D,"*"&amp;$A1802&amp;"*",'All Papers'!$G:$G,"*"&amp;Table1[[#Headers],[Energy Management]]&amp;"*")</f>
        <v>0</v>
      </c>
      <c r="L1802" s="8">
        <f>COUNTIFS('All Papers'!$D:$D,"*"&amp;$A1802&amp;"*",'All Papers'!$G:$G,"*"&amp;Table1[[#Headers],[Monitoring]]&amp;"*")</f>
        <v>1</v>
      </c>
      <c r="M1802" s="8">
        <f>COUNTIFS('All Papers'!$D:$D,"*"&amp;$A1802&amp;"*",'All Papers'!$G:$G,"*"&amp;Table1[[#Headers],[Pricing]]&amp;"*")</f>
        <v>0</v>
      </c>
    </row>
    <row r="1803" spans="1:13" x14ac:dyDescent="0.25">
      <c r="A1803" s="8" t="s">
        <v>4236</v>
      </c>
      <c r="B1803" s="8">
        <f>COUNTIF('All Papers'!D:D,"*"&amp;Table1[[#This Row],[Name]]&amp;"*")</f>
        <v>1</v>
      </c>
      <c r="C1803" s="8">
        <f>COUNTIFS('All Papers'!$D:$D,"*"&amp;$A1803&amp;"*",'All Papers'!$G:$G,"*"&amp;Table1[[#Headers],[Composition]]&amp;"*")</f>
        <v>0</v>
      </c>
      <c r="D1803" s="8">
        <f>COUNTIFS('All Papers'!$D:$D,"*"&amp;$A1803&amp;"*",'All Papers'!$G:$G,"*"&amp;Table1[[#Headers],[Discovery]]&amp;"*")</f>
        <v>0</v>
      </c>
      <c r="E1803" s="8">
        <f>COUNTIFS('All Papers'!$D:$D,"*"&amp;$A1803&amp;"*",'All Papers'!$G:$G,"*"&amp;Table1[[#Headers],[Selection]]&amp;"*")</f>
        <v>0</v>
      </c>
      <c r="F1803" s="8">
        <f>COUNTIFS('All Papers'!$D:$D,"*"&amp;$A1803&amp;"*",'All Papers'!$G:$G,"*"&amp;Table1[[#Headers],[Recommendation]]&amp;"*")</f>
        <v>0</v>
      </c>
      <c r="G1803" s="8">
        <f>COUNTIFS('All Papers'!$D:$D,"*"&amp;$A1803&amp;"*",'All Papers'!$G:$G,"*"&amp;Table1[[#Headers],[Resource Management-CS]]&amp;"*")</f>
        <v>0</v>
      </c>
      <c r="H1803" s="8">
        <f>COUNTIFS('All Papers'!$D:$D,"*"&amp;$A1803&amp;"*",'All Papers'!$G:$G,"*"&amp;Table1[[#Headers],[Resource Management-PS]]&amp;"*")</f>
        <v>0</v>
      </c>
      <c r="I1803" s="8">
        <f>COUNTIFS('All Papers'!$D:$D,"*"&amp;$A1803&amp;"*",'All Papers'!$G:$G,"*"&amp;Table1[[#Headers],[SLA Management]]&amp;"*")</f>
        <v>0</v>
      </c>
      <c r="J1803" s="8">
        <f>COUNTIFS('All Papers'!$D:$D,"*"&amp;$A1803&amp;"*",'All Papers'!$G:$G,"*"&amp;Table1[[#Headers],[Big Data]]&amp;"*")</f>
        <v>0</v>
      </c>
      <c r="K1803" s="8">
        <f>COUNTIFS('All Papers'!$D:$D,"*"&amp;$A1803&amp;"*",'All Papers'!$G:$G,"*"&amp;Table1[[#Headers],[Energy Management]]&amp;"*")</f>
        <v>0</v>
      </c>
      <c r="L1803" s="8">
        <f>COUNTIFS('All Papers'!$D:$D,"*"&amp;$A1803&amp;"*",'All Papers'!$G:$G,"*"&amp;Table1[[#Headers],[Monitoring]]&amp;"*")</f>
        <v>1</v>
      </c>
      <c r="M1803" s="8">
        <f>COUNTIFS('All Papers'!$D:$D,"*"&amp;$A1803&amp;"*",'All Papers'!$G:$G,"*"&amp;Table1[[#Headers],[Pricing]]&amp;"*")</f>
        <v>0</v>
      </c>
    </row>
    <row r="1804" spans="1:13" x14ac:dyDescent="0.25">
      <c r="A1804" s="8" t="s">
        <v>4237</v>
      </c>
      <c r="B1804" s="8">
        <f>COUNTIF('All Papers'!D:D,"*"&amp;Table1[[#This Row],[Name]]&amp;"*")</f>
        <v>1</v>
      </c>
      <c r="C1804" s="8">
        <f>COUNTIFS('All Papers'!$D:$D,"*"&amp;$A1804&amp;"*",'All Papers'!$G:$G,"*"&amp;Table1[[#Headers],[Composition]]&amp;"*")</f>
        <v>0</v>
      </c>
      <c r="D1804" s="8">
        <f>COUNTIFS('All Papers'!$D:$D,"*"&amp;$A1804&amp;"*",'All Papers'!$G:$G,"*"&amp;Table1[[#Headers],[Discovery]]&amp;"*")</f>
        <v>0</v>
      </c>
      <c r="E1804" s="8">
        <f>COUNTIFS('All Papers'!$D:$D,"*"&amp;$A1804&amp;"*",'All Papers'!$G:$G,"*"&amp;Table1[[#Headers],[Selection]]&amp;"*")</f>
        <v>0</v>
      </c>
      <c r="F1804" s="8">
        <f>COUNTIFS('All Papers'!$D:$D,"*"&amp;$A1804&amp;"*",'All Papers'!$G:$G,"*"&amp;Table1[[#Headers],[Recommendation]]&amp;"*")</f>
        <v>0</v>
      </c>
      <c r="G1804" s="8">
        <f>COUNTIFS('All Papers'!$D:$D,"*"&amp;$A1804&amp;"*",'All Papers'!$G:$G,"*"&amp;Table1[[#Headers],[Resource Management-CS]]&amp;"*")</f>
        <v>0</v>
      </c>
      <c r="H1804" s="8">
        <f>COUNTIFS('All Papers'!$D:$D,"*"&amp;$A1804&amp;"*",'All Papers'!$G:$G,"*"&amp;Table1[[#Headers],[Resource Management-PS]]&amp;"*")</f>
        <v>0</v>
      </c>
      <c r="I1804" s="8">
        <f>COUNTIFS('All Papers'!$D:$D,"*"&amp;$A1804&amp;"*",'All Papers'!$G:$G,"*"&amp;Table1[[#Headers],[SLA Management]]&amp;"*")</f>
        <v>0</v>
      </c>
      <c r="J1804" s="8">
        <f>COUNTIFS('All Papers'!$D:$D,"*"&amp;$A1804&amp;"*",'All Papers'!$G:$G,"*"&amp;Table1[[#Headers],[Big Data]]&amp;"*")</f>
        <v>0</v>
      </c>
      <c r="K1804" s="8">
        <f>COUNTIFS('All Papers'!$D:$D,"*"&amp;$A1804&amp;"*",'All Papers'!$G:$G,"*"&amp;Table1[[#Headers],[Energy Management]]&amp;"*")</f>
        <v>0</v>
      </c>
      <c r="L1804" s="8">
        <f>COUNTIFS('All Papers'!$D:$D,"*"&amp;$A1804&amp;"*",'All Papers'!$G:$G,"*"&amp;Table1[[#Headers],[Monitoring]]&amp;"*")</f>
        <v>1</v>
      </c>
      <c r="M1804" s="8">
        <f>COUNTIFS('All Papers'!$D:$D,"*"&amp;$A1804&amp;"*",'All Papers'!$G:$G,"*"&amp;Table1[[#Headers],[Pricing]]&amp;"*")</f>
        <v>0</v>
      </c>
    </row>
    <row r="1805" spans="1:13" x14ac:dyDescent="0.25">
      <c r="A1805" s="8" t="s">
        <v>4238</v>
      </c>
      <c r="B1805" s="8">
        <f>COUNTIF('All Papers'!D:D,"*"&amp;Table1[[#This Row],[Name]]&amp;"*")</f>
        <v>1</v>
      </c>
      <c r="C1805" s="8">
        <f>COUNTIFS('All Papers'!$D:$D,"*"&amp;$A1805&amp;"*",'All Papers'!$G:$G,"*"&amp;Table1[[#Headers],[Composition]]&amp;"*")</f>
        <v>0</v>
      </c>
      <c r="D1805" s="8">
        <f>COUNTIFS('All Papers'!$D:$D,"*"&amp;$A1805&amp;"*",'All Papers'!$G:$G,"*"&amp;Table1[[#Headers],[Discovery]]&amp;"*")</f>
        <v>0</v>
      </c>
      <c r="E1805" s="8">
        <f>COUNTIFS('All Papers'!$D:$D,"*"&amp;$A1805&amp;"*",'All Papers'!$G:$G,"*"&amp;Table1[[#Headers],[Selection]]&amp;"*")</f>
        <v>0</v>
      </c>
      <c r="F1805" s="8">
        <f>COUNTIFS('All Papers'!$D:$D,"*"&amp;$A1805&amp;"*",'All Papers'!$G:$G,"*"&amp;Table1[[#Headers],[Recommendation]]&amp;"*")</f>
        <v>0</v>
      </c>
      <c r="G1805" s="8">
        <f>COUNTIFS('All Papers'!$D:$D,"*"&amp;$A1805&amp;"*",'All Papers'!$G:$G,"*"&amp;Table1[[#Headers],[Resource Management-CS]]&amp;"*")</f>
        <v>1</v>
      </c>
      <c r="H1805" s="8">
        <f>COUNTIFS('All Papers'!$D:$D,"*"&amp;$A1805&amp;"*",'All Papers'!$G:$G,"*"&amp;Table1[[#Headers],[Resource Management-PS]]&amp;"*")</f>
        <v>0</v>
      </c>
      <c r="I1805" s="8">
        <f>COUNTIFS('All Papers'!$D:$D,"*"&amp;$A1805&amp;"*",'All Papers'!$G:$G,"*"&amp;Table1[[#Headers],[SLA Management]]&amp;"*")</f>
        <v>0</v>
      </c>
      <c r="J1805" s="8">
        <f>COUNTIFS('All Papers'!$D:$D,"*"&amp;$A1805&amp;"*",'All Papers'!$G:$G,"*"&amp;Table1[[#Headers],[Big Data]]&amp;"*")</f>
        <v>0</v>
      </c>
      <c r="K1805" s="8">
        <f>COUNTIFS('All Papers'!$D:$D,"*"&amp;$A1805&amp;"*",'All Papers'!$G:$G,"*"&amp;Table1[[#Headers],[Energy Management]]&amp;"*")</f>
        <v>0</v>
      </c>
      <c r="L1805" s="8">
        <f>COUNTIFS('All Papers'!$D:$D,"*"&amp;$A1805&amp;"*",'All Papers'!$G:$G,"*"&amp;Table1[[#Headers],[Monitoring]]&amp;"*")</f>
        <v>0</v>
      </c>
      <c r="M1805" s="8">
        <f>COUNTIFS('All Papers'!$D:$D,"*"&amp;$A1805&amp;"*",'All Papers'!$G:$G,"*"&amp;Table1[[#Headers],[Pricing]]&amp;"*")</f>
        <v>0</v>
      </c>
    </row>
    <row r="1806" spans="1:13" x14ac:dyDescent="0.25">
      <c r="A1806" s="8" t="s">
        <v>4239</v>
      </c>
      <c r="B1806" s="8">
        <f>COUNTIF('All Papers'!D:D,"*"&amp;Table1[[#This Row],[Name]]&amp;"*")</f>
        <v>1</v>
      </c>
      <c r="C1806" s="8">
        <f>COUNTIFS('All Papers'!$D:$D,"*"&amp;$A1806&amp;"*",'All Papers'!$G:$G,"*"&amp;Table1[[#Headers],[Composition]]&amp;"*")</f>
        <v>0</v>
      </c>
      <c r="D1806" s="8">
        <f>COUNTIFS('All Papers'!$D:$D,"*"&amp;$A1806&amp;"*",'All Papers'!$G:$G,"*"&amp;Table1[[#Headers],[Discovery]]&amp;"*")</f>
        <v>0</v>
      </c>
      <c r="E1806" s="8">
        <f>COUNTIFS('All Papers'!$D:$D,"*"&amp;$A1806&amp;"*",'All Papers'!$G:$G,"*"&amp;Table1[[#Headers],[Selection]]&amp;"*")</f>
        <v>0</v>
      </c>
      <c r="F1806" s="8">
        <f>COUNTIFS('All Papers'!$D:$D,"*"&amp;$A1806&amp;"*",'All Papers'!$G:$G,"*"&amp;Table1[[#Headers],[Recommendation]]&amp;"*")</f>
        <v>0</v>
      </c>
      <c r="G1806" s="8">
        <f>COUNTIFS('All Papers'!$D:$D,"*"&amp;$A1806&amp;"*",'All Papers'!$G:$G,"*"&amp;Table1[[#Headers],[Resource Management-CS]]&amp;"*")</f>
        <v>1</v>
      </c>
      <c r="H1806" s="8">
        <f>COUNTIFS('All Papers'!$D:$D,"*"&amp;$A1806&amp;"*",'All Papers'!$G:$G,"*"&amp;Table1[[#Headers],[Resource Management-PS]]&amp;"*")</f>
        <v>0</v>
      </c>
      <c r="I1806" s="8">
        <f>COUNTIFS('All Papers'!$D:$D,"*"&amp;$A1806&amp;"*",'All Papers'!$G:$G,"*"&amp;Table1[[#Headers],[SLA Management]]&amp;"*")</f>
        <v>0</v>
      </c>
      <c r="J1806" s="8">
        <f>COUNTIFS('All Papers'!$D:$D,"*"&amp;$A1806&amp;"*",'All Papers'!$G:$G,"*"&amp;Table1[[#Headers],[Big Data]]&amp;"*")</f>
        <v>0</v>
      </c>
      <c r="K1806" s="8">
        <f>COUNTIFS('All Papers'!$D:$D,"*"&amp;$A1806&amp;"*",'All Papers'!$G:$G,"*"&amp;Table1[[#Headers],[Energy Management]]&amp;"*")</f>
        <v>0</v>
      </c>
      <c r="L1806" s="8">
        <f>COUNTIFS('All Papers'!$D:$D,"*"&amp;$A1806&amp;"*",'All Papers'!$G:$G,"*"&amp;Table1[[#Headers],[Monitoring]]&amp;"*")</f>
        <v>0</v>
      </c>
      <c r="M1806" s="8">
        <f>COUNTIFS('All Papers'!$D:$D,"*"&amp;$A1806&amp;"*",'All Papers'!$G:$G,"*"&amp;Table1[[#Headers],[Pricing]]&amp;"*")</f>
        <v>0</v>
      </c>
    </row>
    <row r="1807" spans="1:13" x14ac:dyDescent="0.25">
      <c r="A1807" s="8" t="s">
        <v>4240</v>
      </c>
      <c r="B1807" s="8">
        <f>COUNTIF('All Papers'!D:D,"*"&amp;Table1[[#This Row],[Name]]&amp;"*")</f>
        <v>1</v>
      </c>
      <c r="C1807" s="8">
        <f>COUNTIFS('All Papers'!$D:$D,"*"&amp;$A1807&amp;"*",'All Papers'!$G:$G,"*"&amp;Table1[[#Headers],[Composition]]&amp;"*")</f>
        <v>0</v>
      </c>
      <c r="D1807" s="8">
        <f>COUNTIFS('All Papers'!$D:$D,"*"&amp;$A1807&amp;"*",'All Papers'!$G:$G,"*"&amp;Table1[[#Headers],[Discovery]]&amp;"*")</f>
        <v>0</v>
      </c>
      <c r="E1807" s="8">
        <f>COUNTIFS('All Papers'!$D:$D,"*"&amp;$A1807&amp;"*",'All Papers'!$G:$G,"*"&amp;Table1[[#Headers],[Selection]]&amp;"*")</f>
        <v>0</v>
      </c>
      <c r="F1807" s="8">
        <f>COUNTIFS('All Papers'!$D:$D,"*"&amp;$A1807&amp;"*",'All Papers'!$G:$G,"*"&amp;Table1[[#Headers],[Recommendation]]&amp;"*")</f>
        <v>0</v>
      </c>
      <c r="G1807" s="8">
        <f>COUNTIFS('All Papers'!$D:$D,"*"&amp;$A1807&amp;"*",'All Papers'!$G:$G,"*"&amp;Table1[[#Headers],[Resource Management-CS]]&amp;"*")</f>
        <v>1</v>
      </c>
      <c r="H1807" s="8">
        <f>COUNTIFS('All Papers'!$D:$D,"*"&amp;$A1807&amp;"*",'All Papers'!$G:$G,"*"&amp;Table1[[#Headers],[Resource Management-PS]]&amp;"*")</f>
        <v>0</v>
      </c>
      <c r="I1807" s="8">
        <f>COUNTIFS('All Papers'!$D:$D,"*"&amp;$A1807&amp;"*",'All Papers'!$G:$G,"*"&amp;Table1[[#Headers],[SLA Management]]&amp;"*")</f>
        <v>0</v>
      </c>
      <c r="J1807" s="8">
        <f>COUNTIFS('All Papers'!$D:$D,"*"&amp;$A1807&amp;"*",'All Papers'!$G:$G,"*"&amp;Table1[[#Headers],[Big Data]]&amp;"*")</f>
        <v>0</v>
      </c>
      <c r="K1807" s="8">
        <f>COUNTIFS('All Papers'!$D:$D,"*"&amp;$A1807&amp;"*",'All Papers'!$G:$G,"*"&amp;Table1[[#Headers],[Energy Management]]&amp;"*")</f>
        <v>0</v>
      </c>
      <c r="L1807" s="8">
        <f>COUNTIFS('All Papers'!$D:$D,"*"&amp;$A1807&amp;"*",'All Papers'!$G:$G,"*"&amp;Table1[[#Headers],[Monitoring]]&amp;"*")</f>
        <v>0</v>
      </c>
      <c r="M1807" s="8">
        <f>COUNTIFS('All Papers'!$D:$D,"*"&amp;$A1807&amp;"*",'All Papers'!$G:$G,"*"&amp;Table1[[#Headers],[Pricing]]&amp;"*")</f>
        <v>0</v>
      </c>
    </row>
    <row r="1808" spans="1:13" x14ac:dyDescent="0.25">
      <c r="A1808" s="8" t="s">
        <v>4241</v>
      </c>
      <c r="B1808" s="8">
        <f>COUNTIF('All Papers'!D:D,"*"&amp;Table1[[#This Row],[Name]]&amp;"*")</f>
        <v>1</v>
      </c>
      <c r="C1808" s="8">
        <f>COUNTIFS('All Papers'!$D:$D,"*"&amp;$A1808&amp;"*",'All Papers'!$G:$G,"*"&amp;Table1[[#Headers],[Composition]]&amp;"*")</f>
        <v>0</v>
      </c>
      <c r="D1808" s="8">
        <f>COUNTIFS('All Papers'!$D:$D,"*"&amp;$A1808&amp;"*",'All Papers'!$G:$G,"*"&amp;Table1[[#Headers],[Discovery]]&amp;"*")</f>
        <v>0</v>
      </c>
      <c r="E1808" s="8">
        <f>COUNTIFS('All Papers'!$D:$D,"*"&amp;$A1808&amp;"*",'All Papers'!$G:$G,"*"&amp;Table1[[#Headers],[Selection]]&amp;"*")</f>
        <v>1</v>
      </c>
      <c r="F1808" s="8">
        <f>COUNTIFS('All Papers'!$D:$D,"*"&amp;$A1808&amp;"*",'All Papers'!$G:$G,"*"&amp;Table1[[#Headers],[Recommendation]]&amp;"*")</f>
        <v>0</v>
      </c>
      <c r="G1808" s="8">
        <f>COUNTIFS('All Papers'!$D:$D,"*"&amp;$A1808&amp;"*",'All Papers'!$G:$G,"*"&amp;Table1[[#Headers],[Resource Management-CS]]&amp;"*")</f>
        <v>0</v>
      </c>
      <c r="H1808" s="8">
        <f>COUNTIFS('All Papers'!$D:$D,"*"&amp;$A1808&amp;"*",'All Papers'!$G:$G,"*"&amp;Table1[[#Headers],[Resource Management-PS]]&amp;"*")</f>
        <v>1</v>
      </c>
      <c r="I1808" s="8">
        <f>COUNTIFS('All Papers'!$D:$D,"*"&amp;$A1808&amp;"*",'All Papers'!$G:$G,"*"&amp;Table1[[#Headers],[SLA Management]]&amp;"*")</f>
        <v>0</v>
      </c>
      <c r="J1808" s="8">
        <f>COUNTIFS('All Papers'!$D:$D,"*"&amp;$A1808&amp;"*",'All Papers'!$G:$G,"*"&amp;Table1[[#Headers],[Big Data]]&amp;"*")</f>
        <v>0</v>
      </c>
      <c r="K1808" s="8">
        <f>COUNTIFS('All Papers'!$D:$D,"*"&amp;$A1808&amp;"*",'All Papers'!$G:$G,"*"&amp;Table1[[#Headers],[Energy Management]]&amp;"*")</f>
        <v>0</v>
      </c>
      <c r="L1808" s="8">
        <f>COUNTIFS('All Papers'!$D:$D,"*"&amp;$A1808&amp;"*",'All Papers'!$G:$G,"*"&amp;Table1[[#Headers],[Monitoring]]&amp;"*")</f>
        <v>0</v>
      </c>
      <c r="M1808" s="8">
        <f>COUNTIFS('All Papers'!$D:$D,"*"&amp;$A1808&amp;"*",'All Papers'!$G:$G,"*"&amp;Table1[[#Headers],[Pricing]]&amp;"*")</f>
        <v>0</v>
      </c>
    </row>
    <row r="1809" spans="1:13" x14ac:dyDescent="0.25">
      <c r="A1809" s="8" t="s">
        <v>4242</v>
      </c>
      <c r="B1809" s="8">
        <f>COUNTIF('All Papers'!D:D,"*"&amp;Table1[[#This Row],[Name]]&amp;"*")</f>
        <v>1</v>
      </c>
      <c r="C1809" s="8">
        <f>COUNTIFS('All Papers'!$D:$D,"*"&amp;$A1809&amp;"*",'All Papers'!$G:$G,"*"&amp;Table1[[#Headers],[Composition]]&amp;"*")</f>
        <v>0</v>
      </c>
      <c r="D1809" s="8">
        <f>COUNTIFS('All Papers'!$D:$D,"*"&amp;$A1809&amp;"*",'All Papers'!$G:$G,"*"&amp;Table1[[#Headers],[Discovery]]&amp;"*")</f>
        <v>0</v>
      </c>
      <c r="E1809" s="8">
        <f>COUNTIFS('All Papers'!$D:$D,"*"&amp;$A1809&amp;"*",'All Papers'!$G:$G,"*"&amp;Table1[[#Headers],[Selection]]&amp;"*")</f>
        <v>1</v>
      </c>
      <c r="F1809" s="8">
        <f>COUNTIFS('All Papers'!$D:$D,"*"&amp;$A1809&amp;"*",'All Papers'!$G:$G,"*"&amp;Table1[[#Headers],[Recommendation]]&amp;"*")</f>
        <v>0</v>
      </c>
      <c r="G1809" s="8">
        <f>COUNTIFS('All Papers'!$D:$D,"*"&amp;$A1809&amp;"*",'All Papers'!$G:$G,"*"&amp;Table1[[#Headers],[Resource Management-CS]]&amp;"*")</f>
        <v>0</v>
      </c>
      <c r="H1809" s="8">
        <f>COUNTIFS('All Papers'!$D:$D,"*"&amp;$A1809&amp;"*",'All Papers'!$G:$G,"*"&amp;Table1[[#Headers],[Resource Management-PS]]&amp;"*")</f>
        <v>0</v>
      </c>
      <c r="I1809" s="8">
        <f>COUNTIFS('All Papers'!$D:$D,"*"&amp;$A1809&amp;"*",'All Papers'!$G:$G,"*"&amp;Table1[[#Headers],[SLA Management]]&amp;"*")</f>
        <v>0</v>
      </c>
      <c r="J1809" s="8">
        <f>COUNTIFS('All Papers'!$D:$D,"*"&amp;$A1809&amp;"*",'All Papers'!$G:$G,"*"&amp;Table1[[#Headers],[Big Data]]&amp;"*")</f>
        <v>0</v>
      </c>
      <c r="K1809" s="8">
        <f>COUNTIFS('All Papers'!$D:$D,"*"&amp;$A1809&amp;"*",'All Papers'!$G:$G,"*"&amp;Table1[[#Headers],[Energy Management]]&amp;"*")</f>
        <v>0</v>
      </c>
      <c r="L1809" s="8">
        <f>COUNTIFS('All Papers'!$D:$D,"*"&amp;$A1809&amp;"*",'All Papers'!$G:$G,"*"&amp;Table1[[#Headers],[Monitoring]]&amp;"*")</f>
        <v>0</v>
      </c>
      <c r="M1809" s="8">
        <f>COUNTIFS('All Papers'!$D:$D,"*"&amp;$A1809&amp;"*",'All Papers'!$G:$G,"*"&amp;Table1[[#Headers],[Pricing]]&amp;"*")</f>
        <v>0</v>
      </c>
    </row>
    <row r="1810" spans="1:13" x14ac:dyDescent="0.25">
      <c r="A1810" s="8" t="s">
        <v>4243</v>
      </c>
      <c r="B1810" s="8">
        <f>COUNTIF('All Papers'!D:D,"*"&amp;Table1[[#This Row],[Name]]&amp;"*")</f>
        <v>1</v>
      </c>
      <c r="C1810" s="8">
        <f>COUNTIFS('All Papers'!$D:$D,"*"&amp;$A1810&amp;"*",'All Papers'!$G:$G,"*"&amp;Table1[[#Headers],[Composition]]&amp;"*")</f>
        <v>0</v>
      </c>
      <c r="D1810" s="8">
        <f>COUNTIFS('All Papers'!$D:$D,"*"&amp;$A1810&amp;"*",'All Papers'!$G:$G,"*"&amp;Table1[[#Headers],[Discovery]]&amp;"*")</f>
        <v>0</v>
      </c>
      <c r="E1810" s="8">
        <f>COUNTIFS('All Papers'!$D:$D,"*"&amp;$A1810&amp;"*",'All Papers'!$G:$G,"*"&amp;Table1[[#Headers],[Selection]]&amp;"*")</f>
        <v>0</v>
      </c>
      <c r="F1810" s="8">
        <f>COUNTIFS('All Papers'!$D:$D,"*"&amp;$A1810&amp;"*",'All Papers'!$G:$G,"*"&amp;Table1[[#Headers],[Recommendation]]&amp;"*")</f>
        <v>0</v>
      </c>
      <c r="G1810" s="8">
        <f>COUNTIFS('All Papers'!$D:$D,"*"&amp;$A1810&amp;"*",'All Papers'!$G:$G,"*"&amp;Table1[[#Headers],[Resource Management-CS]]&amp;"*")</f>
        <v>0</v>
      </c>
      <c r="H1810" s="8">
        <f>COUNTIFS('All Papers'!$D:$D,"*"&amp;$A1810&amp;"*",'All Papers'!$G:$G,"*"&amp;Table1[[#Headers],[Resource Management-PS]]&amp;"*")</f>
        <v>1</v>
      </c>
      <c r="I1810" s="8">
        <f>COUNTIFS('All Papers'!$D:$D,"*"&amp;$A1810&amp;"*",'All Papers'!$G:$G,"*"&amp;Table1[[#Headers],[SLA Management]]&amp;"*")</f>
        <v>0</v>
      </c>
      <c r="J1810" s="8">
        <f>COUNTIFS('All Papers'!$D:$D,"*"&amp;$A1810&amp;"*",'All Papers'!$G:$G,"*"&amp;Table1[[#Headers],[Big Data]]&amp;"*")</f>
        <v>0</v>
      </c>
      <c r="K1810" s="8">
        <f>COUNTIFS('All Papers'!$D:$D,"*"&amp;$A1810&amp;"*",'All Papers'!$G:$G,"*"&amp;Table1[[#Headers],[Energy Management]]&amp;"*")</f>
        <v>0</v>
      </c>
      <c r="L1810" s="8">
        <f>COUNTIFS('All Papers'!$D:$D,"*"&amp;$A1810&amp;"*",'All Papers'!$G:$G,"*"&amp;Table1[[#Headers],[Monitoring]]&amp;"*")</f>
        <v>0</v>
      </c>
      <c r="M1810" s="8">
        <f>COUNTIFS('All Papers'!$D:$D,"*"&amp;$A1810&amp;"*",'All Papers'!$G:$G,"*"&amp;Table1[[#Headers],[Pricing]]&amp;"*")</f>
        <v>0</v>
      </c>
    </row>
    <row r="1811" spans="1:13" x14ac:dyDescent="0.25">
      <c r="A1811" s="8" t="s">
        <v>4244</v>
      </c>
      <c r="B1811" s="8">
        <f>COUNTIF('All Papers'!D:D,"*"&amp;Table1[[#This Row],[Name]]&amp;"*")</f>
        <v>1</v>
      </c>
      <c r="C1811" s="8">
        <f>COUNTIFS('All Papers'!$D:$D,"*"&amp;$A1811&amp;"*",'All Papers'!$G:$G,"*"&amp;Table1[[#Headers],[Composition]]&amp;"*")</f>
        <v>0</v>
      </c>
      <c r="D1811" s="8">
        <f>COUNTIFS('All Papers'!$D:$D,"*"&amp;$A1811&amp;"*",'All Papers'!$G:$G,"*"&amp;Table1[[#Headers],[Discovery]]&amp;"*")</f>
        <v>0</v>
      </c>
      <c r="E1811" s="8">
        <f>COUNTIFS('All Papers'!$D:$D,"*"&amp;$A1811&amp;"*",'All Papers'!$G:$G,"*"&amp;Table1[[#Headers],[Selection]]&amp;"*")</f>
        <v>0</v>
      </c>
      <c r="F1811" s="8">
        <f>COUNTIFS('All Papers'!$D:$D,"*"&amp;$A1811&amp;"*",'All Papers'!$G:$G,"*"&amp;Table1[[#Headers],[Recommendation]]&amp;"*")</f>
        <v>0</v>
      </c>
      <c r="G1811" s="8">
        <f>COUNTIFS('All Papers'!$D:$D,"*"&amp;$A1811&amp;"*",'All Papers'!$G:$G,"*"&amp;Table1[[#Headers],[Resource Management-CS]]&amp;"*")</f>
        <v>0</v>
      </c>
      <c r="H1811" s="8">
        <f>COUNTIFS('All Papers'!$D:$D,"*"&amp;$A1811&amp;"*",'All Papers'!$G:$G,"*"&amp;Table1[[#Headers],[Resource Management-PS]]&amp;"*")</f>
        <v>1</v>
      </c>
      <c r="I1811" s="8">
        <f>COUNTIFS('All Papers'!$D:$D,"*"&amp;$A1811&amp;"*",'All Papers'!$G:$G,"*"&amp;Table1[[#Headers],[SLA Management]]&amp;"*")</f>
        <v>0</v>
      </c>
      <c r="J1811" s="8">
        <f>COUNTIFS('All Papers'!$D:$D,"*"&amp;$A1811&amp;"*",'All Papers'!$G:$G,"*"&amp;Table1[[#Headers],[Big Data]]&amp;"*")</f>
        <v>0</v>
      </c>
      <c r="K1811" s="8">
        <f>COUNTIFS('All Papers'!$D:$D,"*"&amp;$A1811&amp;"*",'All Papers'!$G:$G,"*"&amp;Table1[[#Headers],[Energy Management]]&amp;"*")</f>
        <v>0</v>
      </c>
      <c r="L1811" s="8">
        <f>COUNTIFS('All Papers'!$D:$D,"*"&amp;$A1811&amp;"*",'All Papers'!$G:$G,"*"&amp;Table1[[#Headers],[Monitoring]]&amp;"*")</f>
        <v>0</v>
      </c>
      <c r="M1811" s="8">
        <f>COUNTIFS('All Papers'!$D:$D,"*"&amp;$A1811&amp;"*",'All Papers'!$G:$G,"*"&amp;Table1[[#Headers],[Pricing]]&amp;"*")</f>
        <v>0</v>
      </c>
    </row>
    <row r="1812" spans="1:13" x14ac:dyDescent="0.25">
      <c r="A1812" s="8" t="s">
        <v>4245</v>
      </c>
      <c r="B1812" s="8">
        <f>COUNTIF('All Papers'!D:D,"*"&amp;Table1[[#This Row],[Name]]&amp;"*")</f>
        <v>1</v>
      </c>
      <c r="C1812" s="8">
        <f>COUNTIFS('All Papers'!$D:$D,"*"&amp;$A1812&amp;"*",'All Papers'!$G:$G,"*"&amp;Table1[[#Headers],[Composition]]&amp;"*")</f>
        <v>0</v>
      </c>
      <c r="D1812" s="8">
        <f>COUNTIFS('All Papers'!$D:$D,"*"&amp;$A1812&amp;"*",'All Papers'!$G:$G,"*"&amp;Table1[[#Headers],[Discovery]]&amp;"*")</f>
        <v>0</v>
      </c>
      <c r="E1812" s="8">
        <f>COUNTIFS('All Papers'!$D:$D,"*"&amp;$A1812&amp;"*",'All Papers'!$G:$G,"*"&amp;Table1[[#Headers],[Selection]]&amp;"*")</f>
        <v>0</v>
      </c>
      <c r="F1812" s="8">
        <f>COUNTIFS('All Papers'!$D:$D,"*"&amp;$A1812&amp;"*",'All Papers'!$G:$G,"*"&amp;Table1[[#Headers],[Recommendation]]&amp;"*")</f>
        <v>0</v>
      </c>
      <c r="G1812" s="8">
        <f>COUNTIFS('All Papers'!$D:$D,"*"&amp;$A1812&amp;"*",'All Papers'!$G:$G,"*"&amp;Table1[[#Headers],[Resource Management-CS]]&amp;"*")</f>
        <v>0</v>
      </c>
      <c r="H1812" s="8">
        <f>COUNTIFS('All Papers'!$D:$D,"*"&amp;$A1812&amp;"*",'All Papers'!$G:$G,"*"&amp;Table1[[#Headers],[Resource Management-PS]]&amp;"*")</f>
        <v>1</v>
      </c>
      <c r="I1812" s="8">
        <f>COUNTIFS('All Papers'!$D:$D,"*"&amp;$A1812&amp;"*",'All Papers'!$G:$G,"*"&amp;Table1[[#Headers],[SLA Management]]&amp;"*")</f>
        <v>0</v>
      </c>
      <c r="J1812" s="8">
        <f>COUNTIFS('All Papers'!$D:$D,"*"&amp;$A1812&amp;"*",'All Papers'!$G:$G,"*"&amp;Table1[[#Headers],[Big Data]]&amp;"*")</f>
        <v>0</v>
      </c>
      <c r="K1812" s="8">
        <f>COUNTIFS('All Papers'!$D:$D,"*"&amp;$A1812&amp;"*",'All Papers'!$G:$G,"*"&amp;Table1[[#Headers],[Energy Management]]&amp;"*")</f>
        <v>0</v>
      </c>
      <c r="L1812" s="8">
        <f>COUNTIFS('All Papers'!$D:$D,"*"&amp;$A1812&amp;"*",'All Papers'!$G:$G,"*"&amp;Table1[[#Headers],[Monitoring]]&amp;"*")</f>
        <v>0</v>
      </c>
      <c r="M1812" s="8">
        <f>COUNTIFS('All Papers'!$D:$D,"*"&amp;$A1812&amp;"*",'All Papers'!$G:$G,"*"&amp;Table1[[#Headers],[Pricing]]&amp;"*")</f>
        <v>0</v>
      </c>
    </row>
    <row r="1813" spans="1:13" x14ac:dyDescent="0.25">
      <c r="A1813" s="8" t="s">
        <v>4246</v>
      </c>
      <c r="B1813" s="8">
        <f>COUNTIF('All Papers'!D:D,"*"&amp;Table1[[#This Row],[Name]]&amp;"*")</f>
        <v>1</v>
      </c>
      <c r="C1813" s="8">
        <f>COUNTIFS('All Papers'!$D:$D,"*"&amp;$A1813&amp;"*",'All Papers'!$G:$G,"*"&amp;Table1[[#Headers],[Composition]]&amp;"*")</f>
        <v>0</v>
      </c>
      <c r="D1813" s="8">
        <f>COUNTIFS('All Papers'!$D:$D,"*"&amp;$A1813&amp;"*",'All Papers'!$G:$G,"*"&amp;Table1[[#Headers],[Discovery]]&amp;"*")</f>
        <v>0</v>
      </c>
      <c r="E1813" s="8">
        <f>COUNTIFS('All Papers'!$D:$D,"*"&amp;$A1813&amp;"*",'All Papers'!$G:$G,"*"&amp;Table1[[#Headers],[Selection]]&amp;"*")</f>
        <v>0</v>
      </c>
      <c r="F1813" s="8">
        <f>COUNTIFS('All Papers'!$D:$D,"*"&amp;$A1813&amp;"*",'All Papers'!$G:$G,"*"&amp;Table1[[#Headers],[Recommendation]]&amp;"*")</f>
        <v>0</v>
      </c>
      <c r="G1813" s="8">
        <f>COUNTIFS('All Papers'!$D:$D,"*"&amp;$A1813&amp;"*",'All Papers'!$G:$G,"*"&amp;Table1[[#Headers],[Resource Management-CS]]&amp;"*")</f>
        <v>1</v>
      </c>
      <c r="H1813" s="8">
        <f>COUNTIFS('All Papers'!$D:$D,"*"&amp;$A1813&amp;"*",'All Papers'!$G:$G,"*"&amp;Table1[[#Headers],[Resource Management-PS]]&amp;"*")</f>
        <v>0</v>
      </c>
      <c r="I1813" s="8">
        <f>COUNTIFS('All Papers'!$D:$D,"*"&amp;$A1813&amp;"*",'All Papers'!$G:$G,"*"&amp;Table1[[#Headers],[SLA Management]]&amp;"*")</f>
        <v>0</v>
      </c>
      <c r="J1813" s="8">
        <f>COUNTIFS('All Papers'!$D:$D,"*"&amp;$A1813&amp;"*",'All Papers'!$G:$G,"*"&amp;Table1[[#Headers],[Big Data]]&amp;"*")</f>
        <v>0</v>
      </c>
      <c r="K1813" s="8">
        <f>COUNTIFS('All Papers'!$D:$D,"*"&amp;$A1813&amp;"*",'All Papers'!$G:$G,"*"&amp;Table1[[#Headers],[Energy Management]]&amp;"*")</f>
        <v>0</v>
      </c>
      <c r="L1813" s="8">
        <f>COUNTIFS('All Papers'!$D:$D,"*"&amp;$A1813&amp;"*",'All Papers'!$G:$G,"*"&amp;Table1[[#Headers],[Monitoring]]&amp;"*")</f>
        <v>0</v>
      </c>
      <c r="M1813" s="8">
        <f>COUNTIFS('All Papers'!$D:$D,"*"&amp;$A1813&amp;"*",'All Papers'!$G:$G,"*"&amp;Table1[[#Headers],[Pricing]]&amp;"*")</f>
        <v>0</v>
      </c>
    </row>
    <row r="1814" spans="1:13" x14ac:dyDescent="0.25">
      <c r="A1814" s="8" t="s">
        <v>4247</v>
      </c>
      <c r="B1814" s="8">
        <f>COUNTIF('All Papers'!D:D,"*"&amp;Table1[[#This Row],[Name]]&amp;"*")</f>
        <v>1</v>
      </c>
      <c r="C1814" s="8">
        <f>COUNTIFS('All Papers'!$D:$D,"*"&amp;$A1814&amp;"*",'All Papers'!$G:$G,"*"&amp;Table1[[#Headers],[Composition]]&amp;"*")</f>
        <v>1</v>
      </c>
      <c r="D1814" s="8">
        <f>COUNTIFS('All Papers'!$D:$D,"*"&amp;$A1814&amp;"*",'All Papers'!$G:$G,"*"&amp;Table1[[#Headers],[Discovery]]&amp;"*")</f>
        <v>0</v>
      </c>
      <c r="E1814" s="8">
        <f>COUNTIFS('All Papers'!$D:$D,"*"&amp;$A1814&amp;"*",'All Papers'!$G:$G,"*"&amp;Table1[[#Headers],[Selection]]&amp;"*")</f>
        <v>0</v>
      </c>
      <c r="F1814" s="8">
        <f>COUNTIFS('All Papers'!$D:$D,"*"&amp;$A1814&amp;"*",'All Papers'!$G:$G,"*"&amp;Table1[[#Headers],[Recommendation]]&amp;"*")</f>
        <v>0</v>
      </c>
      <c r="G1814" s="8">
        <f>COUNTIFS('All Papers'!$D:$D,"*"&amp;$A1814&amp;"*",'All Papers'!$G:$G,"*"&amp;Table1[[#Headers],[Resource Management-CS]]&amp;"*")</f>
        <v>0</v>
      </c>
      <c r="H1814" s="8">
        <f>COUNTIFS('All Papers'!$D:$D,"*"&amp;$A1814&amp;"*",'All Papers'!$G:$G,"*"&amp;Table1[[#Headers],[Resource Management-PS]]&amp;"*")</f>
        <v>0</v>
      </c>
      <c r="I1814" s="8">
        <f>COUNTIFS('All Papers'!$D:$D,"*"&amp;$A1814&amp;"*",'All Papers'!$G:$G,"*"&amp;Table1[[#Headers],[SLA Management]]&amp;"*")</f>
        <v>0</v>
      </c>
      <c r="J1814" s="8">
        <f>COUNTIFS('All Papers'!$D:$D,"*"&amp;$A1814&amp;"*",'All Papers'!$G:$G,"*"&amp;Table1[[#Headers],[Big Data]]&amp;"*")</f>
        <v>0</v>
      </c>
      <c r="K1814" s="8">
        <f>COUNTIFS('All Papers'!$D:$D,"*"&amp;$A1814&amp;"*",'All Papers'!$G:$G,"*"&amp;Table1[[#Headers],[Energy Management]]&amp;"*")</f>
        <v>0</v>
      </c>
      <c r="L1814" s="8">
        <f>COUNTIFS('All Papers'!$D:$D,"*"&amp;$A1814&amp;"*",'All Papers'!$G:$G,"*"&amp;Table1[[#Headers],[Monitoring]]&amp;"*")</f>
        <v>1</v>
      </c>
      <c r="M1814" s="8">
        <f>COUNTIFS('All Papers'!$D:$D,"*"&amp;$A1814&amp;"*",'All Papers'!$G:$G,"*"&amp;Table1[[#Headers],[Pricing]]&amp;"*")</f>
        <v>0</v>
      </c>
    </row>
    <row r="1815" spans="1:13" x14ac:dyDescent="0.25">
      <c r="A1815" s="8" t="s">
        <v>4248</v>
      </c>
      <c r="B1815" s="8">
        <f>COUNTIF('All Papers'!D:D,"*"&amp;Table1[[#This Row],[Name]]&amp;"*")</f>
        <v>1</v>
      </c>
      <c r="C1815" s="8">
        <f>COUNTIFS('All Papers'!$D:$D,"*"&amp;$A1815&amp;"*",'All Papers'!$G:$G,"*"&amp;Table1[[#Headers],[Composition]]&amp;"*")</f>
        <v>1</v>
      </c>
      <c r="D1815" s="8">
        <f>COUNTIFS('All Papers'!$D:$D,"*"&amp;$A1815&amp;"*",'All Papers'!$G:$G,"*"&amp;Table1[[#Headers],[Discovery]]&amp;"*")</f>
        <v>0</v>
      </c>
      <c r="E1815" s="8">
        <f>COUNTIFS('All Papers'!$D:$D,"*"&amp;$A1815&amp;"*",'All Papers'!$G:$G,"*"&amp;Table1[[#Headers],[Selection]]&amp;"*")</f>
        <v>0</v>
      </c>
      <c r="F1815" s="8">
        <f>COUNTIFS('All Papers'!$D:$D,"*"&amp;$A1815&amp;"*",'All Papers'!$G:$G,"*"&amp;Table1[[#Headers],[Recommendation]]&amp;"*")</f>
        <v>0</v>
      </c>
      <c r="G1815" s="8">
        <f>COUNTIFS('All Papers'!$D:$D,"*"&amp;$A1815&amp;"*",'All Papers'!$G:$G,"*"&amp;Table1[[#Headers],[Resource Management-CS]]&amp;"*")</f>
        <v>0</v>
      </c>
      <c r="H1815" s="8">
        <f>COUNTIFS('All Papers'!$D:$D,"*"&amp;$A1815&amp;"*",'All Papers'!$G:$G,"*"&amp;Table1[[#Headers],[Resource Management-PS]]&amp;"*")</f>
        <v>0</v>
      </c>
      <c r="I1815" s="8">
        <f>COUNTIFS('All Papers'!$D:$D,"*"&amp;$A1815&amp;"*",'All Papers'!$G:$G,"*"&amp;Table1[[#Headers],[SLA Management]]&amp;"*")</f>
        <v>0</v>
      </c>
      <c r="J1815" s="8">
        <f>COUNTIFS('All Papers'!$D:$D,"*"&amp;$A1815&amp;"*",'All Papers'!$G:$G,"*"&amp;Table1[[#Headers],[Big Data]]&amp;"*")</f>
        <v>0</v>
      </c>
      <c r="K1815" s="8">
        <f>COUNTIFS('All Papers'!$D:$D,"*"&amp;$A1815&amp;"*",'All Papers'!$G:$G,"*"&amp;Table1[[#Headers],[Energy Management]]&amp;"*")</f>
        <v>0</v>
      </c>
      <c r="L1815" s="8">
        <f>COUNTIFS('All Papers'!$D:$D,"*"&amp;$A1815&amp;"*",'All Papers'!$G:$G,"*"&amp;Table1[[#Headers],[Monitoring]]&amp;"*")</f>
        <v>1</v>
      </c>
      <c r="M1815" s="8">
        <f>COUNTIFS('All Papers'!$D:$D,"*"&amp;$A1815&amp;"*",'All Papers'!$G:$G,"*"&amp;Table1[[#Headers],[Pricing]]&amp;"*")</f>
        <v>0</v>
      </c>
    </row>
    <row r="1816" spans="1:13" x14ac:dyDescent="0.25">
      <c r="A1816" s="8" t="s">
        <v>4249</v>
      </c>
      <c r="B1816" s="8">
        <f>COUNTIF('All Papers'!D:D,"*"&amp;Table1[[#This Row],[Name]]&amp;"*")</f>
        <v>1</v>
      </c>
      <c r="C1816" s="8">
        <f>COUNTIFS('All Papers'!$D:$D,"*"&amp;$A1816&amp;"*",'All Papers'!$G:$G,"*"&amp;Table1[[#Headers],[Composition]]&amp;"*")</f>
        <v>1</v>
      </c>
      <c r="D1816" s="8">
        <f>COUNTIFS('All Papers'!$D:$D,"*"&amp;$A1816&amp;"*",'All Papers'!$G:$G,"*"&amp;Table1[[#Headers],[Discovery]]&amp;"*")</f>
        <v>0</v>
      </c>
      <c r="E1816" s="8">
        <f>COUNTIFS('All Papers'!$D:$D,"*"&amp;$A1816&amp;"*",'All Papers'!$G:$G,"*"&amp;Table1[[#Headers],[Selection]]&amp;"*")</f>
        <v>0</v>
      </c>
      <c r="F1816" s="8">
        <f>COUNTIFS('All Papers'!$D:$D,"*"&amp;$A1816&amp;"*",'All Papers'!$G:$G,"*"&amp;Table1[[#Headers],[Recommendation]]&amp;"*")</f>
        <v>0</v>
      </c>
      <c r="G1816" s="8">
        <f>COUNTIFS('All Papers'!$D:$D,"*"&amp;$A1816&amp;"*",'All Papers'!$G:$G,"*"&amp;Table1[[#Headers],[Resource Management-CS]]&amp;"*")</f>
        <v>0</v>
      </c>
      <c r="H1816" s="8">
        <f>COUNTIFS('All Papers'!$D:$D,"*"&amp;$A1816&amp;"*",'All Papers'!$G:$G,"*"&amp;Table1[[#Headers],[Resource Management-PS]]&amp;"*")</f>
        <v>0</v>
      </c>
      <c r="I1816" s="8">
        <f>COUNTIFS('All Papers'!$D:$D,"*"&amp;$A1816&amp;"*",'All Papers'!$G:$G,"*"&amp;Table1[[#Headers],[SLA Management]]&amp;"*")</f>
        <v>0</v>
      </c>
      <c r="J1816" s="8">
        <f>COUNTIFS('All Papers'!$D:$D,"*"&amp;$A1816&amp;"*",'All Papers'!$G:$G,"*"&amp;Table1[[#Headers],[Big Data]]&amp;"*")</f>
        <v>0</v>
      </c>
      <c r="K1816" s="8">
        <f>COUNTIFS('All Papers'!$D:$D,"*"&amp;$A1816&amp;"*",'All Papers'!$G:$G,"*"&amp;Table1[[#Headers],[Energy Management]]&amp;"*")</f>
        <v>0</v>
      </c>
      <c r="L1816" s="8">
        <f>COUNTIFS('All Papers'!$D:$D,"*"&amp;$A1816&amp;"*",'All Papers'!$G:$G,"*"&amp;Table1[[#Headers],[Monitoring]]&amp;"*")</f>
        <v>1</v>
      </c>
      <c r="M1816" s="8">
        <f>COUNTIFS('All Papers'!$D:$D,"*"&amp;$A1816&amp;"*",'All Papers'!$G:$G,"*"&amp;Table1[[#Headers],[Pricing]]&amp;"*")</f>
        <v>0</v>
      </c>
    </row>
    <row r="1817" spans="1:13" x14ac:dyDescent="0.25">
      <c r="A1817" s="8" t="s">
        <v>4250</v>
      </c>
      <c r="B1817" s="8">
        <f>COUNTIF('All Papers'!D:D,"*"&amp;Table1[[#This Row],[Name]]&amp;"*")</f>
        <v>1</v>
      </c>
      <c r="C1817" s="8">
        <f>COUNTIFS('All Papers'!$D:$D,"*"&amp;$A1817&amp;"*",'All Papers'!$G:$G,"*"&amp;Table1[[#Headers],[Composition]]&amp;"*")</f>
        <v>1</v>
      </c>
      <c r="D1817" s="8">
        <f>COUNTIFS('All Papers'!$D:$D,"*"&amp;$A1817&amp;"*",'All Papers'!$G:$G,"*"&amp;Table1[[#Headers],[Discovery]]&amp;"*")</f>
        <v>0</v>
      </c>
      <c r="E1817" s="8">
        <f>COUNTIFS('All Papers'!$D:$D,"*"&amp;$A1817&amp;"*",'All Papers'!$G:$G,"*"&amp;Table1[[#Headers],[Selection]]&amp;"*")</f>
        <v>0</v>
      </c>
      <c r="F1817" s="8">
        <f>COUNTIFS('All Papers'!$D:$D,"*"&amp;$A1817&amp;"*",'All Papers'!$G:$G,"*"&amp;Table1[[#Headers],[Recommendation]]&amp;"*")</f>
        <v>0</v>
      </c>
      <c r="G1817" s="8">
        <f>COUNTIFS('All Papers'!$D:$D,"*"&amp;$A1817&amp;"*",'All Papers'!$G:$G,"*"&amp;Table1[[#Headers],[Resource Management-CS]]&amp;"*")</f>
        <v>0</v>
      </c>
      <c r="H1817" s="8">
        <f>COUNTIFS('All Papers'!$D:$D,"*"&amp;$A1817&amp;"*",'All Papers'!$G:$G,"*"&amp;Table1[[#Headers],[Resource Management-PS]]&amp;"*")</f>
        <v>0</v>
      </c>
      <c r="I1817" s="8">
        <f>COUNTIFS('All Papers'!$D:$D,"*"&amp;$A1817&amp;"*",'All Papers'!$G:$G,"*"&amp;Table1[[#Headers],[SLA Management]]&amp;"*")</f>
        <v>0</v>
      </c>
      <c r="J1817" s="8">
        <f>COUNTIFS('All Papers'!$D:$D,"*"&amp;$A1817&amp;"*",'All Papers'!$G:$G,"*"&amp;Table1[[#Headers],[Big Data]]&amp;"*")</f>
        <v>0</v>
      </c>
      <c r="K1817" s="8">
        <f>COUNTIFS('All Papers'!$D:$D,"*"&amp;$A1817&amp;"*",'All Papers'!$G:$G,"*"&amp;Table1[[#Headers],[Energy Management]]&amp;"*")</f>
        <v>0</v>
      </c>
      <c r="L1817" s="8">
        <f>COUNTIFS('All Papers'!$D:$D,"*"&amp;$A1817&amp;"*",'All Papers'!$G:$G,"*"&amp;Table1[[#Headers],[Monitoring]]&amp;"*")</f>
        <v>0</v>
      </c>
      <c r="M1817" s="8">
        <f>COUNTIFS('All Papers'!$D:$D,"*"&amp;$A1817&amp;"*",'All Papers'!$G:$G,"*"&amp;Table1[[#Headers],[Pricing]]&amp;"*")</f>
        <v>0</v>
      </c>
    </row>
    <row r="1818" spans="1:13" x14ac:dyDescent="0.25">
      <c r="A1818" s="8" t="s">
        <v>4251</v>
      </c>
      <c r="B1818" s="8">
        <f>COUNTIF('All Papers'!D:D,"*"&amp;Table1[[#This Row],[Name]]&amp;"*")</f>
        <v>1</v>
      </c>
      <c r="C1818" s="8">
        <f>COUNTIFS('All Papers'!$D:$D,"*"&amp;$A1818&amp;"*",'All Papers'!$G:$G,"*"&amp;Table1[[#Headers],[Composition]]&amp;"*")</f>
        <v>1</v>
      </c>
      <c r="D1818" s="8">
        <f>COUNTIFS('All Papers'!$D:$D,"*"&amp;$A1818&amp;"*",'All Papers'!$G:$G,"*"&amp;Table1[[#Headers],[Discovery]]&amp;"*")</f>
        <v>0</v>
      </c>
      <c r="E1818" s="8">
        <f>COUNTIFS('All Papers'!$D:$D,"*"&amp;$A1818&amp;"*",'All Papers'!$G:$G,"*"&amp;Table1[[#Headers],[Selection]]&amp;"*")</f>
        <v>0</v>
      </c>
      <c r="F1818" s="8">
        <f>COUNTIFS('All Papers'!$D:$D,"*"&amp;$A1818&amp;"*",'All Papers'!$G:$G,"*"&amp;Table1[[#Headers],[Recommendation]]&amp;"*")</f>
        <v>0</v>
      </c>
      <c r="G1818" s="8">
        <f>COUNTIFS('All Papers'!$D:$D,"*"&amp;$A1818&amp;"*",'All Papers'!$G:$G,"*"&amp;Table1[[#Headers],[Resource Management-CS]]&amp;"*")</f>
        <v>0</v>
      </c>
      <c r="H1818" s="8">
        <f>COUNTIFS('All Papers'!$D:$D,"*"&amp;$A1818&amp;"*",'All Papers'!$G:$G,"*"&amp;Table1[[#Headers],[Resource Management-PS]]&amp;"*")</f>
        <v>0</v>
      </c>
      <c r="I1818" s="8">
        <f>COUNTIFS('All Papers'!$D:$D,"*"&amp;$A1818&amp;"*",'All Papers'!$G:$G,"*"&amp;Table1[[#Headers],[SLA Management]]&amp;"*")</f>
        <v>0</v>
      </c>
      <c r="J1818" s="8">
        <f>COUNTIFS('All Papers'!$D:$D,"*"&amp;$A1818&amp;"*",'All Papers'!$G:$G,"*"&amp;Table1[[#Headers],[Big Data]]&amp;"*")</f>
        <v>0</v>
      </c>
      <c r="K1818" s="8">
        <f>COUNTIFS('All Papers'!$D:$D,"*"&amp;$A1818&amp;"*",'All Papers'!$G:$G,"*"&amp;Table1[[#Headers],[Energy Management]]&amp;"*")</f>
        <v>0</v>
      </c>
      <c r="L1818" s="8">
        <f>COUNTIFS('All Papers'!$D:$D,"*"&amp;$A1818&amp;"*",'All Papers'!$G:$G,"*"&amp;Table1[[#Headers],[Monitoring]]&amp;"*")</f>
        <v>0</v>
      </c>
      <c r="M1818" s="8">
        <f>COUNTIFS('All Papers'!$D:$D,"*"&amp;$A1818&amp;"*",'All Papers'!$G:$G,"*"&amp;Table1[[#Headers],[Pricing]]&amp;"*")</f>
        <v>0</v>
      </c>
    </row>
    <row r="1819" spans="1:13" x14ac:dyDescent="0.25">
      <c r="A1819" s="8" t="s">
        <v>4252</v>
      </c>
      <c r="B1819" s="8">
        <f>COUNTIF('All Papers'!D:D,"*"&amp;Table1[[#This Row],[Name]]&amp;"*")</f>
        <v>1</v>
      </c>
      <c r="C1819" s="8">
        <f>COUNTIFS('All Papers'!$D:$D,"*"&amp;$A1819&amp;"*",'All Papers'!$G:$G,"*"&amp;Table1[[#Headers],[Composition]]&amp;"*")</f>
        <v>0</v>
      </c>
      <c r="D1819" s="8">
        <f>COUNTIFS('All Papers'!$D:$D,"*"&amp;$A1819&amp;"*",'All Papers'!$G:$G,"*"&amp;Table1[[#Headers],[Discovery]]&amp;"*")</f>
        <v>0</v>
      </c>
      <c r="E1819" s="8">
        <f>COUNTIFS('All Papers'!$D:$D,"*"&amp;$A1819&amp;"*",'All Papers'!$G:$G,"*"&amp;Table1[[#Headers],[Selection]]&amp;"*")</f>
        <v>0</v>
      </c>
      <c r="F1819" s="8">
        <f>COUNTIFS('All Papers'!$D:$D,"*"&amp;$A1819&amp;"*",'All Papers'!$G:$G,"*"&amp;Table1[[#Headers],[Recommendation]]&amp;"*")</f>
        <v>0</v>
      </c>
      <c r="G1819" s="8">
        <f>COUNTIFS('All Papers'!$D:$D,"*"&amp;$A1819&amp;"*",'All Papers'!$G:$G,"*"&amp;Table1[[#Headers],[Resource Management-CS]]&amp;"*")</f>
        <v>1</v>
      </c>
      <c r="H1819" s="8">
        <f>COUNTIFS('All Papers'!$D:$D,"*"&amp;$A1819&amp;"*",'All Papers'!$G:$G,"*"&amp;Table1[[#Headers],[Resource Management-PS]]&amp;"*")</f>
        <v>0</v>
      </c>
      <c r="I1819" s="8">
        <f>COUNTIFS('All Papers'!$D:$D,"*"&amp;$A1819&amp;"*",'All Papers'!$G:$G,"*"&amp;Table1[[#Headers],[SLA Management]]&amp;"*")</f>
        <v>0</v>
      </c>
      <c r="J1819" s="8">
        <f>COUNTIFS('All Papers'!$D:$D,"*"&amp;$A1819&amp;"*",'All Papers'!$G:$G,"*"&amp;Table1[[#Headers],[Big Data]]&amp;"*")</f>
        <v>0</v>
      </c>
      <c r="K1819" s="8">
        <f>COUNTIFS('All Papers'!$D:$D,"*"&amp;$A1819&amp;"*",'All Papers'!$G:$G,"*"&amp;Table1[[#Headers],[Energy Management]]&amp;"*")</f>
        <v>0</v>
      </c>
      <c r="L1819" s="8">
        <f>COUNTIFS('All Papers'!$D:$D,"*"&amp;$A1819&amp;"*",'All Papers'!$G:$G,"*"&amp;Table1[[#Headers],[Monitoring]]&amp;"*")</f>
        <v>0</v>
      </c>
      <c r="M1819" s="8">
        <f>COUNTIFS('All Papers'!$D:$D,"*"&amp;$A1819&amp;"*",'All Papers'!$G:$G,"*"&amp;Table1[[#Headers],[Pricing]]&amp;"*")</f>
        <v>0</v>
      </c>
    </row>
    <row r="1820" spans="1:13" x14ac:dyDescent="0.25">
      <c r="A1820" s="8" t="s">
        <v>4253</v>
      </c>
      <c r="B1820" s="8">
        <f>COUNTIF('All Papers'!D:D,"*"&amp;Table1[[#This Row],[Name]]&amp;"*")</f>
        <v>1</v>
      </c>
      <c r="C1820" s="8">
        <f>COUNTIFS('All Papers'!$D:$D,"*"&amp;$A1820&amp;"*",'All Papers'!$G:$G,"*"&amp;Table1[[#Headers],[Composition]]&amp;"*")</f>
        <v>1</v>
      </c>
      <c r="D1820" s="8">
        <f>COUNTIFS('All Papers'!$D:$D,"*"&amp;$A1820&amp;"*",'All Papers'!$G:$G,"*"&amp;Table1[[#Headers],[Discovery]]&amp;"*")</f>
        <v>0</v>
      </c>
      <c r="E1820" s="8">
        <f>COUNTIFS('All Papers'!$D:$D,"*"&amp;$A1820&amp;"*",'All Papers'!$G:$G,"*"&amp;Table1[[#Headers],[Selection]]&amp;"*")</f>
        <v>0</v>
      </c>
      <c r="F1820" s="8">
        <f>COUNTIFS('All Papers'!$D:$D,"*"&amp;$A1820&amp;"*",'All Papers'!$G:$G,"*"&amp;Table1[[#Headers],[Recommendation]]&amp;"*")</f>
        <v>0</v>
      </c>
      <c r="G1820" s="8">
        <f>COUNTIFS('All Papers'!$D:$D,"*"&amp;$A1820&amp;"*",'All Papers'!$G:$G,"*"&amp;Table1[[#Headers],[Resource Management-CS]]&amp;"*")</f>
        <v>0</v>
      </c>
      <c r="H1820" s="8">
        <f>COUNTIFS('All Papers'!$D:$D,"*"&amp;$A1820&amp;"*",'All Papers'!$G:$G,"*"&amp;Table1[[#Headers],[Resource Management-PS]]&amp;"*")</f>
        <v>0</v>
      </c>
      <c r="I1820" s="8">
        <f>COUNTIFS('All Papers'!$D:$D,"*"&amp;$A1820&amp;"*",'All Papers'!$G:$G,"*"&amp;Table1[[#Headers],[SLA Management]]&amp;"*")</f>
        <v>0</v>
      </c>
      <c r="J1820" s="8">
        <f>COUNTIFS('All Papers'!$D:$D,"*"&amp;$A1820&amp;"*",'All Papers'!$G:$G,"*"&amp;Table1[[#Headers],[Big Data]]&amp;"*")</f>
        <v>0</v>
      </c>
      <c r="K1820" s="8">
        <f>COUNTIFS('All Papers'!$D:$D,"*"&amp;$A1820&amp;"*",'All Papers'!$G:$G,"*"&amp;Table1[[#Headers],[Energy Management]]&amp;"*")</f>
        <v>0</v>
      </c>
      <c r="L1820" s="8">
        <f>COUNTIFS('All Papers'!$D:$D,"*"&amp;$A1820&amp;"*",'All Papers'!$G:$G,"*"&amp;Table1[[#Headers],[Monitoring]]&amp;"*")</f>
        <v>0</v>
      </c>
      <c r="M1820" s="8">
        <f>COUNTIFS('All Papers'!$D:$D,"*"&amp;$A1820&amp;"*",'All Papers'!$G:$G,"*"&amp;Table1[[#Headers],[Pricing]]&amp;"*")</f>
        <v>0</v>
      </c>
    </row>
    <row r="1821" spans="1:13" x14ac:dyDescent="0.25">
      <c r="A1821" s="8" t="s">
        <v>4254</v>
      </c>
      <c r="B1821" s="8">
        <f>COUNTIF('All Papers'!D:D,"*"&amp;Table1[[#This Row],[Name]]&amp;"*")</f>
        <v>1</v>
      </c>
      <c r="C1821" s="8">
        <f>COUNTIFS('All Papers'!$D:$D,"*"&amp;$A1821&amp;"*",'All Papers'!$G:$G,"*"&amp;Table1[[#Headers],[Composition]]&amp;"*")</f>
        <v>1</v>
      </c>
      <c r="D1821" s="8">
        <f>COUNTIFS('All Papers'!$D:$D,"*"&amp;$A1821&amp;"*",'All Papers'!$G:$G,"*"&amp;Table1[[#Headers],[Discovery]]&amp;"*")</f>
        <v>0</v>
      </c>
      <c r="E1821" s="8">
        <f>COUNTIFS('All Papers'!$D:$D,"*"&amp;$A1821&amp;"*",'All Papers'!$G:$G,"*"&amp;Table1[[#Headers],[Selection]]&amp;"*")</f>
        <v>0</v>
      </c>
      <c r="F1821" s="8">
        <f>COUNTIFS('All Papers'!$D:$D,"*"&amp;$A1821&amp;"*",'All Papers'!$G:$G,"*"&amp;Table1[[#Headers],[Recommendation]]&amp;"*")</f>
        <v>0</v>
      </c>
      <c r="G1821" s="8">
        <f>COUNTIFS('All Papers'!$D:$D,"*"&amp;$A1821&amp;"*",'All Papers'!$G:$G,"*"&amp;Table1[[#Headers],[Resource Management-CS]]&amp;"*")</f>
        <v>0</v>
      </c>
      <c r="H1821" s="8">
        <f>COUNTIFS('All Papers'!$D:$D,"*"&amp;$A1821&amp;"*",'All Papers'!$G:$G,"*"&amp;Table1[[#Headers],[Resource Management-PS]]&amp;"*")</f>
        <v>0</v>
      </c>
      <c r="I1821" s="8">
        <f>COUNTIFS('All Papers'!$D:$D,"*"&amp;$A1821&amp;"*",'All Papers'!$G:$G,"*"&amp;Table1[[#Headers],[SLA Management]]&amp;"*")</f>
        <v>0</v>
      </c>
      <c r="J1821" s="8">
        <f>COUNTIFS('All Papers'!$D:$D,"*"&amp;$A1821&amp;"*",'All Papers'!$G:$G,"*"&amp;Table1[[#Headers],[Big Data]]&amp;"*")</f>
        <v>0</v>
      </c>
      <c r="K1821" s="8">
        <f>COUNTIFS('All Papers'!$D:$D,"*"&amp;$A1821&amp;"*",'All Papers'!$G:$G,"*"&amp;Table1[[#Headers],[Energy Management]]&amp;"*")</f>
        <v>0</v>
      </c>
      <c r="L1821" s="8">
        <f>COUNTIFS('All Papers'!$D:$D,"*"&amp;$A1821&amp;"*",'All Papers'!$G:$G,"*"&amp;Table1[[#Headers],[Monitoring]]&amp;"*")</f>
        <v>0</v>
      </c>
      <c r="M1821" s="8">
        <f>COUNTIFS('All Papers'!$D:$D,"*"&amp;$A1821&amp;"*",'All Papers'!$G:$G,"*"&amp;Table1[[#Headers],[Pricing]]&amp;"*")</f>
        <v>0</v>
      </c>
    </row>
    <row r="1822" spans="1:13" x14ac:dyDescent="0.25">
      <c r="A1822" s="8" t="s">
        <v>4255</v>
      </c>
      <c r="B1822" s="8">
        <f>COUNTIF('All Papers'!D:D,"*"&amp;Table1[[#This Row],[Name]]&amp;"*")</f>
        <v>1</v>
      </c>
      <c r="C1822" s="8">
        <f>COUNTIFS('All Papers'!$D:$D,"*"&amp;$A1822&amp;"*",'All Papers'!$G:$G,"*"&amp;Table1[[#Headers],[Composition]]&amp;"*")</f>
        <v>0</v>
      </c>
      <c r="D1822" s="8">
        <f>COUNTIFS('All Papers'!$D:$D,"*"&amp;$A1822&amp;"*",'All Papers'!$G:$G,"*"&amp;Table1[[#Headers],[Discovery]]&amp;"*")</f>
        <v>0</v>
      </c>
      <c r="E1822" s="8">
        <f>COUNTIFS('All Papers'!$D:$D,"*"&amp;$A1822&amp;"*",'All Papers'!$G:$G,"*"&amp;Table1[[#Headers],[Selection]]&amp;"*")</f>
        <v>0</v>
      </c>
      <c r="F1822" s="8">
        <f>COUNTIFS('All Papers'!$D:$D,"*"&amp;$A1822&amp;"*",'All Papers'!$G:$G,"*"&amp;Table1[[#Headers],[Recommendation]]&amp;"*")</f>
        <v>0</v>
      </c>
      <c r="G1822" s="8">
        <f>COUNTIFS('All Papers'!$D:$D,"*"&amp;$A1822&amp;"*",'All Papers'!$G:$G,"*"&amp;Table1[[#Headers],[Resource Management-CS]]&amp;"*")</f>
        <v>1</v>
      </c>
      <c r="H1822" s="8">
        <f>COUNTIFS('All Papers'!$D:$D,"*"&amp;$A1822&amp;"*",'All Papers'!$G:$G,"*"&amp;Table1[[#Headers],[Resource Management-PS]]&amp;"*")</f>
        <v>0</v>
      </c>
      <c r="I1822" s="8">
        <f>COUNTIFS('All Papers'!$D:$D,"*"&amp;$A1822&amp;"*",'All Papers'!$G:$G,"*"&amp;Table1[[#Headers],[SLA Management]]&amp;"*")</f>
        <v>1</v>
      </c>
      <c r="J1822" s="8">
        <f>COUNTIFS('All Papers'!$D:$D,"*"&amp;$A1822&amp;"*",'All Papers'!$G:$G,"*"&amp;Table1[[#Headers],[Big Data]]&amp;"*")</f>
        <v>0</v>
      </c>
      <c r="K1822" s="8">
        <f>COUNTIFS('All Papers'!$D:$D,"*"&amp;$A1822&amp;"*",'All Papers'!$G:$G,"*"&amp;Table1[[#Headers],[Energy Management]]&amp;"*")</f>
        <v>0</v>
      </c>
      <c r="L1822" s="8">
        <f>COUNTIFS('All Papers'!$D:$D,"*"&amp;$A1822&amp;"*",'All Papers'!$G:$G,"*"&amp;Table1[[#Headers],[Monitoring]]&amp;"*")</f>
        <v>0</v>
      </c>
      <c r="M1822" s="8">
        <f>COUNTIFS('All Papers'!$D:$D,"*"&amp;$A1822&amp;"*",'All Papers'!$G:$G,"*"&amp;Table1[[#Headers],[Pricing]]&amp;"*")</f>
        <v>0</v>
      </c>
    </row>
    <row r="1823" spans="1:13" x14ac:dyDescent="0.25">
      <c r="A1823" s="8" t="s">
        <v>4256</v>
      </c>
      <c r="B1823" s="8">
        <f>COUNTIF('All Papers'!D:D,"*"&amp;Table1[[#This Row],[Name]]&amp;"*")</f>
        <v>1</v>
      </c>
      <c r="C1823" s="8">
        <f>COUNTIFS('All Papers'!$D:$D,"*"&amp;$A1823&amp;"*",'All Papers'!$G:$G,"*"&amp;Table1[[#Headers],[Composition]]&amp;"*")</f>
        <v>0</v>
      </c>
      <c r="D1823" s="8">
        <f>COUNTIFS('All Papers'!$D:$D,"*"&amp;$A1823&amp;"*",'All Papers'!$G:$G,"*"&amp;Table1[[#Headers],[Discovery]]&amp;"*")</f>
        <v>0</v>
      </c>
      <c r="E1823" s="8">
        <f>COUNTIFS('All Papers'!$D:$D,"*"&amp;$A1823&amp;"*",'All Papers'!$G:$G,"*"&amp;Table1[[#Headers],[Selection]]&amp;"*")</f>
        <v>0</v>
      </c>
      <c r="F1823" s="8">
        <f>COUNTIFS('All Papers'!$D:$D,"*"&amp;$A1823&amp;"*",'All Papers'!$G:$G,"*"&amp;Table1[[#Headers],[Recommendation]]&amp;"*")</f>
        <v>0</v>
      </c>
      <c r="G1823" s="8">
        <f>COUNTIFS('All Papers'!$D:$D,"*"&amp;$A1823&amp;"*",'All Papers'!$G:$G,"*"&amp;Table1[[#Headers],[Resource Management-CS]]&amp;"*")</f>
        <v>1</v>
      </c>
      <c r="H1823" s="8">
        <f>COUNTIFS('All Papers'!$D:$D,"*"&amp;$A1823&amp;"*",'All Papers'!$G:$G,"*"&amp;Table1[[#Headers],[Resource Management-PS]]&amp;"*")</f>
        <v>0</v>
      </c>
      <c r="I1823" s="8">
        <f>COUNTIFS('All Papers'!$D:$D,"*"&amp;$A1823&amp;"*",'All Papers'!$G:$G,"*"&amp;Table1[[#Headers],[SLA Management]]&amp;"*")</f>
        <v>1</v>
      </c>
      <c r="J1823" s="8">
        <f>COUNTIFS('All Papers'!$D:$D,"*"&amp;$A1823&amp;"*",'All Papers'!$G:$G,"*"&amp;Table1[[#Headers],[Big Data]]&amp;"*")</f>
        <v>0</v>
      </c>
      <c r="K1823" s="8">
        <f>COUNTIFS('All Papers'!$D:$D,"*"&amp;$A1823&amp;"*",'All Papers'!$G:$G,"*"&amp;Table1[[#Headers],[Energy Management]]&amp;"*")</f>
        <v>0</v>
      </c>
      <c r="L1823" s="8">
        <f>COUNTIFS('All Papers'!$D:$D,"*"&amp;$A1823&amp;"*",'All Papers'!$G:$G,"*"&amp;Table1[[#Headers],[Monitoring]]&amp;"*")</f>
        <v>0</v>
      </c>
      <c r="M1823" s="8">
        <f>COUNTIFS('All Papers'!$D:$D,"*"&amp;$A1823&amp;"*",'All Papers'!$G:$G,"*"&amp;Table1[[#Headers],[Pricing]]&amp;"*")</f>
        <v>0</v>
      </c>
    </row>
    <row r="1824" spans="1:13" x14ac:dyDescent="0.25">
      <c r="A1824" s="8" t="s">
        <v>4257</v>
      </c>
      <c r="B1824" s="8">
        <f>COUNTIF('All Papers'!D:D,"*"&amp;Table1[[#This Row],[Name]]&amp;"*")</f>
        <v>1</v>
      </c>
      <c r="C1824" s="8">
        <f>COUNTIFS('All Papers'!$D:$D,"*"&amp;$A1824&amp;"*",'All Papers'!$G:$G,"*"&amp;Table1[[#Headers],[Composition]]&amp;"*")</f>
        <v>0</v>
      </c>
      <c r="D1824" s="8">
        <f>COUNTIFS('All Papers'!$D:$D,"*"&amp;$A1824&amp;"*",'All Papers'!$G:$G,"*"&amp;Table1[[#Headers],[Discovery]]&amp;"*")</f>
        <v>0</v>
      </c>
      <c r="E1824" s="8">
        <f>COUNTIFS('All Papers'!$D:$D,"*"&amp;$A1824&amp;"*",'All Papers'!$G:$G,"*"&amp;Table1[[#Headers],[Selection]]&amp;"*")</f>
        <v>0</v>
      </c>
      <c r="F1824" s="8">
        <f>COUNTIFS('All Papers'!$D:$D,"*"&amp;$A1824&amp;"*",'All Papers'!$G:$G,"*"&amp;Table1[[#Headers],[Recommendation]]&amp;"*")</f>
        <v>0</v>
      </c>
      <c r="G1824" s="8">
        <f>COUNTIFS('All Papers'!$D:$D,"*"&amp;$A1824&amp;"*",'All Papers'!$G:$G,"*"&amp;Table1[[#Headers],[Resource Management-CS]]&amp;"*")</f>
        <v>1</v>
      </c>
      <c r="H1824" s="8">
        <f>COUNTIFS('All Papers'!$D:$D,"*"&amp;$A1824&amp;"*",'All Papers'!$G:$G,"*"&amp;Table1[[#Headers],[Resource Management-PS]]&amp;"*")</f>
        <v>0</v>
      </c>
      <c r="I1824" s="8">
        <f>COUNTIFS('All Papers'!$D:$D,"*"&amp;$A1824&amp;"*",'All Papers'!$G:$G,"*"&amp;Table1[[#Headers],[SLA Management]]&amp;"*")</f>
        <v>1</v>
      </c>
      <c r="J1824" s="8">
        <f>COUNTIFS('All Papers'!$D:$D,"*"&amp;$A1824&amp;"*",'All Papers'!$G:$G,"*"&amp;Table1[[#Headers],[Big Data]]&amp;"*")</f>
        <v>0</v>
      </c>
      <c r="K1824" s="8">
        <f>COUNTIFS('All Papers'!$D:$D,"*"&amp;$A1824&amp;"*",'All Papers'!$G:$G,"*"&amp;Table1[[#Headers],[Energy Management]]&amp;"*")</f>
        <v>0</v>
      </c>
      <c r="L1824" s="8">
        <f>COUNTIFS('All Papers'!$D:$D,"*"&amp;$A1824&amp;"*",'All Papers'!$G:$G,"*"&amp;Table1[[#Headers],[Monitoring]]&amp;"*")</f>
        <v>0</v>
      </c>
      <c r="M1824" s="8">
        <f>COUNTIFS('All Papers'!$D:$D,"*"&amp;$A1824&amp;"*",'All Papers'!$G:$G,"*"&amp;Table1[[#Headers],[Pricing]]&amp;"*")</f>
        <v>0</v>
      </c>
    </row>
    <row r="1825" spans="1:13" x14ac:dyDescent="0.25">
      <c r="A1825" s="8" t="s">
        <v>4258</v>
      </c>
      <c r="B1825" s="8">
        <f>COUNTIF('All Papers'!D:D,"*"&amp;Table1[[#This Row],[Name]]&amp;"*")</f>
        <v>1</v>
      </c>
      <c r="C1825" s="8">
        <f>COUNTIFS('All Papers'!$D:$D,"*"&amp;$A1825&amp;"*",'All Papers'!$G:$G,"*"&amp;Table1[[#Headers],[Composition]]&amp;"*")</f>
        <v>0</v>
      </c>
      <c r="D1825" s="8">
        <f>COUNTIFS('All Papers'!$D:$D,"*"&amp;$A1825&amp;"*",'All Papers'!$G:$G,"*"&amp;Table1[[#Headers],[Discovery]]&amp;"*")</f>
        <v>0</v>
      </c>
      <c r="E1825" s="8">
        <f>COUNTIFS('All Papers'!$D:$D,"*"&amp;$A1825&amp;"*",'All Papers'!$G:$G,"*"&amp;Table1[[#Headers],[Selection]]&amp;"*")</f>
        <v>0</v>
      </c>
      <c r="F1825" s="8">
        <f>COUNTIFS('All Papers'!$D:$D,"*"&amp;$A1825&amp;"*",'All Papers'!$G:$G,"*"&amp;Table1[[#Headers],[Recommendation]]&amp;"*")</f>
        <v>0</v>
      </c>
      <c r="G1825" s="8">
        <f>COUNTIFS('All Papers'!$D:$D,"*"&amp;$A1825&amp;"*",'All Papers'!$G:$G,"*"&amp;Table1[[#Headers],[Resource Management-CS]]&amp;"*")</f>
        <v>1</v>
      </c>
      <c r="H1825" s="8">
        <f>COUNTIFS('All Papers'!$D:$D,"*"&amp;$A1825&amp;"*",'All Papers'!$G:$G,"*"&amp;Table1[[#Headers],[Resource Management-PS]]&amp;"*")</f>
        <v>0</v>
      </c>
      <c r="I1825" s="8">
        <f>COUNTIFS('All Papers'!$D:$D,"*"&amp;$A1825&amp;"*",'All Papers'!$G:$G,"*"&amp;Table1[[#Headers],[SLA Management]]&amp;"*")</f>
        <v>1</v>
      </c>
      <c r="J1825" s="8">
        <f>COUNTIFS('All Papers'!$D:$D,"*"&amp;$A1825&amp;"*",'All Papers'!$G:$G,"*"&amp;Table1[[#Headers],[Big Data]]&amp;"*")</f>
        <v>0</v>
      </c>
      <c r="K1825" s="8">
        <f>COUNTIFS('All Papers'!$D:$D,"*"&amp;$A1825&amp;"*",'All Papers'!$G:$G,"*"&amp;Table1[[#Headers],[Energy Management]]&amp;"*")</f>
        <v>0</v>
      </c>
      <c r="L1825" s="8">
        <f>COUNTIFS('All Papers'!$D:$D,"*"&amp;$A1825&amp;"*",'All Papers'!$G:$G,"*"&amp;Table1[[#Headers],[Monitoring]]&amp;"*")</f>
        <v>0</v>
      </c>
      <c r="M1825" s="8">
        <f>COUNTIFS('All Papers'!$D:$D,"*"&amp;$A1825&amp;"*",'All Papers'!$G:$G,"*"&amp;Table1[[#Headers],[Pricing]]&amp;"*")</f>
        <v>0</v>
      </c>
    </row>
    <row r="1826" spans="1:13" x14ac:dyDescent="0.25">
      <c r="A1826" s="8" t="s">
        <v>4259</v>
      </c>
      <c r="B1826" s="8">
        <f>COUNTIF('All Papers'!D:D,"*"&amp;Table1[[#This Row],[Name]]&amp;"*")</f>
        <v>1</v>
      </c>
      <c r="C1826" s="8">
        <f>COUNTIFS('All Papers'!$D:$D,"*"&amp;$A1826&amp;"*",'All Papers'!$G:$G,"*"&amp;Table1[[#Headers],[Composition]]&amp;"*")</f>
        <v>0</v>
      </c>
      <c r="D1826" s="8">
        <f>COUNTIFS('All Papers'!$D:$D,"*"&amp;$A1826&amp;"*",'All Papers'!$G:$G,"*"&amp;Table1[[#Headers],[Discovery]]&amp;"*")</f>
        <v>0</v>
      </c>
      <c r="E1826" s="8">
        <f>COUNTIFS('All Papers'!$D:$D,"*"&amp;$A1826&amp;"*",'All Papers'!$G:$G,"*"&amp;Table1[[#Headers],[Selection]]&amp;"*")</f>
        <v>0</v>
      </c>
      <c r="F1826" s="8">
        <f>COUNTIFS('All Papers'!$D:$D,"*"&amp;$A1826&amp;"*",'All Papers'!$G:$G,"*"&amp;Table1[[#Headers],[Recommendation]]&amp;"*")</f>
        <v>0</v>
      </c>
      <c r="G1826" s="8">
        <f>COUNTIFS('All Papers'!$D:$D,"*"&amp;$A1826&amp;"*",'All Papers'!$G:$G,"*"&amp;Table1[[#Headers],[Resource Management-CS]]&amp;"*")</f>
        <v>1</v>
      </c>
      <c r="H1826" s="8">
        <f>COUNTIFS('All Papers'!$D:$D,"*"&amp;$A1826&amp;"*",'All Papers'!$G:$G,"*"&amp;Table1[[#Headers],[Resource Management-PS]]&amp;"*")</f>
        <v>0</v>
      </c>
      <c r="I1826" s="8">
        <f>COUNTIFS('All Papers'!$D:$D,"*"&amp;$A1826&amp;"*",'All Papers'!$G:$G,"*"&amp;Table1[[#Headers],[SLA Management]]&amp;"*")</f>
        <v>0</v>
      </c>
      <c r="J1826" s="8">
        <f>COUNTIFS('All Papers'!$D:$D,"*"&amp;$A1826&amp;"*",'All Papers'!$G:$G,"*"&amp;Table1[[#Headers],[Big Data]]&amp;"*")</f>
        <v>0</v>
      </c>
      <c r="K1826" s="8">
        <f>COUNTIFS('All Papers'!$D:$D,"*"&amp;$A1826&amp;"*",'All Papers'!$G:$G,"*"&amp;Table1[[#Headers],[Energy Management]]&amp;"*")</f>
        <v>0</v>
      </c>
      <c r="L1826" s="8">
        <f>COUNTIFS('All Papers'!$D:$D,"*"&amp;$A1826&amp;"*",'All Papers'!$G:$G,"*"&amp;Table1[[#Headers],[Monitoring]]&amp;"*")</f>
        <v>0</v>
      </c>
      <c r="M1826" s="8">
        <f>COUNTIFS('All Papers'!$D:$D,"*"&amp;$A1826&amp;"*",'All Papers'!$G:$G,"*"&amp;Table1[[#Headers],[Pricing]]&amp;"*")</f>
        <v>0</v>
      </c>
    </row>
    <row r="1827" spans="1:13" x14ac:dyDescent="0.25">
      <c r="A1827" s="8" t="s">
        <v>4260</v>
      </c>
      <c r="B1827" s="8">
        <f>COUNTIF('All Papers'!D:D,"*"&amp;Table1[[#This Row],[Name]]&amp;"*")</f>
        <v>1</v>
      </c>
      <c r="C1827" s="8">
        <f>COUNTIFS('All Papers'!$D:$D,"*"&amp;$A1827&amp;"*",'All Papers'!$G:$G,"*"&amp;Table1[[#Headers],[Composition]]&amp;"*")</f>
        <v>0</v>
      </c>
      <c r="D1827" s="8">
        <f>COUNTIFS('All Papers'!$D:$D,"*"&amp;$A1827&amp;"*",'All Papers'!$G:$G,"*"&amp;Table1[[#Headers],[Discovery]]&amp;"*")</f>
        <v>0</v>
      </c>
      <c r="E1827" s="8">
        <f>COUNTIFS('All Papers'!$D:$D,"*"&amp;$A1827&amp;"*",'All Papers'!$G:$G,"*"&amp;Table1[[#Headers],[Selection]]&amp;"*")</f>
        <v>0</v>
      </c>
      <c r="F1827" s="8">
        <f>COUNTIFS('All Papers'!$D:$D,"*"&amp;$A1827&amp;"*",'All Papers'!$G:$G,"*"&amp;Table1[[#Headers],[Recommendation]]&amp;"*")</f>
        <v>0</v>
      </c>
      <c r="G1827" s="8">
        <f>COUNTIFS('All Papers'!$D:$D,"*"&amp;$A1827&amp;"*",'All Papers'!$G:$G,"*"&amp;Table1[[#Headers],[Resource Management-CS]]&amp;"*")</f>
        <v>1</v>
      </c>
      <c r="H1827" s="8">
        <f>COUNTIFS('All Papers'!$D:$D,"*"&amp;$A1827&amp;"*",'All Papers'!$G:$G,"*"&amp;Table1[[#Headers],[Resource Management-PS]]&amp;"*")</f>
        <v>0</v>
      </c>
      <c r="I1827" s="8">
        <f>COUNTIFS('All Papers'!$D:$D,"*"&amp;$A1827&amp;"*",'All Papers'!$G:$G,"*"&amp;Table1[[#Headers],[SLA Management]]&amp;"*")</f>
        <v>0</v>
      </c>
      <c r="J1827" s="8">
        <f>COUNTIFS('All Papers'!$D:$D,"*"&amp;$A1827&amp;"*",'All Papers'!$G:$G,"*"&amp;Table1[[#Headers],[Big Data]]&amp;"*")</f>
        <v>0</v>
      </c>
      <c r="K1827" s="8">
        <f>COUNTIFS('All Papers'!$D:$D,"*"&amp;$A1827&amp;"*",'All Papers'!$G:$G,"*"&amp;Table1[[#Headers],[Energy Management]]&amp;"*")</f>
        <v>0</v>
      </c>
      <c r="L1827" s="8">
        <f>COUNTIFS('All Papers'!$D:$D,"*"&amp;$A1827&amp;"*",'All Papers'!$G:$G,"*"&amp;Table1[[#Headers],[Monitoring]]&amp;"*")</f>
        <v>0</v>
      </c>
      <c r="M1827" s="8">
        <f>COUNTIFS('All Papers'!$D:$D,"*"&amp;$A1827&amp;"*",'All Papers'!$G:$G,"*"&amp;Table1[[#Headers],[Pricing]]&amp;"*")</f>
        <v>0</v>
      </c>
    </row>
    <row r="1828" spans="1:13" x14ac:dyDescent="0.25">
      <c r="A1828" s="8" t="s">
        <v>4261</v>
      </c>
      <c r="B1828" s="8">
        <f>COUNTIF('All Papers'!D:D,"*"&amp;Table1[[#This Row],[Name]]&amp;"*")</f>
        <v>1</v>
      </c>
      <c r="C1828" s="8">
        <f>COUNTIFS('All Papers'!$D:$D,"*"&amp;$A1828&amp;"*",'All Papers'!$G:$G,"*"&amp;Table1[[#Headers],[Composition]]&amp;"*")</f>
        <v>1</v>
      </c>
      <c r="D1828" s="8">
        <f>COUNTIFS('All Papers'!$D:$D,"*"&amp;$A1828&amp;"*",'All Papers'!$G:$G,"*"&amp;Table1[[#Headers],[Discovery]]&amp;"*")</f>
        <v>0</v>
      </c>
      <c r="E1828" s="8">
        <f>COUNTIFS('All Papers'!$D:$D,"*"&amp;$A1828&amp;"*",'All Papers'!$G:$G,"*"&amp;Table1[[#Headers],[Selection]]&amp;"*")</f>
        <v>0</v>
      </c>
      <c r="F1828" s="8">
        <f>COUNTIFS('All Papers'!$D:$D,"*"&amp;$A1828&amp;"*",'All Papers'!$G:$G,"*"&amp;Table1[[#Headers],[Recommendation]]&amp;"*")</f>
        <v>0</v>
      </c>
      <c r="G1828" s="8">
        <f>COUNTIFS('All Papers'!$D:$D,"*"&amp;$A1828&amp;"*",'All Papers'!$G:$G,"*"&amp;Table1[[#Headers],[Resource Management-CS]]&amp;"*")</f>
        <v>0</v>
      </c>
      <c r="H1828" s="8">
        <f>COUNTIFS('All Papers'!$D:$D,"*"&amp;$A1828&amp;"*",'All Papers'!$G:$G,"*"&amp;Table1[[#Headers],[Resource Management-PS]]&amp;"*")</f>
        <v>0</v>
      </c>
      <c r="I1828" s="8">
        <f>COUNTIFS('All Papers'!$D:$D,"*"&amp;$A1828&amp;"*",'All Papers'!$G:$G,"*"&amp;Table1[[#Headers],[SLA Management]]&amp;"*")</f>
        <v>0</v>
      </c>
      <c r="J1828" s="8">
        <f>COUNTIFS('All Papers'!$D:$D,"*"&amp;$A1828&amp;"*",'All Papers'!$G:$G,"*"&amp;Table1[[#Headers],[Big Data]]&amp;"*")</f>
        <v>0</v>
      </c>
      <c r="K1828" s="8">
        <f>COUNTIFS('All Papers'!$D:$D,"*"&amp;$A1828&amp;"*",'All Papers'!$G:$G,"*"&amp;Table1[[#Headers],[Energy Management]]&amp;"*")</f>
        <v>0</v>
      </c>
      <c r="L1828" s="8">
        <f>COUNTIFS('All Papers'!$D:$D,"*"&amp;$A1828&amp;"*",'All Papers'!$G:$G,"*"&amp;Table1[[#Headers],[Monitoring]]&amp;"*")</f>
        <v>0</v>
      </c>
      <c r="M1828" s="8">
        <f>COUNTIFS('All Papers'!$D:$D,"*"&amp;$A1828&amp;"*",'All Papers'!$G:$G,"*"&amp;Table1[[#Headers],[Pricing]]&amp;"*")</f>
        <v>0</v>
      </c>
    </row>
    <row r="1829" spans="1:13" x14ac:dyDescent="0.25">
      <c r="A1829" s="8" t="s">
        <v>4262</v>
      </c>
      <c r="B1829" s="8">
        <f>COUNTIF('All Papers'!D:D,"*"&amp;Table1[[#This Row],[Name]]&amp;"*")</f>
        <v>1</v>
      </c>
      <c r="C1829" s="8">
        <f>COUNTIFS('All Papers'!$D:$D,"*"&amp;$A1829&amp;"*",'All Papers'!$G:$G,"*"&amp;Table1[[#Headers],[Composition]]&amp;"*")</f>
        <v>1</v>
      </c>
      <c r="D1829" s="8">
        <f>COUNTIFS('All Papers'!$D:$D,"*"&amp;$A1829&amp;"*",'All Papers'!$G:$G,"*"&amp;Table1[[#Headers],[Discovery]]&amp;"*")</f>
        <v>0</v>
      </c>
      <c r="E1829" s="8">
        <f>COUNTIFS('All Papers'!$D:$D,"*"&amp;$A1829&amp;"*",'All Papers'!$G:$G,"*"&amp;Table1[[#Headers],[Selection]]&amp;"*")</f>
        <v>0</v>
      </c>
      <c r="F1829" s="8">
        <f>COUNTIFS('All Papers'!$D:$D,"*"&amp;$A1829&amp;"*",'All Papers'!$G:$G,"*"&amp;Table1[[#Headers],[Recommendation]]&amp;"*")</f>
        <v>0</v>
      </c>
      <c r="G1829" s="8">
        <f>COUNTIFS('All Papers'!$D:$D,"*"&amp;$A1829&amp;"*",'All Papers'!$G:$G,"*"&amp;Table1[[#Headers],[Resource Management-CS]]&amp;"*")</f>
        <v>0</v>
      </c>
      <c r="H1829" s="8">
        <f>COUNTIFS('All Papers'!$D:$D,"*"&amp;$A1829&amp;"*",'All Papers'!$G:$G,"*"&amp;Table1[[#Headers],[Resource Management-PS]]&amp;"*")</f>
        <v>0</v>
      </c>
      <c r="I1829" s="8">
        <f>COUNTIFS('All Papers'!$D:$D,"*"&amp;$A1829&amp;"*",'All Papers'!$G:$G,"*"&amp;Table1[[#Headers],[SLA Management]]&amp;"*")</f>
        <v>0</v>
      </c>
      <c r="J1829" s="8">
        <f>COUNTIFS('All Papers'!$D:$D,"*"&amp;$A1829&amp;"*",'All Papers'!$G:$G,"*"&amp;Table1[[#Headers],[Big Data]]&amp;"*")</f>
        <v>0</v>
      </c>
      <c r="K1829" s="8">
        <f>COUNTIFS('All Papers'!$D:$D,"*"&amp;$A1829&amp;"*",'All Papers'!$G:$G,"*"&amp;Table1[[#Headers],[Energy Management]]&amp;"*")</f>
        <v>0</v>
      </c>
      <c r="L1829" s="8">
        <f>COUNTIFS('All Papers'!$D:$D,"*"&amp;$A1829&amp;"*",'All Papers'!$G:$G,"*"&amp;Table1[[#Headers],[Monitoring]]&amp;"*")</f>
        <v>0</v>
      </c>
      <c r="M1829" s="8">
        <f>COUNTIFS('All Papers'!$D:$D,"*"&amp;$A1829&amp;"*",'All Papers'!$G:$G,"*"&amp;Table1[[#Headers],[Pricing]]&amp;"*")</f>
        <v>0</v>
      </c>
    </row>
    <row r="1830" spans="1:13" x14ac:dyDescent="0.25">
      <c r="A1830" s="8" t="s">
        <v>4263</v>
      </c>
      <c r="B1830" s="8">
        <f>COUNTIF('All Papers'!D:D,"*"&amp;Table1[[#This Row],[Name]]&amp;"*")</f>
        <v>1</v>
      </c>
      <c r="C1830" s="8">
        <f>COUNTIFS('All Papers'!$D:$D,"*"&amp;$A1830&amp;"*",'All Papers'!$G:$G,"*"&amp;Table1[[#Headers],[Composition]]&amp;"*")</f>
        <v>1</v>
      </c>
      <c r="D1830" s="8">
        <f>COUNTIFS('All Papers'!$D:$D,"*"&amp;$A1830&amp;"*",'All Papers'!$G:$G,"*"&amp;Table1[[#Headers],[Discovery]]&amp;"*")</f>
        <v>0</v>
      </c>
      <c r="E1830" s="8">
        <f>COUNTIFS('All Papers'!$D:$D,"*"&amp;$A1830&amp;"*",'All Papers'!$G:$G,"*"&amp;Table1[[#Headers],[Selection]]&amp;"*")</f>
        <v>0</v>
      </c>
      <c r="F1830" s="8">
        <f>COUNTIFS('All Papers'!$D:$D,"*"&amp;$A1830&amp;"*",'All Papers'!$G:$G,"*"&amp;Table1[[#Headers],[Recommendation]]&amp;"*")</f>
        <v>0</v>
      </c>
      <c r="G1830" s="8">
        <f>COUNTIFS('All Papers'!$D:$D,"*"&amp;$A1830&amp;"*",'All Papers'!$G:$G,"*"&amp;Table1[[#Headers],[Resource Management-CS]]&amp;"*")</f>
        <v>0</v>
      </c>
      <c r="H1830" s="8">
        <f>COUNTIFS('All Papers'!$D:$D,"*"&amp;$A1830&amp;"*",'All Papers'!$G:$G,"*"&amp;Table1[[#Headers],[Resource Management-PS]]&amp;"*")</f>
        <v>1</v>
      </c>
      <c r="I1830" s="8">
        <f>COUNTIFS('All Papers'!$D:$D,"*"&amp;$A1830&amp;"*",'All Papers'!$G:$G,"*"&amp;Table1[[#Headers],[SLA Management]]&amp;"*")</f>
        <v>0</v>
      </c>
      <c r="J1830" s="8">
        <f>COUNTIFS('All Papers'!$D:$D,"*"&amp;$A1830&amp;"*",'All Papers'!$G:$G,"*"&amp;Table1[[#Headers],[Big Data]]&amp;"*")</f>
        <v>0</v>
      </c>
      <c r="K1830" s="8">
        <f>COUNTIFS('All Papers'!$D:$D,"*"&amp;$A1830&amp;"*",'All Papers'!$G:$G,"*"&amp;Table1[[#Headers],[Energy Management]]&amp;"*")</f>
        <v>0</v>
      </c>
      <c r="L1830" s="8">
        <f>COUNTIFS('All Papers'!$D:$D,"*"&amp;$A1830&amp;"*",'All Papers'!$G:$G,"*"&amp;Table1[[#Headers],[Monitoring]]&amp;"*")</f>
        <v>0</v>
      </c>
      <c r="M1830" s="8">
        <f>COUNTIFS('All Papers'!$D:$D,"*"&amp;$A1830&amp;"*",'All Papers'!$G:$G,"*"&amp;Table1[[#Headers],[Pricing]]&amp;"*")</f>
        <v>0</v>
      </c>
    </row>
    <row r="1831" spans="1:13" x14ac:dyDescent="0.25">
      <c r="A1831" s="8" t="s">
        <v>4264</v>
      </c>
      <c r="B1831" s="8">
        <f>COUNTIF('All Papers'!D:D,"*"&amp;Table1[[#This Row],[Name]]&amp;"*")</f>
        <v>1</v>
      </c>
      <c r="C1831" s="8">
        <f>COUNTIFS('All Papers'!$D:$D,"*"&amp;$A1831&amp;"*",'All Papers'!$G:$G,"*"&amp;Table1[[#Headers],[Composition]]&amp;"*")</f>
        <v>1</v>
      </c>
      <c r="D1831" s="8">
        <f>COUNTIFS('All Papers'!$D:$D,"*"&amp;$A1831&amp;"*",'All Papers'!$G:$G,"*"&amp;Table1[[#Headers],[Discovery]]&amp;"*")</f>
        <v>0</v>
      </c>
      <c r="E1831" s="8">
        <f>COUNTIFS('All Papers'!$D:$D,"*"&amp;$A1831&amp;"*",'All Papers'!$G:$G,"*"&amp;Table1[[#Headers],[Selection]]&amp;"*")</f>
        <v>0</v>
      </c>
      <c r="F1831" s="8">
        <f>COUNTIFS('All Papers'!$D:$D,"*"&amp;$A1831&amp;"*",'All Papers'!$G:$G,"*"&amp;Table1[[#Headers],[Recommendation]]&amp;"*")</f>
        <v>0</v>
      </c>
      <c r="G1831" s="8">
        <f>COUNTIFS('All Papers'!$D:$D,"*"&amp;$A1831&amp;"*",'All Papers'!$G:$G,"*"&amp;Table1[[#Headers],[Resource Management-CS]]&amp;"*")</f>
        <v>0</v>
      </c>
      <c r="H1831" s="8">
        <f>COUNTIFS('All Papers'!$D:$D,"*"&amp;$A1831&amp;"*",'All Papers'!$G:$G,"*"&amp;Table1[[#Headers],[Resource Management-PS]]&amp;"*")</f>
        <v>1</v>
      </c>
      <c r="I1831" s="8">
        <f>COUNTIFS('All Papers'!$D:$D,"*"&amp;$A1831&amp;"*",'All Papers'!$G:$G,"*"&amp;Table1[[#Headers],[SLA Management]]&amp;"*")</f>
        <v>0</v>
      </c>
      <c r="J1831" s="8">
        <f>COUNTIFS('All Papers'!$D:$D,"*"&amp;$A1831&amp;"*",'All Papers'!$G:$G,"*"&amp;Table1[[#Headers],[Big Data]]&amp;"*")</f>
        <v>0</v>
      </c>
      <c r="K1831" s="8">
        <f>COUNTIFS('All Papers'!$D:$D,"*"&amp;$A1831&amp;"*",'All Papers'!$G:$G,"*"&amp;Table1[[#Headers],[Energy Management]]&amp;"*")</f>
        <v>0</v>
      </c>
      <c r="L1831" s="8">
        <f>COUNTIFS('All Papers'!$D:$D,"*"&amp;$A1831&amp;"*",'All Papers'!$G:$G,"*"&amp;Table1[[#Headers],[Monitoring]]&amp;"*")</f>
        <v>0</v>
      </c>
      <c r="M1831" s="8">
        <f>COUNTIFS('All Papers'!$D:$D,"*"&amp;$A1831&amp;"*",'All Papers'!$G:$G,"*"&amp;Table1[[#Headers],[Pricing]]&amp;"*")</f>
        <v>0</v>
      </c>
    </row>
    <row r="1832" spans="1:13" x14ac:dyDescent="0.25">
      <c r="A1832" s="8" t="s">
        <v>4265</v>
      </c>
      <c r="B1832" s="8">
        <f>COUNTIF('All Papers'!D:D,"*"&amp;Table1[[#This Row],[Name]]&amp;"*")</f>
        <v>1</v>
      </c>
      <c r="C1832" s="8">
        <f>COUNTIFS('All Papers'!$D:$D,"*"&amp;$A1832&amp;"*",'All Papers'!$G:$G,"*"&amp;Table1[[#Headers],[Composition]]&amp;"*")</f>
        <v>1</v>
      </c>
      <c r="D1832" s="8">
        <f>COUNTIFS('All Papers'!$D:$D,"*"&amp;$A1832&amp;"*",'All Papers'!$G:$G,"*"&amp;Table1[[#Headers],[Discovery]]&amp;"*")</f>
        <v>0</v>
      </c>
      <c r="E1832" s="8">
        <f>COUNTIFS('All Papers'!$D:$D,"*"&amp;$A1832&amp;"*",'All Papers'!$G:$G,"*"&amp;Table1[[#Headers],[Selection]]&amp;"*")</f>
        <v>0</v>
      </c>
      <c r="F1832" s="8">
        <f>COUNTIFS('All Papers'!$D:$D,"*"&amp;$A1832&amp;"*",'All Papers'!$G:$G,"*"&amp;Table1[[#Headers],[Recommendation]]&amp;"*")</f>
        <v>0</v>
      </c>
      <c r="G1832" s="8">
        <f>COUNTIFS('All Papers'!$D:$D,"*"&amp;$A1832&amp;"*",'All Papers'!$G:$G,"*"&amp;Table1[[#Headers],[Resource Management-CS]]&amp;"*")</f>
        <v>0</v>
      </c>
      <c r="H1832" s="8">
        <f>COUNTIFS('All Papers'!$D:$D,"*"&amp;$A1832&amp;"*",'All Papers'!$G:$G,"*"&amp;Table1[[#Headers],[Resource Management-PS]]&amp;"*")</f>
        <v>1</v>
      </c>
      <c r="I1832" s="8">
        <f>COUNTIFS('All Papers'!$D:$D,"*"&amp;$A1832&amp;"*",'All Papers'!$G:$G,"*"&amp;Table1[[#Headers],[SLA Management]]&amp;"*")</f>
        <v>0</v>
      </c>
      <c r="J1832" s="8">
        <f>COUNTIFS('All Papers'!$D:$D,"*"&amp;$A1832&amp;"*",'All Papers'!$G:$G,"*"&amp;Table1[[#Headers],[Big Data]]&amp;"*")</f>
        <v>0</v>
      </c>
      <c r="K1832" s="8">
        <f>COUNTIFS('All Papers'!$D:$D,"*"&amp;$A1832&amp;"*",'All Papers'!$G:$G,"*"&amp;Table1[[#Headers],[Energy Management]]&amp;"*")</f>
        <v>0</v>
      </c>
      <c r="L1832" s="8">
        <f>COUNTIFS('All Papers'!$D:$D,"*"&amp;$A1832&amp;"*",'All Papers'!$G:$G,"*"&amp;Table1[[#Headers],[Monitoring]]&amp;"*")</f>
        <v>0</v>
      </c>
      <c r="M1832" s="8">
        <f>COUNTIFS('All Papers'!$D:$D,"*"&amp;$A1832&amp;"*",'All Papers'!$G:$G,"*"&amp;Table1[[#Headers],[Pricing]]&amp;"*")</f>
        <v>0</v>
      </c>
    </row>
    <row r="1833" spans="1:13" x14ac:dyDescent="0.25">
      <c r="A1833" s="8" t="s">
        <v>4266</v>
      </c>
      <c r="B1833" s="8">
        <f>COUNTIF('All Papers'!D:D,"*"&amp;Table1[[#This Row],[Name]]&amp;"*")</f>
        <v>1</v>
      </c>
      <c r="C1833" s="8">
        <f>COUNTIFS('All Papers'!$D:$D,"*"&amp;$A1833&amp;"*",'All Papers'!$G:$G,"*"&amp;Table1[[#Headers],[Composition]]&amp;"*")</f>
        <v>1</v>
      </c>
      <c r="D1833" s="8">
        <f>COUNTIFS('All Papers'!$D:$D,"*"&amp;$A1833&amp;"*",'All Papers'!$G:$G,"*"&amp;Table1[[#Headers],[Discovery]]&amp;"*")</f>
        <v>0</v>
      </c>
      <c r="E1833" s="8">
        <f>COUNTIFS('All Papers'!$D:$D,"*"&amp;$A1833&amp;"*",'All Papers'!$G:$G,"*"&amp;Table1[[#Headers],[Selection]]&amp;"*")</f>
        <v>0</v>
      </c>
      <c r="F1833" s="8">
        <f>COUNTIFS('All Papers'!$D:$D,"*"&amp;$A1833&amp;"*",'All Papers'!$G:$G,"*"&amp;Table1[[#Headers],[Recommendation]]&amp;"*")</f>
        <v>0</v>
      </c>
      <c r="G1833" s="8">
        <f>COUNTIFS('All Papers'!$D:$D,"*"&amp;$A1833&amp;"*",'All Papers'!$G:$G,"*"&amp;Table1[[#Headers],[Resource Management-CS]]&amp;"*")</f>
        <v>0</v>
      </c>
      <c r="H1833" s="8">
        <f>COUNTIFS('All Papers'!$D:$D,"*"&amp;$A1833&amp;"*",'All Papers'!$G:$G,"*"&amp;Table1[[#Headers],[Resource Management-PS]]&amp;"*")</f>
        <v>0</v>
      </c>
      <c r="I1833" s="8">
        <f>COUNTIFS('All Papers'!$D:$D,"*"&amp;$A1833&amp;"*",'All Papers'!$G:$G,"*"&amp;Table1[[#Headers],[SLA Management]]&amp;"*")</f>
        <v>0</v>
      </c>
      <c r="J1833" s="8">
        <f>COUNTIFS('All Papers'!$D:$D,"*"&amp;$A1833&amp;"*",'All Papers'!$G:$G,"*"&amp;Table1[[#Headers],[Big Data]]&amp;"*")</f>
        <v>0</v>
      </c>
      <c r="K1833" s="8">
        <f>COUNTIFS('All Papers'!$D:$D,"*"&amp;$A1833&amp;"*",'All Papers'!$G:$G,"*"&amp;Table1[[#Headers],[Energy Management]]&amp;"*")</f>
        <v>0</v>
      </c>
      <c r="L1833" s="8">
        <f>COUNTIFS('All Papers'!$D:$D,"*"&amp;$A1833&amp;"*",'All Papers'!$G:$G,"*"&amp;Table1[[#Headers],[Monitoring]]&amp;"*")</f>
        <v>0</v>
      </c>
      <c r="M1833" s="8">
        <f>COUNTIFS('All Papers'!$D:$D,"*"&amp;$A1833&amp;"*",'All Papers'!$G:$G,"*"&amp;Table1[[#Headers],[Pricing]]&amp;"*")</f>
        <v>0</v>
      </c>
    </row>
    <row r="1834" spans="1:13" x14ac:dyDescent="0.25">
      <c r="A1834" s="8" t="s">
        <v>4267</v>
      </c>
      <c r="B1834" s="8">
        <f>COUNTIF('All Papers'!D:D,"*"&amp;Table1[[#This Row],[Name]]&amp;"*")</f>
        <v>1</v>
      </c>
      <c r="C1834" s="8">
        <f>COUNTIFS('All Papers'!$D:$D,"*"&amp;$A1834&amp;"*",'All Papers'!$G:$G,"*"&amp;Table1[[#Headers],[Composition]]&amp;"*")</f>
        <v>1</v>
      </c>
      <c r="D1834" s="8">
        <f>COUNTIFS('All Papers'!$D:$D,"*"&amp;$A1834&amp;"*",'All Papers'!$G:$G,"*"&amp;Table1[[#Headers],[Discovery]]&amp;"*")</f>
        <v>0</v>
      </c>
      <c r="E1834" s="8">
        <f>COUNTIFS('All Papers'!$D:$D,"*"&amp;$A1834&amp;"*",'All Papers'!$G:$G,"*"&amp;Table1[[#Headers],[Selection]]&amp;"*")</f>
        <v>0</v>
      </c>
      <c r="F1834" s="8">
        <f>COUNTIFS('All Papers'!$D:$D,"*"&amp;$A1834&amp;"*",'All Papers'!$G:$G,"*"&amp;Table1[[#Headers],[Recommendation]]&amp;"*")</f>
        <v>0</v>
      </c>
      <c r="G1834" s="8">
        <f>COUNTIFS('All Papers'!$D:$D,"*"&amp;$A1834&amp;"*",'All Papers'!$G:$G,"*"&amp;Table1[[#Headers],[Resource Management-CS]]&amp;"*")</f>
        <v>0</v>
      </c>
      <c r="H1834" s="8">
        <f>COUNTIFS('All Papers'!$D:$D,"*"&amp;$A1834&amp;"*",'All Papers'!$G:$G,"*"&amp;Table1[[#Headers],[Resource Management-PS]]&amp;"*")</f>
        <v>0</v>
      </c>
      <c r="I1834" s="8">
        <f>COUNTIFS('All Papers'!$D:$D,"*"&amp;$A1834&amp;"*",'All Papers'!$G:$G,"*"&amp;Table1[[#Headers],[SLA Management]]&amp;"*")</f>
        <v>0</v>
      </c>
      <c r="J1834" s="8">
        <f>COUNTIFS('All Papers'!$D:$D,"*"&amp;$A1834&amp;"*",'All Papers'!$G:$G,"*"&amp;Table1[[#Headers],[Big Data]]&amp;"*")</f>
        <v>0</v>
      </c>
      <c r="K1834" s="8">
        <f>COUNTIFS('All Papers'!$D:$D,"*"&amp;$A1834&amp;"*",'All Papers'!$G:$G,"*"&amp;Table1[[#Headers],[Energy Management]]&amp;"*")</f>
        <v>0</v>
      </c>
      <c r="L1834" s="8">
        <f>COUNTIFS('All Papers'!$D:$D,"*"&amp;$A1834&amp;"*",'All Papers'!$G:$G,"*"&amp;Table1[[#Headers],[Monitoring]]&amp;"*")</f>
        <v>0</v>
      </c>
      <c r="M1834" s="8">
        <f>COUNTIFS('All Papers'!$D:$D,"*"&amp;$A1834&amp;"*",'All Papers'!$G:$G,"*"&amp;Table1[[#Headers],[Pricing]]&amp;"*")</f>
        <v>0</v>
      </c>
    </row>
    <row r="1835" spans="1:13" x14ac:dyDescent="0.25">
      <c r="A1835" s="8" t="s">
        <v>4268</v>
      </c>
      <c r="B1835" s="8">
        <f>COUNTIF('All Papers'!D:D,"*"&amp;Table1[[#This Row],[Name]]&amp;"*")</f>
        <v>1</v>
      </c>
      <c r="C1835" s="8">
        <f>COUNTIFS('All Papers'!$D:$D,"*"&amp;$A1835&amp;"*",'All Papers'!$G:$G,"*"&amp;Table1[[#Headers],[Composition]]&amp;"*")</f>
        <v>1</v>
      </c>
      <c r="D1835" s="8">
        <f>COUNTIFS('All Papers'!$D:$D,"*"&amp;$A1835&amp;"*",'All Papers'!$G:$G,"*"&amp;Table1[[#Headers],[Discovery]]&amp;"*")</f>
        <v>0</v>
      </c>
      <c r="E1835" s="8">
        <f>COUNTIFS('All Papers'!$D:$D,"*"&amp;$A1835&amp;"*",'All Papers'!$G:$G,"*"&amp;Table1[[#Headers],[Selection]]&amp;"*")</f>
        <v>0</v>
      </c>
      <c r="F1835" s="8">
        <f>COUNTIFS('All Papers'!$D:$D,"*"&amp;$A1835&amp;"*",'All Papers'!$G:$G,"*"&amp;Table1[[#Headers],[Recommendation]]&amp;"*")</f>
        <v>0</v>
      </c>
      <c r="G1835" s="8">
        <f>COUNTIFS('All Papers'!$D:$D,"*"&amp;$A1835&amp;"*",'All Papers'!$G:$G,"*"&amp;Table1[[#Headers],[Resource Management-CS]]&amp;"*")</f>
        <v>0</v>
      </c>
      <c r="H1835" s="8">
        <f>COUNTIFS('All Papers'!$D:$D,"*"&amp;$A1835&amp;"*",'All Papers'!$G:$G,"*"&amp;Table1[[#Headers],[Resource Management-PS]]&amp;"*")</f>
        <v>0</v>
      </c>
      <c r="I1835" s="8">
        <f>COUNTIFS('All Papers'!$D:$D,"*"&amp;$A1835&amp;"*",'All Papers'!$G:$G,"*"&amp;Table1[[#Headers],[SLA Management]]&amp;"*")</f>
        <v>0</v>
      </c>
      <c r="J1835" s="8">
        <f>COUNTIFS('All Papers'!$D:$D,"*"&amp;$A1835&amp;"*",'All Papers'!$G:$G,"*"&amp;Table1[[#Headers],[Big Data]]&amp;"*")</f>
        <v>0</v>
      </c>
      <c r="K1835" s="8">
        <f>COUNTIFS('All Papers'!$D:$D,"*"&amp;$A1835&amp;"*",'All Papers'!$G:$G,"*"&amp;Table1[[#Headers],[Energy Management]]&amp;"*")</f>
        <v>0</v>
      </c>
      <c r="L1835" s="8">
        <f>COUNTIFS('All Papers'!$D:$D,"*"&amp;$A1835&amp;"*",'All Papers'!$G:$G,"*"&amp;Table1[[#Headers],[Monitoring]]&amp;"*")</f>
        <v>0</v>
      </c>
      <c r="M1835" s="8">
        <f>COUNTIFS('All Papers'!$D:$D,"*"&amp;$A1835&amp;"*",'All Papers'!$G:$G,"*"&amp;Table1[[#Headers],[Pricing]]&amp;"*")</f>
        <v>0</v>
      </c>
    </row>
    <row r="1836" spans="1:13" x14ac:dyDescent="0.25">
      <c r="A1836" s="8" t="s">
        <v>4269</v>
      </c>
      <c r="B1836" s="8">
        <f>COUNTIF('All Papers'!D:D,"*"&amp;Table1[[#This Row],[Name]]&amp;"*")</f>
        <v>1</v>
      </c>
      <c r="C1836" s="8">
        <f>COUNTIFS('All Papers'!$D:$D,"*"&amp;$A1836&amp;"*",'All Papers'!$G:$G,"*"&amp;Table1[[#Headers],[Composition]]&amp;"*")</f>
        <v>1</v>
      </c>
      <c r="D1836" s="8">
        <f>COUNTIFS('All Papers'!$D:$D,"*"&amp;$A1836&amp;"*",'All Papers'!$G:$G,"*"&amp;Table1[[#Headers],[Discovery]]&amp;"*")</f>
        <v>0</v>
      </c>
      <c r="E1836" s="8">
        <f>COUNTIFS('All Papers'!$D:$D,"*"&amp;$A1836&amp;"*",'All Papers'!$G:$G,"*"&amp;Table1[[#Headers],[Selection]]&amp;"*")</f>
        <v>0</v>
      </c>
      <c r="F1836" s="8">
        <f>COUNTIFS('All Papers'!$D:$D,"*"&amp;$A1836&amp;"*",'All Papers'!$G:$G,"*"&amp;Table1[[#Headers],[Recommendation]]&amp;"*")</f>
        <v>0</v>
      </c>
      <c r="G1836" s="8">
        <f>COUNTIFS('All Papers'!$D:$D,"*"&amp;$A1836&amp;"*",'All Papers'!$G:$G,"*"&amp;Table1[[#Headers],[Resource Management-CS]]&amp;"*")</f>
        <v>0</v>
      </c>
      <c r="H1836" s="8">
        <f>COUNTIFS('All Papers'!$D:$D,"*"&amp;$A1836&amp;"*",'All Papers'!$G:$G,"*"&amp;Table1[[#Headers],[Resource Management-PS]]&amp;"*")</f>
        <v>0</v>
      </c>
      <c r="I1836" s="8">
        <f>COUNTIFS('All Papers'!$D:$D,"*"&amp;$A1836&amp;"*",'All Papers'!$G:$G,"*"&amp;Table1[[#Headers],[SLA Management]]&amp;"*")</f>
        <v>0</v>
      </c>
      <c r="J1836" s="8">
        <f>COUNTIFS('All Papers'!$D:$D,"*"&amp;$A1836&amp;"*",'All Papers'!$G:$G,"*"&amp;Table1[[#Headers],[Big Data]]&amp;"*")</f>
        <v>0</v>
      </c>
      <c r="K1836" s="8">
        <f>COUNTIFS('All Papers'!$D:$D,"*"&amp;$A1836&amp;"*",'All Papers'!$G:$G,"*"&amp;Table1[[#Headers],[Energy Management]]&amp;"*")</f>
        <v>0</v>
      </c>
      <c r="L1836" s="8">
        <f>COUNTIFS('All Papers'!$D:$D,"*"&amp;$A1836&amp;"*",'All Papers'!$G:$G,"*"&amp;Table1[[#Headers],[Monitoring]]&amp;"*")</f>
        <v>0</v>
      </c>
      <c r="M1836" s="8">
        <f>COUNTIFS('All Papers'!$D:$D,"*"&amp;$A1836&amp;"*",'All Papers'!$G:$G,"*"&amp;Table1[[#Headers],[Pricing]]&amp;"*")</f>
        <v>0</v>
      </c>
    </row>
    <row r="1837" spans="1:13" x14ac:dyDescent="0.25">
      <c r="A1837" s="8" t="s">
        <v>4270</v>
      </c>
      <c r="B1837" s="8">
        <f>COUNTIF('All Papers'!D:D,"*"&amp;Table1[[#This Row],[Name]]&amp;"*")</f>
        <v>1</v>
      </c>
      <c r="C1837" s="8">
        <f>COUNTIFS('All Papers'!$D:$D,"*"&amp;$A1837&amp;"*",'All Papers'!$G:$G,"*"&amp;Table1[[#Headers],[Composition]]&amp;"*")</f>
        <v>1</v>
      </c>
      <c r="D1837" s="8">
        <f>COUNTIFS('All Papers'!$D:$D,"*"&amp;$A1837&amp;"*",'All Papers'!$G:$G,"*"&amp;Table1[[#Headers],[Discovery]]&amp;"*")</f>
        <v>0</v>
      </c>
      <c r="E1837" s="8">
        <f>COUNTIFS('All Papers'!$D:$D,"*"&amp;$A1837&amp;"*",'All Papers'!$G:$G,"*"&amp;Table1[[#Headers],[Selection]]&amp;"*")</f>
        <v>0</v>
      </c>
      <c r="F1837" s="8">
        <f>COUNTIFS('All Papers'!$D:$D,"*"&amp;$A1837&amp;"*",'All Papers'!$G:$G,"*"&amp;Table1[[#Headers],[Recommendation]]&amp;"*")</f>
        <v>0</v>
      </c>
      <c r="G1837" s="8">
        <f>COUNTIFS('All Papers'!$D:$D,"*"&amp;$A1837&amp;"*",'All Papers'!$G:$G,"*"&amp;Table1[[#Headers],[Resource Management-CS]]&amp;"*")</f>
        <v>0</v>
      </c>
      <c r="H1837" s="8">
        <f>COUNTIFS('All Papers'!$D:$D,"*"&amp;$A1837&amp;"*",'All Papers'!$G:$G,"*"&amp;Table1[[#Headers],[Resource Management-PS]]&amp;"*")</f>
        <v>0</v>
      </c>
      <c r="I1837" s="8">
        <f>COUNTIFS('All Papers'!$D:$D,"*"&amp;$A1837&amp;"*",'All Papers'!$G:$G,"*"&amp;Table1[[#Headers],[SLA Management]]&amp;"*")</f>
        <v>0</v>
      </c>
      <c r="J1837" s="8">
        <f>COUNTIFS('All Papers'!$D:$D,"*"&amp;$A1837&amp;"*",'All Papers'!$G:$G,"*"&amp;Table1[[#Headers],[Big Data]]&amp;"*")</f>
        <v>0</v>
      </c>
      <c r="K1837" s="8">
        <f>COUNTIFS('All Papers'!$D:$D,"*"&amp;$A1837&amp;"*",'All Papers'!$G:$G,"*"&amp;Table1[[#Headers],[Energy Management]]&amp;"*")</f>
        <v>0</v>
      </c>
      <c r="L1837" s="8">
        <f>COUNTIFS('All Papers'!$D:$D,"*"&amp;$A1837&amp;"*",'All Papers'!$G:$G,"*"&amp;Table1[[#Headers],[Monitoring]]&amp;"*")</f>
        <v>0</v>
      </c>
      <c r="M1837" s="8">
        <f>COUNTIFS('All Papers'!$D:$D,"*"&amp;$A1837&amp;"*",'All Papers'!$G:$G,"*"&amp;Table1[[#Headers],[Pricing]]&amp;"*")</f>
        <v>0</v>
      </c>
    </row>
    <row r="1838" spans="1:13" x14ac:dyDescent="0.25">
      <c r="A1838" s="8" t="s">
        <v>4271</v>
      </c>
      <c r="B1838" s="8">
        <f>COUNTIF('All Papers'!D:D,"*"&amp;Table1[[#This Row],[Name]]&amp;"*")</f>
        <v>1</v>
      </c>
      <c r="C1838" s="8">
        <f>COUNTIFS('All Papers'!$D:$D,"*"&amp;$A1838&amp;"*",'All Papers'!$G:$G,"*"&amp;Table1[[#Headers],[Composition]]&amp;"*")</f>
        <v>0</v>
      </c>
      <c r="D1838" s="8">
        <f>COUNTIFS('All Papers'!$D:$D,"*"&amp;$A1838&amp;"*",'All Papers'!$G:$G,"*"&amp;Table1[[#Headers],[Discovery]]&amp;"*")</f>
        <v>0</v>
      </c>
      <c r="E1838" s="8">
        <f>COUNTIFS('All Papers'!$D:$D,"*"&amp;$A1838&amp;"*",'All Papers'!$G:$G,"*"&amp;Table1[[#Headers],[Selection]]&amp;"*")</f>
        <v>0</v>
      </c>
      <c r="F1838" s="8">
        <f>COUNTIFS('All Papers'!$D:$D,"*"&amp;$A1838&amp;"*",'All Papers'!$G:$G,"*"&amp;Table1[[#Headers],[Recommendation]]&amp;"*")</f>
        <v>0</v>
      </c>
      <c r="G1838" s="8">
        <f>COUNTIFS('All Papers'!$D:$D,"*"&amp;$A1838&amp;"*",'All Papers'!$G:$G,"*"&amp;Table1[[#Headers],[Resource Management-CS]]&amp;"*")</f>
        <v>0</v>
      </c>
      <c r="H1838" s="8">
        <f>COUNTIFS('All Papers'!$D:$D,"*"&amp;$A1838&amp;"*",'All Papers'!$G:$G,"*"&amp;Table1[[#Headers],[Resource Management-PS]]&amp;"*")</f>
        <v>1</v>
      </c>
      <c r="I1838" s="8">
        <f>COUNTIFS('All Papers'!$D:$D,"*"&amp;$A1838&amp;"*",'All Papers'!$G:$G,"*"&amp;Table1[[#Headers],[SLA Management]]&amp;"*")</f>
        <v>0</v>
      </c>
      <c r="J1838" s="8">
        <f>COUNTIFS('All Papers'!$D:$D,"*"&amp;$A1838&amp;"*",'All Papers'!$G:$G,"*"&amp;Table1[[#Headers],[Big Data]]&amp;"*")</f>
        <v>0</v>
      </c>
      <c r="K1838" s="8">
        <f>COUNTIFS('All Papers'!$D:$D,"*"&amp;$A1838&amp;"*",'All Papers'!$G:$G,"*"&amp;Table1[[#Headers],[Energy Management]]&amp;"*")</f>
        <v>1</v>
      </c>
      <c r="L1838" s="8">
        <f>COUNTIFS('All Papers'!$D:$D,"*"&amp;$A1838&amp;"*",'All Papers'!$G:$G,"*"&amp;Table1[[#Headers],[Monitoring]]&amp;"*")</f>
        <v>0</v>
      </c>
      <c r="M1838" s="8">
        <f>COUNTIFS('All Papers'!$D:$D,"*"&amp;$A1838&amp;"*",'All Papers'!$G:$G,"*"&amp;Table1[[#Headers],[Pricing]]&amp;"*")</f>
        <v>0</v>
      </c>
    </row>
    <row r="1839" spans="1:13" x14ac:dyDescent="0.25">
      <c r="A1839" s="8" t="s">
        <v>4272</v>
      </c>
      <c r="B1839" s="8">
        <f>COUNTIF('All Papers'!D:D,"*"&amp;Table1[[#This Row],[Name]]&amp;"*")</f>
        <v>1</v>
      </c>
      <c r="C1839" s="8">
        <f>COUNTIFS('All Papers'!$D:$D,"*"&amp;$A1839&amp;"*",'All Papers'!$G:$G,"*"&amp;Table1[[#Headers],[Composition]]&amp;"*")</f>
        <v>0</v>
      </c>
      <c r="D1839" s="8">
        <f>COUNTIFS('All Papers'!$D:$D,"*"&amp;$A1839&amp;"*",'All Papers'!$G:$G,"*"&amp;Table1[[#Headers],[Discovery]]&amp;"*")</f>
        <v>0</v>
      </c>
      <c r="E1839" s="8">
        <f>COUNTIFS('All Papers'!$D:$D,"*"&amp;$A1839&amp;"*",'All Papers'!$G:$G,"*"&amp;Table1[[#Headers],[Selection]]&amp;"*")</f>
        <v>0</v>
      </c>
      <c r="F1839" s="8">
        <f>COUNTIFS('All Papers'!$D:$D,"*"&amp;$A1839&amp;"*",'All Papers'!$G:$G,"*"&amp;Table1[[#Headers],[Recommendation]]&amp;"*")</f>
        <v>0</v>
      </c>
      <c r="G1839" s="8">
        <f>COUNTIFS('All Papers'!$D:$D,"*"&amp;$A1839&amp;"*",'All Papers'!$G:$G,"*"&amp;Table1[[#Headers],[Resource Management-CS]]&amp;"*")</f>
        <v>0</v>
      </c>
      <c r="H1839" s="8">
        <f>COUNTIFS('All Papers'!$D:$D,"*"&amp;$A1839&amp;"*",'All Papers'!$G:$G,"*"&amp;Table1[[#Headers],[Resource Management-PS]]&amp;"*")</f>
        <v>1</v>
      </c>
      <c r="I1839" s="8">
        <f>COUNTIFS('All Papers'!$D:$D,"*"&amp;$A1839&amp;"*",'All Papers'!$G:$G,"*"&amp;Table1[[#Headers],[SLA Management]]&amp;"*")</f>
        <v>0</v>
      </c>
      <c r="J1839" s="8">
        <f>COUNTIFS('All Papers'!$D:$D,"*"&amp;$A1839&amp;"*",'All Papers'!$G:$G,"*"&amp;Table1[[#Headers],[Big Data]]&amp;"*")</f>
        <v>0</v>
      </c>
      <c r="K1839" s="8">
        <f>COUNTIFS('All Papers'!$D:$D,"*"&amp;$A1839&amp;"*",'All Papers'!$G:$G,"*"&amp;Table1[[#Headers],[Energy Management]]&amp;"*")</f>
        <v>1</v>
      </c>
      <c r="L1839" s="8">
        <f>COUNTIFS('All Papers'!$D:$D,"*"&amp;$A1839&amp;"*",'All Papers'!$G:$G,"*"&amp;Table1[[#Headers],[Monitoring]]&amp;"*")</f>
        <v>0</v>
      </c>
      <c r="M1839" s="8">
        <f>COUNTIFS('All Papers'!$D:$D,"*"&amp;$A1839&amp;"*",'All Papers'!$G:$G,"*"&amp;Table1[[#Headers],[Pricing]]&amp;"*")</f>
        <v>0</v>
      </c>
    </row>
    <row r="1840" spans="1:13" x14ac:dyDescent="0.25">
      <c r="A1840" s="8" t="s">
        <v>4273</v>
      </c>
      <c r="B1840" s="8">
        <f>COUNTIF('All Papers'!D:D,"*"&amp;Table1[[#This Row],[Name]]&amp;"*")</f>
        <v>1</v>
      </c>
      <c r="C1840" s="8">
        <f>COUNTIFS('All Papers'!$D:$D,"*"&amp;$A1840&amp;"*",'All Papers'!$G:$G,"*"&amp;Table1[[#Headers],[Composition]]&amp;"*")</f>
        <v>0</v>
      </c>
      <c r="D1840" s="8">
        <f>COUNTIFS('All Papers'!$D:$D,"*"&amp;$A1840&amp;"*",'All Papers'!$G:$G,"*"&amp;Table1[[#Headers],[Discovery]]&amp;"*")</f>
        <v>0</v>
      </c>
      <c r="E1840" s="8">
        <f>COUNTIFS('All Papers'!$D:$D,"*"&amp;$A1840&amp;"*",'All Papers'!$G:$G,"*"&amp;Table1[[#Headers],[Selection]]&amp;"*")</f>
        <v>1</v>
      </c>
      <c r="F1840" s="8">
        <f>COUNTIFS('All Papers'!$D:$D,"*"&amp;$A1840&amp;"*",'All Papers'!$G:$G,"*"&amp;Table1[[#Headers],[Recommendation]]&amp;"*")</f>
        <v>0</v>
      </c>
      <c r="G1840" s="8">
        <f>COUNTIFS('All Papers'!$D:$D,"*"&amp;$A1840&amp;"*",'All Papers'!$G:$G,"*"&amp;Table1[[#Headers],[Resource Management-CS]]&amp;"*")</f>
        <v>0</v>
      </c>
      <c r="H1840" s="8">
        <f>COUNTIFS('All Papers'!$D:$D,"*"&amp;$A1840&amp;"*",'All Papers'!$G:$G,"*"&amp;Table1[[#Headers],[Resource Management-PS]]&amp;"*")</f>
        <v>0</v>
      </c>
      <c r="I1840" s="8">
        <f>COUNTIFS('All Papers'!$D:$D,"*"&amp;$A1840&amp;"*",'All Papers'!$G:$G,"*"&amp;Table1[[#Headers],[SLA Management]]&amp;"*")</f>
        <v>0</v>
      </c>
      <c r="J1840" s="8">
        <f>COUNTIFS('All Papers'!$D:$D,"*"&amp;$A1840&amp;"*",'All Papers'!$G:$G,"*"&amp;Table1[[#Headers],[Big Data]]&amp;"*")</f>
        <v>0</v>
      </c>
      <c r="K1840" s="8">
        <f>COUNTIFS('All Papers'!$D:$D,"*"&amp;$A1840&amp;"*",'All Papers'!$G:$G,"*"&amp;Table1[[#Headers],[Energy Management]]&amp;"*")</f>
        <v>0</v>
      </c>
      <c r="L1840" s="8">
        <f>COUNTIFS('All Papers'!$D:$D,"*"&amp;$A1840&amp;"*",'All Papers'!$G:$G,"*"&amp;Table1[[#Headers],[Monitoring]]&amp;"*")</f>
        <v>0</v>
      </c>
      <c r="M1840" s="8">
        <f>COUNTIFS('All Papers'!$D:$D,"*"&amp;$A1840&amp;"*",'All Papers'!$G:$G,"*"&amp;Table1[[#Headers],[Pricing]]&amp;"*")</f>
        <v>0</v>
      </c>
    </row>
    <row r="1841" spans="1:13" x14ac:dyDescent="0.25">
      <c r="A1841" s="8" t="s">
        <v>4274</v>
      </c>
      <c r="B1841" s="8">
        <f>COUNTIF('All Papers'!D:D,"*"&amp;Table1[[#This Row],[Name]]&amp;"*")</f>
        <v>1</v>
      </c>
      <c r="C1841" s="8">
        <f>COUNTIFS('All Papers'!$D:$D,"*"&amp;$A1841&amp;"*",'All Papers'!$G:$G,"*"&amp;Table1[[#Headers],[Composition]]&amp;"*")</f>
        <v>0</v>
      </c>
      <c r="D1841" s="8">
        <f>COUNTIFS('All Papers'!$D:$D,"*"&amp;$A1841&amp;"*",'All Papers'!$G:$G,"*"&amp;Table1[[#Headers],[Discovery]]&amp;"*")</f>
        <v>0</v>
      </c>
      <c r="E1841" s="8">
        <f>COUNTIFS('All Papers'!$D:$D,"*"&amp;$A1841&amp;"*",'All Papers'!$G:$G,"*"&amp;Table1[[#Headers],[Selection]]&amp;"*")</f>
        <v>1</v>
      </c>
      <c r="F1841" s="8">
        <f>COUNTIFS('All Papers'!$D:$D,"*"&amp;$A1841&amp;"*",'All Papers'!$G:$G,"*"&amp;Table1[[#Headers],[Recommendation]]&amp;"*")</f>
        <v>0</v>
      </c>
      <c r="G1841" s="8">
        <f>COUNTIFS('All Papers'!$D:$D,"*"&amp;$A1841&amp;"*",'All Papers'!$G:$G,"*"&amp;Table1[[#Headers],[Resource Management-CS]]&amp;"*")</f>
        <v>0</v>
      </c>
      <c r="H1841" s="8">
        <f>COUNTIFS('All Papers'!$D:$D,"*"&amp;$A1841&amp;"*",'All Papers'!$G:$G,"*"&amp;Table1[[#Headers],[Resource Management-PS]]&amp;"*")</f>
        <v>0</v>
      </c>
      <c r="I1841" s="8">
        <f>COUNTIFS('All Papers'!$D:$D,"*"&amp;$A1841&amp;"*",'All Papers'!$G:$G,"*"&amp;Table1[[#Headers],[SLA Management]]&amp;"*")</f>
        <v>0</v>
      </c>
      <c r="J1841" s="8">
        <f>COUNTIFS('All Papers'!$D:$D,"*"&amp;$A1841&amp;"*",'All Papers'!$G:$G,"*"&amp;Table1[[#Headers],[Big Data]]&amp;"*")</f>
        <v>0</v>
      </c>
      <c r="K1841" s="8">
        <f>COUNTIFS('All Papers'!$D:$D,"*"&amp;$A1841&amp;"*",'All Papers'!$G:$G,"*"&amp;Table1[[#Headers],[Energy Management]]&amp;"*")</f>
        <v>0</v>
      </c>
      <c r="L1841" s="8">
        <f>COUNTIFS('All Papers'!$D:$D,"*"&amp;$A1841&amp;"*",'All Papers'!$G:$G,"*"&amp;Table1[[#Headers],[Monitoring]]&amp;"*")</f>
        <v>0</v>
      </c>
      <c r="M1841" s="8">
        <f>COUNTIFS('All Papers'!$D:$D,"*"&amp;$A1841&amp;"*",'All Papers'!$G:$G,"*"&amp;Table1[[#Headers],[Pricing]]&amp;"*")</f>
        <v>0</v>
      </c>
    </row>
    <row r="1842" spans="1:13" x14ac:dyDescent="0.25">
      <c r="A1842" s="8" t="s">
        <v>4275</v>
      </c>
      <c r="B1842" s="8">
        <f>COUNTIF('All Papers'!D:D,"*"&amp;Table1[[#This Row],[Name]]&amp;"*")</f>
        <v>1</v>
      </c>
      <c r="C1842" s="8">
        <f>COUNTIFS('All Papers'!$D:$D,"*"&amp;$A1842&amp;"*",'All Papers'!$G:$G,"*"&amp;Table1[[#Headers],[Composition]]&amp;"*")</f>
        <v>1</v>
      </c>
      <c r="D1842" s="8">
        <f>COUNTIFS('All Papers'!$D:$D,"*"&amp;$A1842&amp;"*",'All Papers'!$G:$G,"*"&amp;Table1[[#Headers],[Discovery]]&amp;"*")</f>
        <v>0</v>
      </c>
      <c r="E1842" s="8">
        <f>COUNTIFS('All Papers'!$D:$D,"*"&amp;$A1842&amp;"*",'All Papers'!$G:$G,"*"&amp;Table1[[#Headers],[Selection]]&amp;"*")</f>
        <v>0</v>
      </c>
      <c r="F1842" s="8">
        <f>COUNTIFS('All Papers'!$D:$D,"*"&amp;$A1842&amp;"*",'All Papers'!$G:$G,"*"&amp;Table1[[#Headers],[Recommendation]]&amp;"*")</f>
        <v>0</v>
      </c>
      <c r="G1842" s="8">
        <f>COUNTIFS('All Papers'!$D:$D,"*"&amp;$A1842&amp;"*",'All Papers'!$G:$G,"*"&amp;Table1[[#Headers],[Resource Management-CS]]&amp;"*")</f>
        <v>0</v>
      </c>
      <c r="H1842" s="8">
        <f>COUNTIFS('All Papers'!$D:$D,"*"&amp;$A1842&amp;"*",'All Papers'!$G:$G,"*"&amp;Table1[[#Headers],[Resource Management-PS]]&amp;"*")</f>
        <v>0</v>
      </c>
      <c r="I1842" s="8">
        <f>COUNTIFS('All Papers'!$D:$D,"*"&amp;$A1842&amp;"*",'All Papers'!$G:$G,"*"&amp;Table1[[#Headers],[SLA Management]]&amp;"*")</f>
        <v>0</v>
      </c>
      <c r="J1842" s="8">
        <f>COUNTIFS('All Papers'!$D:$D,"*"&amp;$A1842&amp;"*",'All Papers'!$G:$G,"*"&amp;Table1[[#Headers],[Big Data]]&amp;"*")</f>
        <v>0</v>
      </c>
      <c r="K1842" s="8">
        <f>COUNTIFS('All Papers'!$D:$D,"*"&amp;$A1842&amp;"*",'All Papers'!$G:$G,"*"&amp;Table1[[#Headers],[Energy Management]]&amp;"*")</f>
        <v>0</v>
      </c>
      <c r="L1842" s="8">
        <f>COUNTIFS('All Papers'!$D:$D,"*"&amp;$A1842&amp;"*",'All Papers'!$G:$G,"*"&amp;Table1[[#Headers],[Monitoring]]&amp;"*")</f>
        <v>0</v>
      </c>
      <c r="M1842" s="8">
        <f>COUNTIFS('All Papers'!$D:$D,"*"&amp;$A1842&amp;"*",'All Papers'!$G:$G,"*"&amp;Table1[[#Headers],[Pricing]]&amp;"*")</f>
        <v>0</v>
      </c>
    </row>
    <row r="1843" spans="1:13" x14ac:dyDescent="0.25">
      <c r="A1843" s="8" t="s">
        <v>4276</v>
      </c>
      <c r="B1843" s="8">
        <f>COUNTIF('All Papers'!D:D,"*"&amp;Table1[[#This Row],[Name]]&amp;"*")</f>
        <v>1</v>
      </c>
      <c r="C1843" s="8">
        <f>COUNTIFS('All Papers'!$D:$D,"*"&amp;$A1843&amp;"*",'All Papers'!$G:$G,"*"&amp;Table1[[#Headers],[Composition]]&amp;"*")</f>
        <v>1</v>
      </c>
      <c r="D1843" s="8">
        <f>COUNTIFS('All Papers'!$D:$D,"*"&amp;$A1843&amp;"*",'All Papers'!$G:$G,"*"&amp;Table1[[#Headers],[Discovery]]&amp;"*")</f>
        <v>0</v>
      </c>
      <c r="E1843" s="8">
        <f>COUNTIFS('All Papers'!$D:$D,"*"&amp;$A1843&amp;"*",'All Papers'!$G:$G,"*"&amp;Table1[[#Headers],[Selection]]&amp;"*")</f>
        <v>0</v>
      </c>
      <c r="F1843" s="8">
        <f>COUNTIFS('All Papers'!$D:$D,"*"&amp;$A1843&amp;"*",'All Papers'!$G:$G,"*"&amp;Table1[[#Headers],[Recommendation]]&amp;"*")</f>
        <v>0</v>
      </c>
      <c r="G1843" s="8">
        <f>COUNTIFS('All Papers'!$D:$D,"*"&amp;$A1843&amp;"*",'All Papers'!$G:$G,"*"&amp;Table1[[#Headers],[Resource Management-CS]]&amp;"*")</f>
        <v>0</v>
      </c>
      <c r="H1843" s="8">
        <f>COUNTIFS('All Papers'!$D:$D,"*"&amp;$A1843&amp;"*",'All Papers'!$G:$G,"*"&amp;Table1[[#Headers],[Resource Management-PS]]&amp;"*")</f>
        <v>0</v>
      </c>
      <c r="I1843" s="8">
        <f>COUNTIFS('All Papers'!$D:$D,"*"&amp;$A1843&amp;"*",'All Papers'!$G:$G,"*"&amp;Table1[[#Headers],[SLA Management]]&amp;"*")</f>
        <v>0</v>
      </c>
      <c r="J1843" s="8">
        <f>COUNTIFS('All Papers'!$D:$D,"*"&amp;$A1843&amp;"*",'All Papers'!$G:$G,"*"&amp;Table1[[#Headers],[Big Data]]&amp;"*")</f>
        <v>0</v>
      </c>
      <c r="K1843" s="8">
        <f>COUNTIFS('All Papers'!$D:$D,"*"&amp;$A1843&amp;"*",'All Papers'!$G:$G,"*"&amp;Table1[[#Headers],[Energy Management]]&amp;"*")</f>
        <v>0</v>
      </c>
      <c r="L1843" s="8">
        <f>COUNTIFS('All Papers'!$D:$D,"*"&amp;$A1843&amp;"*",'All Papers'!$G:$G,"*"&amp;Table1[[#Headers],[Monitoring]]&amp;"*")</f>
        <v>0</v>
      </c>
      <c r="M1843" s="8">
        <f>COUNTIFS('All Papers'!$D:$D,"*"&amp;$A1843&amp;"*",'All Papers'!$G:$G,"*"&amp;Table1[[#Headers],[Pricing]]&amp;"*")</f>
        <v>0</v>
      </c>
    </row>
    <row r="1844" spans="1:13" x14ac:dyDescent="0.25">
      <c r="A1844" s="8" t="s">
        <v>4277</v>
      </c>
      <c r="B1844" s="8">
        <f>COUNTIF('All Papers'!D:D,"*"&amp;Table1[[#This Row],[Name]]&amp;"*")</f>
        <v>1</v>
      </c>
      <c r="C1844" s="8">
        <f>COUNTIFS('All Papers'!$D:$D,"*"&amp;$A1844&amp;"*",'All Papers'!$G:$G,"*"&amp;Table1[[#Headers],[Composition]]&amp;"*")</f>
        <v>1</v>
      </c>
      <c r="D1844" s="8">
        <f>COUNTIFS('All Papers'!$D:$D,"*"&amp;$A1844&amp;"*",'All Papers'!$G:$G,"*"&amp;Table1[[#Headers],[Discovery]]&amp;"*")</f>
        <v>0</v>
      </c>
      <c r="E1844" s="8">
        <f>COUNTIFS('All Papers'!$D:$D,"*"&amp;$A1844&amp;"*",'All Papers'!$G:$G,"*"&amp;Table1[[#Headers],[Selection]]&amp;"*")</f>
        <v>0</v>
      </c>
      <c r="F1844" s="8">
        <f>COUNTIFS('All Papers'!$D:$D,"*"&amp;$A1844&amp;"*",'All Papers'!$G:$G,"*"&amp;Table1[[#Headers],[Recommendation]]&amp;"*")</f>
        <v>0</v>
      </c>
      <c r="G1844" s="8">
        <f>COUNTIFS('All Papers'!$D:$D,"*"&amp;$A1844&amp;"*",'All Papers'!$G:$G,"*"&amp;Table1[[#Headers],[Resource Management-CS]]&amp;"*")</f>
        <v>0</v>
      </c>
      <c r="H1844" s="8">
        <f>COUNTIFS('All Papers'!$D:$D,"*"&amp;$A1844&amp;"*",'All Papers'!$G:$G,"*"&amp;Table1[[#Headers],[Resource Management-PS]]&amp;"*")</f>
        <v>0</v>
      </c>
      <c r="I1844" s="8">
        <f>COUNTIFS('All Papers'!$D:$D,"*"&amp;$A1844&amp;"*",'All Papers'!$G:$G,"*"&amp;Table1[[#Headers],[SLA Management]]&amp;"*")</f>
        <v>0</v>
      </c>
      <c r="J1844" s="8">
        <f>COUNTIFS('All Papers'!$D:$D,"*"&amp;$A1844&amp;"*",'All Papers'!$G:$G,"*"&amp;Table1[[#Headers],[Big Data]]&amp;"*")</f>
        <v>0</v>
      </c>
      <c r="K1844" s="8">
        <f>COUNTIFS('All Papers'!$D:$D,"*"&amp;$A1844&amp;"*",'All Papers'!$G:$G,"*"&amp;Table1[[#Headers],[Energy Management]]&amp;"*")</f>
        <v>0</v>
      </c>
      <c r="L1844" s="8">
        <f>COUNTIFS('All Papers'!$D:$D,"*"&amp;$A1844&amp;"*",'All Papers'!$G:$G,"*"&amp;Table1[[#Headers],[Monitoring]]&amp;"*")</f>
        <v>0</v>
      </c>
      <c r="M1844" s="8">
        <f>COUNTIFS('All Papers'!$D:$D,"*"&amp;$A1844&amp;"*",'All Papers'!$G:$G,"*"&amp;Table1[[#Headers],[Pricing]]&amp;"*")</f>
        <v>0</v>
      </c>
    </row>
    <row r="1845" spans="1:13" x14ac:dyDescent="0.25">
      <c r="A1845" s="8" t="s">
        <v>4278</v>
      </c>
      <c r="B1845" s="8">
        <f>COUNTIF('All Papers'!D:D,"*"&amp;Table1[[#This Row],[Name]]&amp;"*")</f>
        <v>1</v>
      </c>
      <c r="C1845" s="8">
        <f>COUNTIFS('All Papers'!$D:$D,"*"&amp;$A1845&amp;"*",'All Papers'!$G:$G,"*"&amp;Table1[[#Headers],[Composition]]&amp;"*")</f>
        <v>1</v>
      </c>
      <c r="D1845" s="8">
        <f>COUNTIFS('All Papers'!$D:$D,"*"&amp;$A1845&amp;"*",'All Papers'!$G:$G,"*"&amp;Table1[[#Headers],[Discovery]]&amp;"*")</f>
        <v>0</v>
      </c>
      <c r="E1845" s="8">
        <f>COUNTIFS('All Papers'!$D:$D,"*"&amp;$A1845&amp;"*",'All Papers'!$G:$G,"*"&amp;Table1[[#Headers],[Selection]]&amp;"*")</f>
        <v>0</v>
      </c>
      <c r="F1845" s="8">
        <f>COUNTIFS('All Papers'!$D:$D,"*"&amp;$A1845&amp;"*",'All Papers'!$G:$G,"*"&amp;Table1[[#Headers],[Recommendation]]&amp;"*")</f>
        <v>0</v>
      </c>
      <c r="G1845" s="8">
        <f>COUNTIFS('All Papers'!$D:$D,"*"&amp;$A1845&amp;"*",'All Papers'!$G:$G,"*"&amp;Table1[[#Headers],[Resource Management-CS]]&amp;"*")</f>
        <v>0</v>
      </c>
      <c r="H1845" s="8">
        <f>COUNTIFS('All Papers'!$D:$D,"*"&amp;$A1845&amp;"*",'All Papers'!$G:$G,"*"&amp;Table1[[#Headers],[Resource Management-PS]]&amp;"*")</f>
        <v>0</v>
      </c>
      <c r="I1845" s="8">
        <f>COUNTIFS('All Papers'!$D:$D,"*"&amp;$A1845&amp;"*",'All Papers'!$G:$G,"*"&amp;Table1[[#Headers],[SLA Management]]&amp;"*")</f>
        <v>0</v>
      </c>
      <c r="J1845" s="8">
        <f>COUNTIFS('All Papers'!$D:$D,"*"&amp;$A1845&amp;"*",'All Papers'!$G:$G,"*"&amp;Table1[[#Headers],[Big Data]]&amp;"*")</f>
        <v>0</v>
      </c>
      <c r="K1845" s="8">
        <f>COUNTIFS('All Papers'!$D:$D,"*"&amp;$A1845&amp;"*",'All Papers'!$G:$G,"*"&amp;Table1[[#Headers],[Energy Management]]&amp;"*")</f>
        <v>0</v>
      </c>
      <c r="L1845" s="8">
        <f>COUNTIFS('All Papers'!$D:$D,"*"&amp;$A1845&amp;"*",'All Papers'!$G:$G,"*"&amp;Table1[[#Headers],[Monitoring]]&amp;"*")</f>
        <v>0</v>
      </c>
      <c r="M1845" s="8">
        <f>COUNTIFS('All Papers'!$D:$D,"*"&amp;$A1845&amp;"*",'All Papers'!$G:$G,"*"&amp;Table1[[#Headers],[Pricing]]&amp;"*")</f>
        <v>0</v>
      </c>
    </row>
    <row r="1846" spans="1:13" x14ac:dyDescent="0.25">
      <c r="A1846" s="8" t="s">
        <v>4279</v>
      </c>
      <c r="B1846" s="8">
        <f>COUNTIF('All Papers'!D:D,"*"&amp;Table1[[#This Row],[Name]]&amp;"*")</f>
        <v>1</v>
      </c>
      <c r="C1846" s="8">
        <f>COUNTIFS('All Papers'!$D:$D,"*"&amp;$A1846&amp;"*",'All Papers'!$G:$G,"*"&amp;Table1[[#Headers],[Composition]]&amp;"*")</f>
        <v>1</v>
      </c>
      <c r="D1846" s="8">
        <f>COUNTIFS('All Papers'!$D:$D,"*"&amp;$A1846&amp;"*",'All Papers'!$G:$G,"*"&amp;Table1[[#Headers],[Discovery]]&amp;"*")</f>
        <v>0</v>
      </c>
      <c r="E1846" s="8">
        <f>COUNTIFS('All Papers'!$D:$D,"*"&amp;$A1846&amp;"*",'All Papers'!$G:$G,"*"&amp;Table1[[#Headers],[Selection]]&amp;"*")</f>
        <v>0</v>
      </c>
      <c r="F1846" s="8">
        <f>COUNTIFS('All Papers'!$D:$D,"*"&amp;$A1846&amp;"*",'All Papers'!$G:$G,"*"&amp;Table1[[#Headers],[Recommendation]]&amp;"*")</f>
        <v>0</v>
      </c>
      <c r="G1846" s="8">
        <f>COUNTIFS('All Papers'!$D:$D,"*"&amp;$A1846&amp;"*",'All Papers'!$G:$G,"*"&amp;Table1[[#Headers],[Resource Management-CS]]&amp;"*")</f>
        <v>0</v>
      </c>
      <c r="H1846" s="8">
        <f>COUNTIFS('All Papers'!$D:$D,"*"&amp;$A1846&amp;"*",'All Papers'!$G:$G,"*"&amp;Table1[[#Headers],[Resource Management-PS]]&amp;"*")</f>
        <v>0</v>
      </c>
      <c r="I1846" s="8">
        <f>COUNTIFS('All Papers'!$D:$D,"*"&amp;$A1846&amp;"*",'All Papers'!$G:$G,"*"&amp;Table1[[#Headers],[SLA Management]]&amp;"*")</f>
        <v>0</v>
      </c>
      <c r="J1846" s="8">
        <f>COUNTIFS('All Papers'!$D:$D,"*"&amp;$A1846&amp;"*",'All Papers'!$G:$G,"*"&amp;Table1[[#Headers],[Big Data]]&amp;"*")</f>
        <v>0</v>
      </c>
      <c r="K1846" s="8">
        <f>COUNTIFS('All Papers'!$D:$D,"*"&amp;$A1846&amp;"*",'All Papers'!$G:$G,"*"&amp;Table1[[#Headers],[Energy Management]]&amp;"*")</f>
        <v>0</v>
      </c>
      <c r="L1846" s="8">
        <f>COUNTIFS('All Papers'!$D:$D,"*"&amp;$A1846&amp;"*",'All Papers'!$G:$G,"*"&amp;Table1[[#Headers],[Monitoring]]&amp;"*")</f>
        <v>0</v>
      </c>
      <c r="M1846" s="8">
        <f>COUNTIFS('All Papers'!$D:$D,"*"&amp;$A1846&amp;"*",'All Papers'!$G:$G,"*"&amp;Table1[[#Headers],[Pricing]]&amp;"*")</f>
        <v>0</v>
      </c>
    </row>
    <row r="1847" spans="1:13" x14ac:dyDescent="0.25">
      <c r="A1847" s="8" t="s">
        <v>4280</v>
      </c>
      <c r="B1847" s="8">
        <f>COUNTIF('All Papers'!D:D,"*"&amp;Table1[[#This Row],[Name]]&amp;"*")</f>
        <v>1</v>
      </c>
      <c r="C1847" s="8">
        <f>COUNTIFS('All Papers'!$D:$D,"*"&amp;$A1847&amp;"*",'All Papers'!$G:$G,"*"&amp;Table1[[#Headers],[Composition]]&amp;"*")</f>
        <v>1</v>
      </c>
      <c r="D1847" s="8">
        <f>COUNTIFS('All Papers'!$D:$D,"*"&amp;$A1847&amp;"*",'All Papers'!$G:$G,"*"&amp;Table1[[#Headers],[Discovery]]&amp;"*")</f>
        <v>0</v>
      </c>
      <c r="E1847" s="8">
        <f>COUNTIFS('All Papers'!$D:$D,"*"&amp;$A1847&amp;"*",'All Papers'!$G:$G,"*"&amp;Table1[[#Headers],[Selection]]&amp;"*")</f>
        <v>0</v>
      </c>
      <c r="F1847" s="8">
        <f>COUNTIFS('All Papers'!$D:$D,"*"&amp;$A1847&amp;"*",'All Papers'!$G:$G,"*"&amp;Table1[[#Headers],[Recommendation]]&amp;"*")</f>
        <v>0</v>
      </c>
      <c r="G1847" s="8">
        <f>COUNTIFS('All Papers'!$D:$D,"*"&amp;$A1847&amp;"*",'All Papers'!$G:$G,"*"&amp;Table1[[#Headers],[Resource Management-CS]]&amp;"*")</f>
        <v>0</v>
      </c>
      <c r="H1847" s="8">
        <f>COUNTIFS('All Papers'!$D:$D,"*"&amp;$A1847&amp;"*",'All Papers'!$G:$G,"*"&amp;Table1[[#Headers],[Resource Management-PS]]&amp;"*")</f>
        <v>0</v>
      </c>
      <c r="I1847" s="8">
        <f>COUNTIFS('All Papers'!$D:$D,"*"&amp;$A1847&amp;"*",'All Papers'!$G:$G,"*"&amp;Table1[[#Headers],[SLA Management]]&amp;"*")</f>
        <v>0</v>
      </c>
      <c r="J1847" s="8">
        <f>COUNTIFS('All Papers'!$D:$D,"*"&amp;$A1847&amp;"*",'All Papers'!$G:$G,"*"&amp;Table1[[#Headers],[Big Data]]&amp;"*")</f>
        <v>0</v>
      </c>
      <c r="K1847" s="8">
        <f>COUNTIFS('All Papers'!$D:$D,"*"&amp;$A1847&amp;"*",'All Papers'!$G:$G,"*"&amp;Table1[[#Headers],[Energy Management]]&amp;"*")</f>
        <v>0</v>
      </c>
      <c r="L1847" s="8">
        <f>COUNTIFS('All Papers'!$D:$D,"*"&amp;$A1847&amp;"*",'All Papers'!$G:$G,"*"&amp;Table1[[#Headers],[Monitoring]]&amp;"*")</f>
        <v>0</v>
      </c>
      <c r="M1847" s="8">
        <f>COUNTIFS('All Papers'!$D:$D,"*"&amp;$A1847&amp;"*",'All Papers'!$G:$G,"*"&amp;Table1[[#Headers],[Pricing]]&amp;"*")</f>
        <v>0</v>
      </c>
    </row>
    <row r="1848" spans="1:13" x14ac:dyDescent="0.25">
      <c r="A1848" s="8" t="s">
        <v>4281</v>
      </c>
      <c r="B1848" s="8">
        <f>COUNTIF('All Papers'!D:D,"*"&amp;Table1[[#This Row],[Name]]&amp;"*")</f>
        <v>1</v>
      </c>
      <c r="C1848" s="8">
        <f>COUNTIFS('All Papers'!$D:$D,"*"&amp;$A1848&amp;"*",'All Papers'!$G:$G,"*"&amp;Table1[[#Headers],[Composition]]&amp;"*")</f>
        <v>0</v>
      </c>
      <c r="D1848" s="8">
        <f>COUNTIFS('All Papers'!$D:$D,"*"&amp;$A1848&amp;"*",'All Papers'!$G:$G,"*"&amp;Table1[[#Headers],[Discovery]]&amp;"*")</f>
        <v>1</v>
      </c>
      <c r="E1848" s="8">
        <f>COUNTIFS('All Papers'!$D:$D,"*"&amp;$A1848&amp;"*",'All Papers'!$G:$G,"*"&amp;Table1[[#Headers],[Selection]]&amp;"*")</f>
        <v>0</v>
      </c>
      <c r="F1848" s="8">
        <f>COUNTIFS('All Papers'!$D:$D,"*"&amp;$A1848&amp;"*",'All Papers'!$G:$G,"*"&amp;Table1[[#Headers],[Recommendation]]&amp;"*")</f>
        <v>0</v>
      </c>
      <c r="G1848" s="8">
        <f>COUNTIFS('All Papers'!$D:$D,"*"&amp;$A1848&amp;"*",'All Papers'!$G:$G,"*"&amp;Table1[[#Headers],[Resource Management-CS]]&amp;"*")</f>
        <v>0</v>
      </c>
      <c r="H1848" s="8">
        <f>COUNTIFS('All Papers'!$D:$D,"*"&amp;$A1848&amp;"*",'All Papers'!$G:$G,"*"&amp;Table1[[#Headers],[Resource Management-PS]]&amp;"*")</f>
        <v>1</v>
      </c>
      <c r="I1848" s="8">
        <f>COUNTIFS('All Papers'!$D:$D,"*"&amp;$A1848&amp;"*",'All Papers'!$G:$G,"*"&amp;Table1[[#Headers],[SLA Management]]&amp;"*")</f>
        <v>0</v>
      </c>
      <c r="J1848" s="8">
        <f>COUNTIFS('All Papers'!$D:$D,"*"&amp;$A1848&amp;"*",'All Papers'!$G:$G,"*"&amp;Table1[[#Headers],[Big Data]]&amp;"*")</f>
        <v>0</v>
      </c>
      <c r="K1848" s="8">
        <f>COUNTIFS('All Papers'!$D:$D,"*"&amp;$A1848&amp;"*",'All Papers'!$G:$G,"*"&amp;Table1[[#Headers],[Energy Management]]&amp;"*")</f>
        <v>0</v>
      </c>
      <c r="L1848" s="8">
        <f>COUNTIFS('All Papers'!$D:$D,"*"&amp;$A1848&amp;"*",'All Papers'!$G:$G,"*"&amp;Table1[[#Headers],[Monitoring]]&amp;"*")</f>
        <v>0</v>
      </c>
      <c r="M1848" s="8">
        <f>COUNTIFS('All Papers'!$D:$D,"*"&amp;$A1848&amp;"*",'All Papers'!$G:$G,"*"&amp;Table1[[#Headers],[Pricing]]&amp;"*")</f>
        <v>0</v>
      </c>
    </row>
    <row r="1849" spans="1:13" x14ac:dyDescent="0.25">
      <c r="A1849" s="8" t="s">
        <v>4282</v>
      </c>
      <c r="B1849" s="8">
        <f>COUNTIF('All Papers'!D:D,"*"&amp;Table1[[#This Row],[Name]]&amp;"*")</f>
        <v>1</v>
      </c>
      <c r="C1849" s="8">
        <f>COUNTIFS('All Papers'!$D:$D,"*"&amp;$A1849&amp;"*",'All Papers'!$G:$G,"*"&amp;Table1[[#Headers],[Composition]]&amp;"*")</f>
        <v>0</v>
      </c>
      <c r="D1849" s="8">
        <f>COUNTIFS('All Papers'!$D:$D,"*"&amp;$A1849&amp;"*",'All Papers'!$G:$G,"*"&amp;Table1[[#Headers],[Discovery]]&amp;"*")</f>
        <v>1</v>
      </c>
      <c r="E1849" s="8">
        <f>COUNTIFS('All Papers'!$D:$D,"*"&amp;$A1849&amp;"*",'All Papers'!$G:$G,"*"&amp;Table1[[#Headers],[Selection]]&amp;"*")</f>
        <v>0</v>
      </c>
      <c r="F1849" s="8">
        <f>COUNTIFS('All Papers'!$D:$D,"*"&amp;$A1849&amp;"*",'All Papers'!$G:$G,"*"&amp;Table1[[#Headers],[Recommendation]]&amp;"*")</f>
        <v>0</v>
      </c>
      <c r="G1849" s="8">
        <f>COUNTIFS('All Papers'!$D:$D,"*"&amp;$A1849&amp;"*",'All Papers'!$G:$G,"*"&amp;Table1[[#Headers],[Resource Management-CS]]&amp;"*")</f>
        <v>0</v>
      </c>
      <c r="H1849" s="8">
        <f>COUNTIFS('All Papers'!$D:$D,"*"&amp;$A1849&amp;"*",'All Papers'!$G:$G,"*"&amp;Table1[[#Headers],[Resource Management-PS]]&amp;"*")</f>
        <v>1</v>
      </c>
      <c r="I1849" s="8">
        <f>COUNTIFS('All Papers'!$D:$D,"*"&amp;$A1849&amp;"*",'All Papers'!$G:$G,"*"&amp;Table1[[#Headers],[SLA Management]]&amp;"*")</f>
        <v>0</v>
      </c>
      <c r="J1849" s="8">
        <f>COUNTIFS('All Papers'!$D:$D,"*"&amp;$A1849&amp;"*",'All Papers'!$G:$G,"*"&amp;Table1[[#Headers],[Big Data]]&amp;"*")</f>
        <v>0</v>
      </c>
      <c r="K1849" s="8">
        <f>COUNTIFS('All Papers'!$D:$D,"*"&amp;$A1849&amp;"*",'All Papers'!$G:$G,"*"&amp;Table1[[#Headers],[Energy Management]]&amp;"*")</f>
        <v>0</v>
      </c>
      <c r="L1849" s="8">
        <f>COUNTIFS('All Papers'!$D:$D,"*"&amp;$A1849&amp;"*",'All Papers'!$G:$G,"*"&amp;Table1[[#Headers],[Monitoring]]&amp;"*")</f>
        <v>0</v>
      </c>
      <c r="M1849" s="8">
        <f>COUNTIFS('All Papers'!$D:$D,"*"&amp;$A1849&amp;"*",'All Papers'!$G:$G,"*"&amp;Table1[[#Headers],[Pricing]]&amp;"*")</f>
        <v>0</v>
      </c>
    </row>
    <row r="1850" spans="1:13" x14ac:dyDescent="0.25">
      <c r="A1850" s="8" t="s">
        <v>4283</v>
      </c>
      <c r="B1850" s="8">
        <f>COUNTIF('All Papers'!D:D,"*"&amp;Table1[[#This Row],[Name]]&amp;"*")</f>
        <v>1</v>
      </c>
      <c r="C1850" s="8">
        <f>COUNTIFS('All Papers'!$D:$D,"*"&amp;$A1850&amp;"*",'All Papers'!$G:$G,"*"&amp;Table1[[#Headers],[Composition]]&amp;"*")</f>
        <v>0</v>
      </c>
      <c r="D1850" s="8">
        <f>COUNTIFS('All Papers'!$D:$D,"*"&amp;$A1850&amp;"*",'All Papers'!$G:$G,"*"&amp;Table1[[#Headers],[Discovery]]&amp;"*")</f>
        <v>1</v>
      </c>
      <c r="E1850" s="8">
        <f>COUNTIFS('All Papers'!$D:$D,"*"&amp;$A1850&amp;"*",'All Papers'!$G:$G,"*"&amp;Table1[[#Headers],[Selection]]&amp;"*")</f>
        <v>0</v>
      </c>
      <c r="F1850" s="8">
        <f>COUNTIFS('All Papers'!$D:$D,"*"&amp;$A1850&amp;"*",'All Papers'!$G:$G,"*"&amp;Table1[[#Headers],[Recommendation]]&amp;"*")</f>
        <v>0</v>
      </c>
      <c r="G1850" s="8">
        <f>COUNTIFS('All Papers'!$D:$D,"*"&amp;$A1850&amp;"*",'All Papers'!$G:$G,"*"&amp;Table1[[#Headers],[Resource Management-CS]]&amp;"*")</f>
        <v>0</v>
      </c>
      <c r="H1850" s="8">
        <f>COUNTIFS('All Papers'!$D:$D,"*"&amp;$A1850&amp;"*",'All Papers'!$G:$G,"*"&amp;Table1[[#Headers],[Resource Management-PS]]&amp;"*")</f>
        <v>1</v>
      </c>
      <c r="I1850" s="8">
        <f>COUNTIFS('All Papers'!$D:$D,"*"&amp;$A1850&amp;"*",'All Papers'!$G:$G,"*"&amp;Table1[[#Headers],[SLA Management]]&amp;"*")</f>
        <v>0</v>
      </c>
      <c r="J1850" s="8">
        <f>COUNTIFS('All Papers'!$D:$D,"*"&amp;$A1850&amp;"*",'All Papers'!$G:$G,"*"&amp;Table1[[#Headers],[Big Data]]&amp;"*")</f>
        <v>0</v>
      </c>
      <c r="K1850" s="8">
        <f>COUNTIFS('All Papers'!$D:$D,"*"&amp;$A1850&amp;"*",'All Papers'!$G:$G,"*"&amp;Table1[[#Headers],[Energy Management]]&amp;"*")</f>
        <v>0</v>
      </c>
      <c r="L1850" s="8">
        <f>COUNTIFS('All Papers'!$D:$D,"*"&amp;$A1850&amp;"*",'All Papers'!$G:$G,"*"&amp;Table1[[#Headers],[Monitoring]]&amp;"*")</f>
        <v>0</v>
      </c>
      <c r="M1850" s="8">
        <f>COUNTIFS('All Papers'!$D:$D,"*"&amp;$A1850&amp;"*",'All Papers'!$G:$G,"*"&amp;Table1[[#Headers],[Pricing]]&amp;"*")</f>
        <v>0</v>
      </c>
    </row>
    <row r="1851" spans="1:13" x14ac:dyDescent="0.25">
      <c r="A1851" s="8" t="s">
        <v>4284</v>
      </c>
      <c r="B1851" s="8">
        <f>COUNTIF('All Papers'!D:D,"*"&amp;Table1[[#This Row],[Name]]&amp;"*")</f>
        <v>1</v>
      </c>
      <c r="C1851" s="8">
        <f>COUNTIFS('All Papers'!$D:$D,"*"&amp;$A1851&amp;"*",'All Papers'!$G:$G,"*"&amp;Table1[[#Headers],[Composition]]&amp;"*")</f>
        <v>0</v>
      </c>
      <c r="D1851" s="8">
        <f>COUNTIFS('All Papers'!$D:$D,"*"&amp;$A1851&amp;"*",'All Papers'!$G:$G,"*"&amp;Table1[[#Headers],[Discovery]]&amp;"*")</f>
        <v>0</v>
      </c>
      <c r="E1851" s="8">
        <f>COUNTIFS('All Papers'!$D:$D,"*"&amp;$A1851&amp;"*",'All Papers'!$G:$G,"*"&amp;Table1[[#Headers],[Selection]]&amp;"*")</f>
        <v>0</v>
      </c>
      <c r="F1851" s="8">
        <f>COUNTIFS('All Papers'!$D:$D,"*"&amp;$A1851&amp;"*",'All Papers'!$G:$G,"*"&amp;Table1[[#Headers],[Recommendation]]&amp;"*")</f>
        <v>0</v>
      </c>
      <c r="G1851" s="8">
        <f>COUNTIFS('All Papers'!$D:$D,"*"&amp;$A1851&amp;"*",'All Papers'!$G:$G,"*"&amp;Table1[[#Headers],[Resource Management-CS]]&amp;"*")</f>
        <v>1</v>
      </c>
      <c r="H1851" s="8">
        <f>COUNTIFS('All Papers'!$D:$D,"*"&amp;$A1851&amp;"*",'All Papers'!$G:$G,"*"&amp;Table1[[#Headers],[Resource Management-PS]]&amp;"*")</f>
        <v>0</v>
      </c>
      <c r="I1851" s="8">
        <f>COUNTIFS('All Papers'!$D:$D,"*"&amp;$A1851&amp;"*",'All Papers'!$G:$G,"*"&amp;Table1[[#Headers],[SLA Management]]&amp;"*")</f>
        <v>0</v>
      </c>
      <c r="J1851" s="8">
        <f>COUNTIFS('All Papers'!$D:$D,"*"&amp;$A1851&amp;"*",'All Papers'!$G:$G,"*"&amp;Table1[[#Headers],[Big Data]]&amp;"*")</f>
        <v>0</v>
      </c>
      <c r="K1851" s="8">
        <f>COUNTIFS('All Papers'!$D:$D,"*"&amp;$A1851&amp;"*",'All Papers'!$G:$G,"*"&amp;Table1[[#Headers],[Energy Management]]&amp;"*")</f>
        <v>0</v>
      </c>
      <c r="L1851" s="8">
        <f>COUNTIFS('All Papers'!$D:$D,"*"&amp;$A1851&amp;"*",'All Papers'!$G:$G,"*"&amp;Table1[[#Headers],[Monitoring]]&amp;"*")</f>
        <v>0</v>
      </c>
      <c r="M1851" s="8">
        <f>COUNTIFS('All Papers'!$D:$D,"*"&amp;$A1851&amp;"*",'All Papers'!$G:$G,"*"&amp;Table1[[#Headers],[Pricing]]&amp;"*")</f>
        <v>0</v>
      </c>
    </row>
    <row r="1852" spans="1:13" x14ac:dyDescent="0.25">
      <c r="A1852" s="8" t="s">
        <v>4285</v>
      </c>
      <c r="B1852" s="8">
        <f>COUNTIF('All Papers'!D:D,"*"&amp;Table1[[#This Row],[Name]]&amp;"*")</f>
        <v>1</v>
      </c>
      <c r="C1852" s="8">
        <f>COUNTIFS('All Papers'!$D:$D,"*"&amp;$A1852&amp;"*",'All Papers'!$G:$G,"*"&amp;Table1[[#Headers],[Composition]]&amp;"*")</f>
        <v>0</v>
      </c>
      <c r="D1852" s="8">
        <f>COUNTIFS('All Papers'!$D:$D,"*"&amp;$A1852&amp;"*",'All Papers'!$G:$G,"*"&amp;Table1[[#Headers],[Discovery]]&amp;"*")</f>
        <v>0</v>
      </c>
      <c r="E1852" s="8">
        <f>COUNTIFS('All Papers'!$D:$D,"*"&amp;$A1852&amp;"*",'All Papers'!$G:$G,"*"&amp;Table1[[#Headers],[Selection]]&amp;"*")</f>
        <v>0</v>
      </c>
      <c r="F1852" s="8">
        <f>COUNTIFS('All Papers'!$D:$D,"*"&amp;$A1852&amp;"*",'All Papers'!$G:$G,"*"&amp;Table1[[#Headers],[Recommendation]]&amp;"*")</f>
        <v>0</v>
      </c>
      <c r="G1852" s="8">
        <f>COUNTIFS('All Papers'!$D:$D,"*"&amp;$A1852&amp;"*",'All Papers'!$G:$G,"*"&amp;Table1[[#Headers],[Resource Management-CS]]&amp;"*")</f>
        <v>1</v>
      </c>
      <c r="H1852" s="8">
        <f>COUNTIFS('All Papers'!$D:$D,"*"&amp;$A1852&amp;"*",'All Papers'!$G:$G,"*"&amp;Table1[[#Headers],[Resource Management-PS]]&amp;"*")</f>
        <v>0</v>
      </c>
      <c r="I1852" s="8">
        <f>COUNTIFS('All Papers'!$D:$D,"*"&amp;$A1852&amp;"*",'All Papers'!$G:$G,"*"&amp;Table1[[#Headers],[SLA Management]]&amp;"*")</f>
        <v>0</v>
      </c>
      <c r="J1852" s="8">
        <f>COUNTIFS('All Papers'!$D:$D,"*"&amp;$A1852&amp;"*",'All Papers'!$G:$G,"*"&amp;Table1[[#Headers],[Big Data]]&amp;"*")</f>
        <v>0</v>
      </c>
      <c r="K1852" s="8">
        <f>COUNTIFS('All Papers'!$D:$D,"*"&amp;$A1852&amp;"*",'All Papers'!$G:$G,"*"&amp;Table1[[#Headers],[Energy Management]]&amp;"*")</f>
        <v>0</v>
      </c>
      <c r="L1852" s="8">
        <f>COUNTIFS('All Papers'!$D:$D,"*"&amp;$A1852&amp;"*",'All Papers'!$G:$G,"*"&amp;Table1[[#Headers],[Monitoring]]&amp;"*")</f>
        <v>0</v>
      </c>
      <c r="M1852" s="8">
        <f>COUNTIFS('All Papers'!$D:$D,"*"&amp;$A1852&amp;"*",'All Papers'!$G:$G,"*"&amp;Table1[[#Headers],[Pricing]]&amp;"*")</f>
        <v>0</v>
      </c>
    </row>
    <row r="1853" spans="1:13" x14ac:dyDescent="0.25">
      <c r="A1853" s="8" t="s">
        <v>4286</v>
      </c>
      <c r="B1853" s="8">
        <f>COUNTIF('All Papers'!D:D,"*"&amp;Table1[[#This Row],[Name]]&amp;"*")</f>
        <v>1</v>
      </c>
      <c r="C1853" s="8">
        <f>COUNTIFS('All Papers'!$D:$D,"*"&amp;$A1853&amp;"*",'All Papers'!$G:$G,"*"&amp;Table1[[#Headers],[Composition]]&amp;"*")</f>
        <v>0</v>
      </c>
      <c r="D1853" s="8">
        <f>COUNTIFS('All Papers'!$D:$D,"*"&amp;$A1853&amp;"*",'All Papers'!$G:$G,"*"&amp;Table1[[#Headers],[Discovery]]&amp;"*")</f>
        <v>0</v>
      </c>
      <c r="E1853" s="8">
        <f>COUNTIFS('All Papers'!$D:$D,"*"&amp;$A1853&amp;"*",'All Papers'!$G:$G,"*"&amp;Table1[[#Headers],[Selection]]&amp;"*")</f>
        <v>0</v>
      </c>
      <c r="F1853" s="8">
        <f>COUNTIFS('All Papers'!$D:$D,"*"&amp;$A1853&amp;"*",'All Papers'!$G:$G,"*"&amp;Table1[[#Headers],[Recommendation]]&amp;"*")</f>
        <v>0</v>
      </c>
      <c r="G1853" s="8">
        <f>COUNTIFS('All Papers'!$D:$D,"*"&amp;$A1853&amp;"*",'All Papers'!$G:$G,"*"&amp;Table1[[#Headers],[Resource Management-CS]]&amp;"*")</f>
        <v>1</v>
      </c>
      <c r="H1853" s="8">
        <f>COUNTIFS('All Papers'!$D:$D,"*"&amp;$A1853&amp;"*",'All Papers'!$G:$G,"*"&amp;Table1[[#Headers],[Resource Management-PS]]&amp;"*")</f>
        <v>0</v>
      </c>
      <c r="I1853" s="8">
        <f>COUNTIFS('All Papers'!$D:$D,"*"&amp;$A1853&amp;"*",'All Papers'!$G:$G,"*"&amp;Table1[[#Headers],[SLA Management]]&amp;"*")</f>
        <v>0</v>
      </c>
      <c r="J1853" s="8">
        <f>COUNTIFS('All Papers'!$D:$D,"*"&amp;$A1853&amp;"*",'All Papers'!$G:$G,"*"&amp;Table1[[#Headers],[Big Data]]&amp;"*")</f>
        <v>0</v>
      </c>
      <c r="K1853" s="8">
        <f>COUNTIFS('All Papers'!$D:$D,"*"&amp;$A1853&amp;"*",'All Papers'!$G:$G,"*"&amp;Table1[[#Headers],[Energy Management]]&amp;"*")</f>
        <v>0</v>
      </c>
      <c r="L1853" s="8">
        <f>COUNTIFS('All Papers'!$D:$D,"*"&amp;$A1853&amp;"*",'All Papers'!$G:$G,"*"&amp;Table1[[#Headers],[Monitoring]]&amp;"*")</f>
        <v>0</v>
      </c>
      <c r="M1853" s="8">
        <f>COUNTIFS('All Papers'!$D:$D,"*"&amp;$A1853&amp;"*",'All Papers'!$G:$G,"*"&amp;Table1[[#Headers],[Pricing]]&amp;"*")</f>
        <v>0</v>
      </c>
    </row>
    <row r="1854" spans="1:13" x14ac:dyDescent="0.25">
      <c r="A1854" s="8" t="s">
        <v>4287</v>
      </c>
      <c r="B1854" s="8">
        <f>COUNTIF('All Papers'!D:D,"*"&amp;Table1[[#This Row],[Name]]&amp;"*")</f>
        <v>1</v>
      </c>
      <c r="C1854" s="8">
        <f>COUNTIFS('All Papers'!$D:$D,"*"&amp;$A1854&amp;"*",'All Papers'!$G:$G,"*"&amp;Table1[[#Headers],[Composition]]&amp;"*")</f>
        <v>0</v>
      </c>
      <c r="D1854" s="8">
        <f>COUNTIFS('All Papers'!$D:$D,"*"&amp;$A1854&amp;"*",'All Papers'!$G:$G,"*"&amp;Table1[[#Headers],[Discovery]]&amp;"*")</f>
        <v>0</v>
      </c>
      <c r="E1854" s="8">
        <f>COUNTIFS('All Papers'!$D:$D,"*"&amp;$A1854&amp;"*",'All Papers'!$G:$G,"*"&amp;Table1[[#Headers],[Selection]]&amp;"*")</f>
        <v>0</v>
      </c>
      <c r="F1854" s="8">
        <f>COUNTIFS('All Papers'!$D:$D,"*"&amp;$A1854&amp;"*",'All Papers'!$G:$G,"*"&amp;Table1[[#Headers],[Recommendation]]&amp;"*")</f>
        <v>0</v>
      </c>
      <c r="G1854" s="8">
        <f>COUNTIFS('All Papers'!$D:$D,"*"&amp;$A1854&amp;"*",'All Papers'!$G:$G,"*"&amp;Table1[[#Headers],[Resource Management-CS]]&amp;"*")</f>
        <v>1</v>
      </c>
      <c r="H1854" s="8">
        <f>COUNTIFS('All Papers'!$D:$D,"*"&amp;$A1854&amp;"*",'All Papers'!$G:$G,"*"&amp;Table1[[#Headers],[Resource Management-PS]]&amp;"*")</f>
        <v>0</v>
      </c>
      <c r="I1854" s="8">
        <f>COUNTIFS('All Papers'!$D:$D,"*"&amp;$A1854&amp;"*",'All Papers'!$G:$G,"*"&amp;Table1[[#Headers],[SLA Management]]&amp;"*")</f>
        <v>0</v>
      </c>
      <c r="J1854" s="8">
        <f>COUNTIFS('All Papers'!$D:$D,"*"&amp;$A1854&amp;"*",'All Papers'!$G:$G,"*"&amp;Table1[[#Headers],[Big Data]]&amp;"*")</f>
        <v>0</v>
      </c>
      <c r="K1854" s="8">
        <f>COUNTIFS('All Papers'!$D:$D,"*"&amp;$A1854&amp;"*",'All Papers'!$G:$G,"*"&amp;Table1[[#Headers],[Energy Management]]&amp;"*")</f>
        <v>0</v>
      </c>
      <c r="L1854" s="8">
        <f>COUNTIFS('All Papers'!$D:$D,"*"&amp;$A1854&amp;"*",'All Papers'!$G:$G,"*"&amp;Table1[[#Headers],[Monitoring]]&amp;"*")</f>
        <v>0</v>
      </c>
      <c r="M1854" s="8">
        <f>COUNTIFS('All Papers'!$D:$D,"*"&amp;$A1854&amp;"*",'All Papers'!$G:$G,"*"&amp;Table1[[#Headers],[Pricing]]&amp;"*")</f>
        <v>0</v>
      </c>
    </row>
    <row r="1855" spans="1:13" x14ac:dyDescent="0.25">
      <c r="A1855" s="8" t="s">
        <v>4288</v>
      </c>
      <c r="B1855" s="8">
        <f>COUNTIF('All Papers'!D:D,"*"&amp;Table1[[#This Row],[Name]]&amp;"*")</f>
        <v>1</v>
      </c>
      <c r="C1855" s="8">
        <f>COUNTIFS('All Papers'!$D:$D,"*"&amp;$A1855&amp;"*",'All Papers'!$G:$G,"*"&amp;Table1[[#Headers],[Composition]]&amp;"*")</f>
        <v>0</v>
      </c>
      <c r="D1855" s="8">
        <f>COUNTIFS('All Papers'!$D:$D,"*"&amp;$A1855&amp;"*",'All Papers'!$G:$G,"*"&amp;Table1[[#Headers],[Discovery]]&amp;"*")</f>
        <v>0</v>
      </c>
      <c r="E1855" s="8">
        <f>COUNTIFS('All Papers'!$D:$D,"*"&amp;$A1855&amp;"*",'All Papers'!$G:$G,"*"&amp;Table1[[#Headers],[Selection]]&amp;"*")</f>
        <v>0</v>
      </c>
      <c r="F1855" s="8">
        <f>COUNTIFS('All Papers'!$D:$D,"*"&amp;$A1855&amp;"*",'All Papers'!$G:$G,"*"&amp;Table1[[#Headers],[Recommendation]]&amp;"*")</f>
        <v>0</v>
      </c>
      <c r="G1855" s="8">
        <f>COUNTIFS('All Papers'!$D:$D,"*"&amp;$A1855&amp;"*",'All Papers'!$G:$G,"*"&amp;Table1[[#Headers],[Resource Management-CS]]&amp;"*")</f>
        <v>0</v>
      </c>
      <c r="H1855" s="8">
        <f>COUNTIFS('All Papers'!$D:$D,"*"&amp;$A1855&amp;"*",'All Papers'!$G:$G,"*"&amp;Table1[[#Headers],[Resource Management-PS]]&amp;"*")</f>
        <v>1</v>
      </c>
      <c r="I1855" s="8">
        <f>COUNTIFS('All Papers'!$D:$D,"*"&amp;$A1855&amp;"*",'All Papers'!$G:$G,"*"&amp;Table1[[#Headers],[SLA Management]]&amp;"*")</f>
        <v>0</v>
      </c>
      <c r="J1855" s="8">
        <f>COUNTIFS('All Papers'!$D:$D,"*"&amp;$A1855&amp;"*",'All Papers'!$G:$G,"*"&amp;Table1[[#Headers],[Big Data]]&amp;"*")</f>
        <v>0</v>
      </c>
      <c r="K1855" s="8">
        <f>COUNTIFS('All Papers'!$D:$D,"*"&amp;$A1855&amp;"*",'All Papers'!$G:$G,"*"&amp;Table1[[#Headers],[Energy Management]]&amp;"*")</f>
        <v>0</v>
      </c>
      <c r="L1855" s="8">
        <f>COUNTIFS('All Papers'!$D:$D,"*"&amp;$A1855&amp;"*",'All Papers'!$G:$G,"*"&amp;Table1[[#Headers],[Monitoring]]&amp;"*")</f>
        <v>0</v>
      </c>
      <c r="M1855" s="8">
        <f>COUNTIFS('All Papers'!$D:$D,"*"&amp;$A1855&amp;"*",'All Papers'!$G:$G,"*"&amp;Table1[[#Headers],[Pricing]]&amp;"*")</f>
        <v>0</v>
      </c>
    </row>
    <row r="1856" spans="1:13" x14ac:dyDescent="0.25">
      <c r="A1856" s="8" t="s">
        <v>4289</v>
      </c>
      <c r="B1856" s="8">
        <f>COUNTIF('All Papers'!D:D,"*"&amp;Table1[[#This Row],[Name]]&amp;"*")</f>
        <v>1</v>
      </c>
      <c r="C1856" s="8">
        <f>COUNTIFS('All Papers'!$D:$D,"*"&amp;$A1856&amp;"*",'All Papers'!$G:$G,"*"&amp;Table1[[#Headers],[Composition]]&amp;"*")</f>
        <v>0</v>
      </c>
      <c r="D1856" s="8">
        <f>COUNTIFS('All Papers'!$D:$D,"*"&amp;$A1856&amp;"*",'All Papers'!$G:$G,"*"&amp;Table1[[#Headers],[Discovery]]&amp;"*")</f>
        <v>0</v>
      </c>
      <c r="E1856" s="8">
        <f>COUNTIFS('All Papers'!$D:$D,"*"&amp;$A1856&amp;"*",'All Papers'!$G:$G,"*"&amp;Table1[[#Headers],[Selection]]&amp;"*")</f>
        <v>0</v>
      </c>
      <c r="F1856" s="8">
        <f>COUNTIFS('All Papers'!$D:$D,"*"&amp;$A1856&amp;"*",'All Papers'!$G:$G,"*"&amp;Table1[[#Headers],[Recommendation]]&amp;"*")</f>
        <v>0</v>
      </c>
      <c r="G1856" s="8">
        <f>COUNTIFS('All Papers'!$D:$D,"*"&amp;$A1856&amp;"*",'All Papers'!$G:$G,"*"&amp;Table1[[#Headers],[Resource Management-CS]]&amp;"*")</f>
        <v>0</v>
      </c>
      <c r="H1856" s="8">
        <f>COUNTIFS('All Papers'!$D:$D,"*"&amp;$A1856&amp;"*",'All Papers'!$G:$G,"*"&amp;Table1[[#Headers],[Resource Management-PS]]&amp;"*")</f>
        <v>1</v>
      </c>
      <c r="I1856" s="8">
        <f>COUNTIFS('All Papers'!$D:$D,"*"&amp;$A1856&amp;"*",'All Papers'!$G:$G,"*"&amp;Table1[[#Headers],[SLA Management]]&amp;"*")</f>
        <v>0</v>
      </c>
      <c r="J1856" s="8">
        <f>COUNTIFS('All Papers'!$D:$D,"*"&amp;$A1856&amp;"*",'All Papers'!$G:$G,"*"&amp;Table1[[#Headers],[Big Data]]&amp;"*")</f>
        <v>0</v>
      </c>
      <c r="K1856" s="8">
        <f>COUNTIFS('All Papers'!$D:$D,"*"&amp;$A1856&amp;"*",'All Papers'!$G:$G,"*"&amp;Table1[[#Headers],[Energy Management]]&amp;"*")</f>
        <v>0</v>
      </c>
      <c r="L1856" s="8">
        <f>COUNTIFS('All Papers'!$D:$D,"*"&amp;$A1856&amp;"*",'All Papers'!$G:$G,"*"&amp;Table1[[#Headers],[Monitoring]]&amp;"*")</f>
        <v>0</v>
      </c>
      <c r="M1856" s="8">
        <f>COUNTIFS('All Papers'!$D:$D,"*"&amp;$A1856&amp;"*",'All Papers'!$G:$G,"*"&amp;Table1[[#Headers],[Pricing]]&amp;"*")</f>
        <v>0</v>
      </c>
    </row>
    <row r="1857" spans="1:13" x14ac:dyDescent="0.25">
      <c r="A1857" s="8" t="s">
        <v>4290</v>
      </c>
      <c r="B1857" s="8">
        <f>COUNTIF('All Papers'!D:D,"*"&amp;Table1[[#This Row],[Name]]&amp;"*")</f>
        <v>0</v>
      </c>
      <c r="C1857" s="8">
        <f>COUNTIFS('All Papers'!$D:$D,"*"&amp;$A1857&amp;"*",'All Papers'!$G:$G,"*"&amp;Table1[[#Headers],[Composition]]&amp;"*")</f>
        <v>0</v>
      </c>
      <c r="D1857" s="8">
        <f>COUNTIFS('All Papers'!$D:$D,"*"&amp;$A1857&amp;"*",'All Papers'!$G:$G,"*"&amp;Table1[[#Headers],[Discovery]]&amp;"*")</f>
        <v>0</v>
      </c>
      <c r="E1857" s="8">
        <f>COUNTIFS('All Papers'!$D:$D,"*"&amp;$A1857&amp;"*",'All Papers'!$G:$G,"*"&amp;Table1[[#Headers],[Selection]]&amp;"*")</f>
        <v>0</v>
      </c>
      <c r="F1857" s="8">
        <f>COUNTIFS('All Papers'!$D:$D,"*"&amp;$A1857&amp;"*",'All Papers'!$G:$G,"*"&amp;Table1[[#Headers],[Recommendation]]&amp;"*")</f>
        <v>0</v>
      </c>
      <c r="G1857" s="8">
        <f>COUNTIFS('All Papers'!$D:$D,"*"&amp;$A1857&amp;"*",'All Papers'!$G:$G,"*"&amp;Table1[[#Headers],[Resource Management-CS]]&amp;"*")</f>
        <v>0</v>
      </c>
      <c r="H1857" s="8">
        <f>COUNTIFS('All Papers'!$D:$D,"*"&amp;$A1857&amp;"*",'All Papers'!$G:$G,"*"&amp;Table1[[#Headers],[Resource Management-PS]]&amp;"*")</f>
        <v>0</v>
      </c>
      <c r="I1857" s="8">
        <f>COUNTIFS('All Papers'!$D:$D,"*"&amp;$A1857&amp;"*",'All Papers'!$G:$G,"*"&amp;Table1[[#Headers],[SLA Management]]&amp;"*")</f>
        <v>0</v>
      </c>
      <c r="J1857" s="8">
        <f>COUNTIFS('All Papers'!$D:$D,"*"&amp;$A1857&amp;"*",'All Papers'!$G:$G,"*"&amp;Table1[[#Headers],[Big Data]]&amp;"*")</f>
        <v>0</v>
      </c>
      <c r="K1857" s="8">
        <f>COUNTIFS('All Papers'!$D:$D,"*"&amp;$A1857&amp;"*",'All Papers'!$G:$G,"*"&amp;Table1[[#Headers],[Energy Management]]&amp;"*")</f>
        <v>0</v>
      </c>
      <c r="L1857" s="8">
        <f>COUNTIFS('All Papers'!$D:$D,"*"&amp;$A1857&amp;"*",'All Papers'!$G:$G,"*"&amp;Table1[[#Headers],[Monitoring]]&amp;"*")</f>
        <v>0</v>
      </c>
      <c r="M1857" s="8">
        <f>COUNTIFS('All Papers'!$D:$D,"*"&amp;$A1857&amp;"*",'All Papers'!$G:$G,"*"&amp;Table1[[#Headers],[Pricing]]&amp;"*")</f>
        <v>0</v>
      </c>
    </row>
    <row r="1858" spans="1:13" x14ac:dyDescent="0.25">
      <c r="A1858" s="8" t="s">
        <v>4291</v>
      </c>
      <c r="B1858" s="8">
        <f>COUNTIF('All Papers'!D:D,"*"&amp;Table1[[#This Row],[Name]]&amp;"*")</f>
        <v>0</v>
      </c>
      <c r="C1858" s="8">
        <f>COUNTIFS('All Papers'!$D:$D,"*"&amp;$A1858&amp;"*",'All Papers'!$G:$G,"*"&amp;Table1[[#Headers],[Composition]]&amp;"*")</f>
        <v>0</v>
      </c>
      <c r="D1858" s="8">
        <f>COUNTIFS('All Papers'!$D:$D,"*"&amp;$A1858&amp;"*",'All Papers'!$G:$G,"*"&amp;Table1[[#Headers],[Discovery]]&amp;"*")</f>
        <v>0</v>
      </c>
      <c r="E1858" s="8">
        <f>COUNTIFS('All Papers'!$D:$D,"*"&amp;$A1858&amp;"*",'All Papers'!$G:$G,"*"&amp;Table1[[#Headers],[Selection]]&amp;"*")</f>
        <v>0</v>
      </c>
      <c r="F1858" s="8">
        <f>COUNTIFS('All Papers'!$D:$D,"*"&amp;$A1858&amp;"*",'All Papers'!$G:$G,"*"&amp;Table1[[#Headers],[Recommendation]]&amp;"*")</f>
        <v>0</v>
      </c>
      <c r="G1858" s="8">
        <f>COUNTIFS('All Papers'!$D:$D,"*"&amp;$A1858&amp;"*",'All Papers'!$G:$G,"*"&amp;Table1[[#Headers],[Resource Management-CS]]&amp;"*")</f>
        <v>0</v>
      </c>
      <c r="H1858" s="8">
        <f>COUNTIFS('All Papers'!$D:$D,"*"&amp;$A1858&amp;"*",'All Papers'!$G:$G,"*"&amp;Table1[[#Headers],[Resource Management-PS]]&amp;"*")</f>
        <v>0</v>
      </c>
      <c r="I1858" s="8">
        <f>COUNTIFS('All Papers'!$D:$D,"*"&amp;$A1858&amp;"*",'All Papers'!$G:$G,"*"&amp;Table1[[#Headers],[SLA Management]]&amp;"*")</f>
        <v>0</v>
      </c>
      <c r="J1858" s="8">
        <f>COUNTIFS('All Papers'!$D:$D,"*"&amp;$A1858&amp;"*",'All Papers'!$G:$G,"*"&amp;Table1[[#Headers],[Big Data]]&amp;"*")</f>
        <v>0</v>
      </c>
      <c r="K1858" s="8">
        <f>COUNTIFS('All Papers'!$D:$D,"*"&amp;$A1858&amp;"*",'All Papers'!$G:$G,"*"&amp;Table1[[#Headers],[Energy Management]]&amp;"*")</f>
        <v>0</v>
      </c>
      <c r="L1858" s="8">
        <f>COUNTIFS('All Papers'!$D:$D,"*"&amp;$A1858&amp;"*",'All Papers'!$G:$G,"*"&amp;Table1[[#Headers],[Monitoring]]&amp;"*")</f>
        <v>0</v>
      </c>
      <c r="M1858" s="8">
        <f>COUNTIFS('All Papers'!$D:$D,"*"&amp;$A1858&amp;"*",'All Papers'!$G:$G,"*"&amp;Table1[[#Headers],[Pricing]]&amp;"*")</f>
        <v>0</v>
      </c>
    </row>
    <row r="1859" spans="1:13" x14ac:dyDescent="0.25">
      <c r="A1859" s="8" t="s">
        <v>4292</v>
      </c>
      <c r="B1859" s="8">
        <f>COUNTIF('All Papers'!D:D,"*"&amp;Table1[[#This Row],[Name]]&amp;"*")</f>
        <v>0</v>
      </c>
      <c r="C1859" s="8">
        <f>COUNTIFS('All Papers'!$D:$D,"*"&amp;$A1859&amp;"*",'All Papers'!$G:$G,"*"&amp;Table1[[#Headers],[Composition]]&amp;"*")</f>
        <v>0</v>
      </c>
      <c r="D1859" s="8">
        <f>COUNTIFS('All Papers'!$D:$D,"*"&amp;$A1859&amp;"*",'All Papers'!$G:$G,"*"&amp;Table1[[#Headers],[Discovery]]&amp;"*")</f>
        <v>0</v>
      </c>
      <c r="E1859" s="8">
        <f>COUNTIFS('All Papers'!$D:$D,"*"&amp;$A1859&amp;"*",'All Papers'!$G:$G,"*"&amp;Table1[[#Headers],[Selection]]&amp;"*")</f>
        <v>0</v>
      </c>
      <c r="F1859" s="8">
        <f>COUNTIFS('All Papers'!$D:$D,"*"&amp;$A1859&amp;"*",'All Papers'!$G:$G,"*"&amp;Table1[[#Headers],[Recommendation]]&amp;"*")</f>
        <v>0</v>
      </c>
      <c r="G1859" s="8">
        <f>COUNTIFS('All Papers'!$D:$D,"*"&amp;$A1859&amp;"*",'All Papers'!$G:$G,"*"&amp;Table1[[#Headers],[Resource Management-CS]]&amp;"*")</f>
        <v>0</v>
      </c>
      <c r="H1859" s="8">
        <f>COUNTIFS('All Papers'!$D:$D,"*"&amp;$A1859&amp;"*",'All Papers'!$G:$G,"*"&amp;Table1[[#Headers],[Resource Management-PS]]&amp;"*")</f>
        <v>0</v>
      </c>
      <c r="I1859" s="8">
        <f>COUNTIFS('All Papers'!$D:$D,"*"&amp;$A1859&amp;"*",'All Papers'!$G:$G,"*"&amp;Table1[[#Headers],[SLA Management]]&amp;"*")</f>
        <v>0</v>
      </c>
      <c r="J1859" s="8">
        <f>COUNTIFS('All Papers'!$D:$D,"*"&amp;$A1859&amp;"*",'All Papers'!$G:$G,"*"&amp;Table1[[#Headers],[Big Data]]&amp;"*")</f>
        <v>0</v>
      </c>
      <c r="K1859" s="8">
        <f>COUNTIFS('All Papers'!$D:$D,"*"&amp;$A1859&amp;"*",'All Papers'!$G:$G,"*"&amp;Table1[[#Headers],[Energy Management]]&amp;"*")</f>
        <v>0</v>
      </c>
      <c r="L1859" s="8">
        <f>COUNTIFS('All Papers'!$D:$D,"*"&amp;$A1859&amp;"*",'All Papers'!$G:$G,"*"&amp;Table1[[#Headers],[Monitoring]]&amp;"*")</f>
        <v>0</v>
      </c>
      <c r="M1859" s="8">
        <f>COUNTIFS('All Papers'!$D:$D,"*"&amp;$A1859&amp;"*",'All Papers'!$G:$G,"*"&amp;Table1[[#Headers],[Pricing]]&amp;"*")</f>
        <v>0</v>
      </c>
    </row>
    <row r="1860" spans="1:13" x14ac:dyDescent="0.25">
      <c r="A1860" s="8" t="s">
        <v>4293</v>
      </c>
      <c r="B1860" s="8">
        <f>COUNTIF('All Papers'!D:D,"*"&amp;Table1[[#This Row],[Name]]&amp;"*")</f>
        <v>0</v>
      </c>
      <c r="C1860" s="8">
        <f>COUNTIFS('All Papers'!$D:$D,"*"&amp;$A1860&amp;"*",'All Papers'!$G:$G,"*"&amp;Table1[[#Headers],[Composition]]&amp;"*")</f>
        <v>0</v>
      </c>
      <c r="D1860" s="8">
        <f>COUNTIFS('All Papers'!$D:$D,"*"&amp;$A1860&amp;"*",'All Papers'!$G:$G,"*"&amp;Table1[[#Headers],[Discovery]]&amp;"*")</f>
        <v>0</v>
      </c>
      <c r="E1860" s="8">
        <f>COUNTIFS('All Papers'!$D:$D,"*"&amp;$A1860&amp;"*",'All Papers'!$G:$G,"*"&amp;Table1[[#Headers],[Selection]]&amp;"*")</f>
        <v>0</v>
      </c>
      <c r="F1860" s="8">
        <f>COUNTIFS('All Papers'!$D:$D,"*"&amp;$A1860&amp;"*",'All Papers'!$G:$G,"*"&amp;Table1[[#Headers],[Recommendation]]&amp;"*")</f>
        <v>0</v>
      </c>
      <c r="G1860" s="8">
        <f>COUNTIFS('All Papers'!$D:$D,"*"&amp;$A1860&amp;"*",'All Papers'!$G:$G,"*"&amp;Table1[[#Headers],[Resource Management-CS]]&amp;"*")</f>
        <v>0</v>
      </c>
      <c r="H1860" s="8">
        <f>COUNTIFS('All Papers'!$D:$D,"*"&amp;$A1860&amp;"*",'All Papers'!$G:$G,"*"&amp;Table1[[#Headers],[Resource Management-PS]]&amp;"*")</f>
        <v>0</v>
      </c>
      <c r="I1860" s="8">
        <f>COUNTIFS('All Papers'!$D:$D,"*"&amp;$A1860&amp;"*",'All Papers'!$G:$G,"*"&amp;Table1[[#Headers],[SLA Management]]&amp;"*")</f>
        <v>0</v>
      </c>
      <c r="J1860" s="8">
        <f>COUNTIFS('All Papers'!$D:$D,"*"&amp;$A1860&amp;"*",'All Papers'!$G:$G,"*"&amp;Table1[[#Headers],[Big Data]]&amp;"*")</f>
        <v>0</v>
      </c>
      <c r="K1860" s="8">
        <f>COUNTIFS('All Papers'!$D:$D,"*"&amp;$A1860&amp;"*",'All Papers'!$G:$G,"*"&amp;Table1[[#Headers],[Energy Management]]&amp;"*")</f>
        <v>0</v>
      </c>
      <c r="L1860" s="8">
        <f>COUNTIFS('All Papers'!$D:$D,"*"&amp;$A1860&amp;"*",'All Papers'!$G:$G,"*"&amp;Table1[[#Headers],[Monitoring]]&amp;"*")</f>
        <v>0</v>
      </c>
      <c r="M1860" s="8">
        <f>COUNTIFS('All Papers'!$D:$D,"*"&amp;$A1860&amp;"*",'All Papers'!$G:$G,"*"&amp;Table1[[#Headers],[Pricing]]&amp;"*")</f>
        <v>0</v>
      </c>
    </row>
    <row r="1861" spans="1:13" x14ac:dyDescent="0.25">
      <c r="A1861" s="8" t="s">
        <v>4294</v>
      </c>
      <c r="B1861" s="8">
        <f>COUNTIF('All Papers'!D:D,"*"&amp;Table1[[#This Row],[Name]]&amp;"*")</f>
        <v>0</v>
      </c>
      <c r="C1861" s="8">
        <f>COUNTIFS('All Papers'!$D:$D,"*"&amp;$A1861&amp;"*",'All Papers'!$G:$G,"*"&amp;Table1[[#Headers],[Composition]]&amp;"*")</f>
        <v>0</v>
      </c>
      <c r="D1861" s="8">
        <f>COUNTIFS('All Papers'!$D:$D,"*"&amp;$A1861&amp;"*",'All Papers'!$G:$G,"*"&amp;Table1[[#Headers],[Discovery]]&amp;"*")</f>
        <v>0</v>
      </c>
      <c r="E1861" s="8">
        <f>COUNTIFS('All Papers'!$D:$D,"*"&amp;$A1861&amp;"*",'All Papers'!$G:$G,"*"&amp;Table1[[#Headers],[Selection]]&amp;"*")</f>
        <v>0</v>
      </c>
      <c r="F1861" s="8">
        <f>COUNTIFS('All Papers'!$D:$D,"*"&amp;$A1861&amp;"*",'All Papers'!$G:$G,"*"&amp;Table1[[#Headers],[Recommendation]]&amp;"*")</f>
        <v>0</v>
      </c>
      <c r="G1861" s="8">
        <f>COUNTIFS('All Papers'!$D:$D,"*"&amp;$A1861&amp;"*",'All Papers'!$G:$G,"*"&amp;Table1[[#Headers],[Resource Management-CS]]&amp;"*")</f>
        <v>0</v>
      </c>
      <c r="H1861" s="8">
        <f>COUNTIFS('All Papers'!$D:$D,"*"&amp;$A1861&amp;"*",'All Papers'!$G:$G,"*"&amp;Table1[[#Headers],[Resource Management-PS]]&amp;"*")</f>
        <v>0</v>
      </c>
      <c r="I1861" s="8">
        <f>COUNTIFS('All Papers'!$D:$D,"*"&amp;$A1861&amp;"*",'All Papers'!$G:$G,"*"&amp;Table1[[#Headers],[SLA Management]]&amp;"*")</f>
        <v>0</v>
      </c>
      <c r="J1861" s="8">
        <f>COUNTIFS('All Papers'!$D:$D,"*"&amp;$A1861&amp;"*",'All Papers'!$G:$G,"*"&amp;Table1[[#Headers],[Big Data]]&amp;"*")</f>
        <v>0</v>
      </c>
      <c r="K1861" s="8">
        <f>COUNTIFS('All Papers'!$D:$D,"*"&amp;$A1861&amp;"*",'All Papers'!$G:$G,"*"&amp;Table1[[#Headers],[Energy Management]]&amp;"*")</f>
        <v>0</v>
      </c>
      <c r="L1861" s="8">
        <f>COUNTIFS('All Papers'!$D:$D,"*"&amp;$A1861&amp;"*",'All Papers'!$G:$G,"*"&amp;Table1[[#Headers],[Monitoring]]&amp;"*")</f>
        <v>0</v>
      </c>
      <c r="M1861" s="8">
        <f>COUNTIFS('All Papers'!$D:$D,"*"&amp;$A1861&amp;"*",'All Papers'!$G:$G,"*"&amp;Table1[[#Headers],[Pricing]]&amp;"*")</f>
        <v>0</v>
      </c>
    </row>
    <row r="1862" spans="1:13" x14ac:dyDescent="0.25">
      <c r="A1862" s="8" t="s">
        <v>4295</v>
      </c>
      <c r="B1862" s="8">
        <f>COUNTIF('All Papers'!D:D,"*"&amp;Table1[[#This Row],[Name]]&amp;"*")</f>
        <v>0</v>
      </c>
      <c r="C1862" s="8">
        <f>COUNTIFS('All Papers'!$D:$D,"*"&amp;$A1862&amp;"*",'All Papers'!$G:$G,"*"&amp;Table1[[#Headers],[Composition]]&amp;"*")</f>
        <v>0</v>
      </c>
      <c r="D1862" s="8">
        <f>COUNTIFS('All Papers'!$D:$D,"*"&amp;$A1862&amp;"*",'All Papers'!$G:$G,"*"&amp;Table1[[#Headers],[Discovery]]&amp;"*")</f>
        <v>0</v>
      </c>
      <c r="E1862" s="8">
        <f>COUNTIFS('All Papers'!$D:$D,"*"&amp;$A1862&amp;"*",'All Papers'!$G:$G,"*"&amp;Table1[[#Headers],[Selection]]&amp;"*")</f>
        <v>0</v>
      </c>
      <c r="F1862" s="8">
        <f>COUNTIFS('All Papers'!$D:$D,"*"&amp;$A1862&amp;"*",'All Papers'!$G:$G,"*"&amp;Table1[[#Headers],[Recommendation]]&amp;"*")</f>
        <v>0</v>
      </c>
      <c r="G1862" s="8">
        <f>COUNTIFS('All Papers'!$D:$D,"*"&amp;$A1862&amp;"*",'All Papers'!$G:$G,"*"&amp;Table1[[#Headers],[Resource Management-CS]]&amp;"*")</f>
        <v>0</v>
      </c>
      <c r="H1862" s="8">
        <f>COUNTIFS('All Papers'!$D:$D,"*"&amp;$A1862&amp;"*",'All Papers'!$G:$G,"*"&amp;Table1[[#Headers],[Resource Management-PS]]&amp;"*")</f>
        <v>0</v>
      </c>
      <c r="I1862" s="8">
        <f>COUNTIFS('All Papers'!$D:$D,"*"&amp;$A1862&amp;"*",'All Papers'!$G:$G,"*"&amp;Table1[[#Headers],[SLA Management]]&amp;"*")</f>
        <v>0</v>
      </c>
      <c r="J1862" s="8">
        <f>COUNTIFS('All Papers'!$D:$D,"*"&amp;$A1862&amp;"*",'All Papers'!$G:$G,"*"&amp;Table1[[#Headers],[Big Data]]&amp;"*")</f>
        <v>0</v>
      </c>
      <c r="K1862" s="8">
        <f>COUNTIFS('All Papers'!$D:$D,"*"&amp;$A1862&amp;"*",'All Papers'!$G:$G,"*"&amp;Table1[[#Headers],[Energy Management]]&amp;"*")</f>
        <v>0</v>
      </c>
      <c r="L1862" s="8">
        <f>COUNTIFS('All Papers'!$D:$D,"*"&amp;$A1862&amp;"*",'All Papers'!$G:$G,"*"&amp;Table1[[#Headers],[Monitoring]]&amp;"*")</f>
        <v>0</v>
      </c>
      <c r="M1862" s="8">
        <f>COUNTIFS('All Papers'!$D:$D,"*"&amp;$A1862&amp;"*",'All Papers'!$G:$G,"*"&amp;Table1[[#Headers],[Pricing]]&amp;"*")</f>
        <v>0</v>
      </c>
    </row>
    <row r="1863" spans="1:13" x14ac:dyDescent="0.25">
      <c r="A1863" s="8" t="s">
        <v>4296</v>
      </c>
      <c r="B1863" s="8">
        <f>COUNTIF('All Papers'!D:D,"*"&amp;Table1[[#This Row],[Name]]&amp;"*")</f>
        <v>0</v>
      </c>
      <c r="C1863" s="8">
        <f>COUNTIFS('All Papers'!$D:$D,"*"&amp;$A1863&amp;"*",'All Papers'!$G:$G,"*"&amp;Table1[[#Headers],[Composition]]&amp;"*")</f>
        <v>0</v>
      </c>
      <c r="D1863" s="8">
        <f>COUNTIFS('All Papers'!$D:$D,"*"&amp;$A1863&amp;"*",'All Papers'!$G:$G,"*"&amp;Table1[[#Headers],[Discovery]]&amp;"*")</f>
        <v>0</v>
      </c>
      <c r="E1863" s="8">
        <f>COUNTIFS('All Papers'!$D:$D,"*"&amp;$A1863&amp;"*",'All Papers'!$G:$G,"*"&amp;Table1[[#Headers],[Selection]]&amp;"*")</f>
        <v>0</v>
      </c>
      <c r="F1863" s="8">
        <f>COUNTIFS('All Papers'!$D:$D,"*"&amp;$A1863&amp;"*",'All Papers'!$G:$G,"*"&amp;Table1[[#Headers],[Recommendation]]&amp;"*")</f>
        <v>0</v>
      </c>
      <c r="G1863" s="8">
        <f>COUNTIFS('All Papers'!$D:$D,"*"&amp;$A1863&amp;"*",'All Papers'!$G:$G,"*"&amp;Table1[[#Headers],[Resource Management-CS]]&amp;"*")</f>
        <v>0</v>
      </c>
      <c r="H1863" s="8">
        <f>COUNTIFS('All Papers'!$D:$D,"*"&amp;$A1863&amp;"*",'All Papers'!$G:$G,"*"&amp;Table1[[#Headers],[Resource Management-PS]]&amp;"*")</f>
        <v>0</v>
      </c>
      <c r="I1863" s="8">
        <f>COUNTIFS('All Papers'!$D:$D,"*"&amp;$A1863&amp;"*",'All Papers'!$G:$G,"*"&amp;Table1[[#Headers],[SLA Management]]&amp;"*")</f>
        <v>0</v>
      </c>
      <c r="J1863" s="8">
        <f>COUNTIFS('All Papers'!$D:$D,"*"&amp;$A1863&amp;"*",'All Papers'!$G:$G,"*"&amp;Table1[[#Headers],[Big Data]]&amp;"*")</f>
        <v>0</v>
      </c>
      <c r="K1863" s="8">
        <f>COUNTIFS('All Papers'!$D:$D,"*"&amp;$A1863&amp;"*",'All Papers'!$G:$G,"*"&amp;Table1[[#Headers],[Energy Management]]&amp;"*")</f>
        <v>0</v>
      </c>
      <c r="L1863" s="8">
        <f>COUNTIFS('All Papers'!$D:$D,"*"&amp;$A1863&amp;"*",'All Papers'!$G:$G,"*"&amp;Table1[[#Headers],[Monitoring]]&amp;"*")</f>
        <v>0</v>
      </c>
      <c r="M1863" s="8">
        <f>COUNTIFS('All Papers'!$D:$D,"*"&amp;$A1863&amp;"*",'All Papers'!$G:$G,"*"&amp;Table1[[#Headers],[Pricing]]&amp;"*")</f>
        <v>0</v>
      </c>
    </row>
    <row r="1864" spans="1:13" x14ac:dyDescent="0.25">
      <c r="A1864" s="8" t="s">
        <v>4297</v>
      </c>
      <c r="B1864" s="8">
        <f>COUNTIF('All Papers'!D:D,"*"&amp;Table1[[#This Row],[Name]]&amp;"*")</f>
        <v>0</v>
      </c>
      <c r="C1864" s="8">
        <f>COUNTIFS('All Papers'!$D:$D,"*"&amp;$A1864&amp;"*",'All Papers'!$G:$G,"*"&amp;Table1[[#Headers],[Composition]]&amp;"*")</f>
        <v>0</v>
      </c>
      <c r="D1864" s="8">
        <f>COUNTIFS('All Papers'!$D:$D,"*"&amp;$A1864&amp;"*",'All Papers'!$G:$G,"*"&amp;Table1[[#Headers],[Discovery]]&amp;"*")</f>
        <v>0</v>
      </c>
      <c r="E1864" s="8">
        <f>COUNTIFS('All Papers'!$D:$D,"*"&amp;$A1864&amp;"*",'All Papers'!$G:$G,"*"&amp;Table1[[#Headers],[Selection]]&amp;"*")</f>
        <v>0</v>
      </c>
      <c r="F1864" s="8">
        <f>COUNTIFS('All Papers'!$D:$D,"*"&amp;$A1864&amp;"*",'All Papers'!$G:$G,"*"&amp;Table1[[#Headers],[Recommendation]]&amp;"*")</f>
        <v>0</v>
      </c>
      <c r="G1864" s="8">
        <f>COUNTIFS('All Papers'!$D:$D,"*"&amp;$A1864&amp;"*",'All Papers'!$G:$G,"*"&amp;Table1[[#Headers],[Resource Management-CS]]&amp;"*")</f>
        <v>0</v>
      </c>
      <c r="H1864" s="8">
        <f>COUNTIFS('All Papers'!$D:$D,"*"&amp;$A1864&amp;"*",'All Papers'!$G:$G,"*"&amp;Table1[[#Headers],[Resource Management-PS]]&amp;"*")</f>
        <v>0</v>
      </c>
      <c r="I1864" s="8">
        <f>COUNTIFS('All Papers'!$D:$D,"*"&amp;$A1864&amp;"*",'All Papers'!$G:$G,"*"&amp;Table1[[#Headers],[SLA Management]]&amp;"*")</f>
        <v>0</v>
      </c>
      <c r="J1864" s="8">
        <f>COUNTIFS('All Papers'!$D:$D,"*"&amp;$A1864&amp;"*",'All Papers'!$G:$G,"*"&amp;Table1[[#Headers],[Big Data]]&amp;"*")</f>
        <v>0</v>
      </c>
      <c r="K1864" s="8">
        <f>COUNTIFS('All Papers'!$D:$D,"*"&amp;$A1864&amp;"*",'All Papers'!$G:$G,"*"&amp;Table1[[#Headers],[Energy Management]]&amp;"*")</f>
        <v>0</v>
      </c>
      <c r="L1864" s="8">
        <f>COUNTIFS('All Papers'!$D:$D,"*"&amp;$A1864&amp;"*",'All Papers'!$G:$G,"*"&amp;Table1[[#Headers],[Monitoring]]&amp;"*")</f>
        <v>0</v>
      </c>
      <c r="M1864" s="8">
        <f>COUNTIFS('All Papers'!$D:$D,"*"&amp;$A1864&amp;"*",'All Papers'!$G:$G,"*"&amp;Table1[[#Headers],[Pricing]]&amp;"*")</f>
        <v>0</v>
      </c>
    </row>
    <row r="1865" spans="1:13" x14ac:dyDescent="0.25">
      <c r="A1865" s="8" t="s">
        <v>4298</v>
      </c>
      <c r="B1865" s="8">
        <f>COUNTIF('All Papers'!D:D,"*"&amp;Table1[[#This Row],[Name]]&amp;"*")</f>
        <v>0</v>
      </c>
      <c r="C1865" s="8">
        <f>COUNTIFS('All Papers'!$D:$D,"*"&amp;$A1865&amp;"*",'All Papers'!$G:$G,"*"&amp;Table1[[#Headers],[Composition]]&amp;"*")</f>
        <v>0</v>
      </c>
      <c r="D1865" s="8">
        <f>COUNTIFS('All Papers'!$D:$D,"*"&amp;$A1865&amp;"*",'All Papers'!$G:$G,"*"&amp;Table1[[#Headers],[Discovery]]&amp;"*")</f>
        <v>0</v>
      </c>
      <c r="E1865" s="8">
        <f>COUNTIFS('All Papers'!$D:$D,"*"&amp;$A1865&amp;"*",'All Papers'!$G:$G,"*"&amp;Table1[[#Headers],[Selection]]&amp;"*")</f>
        <v>0</v>
      </c>
      <c r="F1865" s="8">
        <f>COUNTIFS('All Papers'!$D:$D,"*"&amp;$A1865&amp;"*",'All Papers'!$G:$G,"*"&amp;Table1[[#Headers],[Recommendation]]&amp;"*")</f>
        <v>0</v>
      </c>
      <c r="G1865" s="8">
        <f>COUNTIFS('All Papers'!$D:$D,"*"&amp;$A1865&amp;"*",'All Papers'!$G:$G,"*"&amp;Table1[[#Headers],[Resource Management-CS]]&amp;"*")</f>
        <v>0</v>
      </c>
      <c r="H1865" s="8">
        <f>COUNTIFS('All Papers'!$D:$D,"*"&amp;$A1865&amp;"*",'All Papers'!$G:$G,"*"&amp;Table1[[#Headers],[Resource Management-PS]]&amp;"*")</f>
        <v>0</v>
      </c>
      <c r="I1865" s="8">
        <f>COUNTIFS('All Papers'!$D:$D,"*"&amp;$A1865&amp;"*",'All Papers'!$G:$G,"*"&amp;Table1[[#Headers],[SLA Management]]&amp;"*")</f>
        <v>0</v>
      </c>
      <c r="J1865" s="8">
        <f>COUNTIFS('All Papers'!$D:$D,"*"&amp;$A1865&amp;"*",'All Papers'!$G:$G,"*"&amp;Table1[[#Headers],[Big Data]]&amp;"*")</f>
        <v>0</v>
      </c>
      <c r="K1865" s="8">
        <f>COUNTIFS('All Papers'!$D:$D,"*"&amp;$A1865&amp;"*",'All Papers'!$G:$G,"*"&amp;Table1[[#Headers],[Energy Management]]&amp;"*")</f>
        <v>0</v>
      </c>
      <c r="L1865" s="8">
        <f>COUNTIFS('All Papers'!$D:$D,"*"&amp;$A1865&amp;"*",'All Papers'!$G:$G,"*"&amp;Table1[[#Headers],[Monitoring]]&amp;"*")</f>
        <v>0</v>
      </c>
      <c r="M1865" s="8">
        <f>COUNTIFS('All Papers'!$D:$D,"*"&amp;$A1865&amp;"*",'All Papers'!$G:$G,"*"&amp;Table1[[#Headers],[Pricing]]&amp;"*")</f>
        <v>0</v>
      </c>
    </row>
  </sheetData>
  <conditionalFormatting sqref="P1">
    <cfRule type="duplicateValues" dxfId="5" priority="1"/>
    <cfRule type="duplicateValues" dxfId="4" priority="2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0407-AB8D-4182-9ACC-3CBF59DCA689}">
  <dimension ref="A1:B67"/>
  <sheetViews>
    <sheetView workbookViewId="0">
      <selection activeCell="E24" sqref="E24"/>
    </sheetView>
  </sheetViews>
  <sheetFormatPr defaultRowHeight="15" x14ac:dyDescent="0.25"/>
  <cols>
    <col min="1" max="1" width="21.7109375" customWidth="1"/>
    <col min="2" max="2" width="18.42578125" customWidth="1"/>
  </cols>
  <sheetData>
    <row r="1" spans="1:2" x14ac:dyDescent="0.25">
      <c r="A1" t="s">
        <v>4299</v>
      </c>
      <c r="B1" s="3" t="s">
        <v>2391</v>
      </c>
    </row>
    <row r="2" spans="1:2" x14ac:dyDescent="0.25">
      <c r="A2" t="s">
        <v>4304</v>
      </c>
      <c r="B2" s="3">
        <f>COUNTIF('All Papers'!D:D,"*"&amp;Table2[[#This Row],[Name]]&amp;"*")</f>
        <v>119</v>
      </c>
    </row>
    <row r="3" spans="1:2" x14ac:dyDescent="0.25">
      <c r="A3" t="s">
        <v>4305</v>
      </c>
      <c r="B3" s="3">
        <f>COUNTIF('All Papers'!D:D,"*"&amp;Table2[[#This Row],[Name]]&amp;"*")</f>
        <v>101</v>
      </c>
    </row>
    <row r="4" spans="1:2" x14ac:dyDescent="0.25">
      <c r="A4" t="s">
        <v>4306</v>
      </c>
      <c r="B4" s="3">
        <f>COUNTIF('All Papers'!D:D,"*"&amp;Table2[[#This Row],[Name]]&amp;"*")</f>
        <v>92</v>
      </c>
    </row>
    <row r="5" spans="1:2" x14ac:dyDescent="0.25">
      <c r="A5" t="s">
        <v>4307</v>
      </c>
      <c r="B5" s="3">
        <f>COUNTIF('All Papers'!D:D,"*"&amp;Table2[[#This Row],[Name]]&amp;"*")</f>
        <v>79</v>
      </c>
    </row>
    <row r="6" spans="1:2" x14ac:dyDescent="0.25">
      <c r="A6" t="s">
        <v>4308</v>
      </c>
      <c r="B6" s="3">
        <f>COUNTIF('All Papers'!D:D,"*"&amp;Table2[[#This Row],[Name]]&amp;"*")</f>
        <v>52</v>
      </c>
    </row>
    <row r="7" spans="1:2" x14ac:dyDescent="0.25">
      <c r="A7" t="s">
        <v>4309</v>
      </c>
      <c r="B7" s="3">
        <f>COUNTIF('All Papers'!D:D,"*"&amp;Table2[[#This Row],[Name]]&amp;"*")</f>
        <v>47</v>
      </c>
    </row>
    <row r="8" spans="1:2" x14ac:dyDescent="0.25">
      <c r="A8" t="s">
        <v>4310</v>
      </c>
      <c r="B8" s="3">
        <f>COUNTIF('All Papers'!D:D,"*"&amp;Table2[[#This Row],[Name]]&amp;"*")</f>
        <v>41</v>
      </c>
    </row>
    <row r="9" spans="1:2" x14ac:dyDescent="0.25">
      <c r="A9" t="s">
        <v>4311</v>
      </c>
      <c r="B9" s="3">
        <f>COUNTIF('All Papers'!D:D,"*"&amp;Table2[[#This Row],[Name]]&amp;"*")</f>
        <v>39</v>
      </c>
    </row>
    <row r="10" spans="1:2" x14ac:dyDescent="0.25">
      <c r="A10" t="s">
        <v>4312</v>
      </c>
      <c r="B10" s="3">
        <f>COUNTIF('All Papers'!D:D,"*"&amp;Table2[[#This Row],[Name]]&amp;"*")</f>
        <v>38</v>
      </c>
    </row>
    <row r="11" spans="1:2" x14ac:dyDescent="0.25">
      <c r="A11" t="s">
        <v>4313</v>
      </c>
      <c r="B11" s="3">
        <f>COUNTIF('All Papers'!D:D,"*"&amp;Table2[[#This Row],[Name]]&amp;"*")</f>
        <v>32</v>
      </c>
    </row>
    <row r="12" spans="1:2" ht="15.75" thickBot="1" x14ac:dyDescent="0.3">
      <c r="A12" t="s">
        <v>4314</v>
      </c>
      <c r="B12" s="3">
        <f>COUNTIF('All Papers'!D:D,"*"&amp;Table2[[#This Row],[Name]]&amp;"*")</f>
        <v>33</v>
      </c>
    </row>
    <row r="13" spans="1:2" ht="15.75" thickBot="1" x14ac:dyDescent="0.3">
      <c r="A13" s="6" t="s">
        <v>2412</v>
      </c>
      <c r="B13" s="7">
        <f>SUM(B14:B67)</f>
        <v>289</v>
      </c>
    </row>
    <row r="14" spans="1:2" x14ac:dyDescent="0.25">
      <c r="A14" t="s">
        <v>4315</v>
      </c>
      <c r="B14" s="3">
        <f>COUNTIF('All Papers'!D:D,"*"&amp;Table2[[#This Row],[Name]]&amp;"*")</f>
        <v>16</v>
      </c>
    </row>
    <row r="15" spans="1:2" x14ac:dyDescent="0.25">
      <c r="A15" t="s">
        <v>4316</v>
      </c>
      <c r="B15" s="3">
        <f>COUNTIF('All Papers'!D:D,"*"&amp;Table2[[#This Row],[Name]]&amp;"*")</f>
        <v>15</v>
      </c>
    </row>
    <row r="16" spans="1:2" x14ac:dyDescent="0.25">
      <c r="A16" t="s">
        <v>4317</v>
      </c>
      <c r="B16" s="3">
        <f>COUNTIF('All Papers'!D:D,"*"&amp;Table2[[#This Row],[Name]]&amp;"*")</f>
        <v>15</v>
      </c>
    </row>
    <row r="17" spans="1:2" x14ac:dyDescent="0.25">
      <c r="A17" t="s">
        <v>4318</v>
      </c>
      <c r="B17" s="3">
        <f>COUNTIF('All Papers'!D:D,"*"&amp;Table2[[#This Row],[Name]]&amp;"*")</f>
        <v>14</v>
      </c>
    </row>
    <row r="18" spans="1:2" x14ac:dyDescent="0.25">
      <c r="A18" t="s">
        <v>4319</v>
      </c>
      <c r="B18" s="3">
        <f>COUNTIF('All Papers'!D:D,"*"&amp;Table2[[#This Row],[Name]]&amp;"*")</f>
        <v>14</v>
      </c>
    </row>
    <row r="19" spans="1:2" x14ac:dyDescent="0.25">
      <c r="A19" t="s">
        <v>4320</v>
      </c>
      <c r="B19" s="3">
        <f>COUNTIF('All Papers'!D:D,"*"&amp;Table2[[#This Row],[Name]]&amp;"*")</f>
        <v>14</v>
      </c>
    </row>
    <row r="20" spans="1:2" x14ac:dyDescent="0.25">
      <c r="A20" t="s">
        <v>4321</v>
      </c>
      <c r="B20" s="3">
        <f>COUNTIF('All Papers'!D:D,"*"&amp;Table2[[#This Row],[Name]]&amp;"*")</f>
        <v>12</v>
      </c>
    </row>
    <row r="21" spans="1:2" x14ac:dyDescent="0.25">
      <c r="A21" t="s">
        <v>4322</v>
      </c>
      <c r="B21" s="3">
        <f>COUNTIF('All Papers'!D:D,"*"&amp;Table2[[#This Row],[Name]]&amp;"*")</f>
        <v>12</v>
      </c>
    </row>
    <row r="22" spans="1:2" x14ac:dyDescent="0.25">
      <c r="A22" t="s">
        <v>4323</v>
      </c>
      <c r="B22" s="3">
        <f>COUNTIF('All Papers'!D:D,"*"&amp;Table2[[#This Row],[Name]]&amp;"*")</f>
        <v>11</v>
      </c>
    </row>
    <row r="23" spans="1:2" x14ac:dyDescent="0.25">
      <c r="A23" t="s">
        <v>4324</v>
      </c>
      <c r="B23" s="3">
        <f>COUNTIF('All Papers'!D:D,"*"&amp;Table2[[#This Row],[Name]]&amp;"*")</f>
        <v>11</v>
      </c>
    </row>
    <row r="24" spans="1:2" x14ac:dyDescent="0.25">
      <c r="A24" t="s">
        <v>4325</v>
      </c>
      <c r="B24" s="3">
        <f>COUNTIF('All Papers'!D:D,"*"&amp;Table2[[#This Row],[Name]]&amp;"*")</f>
        <v>10</v>
      </c>
    </row>
    <row r="25" spans="1:2" x14ac:dyDescent="0.25">
      <c r="A25" t="s">
        <v>4326</v>
      </c>
      <c r="B25" s="3">
        <f>COUNTIF('All Papers'!D:D,"*"&amp;Table2[[#This Row],[Name]]&amp;"*")</f>
        <v>9</v>
      </c>
    </row>
    <row r="26" spans="1:2" x14ac:dyDescent="0.25">
      <c r="A26" t="s">
        <v>4327</v>
      </c>
      <c r="B26" s="3">
        <f>COUNTIF('All Papers'!D:D,"*"&amp;Table2[[#This Row],[Name]]&amp;"*")</f>
        <v>9</v>
      </c>
    </row>
    <row r="27" spans="1:2" x14ac:dyDescent="0.25">
      <c r="A27" t="s">
        <v>4328</v>
      </c>
      <c r="B27" s="3">
        <f>COUNTIF('All Papers'!D:D,"*"&amp;Table2[[#This Row],[Name]]&amp;"*")</f>
        <v>8</v>
      </c>
    </row>
    <row r="28" spans="1:2" x14ac:dyDescent="0.25">
      <c r="A28" t="s">
        <v>4329</v>
      </c>
      <c r="B28" s="3">
        <f>COUNTIF('All Papers'!D:D,"*"&amp;Table2[[#This Row],[Name]]&amp;"*")</f>
        <v>8</v>
      </c>
    </row>
    <row r="29" spans="1:2" x14ac:dyDescent="0.25">
      <c r="A29" t="s">
        <v>4330</v>
      </c>
      <c r="B29" s="3">
        <f>COUNTIF('All Papers'!D:D,"*"&amp;Table2[[#This Row],[Name]]&amp;"*")</f>
        <v>7</v>
      </c>
    </row>
    <row r="30" spans="1:2" x14ac:dyDescent="0.25">
      <c r="A30" t="s">
        <v>4331</v>
      </c>
      <c r="B30" s="3">
        <f>COUNTIF('All Papers'!D:D,"*"&amp;Table2[[#This Row],[Name]]&amp;"*")</f>
        <v>7</v>
      </c>
    </row>
    <row r="31" spans="1:2" x14ac:dyDescent="0.25">
      <c r="A31" t="s">
        <v>4332</v>
      </c>
      <c r="B31" s="3">
        <f>COUNTIF('All Papers'!D:D,"*"&amp;Table2[[#This Row],[Name]]&amp;"*")</f>
        <v>6</v>
      </c>
    </row>
    <row r="32" spans="1:2" x14ac:dyDescent="0.25">
      <c r="A32" t="s">
        <v>4333</v>
      </c>
      <c r="B32" s="3">
        <f>COUNTIF('All Papers'!D:D,"*"&amp;Table2[[#This Row],[Name]]&amp;"*")</f>
        <v>6</v>
      </c>
    </row>
    <row r="33" spans="1:2" x14ac:dyDescent="0.25">
      <c r="A33" t="s">
        <v>4334</v>
      </c>
      <c r="B33" s="3">
        <f>COUNTIF('All Papers'!D:D,"*"&amp;Table2[[#This Row],[Name]]&amp;"*")</f>
        <v>5</v>
      </c>
    </row>
    <row r="34" spans="1:2" x14ac:dyDescent="0.25">
      <c r="A34" t="s">
        <v>4335</v>
      </c>
      <c r="B34" s="3">
        <f>COUNTIF('All Papers'!D:D,"*"&amp;Table2[[#This Row],[Name]]&amp;"*")</f>
        <v>5</v>
      </c>
    </row>
    <row r="35" spans="1:2" x14ac:dyDescent="0.25">
      <c r="A35" t="s">
        <v>4336</v>
      </c>
      <c r="B35" s="3">
        <f>COUNTIF('All Papers'!D:D,"*"&amp;Table2[[#This Row],[Name]]&amp;"*")</f>
        <v>5</v>
      </c>
    </row>
    <row r="36" spans="1:2" x14ac:dyDescent="0.25">
      <c r="A36" t="s">
        <v>4337</v>
      </c>
      <c r="B36" s="3">
        <f>COUNTIF('All Papers'!D:D,"*"&amp;Table2[[#This Row],[Name]]&amp;"*")</f>
        <v>5</v>
      </c>
    </row>
    <row r="37" spans="1:2" x14ac:dyDescent="0.25">
      <c r="A37" t="s">
        <v>4338</v>
      </c>
      <c r="B37" s="3">
        <f>COUNTIF('All Papers'!D:D,"*"&amp;Table2[[#This Row],[Name]]&amp;"*")</f>
        <v>4</v>
      </c>
    </row>
    <row r="38" spans="1:2" x14ac:dyDescent="0.25">
      <c r="A38" t="s">
        <v>4339</v>
      </c>
      <c r="B38" s="3">
        <f>COUNTIF('All Papers'!D:D,"*"&amp;Table2[[#This Row],[Name]]&amp;"*")</f>
        <v>4</v>
      </c>
    </row>
    <row r="39" spans="1:2" x14ac:dyDescent="0.25">
      <c r="A39" t="s">
        <v>4340</v>
      </c>
      <c r="B39" s="3">
        <f>COUNTIF('All Papers'!D:D,"*"&amp;Table2[[#This Row],[Name]]&amp;"*")</f>
        <v>4</v>
      </c>
    </row>
    <row r="40" spans="1:2" x14ac:dyDescent="0.25">
      <c r="A40" t="s">
        <v>4341</v>
      </c>
      <c r="B40" s="3">
        <f>COUNTIF('All Papers'!D:D,"*"&amp;Table2[[#This Row],[Name]]&amp;"*")</f>
        <v>4</v>
      </c>
    </row>
    <row r="41" spans="1:2" x14ac:dyDescent="0.25">
      <c r="A41" t="s">
        <v>4342</v>
      </c>
      <c r="B41" s="3">
        <f>COUNTIF('All Papers'!D:D,"*"&amp;Table2[[#This Row],[Name]]&amp;"*")</f>
        <v>4</v>
      </c>
    </row>
    <row r="42" spans="1:2" x14ac:dyDescent="0.25">
      <c r="A42" t="s">
        <v>4343</v>
      </c>
      <c r="B42" s="3">
        <f>COUNTIF('All Papers'!D:D,"*"&amp;Table2[[#This Row],[Name]]&amp;"*")</f>
        <v>4</v>
      </c>
    </row>
    <row r="43" spans="1:2" x14ac:dyDescent="0.25">
      <c r="A43" t="s">
        <v>4344</v>
      </c>
      <c r="B43" s="3">
        <f>COUNTIF('All Papers'!D:D,"*"&amp;Table2[[#This Row],[Name]]&amp;"*")</f>
        <v>4</v>
      </c>
    </row>
    <row r="44" spans="1:2" x14ac:dyDescent="0.25">
      <c r="A44" t="s">
        <v>4345</v>
      </c>
      <c r="B44" s="3">
        <f>COUNTIF('All Papers'!D:D,"*"&amp;Table2[[#This Row],[Name]]&amp;"*")</f>
        <v>4</v>
      </c>
    </row>
    <row r="45" spans="1:2" x14ac:dyDescent="0.25">
      <c r="A45" t="s">
        <v>4346</v>
      </c>
      <c r="B45" s="3">
        <f>COUNTIF('All Papers'!D:D,"*"&amp;Table2[[#This Row],[Name]]&amp;"*")</f>
        <v>3</v>
      </c>
    </row>
    <row r="46" spans="1:2" x14ac:dyDescent="0.25">
      <c r="A46" t="s">
        <v>4347</v>
      </c>
      <c r="B46" s="3">
        <f>COUNTIF('All Papers'!D:D,"*"&amp;Table2[[#This Row],[Name]]&amp;"*")</f>
        <v>3</v>
      </c>
    </row>
    <row r="47" spans="1:2" x14ac:dyDescent="0.25">
      <c r="A47" t="s">
        <v>4348</v>
      </c>
      <c r="B47" s="3">
        <f>COUNTIF('All Papers'!D:D,"*"&amp;Table2[[#This Row],[Name]]&amp;"*")</f>
        <v>3</v>
      </c>
    </row>
    <row r="48" spans="1:2" x14ac:dyDescent="0.25">
      <c r="A48" t="s">
        <v>4349</v>
      </c>
      <c r="B48" s="3">
        <f>COUNTIF('All Papers'!D:D,"*"&amp;Table2[[#This Row],[Name]]&amp;"*")</f>
        <v>2</v>
      </c>
    </row>
    <row r="49" spans="1:2" x14ac:dyDescent="0.25">
      <c r="A49" t="s">
        <v>4350</v>
      </c>
      <c r="B49" s="3">
        <f>COUNTIF('All Papers'!D:D,"*"&amp;Table2[[#This Row],[Name]]&amp;"*")</f>
        <v>2</v>
      </c>
    </row>
    <row r="50" spans="1:2" x14ac:dyDescent="0.25">
      <c r="A50" t="s">
        <v>4351</v>
      </c>
      <c r="B50" s="3">
        <f>COUNTIF('All Papers'!D:D,"*"&amp;Table2[[#This Row],[Name]]&amp;"*")</f>
        <v>2</v>
      </c>
    </row>
    <row r="51" spans="1:2" x14ac:dyDescent="0.25">
      <c r="A51" t="s">
        <v>4352</v>
      </c>
      <c r="B51" s="3">
        <f>COUNTIF('All Papers'!D:D,"*"&amp;Table2[[#This Row],[Name]]&amp;"*")</f>
        <v>1</v>
      </c>
    </row>
    <row r="52" spans="1:2" x14ac:dyDescent="0.25">
      <c r="A52" t="s">
        <v>4353</v>
      </c>
      <c r="B52" s="3">
        <f>COUNTIF('All Papers'!D:D,"*"&amp;Table2[[#This Row],[Name]]&amp;"*")</f>
        <v>2</v>
      </c>
    </row>
    <row r="53" spans="1:2" x14ac:dyDescent="0.25">
      <c r="A53" t="s">
        <v>4354</v>
      </c>
      <c r="B53" s="3">
        <f>COUNTIF('All Papers'!D:D,"*"&amp;Table2[[#This Row],[Name]]&amp;"*")</f>
        <v>1</v>
      </c>
    </row>
    <row r="54" spans="1:2" x14ac:dyDescent="0.25">
      <c r="A54" t="s">
        <v>4355</v>
      </c>
      <c r="B54" s="3">
        <f>COUNTIF('All Papers'!D:D,"*"&amp;Table2[[#This Row],[Name]]&amp;"*")</f>
        <v>1</v>
      </c>
    </row>
    <row r="55" spans="1:2" x14ac:dyDescent="0.25">
      <c r="A55" t="s">
        <v>4356</v>
      </c>
      <c r="B55" s="3">
        <f>COUNTIF('All Papers'!D:D,"*"&amp;Table2[[#This Row],[Name]]&amp;"*")</f>
        <v>1</v>
      </c>
    </row>
    <row r="56" spans="1:2" x14ac:dyDescent="0.25">
      <c r="A56" t="s">
        <v>4357</v>
      </c>
      <c r="B56" s="3">
        <f>COUNTIF('All Papers'!D:D,"*"&amp;Table2[[#This Row],[Name]]&amp;"*")</f>
        <v>1</v>
      </c>
    </row>
    <row r="57" spans="1:2" x14ac:dyDescent="0.25">
      <c r="A57" t="s">
        <v>4358</v>
      </c>
      <c r="B57" s="3">
        <f>COUNTIF('All Papers'!D:D,"*"&amp;Table2[[#This Row],[Name]]&amp;"*")</f>
        <v>1</v>
      </c>
    </row>
    <row r="58" spans="1:2" x14ac:dyDescent="0.25">
      <c r="A58" t="s">
        <v>4359</v>
      </c>
      <c r="B58" s="3">
        <f>COUNTIF('All Papers'!D:D,"*"&amp;Table2[[#This Row],[Name]]&amp;"*")</f>
        <v>1</v>
      </c>
    </row>
    <row r="59" spans="1:2" x14ac:dyDescent="0.25">
      <c r="A59" t="s">
        <v>4360</v>
      </c>
      <c r="B59" s="3">
        <f>COUNTIF('All Papers'!D:D,"*"&amp;Table2[[#This Row],[Name]]&amp;"*")</f>
        <v>1</v>
      </c>
    </row>
    <row r="60" spans="1:2" x14ac:dyDescent="0.25">
      <c r="A60" t="s">
        <v>4361</v>
      </c>
      <c r="B60" s="3">
        <f>COUNTIF('All Papers'!D:D,"*"&amp;Table2[[#This Row],[Name]]&amp;"*")</f>
        <v>1</v>
      </c>
    </row>
    <row r="61" spans="1:2" x14ac:dyDescent="0.25">
      <c r="A61" t="s">
        <v>4362</v>
      </c>
      <c r="B61" s="3">
        <f>COUNTIF('All Papers'!D:D,"*"&amp;Table2[[#This Row],[Name]]&amp;"*")</f>
        <v>1</v>
      </c>
    </row>
    <row r="62" spans="1:2" x14ac:dyDescent="0.25">
      <c r="A62" t="s">
        <v>4363</v>
      </c>
      <c r="B62" s="3">
        <f>COUNTIF('All Papers'!D:D,"*"&amp;Table2[[#This Row],[Name]]&amp;"*")</f>
        <v>1</v>
      </c>
    </row>
    <row r="63" spans="1:2" x14ac:dyDescent="0.25">
      <c r="A63" t="s">
        <v>4364</v>
      </c>
      <c r="B63" s="3">
        <f>COUNTIF('All Papers'!D:D,"*"&amp;Table2[[#This Row],[Name]]&amp;"*")</f>
        <v>1</v>
      </c>
    </row>
    <row r="64" spans="1:2" x14ac:dyDescent="0.25">
      <c r="A64" t="s">
        <v>4365</v>
      </c>
      <c r="B64" s="3">
        <f>COUNTIF('All Papers'!D:D,"*"&amp;Table2[[#This Row],[Name]]&amp;"*")</f>
        <v>1</v>
      </c>
    </row>
    <row r="65" spans="1:2" x14ac:dyDescent="0.25">
      <c r="A65" t="s">
        <v>4366</v>
      </c>
      <c r="B65" s="3">
        <f>COUNTIF('All Papers'!D:D,"*"&amp;Table2[[#This Row],[Name]]&amp;"*")</f>
        <v>1</v>
      </c>
    </row>
    <row r="66" spans="1:2" x14ac:dyDescent="0.25">
      <c r="A66" t="s">
        <v>4367</v>
      </c>
      <c r="B66" s="3">
        <f>COUNTIF('All Papers'!D:D,"*"&amp;Table2[[#This Row],[Name]]&amp;"*")</f>
        <v>1</v>
      </c>
    </row>
    <row r="67" spans="1:2" x14ac:dyDescent="0.25">
      <c r="A67" t="s">
        <v>4368</v>
      </c>
      <c r="B67" s="3">
        <f>COUNTIF('All Papers'!D:D,"*"&amp;Table2[[#This Row],[Name]]&amp;"*")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08A7-B524-4E19-9ABB-D11C5EFB6BC0}">
  <dimension ref="A1:G14"/>
  <sheetViews>
    <sheetView workbookViewId="0">
      <selection activeCell="B12" sqref="B12"/>
    </sheetView>
  </sheetViews>
  <sheetFormatPr defaultRowHeight="15" x14ac:dyDescent="0.25"/>
  <cols>
    <col min="1" max="1" width="31.5703125" customWidth="1"/>
    <col min="3" max="3" width="18.85546875" customWidth="1"/>
    <col min="4" max="4" width="22.42578125" customWidth="1"/>
    <col min="5" max="5" width="20.7109375" customWidth="1"/>
  </cols>
  <sheetData>
    <row r="1" spans="1:7" x14ac:dyDescent="0.25">
      <c r="A1" s="58" t="s">
        <v>2390</v>
      </c>
      <c r="B1" s="58" t="s">
        <v>2391</v>
      </c>
      <c r="C1" s="56" t="s">
        <v>2392</v>
      </c>
    </row>
    <row r="2" spans="1:7" x14ac:dyDescent="0.25">
      <c r="A2" s="44"/>
      <c r="B2" s="44"/>
      <c r="C2" s="44"/>
    </row>
    <row r="3" spans="1:7" x14ac:dyDescent="0.25">
      <c r="A3" s="55" t="s">
        <v>1054</v>
      </c>
      <c r="B3" s="56">
        <f>COUNTIF('All Papers'!G:G, "*Composition*")</f>
        <v>147</v>
      </c>
      <c r="C3" s="44">
        <f>B3/(COUNTA('All Papers'!A:A)-1)</f>
        <v>0.23186119873817035</v>
      </c>
      <c r="D3" s="4">
        <v>0.23</v>
      </c>
    </row>
    <row r="4" spans="1:7" x14ac:dyDescent="0.25">
      <c r="A4" s="55" t="s">
        <v>1080</v>
      </c>
      <c r="B4" s="56">
        <f>COUNTIF('All Papers'!G:G, "*Discovery*")</f>
        <v>43</v>
      </c>
      <c r="C4" s="44">
        <f>B4/(COUNTA('All Papers'!A:A)-1)</f>
        <v>6.7823343848580436E-2</v>
      </c>
      <c r="D4" s="4">
        <v>7.0000000000000007E-2</v>
      </c>
    </row>
    <row r="5" spans="1:7" x14ac:dyDescent="0.25">
      <c r="A5" s="50" t="s">
        <v>1028</v>
      </c>
      <c r="B5" s="56">
        <f>COUNTIF('All Papers'!G:G, "*Selection*")</f>
        <v>143</v>
      </c>
      <c r="C5" s="44">
        <f>B5/(COUNTA('All Papers'!A:A)-1)</f>
        <v>0.22555205047318613</v>
      </c>
      <c r="D5" s="4">
        <v>0.22</v>
      </c>
      <c r="E5" t="s">
        <v>2393</v>
      </c>
      <c r="F5" s="3">
        <f>SUM(B3:B7)</f>
        <v>544</v>
      </c>
      <c r="G5">
        <f>F5/(COUNTA('All Papers'!A:A)-1)</f>
        <v>0.85804416403785488</v>
      </c>
    </row>
    <row r="6" spans="1:7" x14ac:dyDescent="0.25">
      <c r="A6" s="50" t="s">
        <v>1062</v>
      </c>
      <c r="B6" s="56">
        <f>COUNTIF('All Papers'!G:G, "*Recommendation*")</f>
        <v>18</v>
      </c>
      <c r="C6" s="44">
        <f>B6/(COUNTA('All Papers'!A:A)-1)</f>
        <v>2.8391167192429023E-2</v>
      </c>
      <c r="D6" s="4">
        <v>0.03</v>
      </c>
      <c r="F6" s="3"/>
    </row>
    <row r="7" spans="1:7" x14ac:dyDescent="0.25">
      <c r="A7" s="50" t="s">
        <v>2407</v>
      </c>
      <c r="B7" s="56">
        <f>COUNTIF('All Papers'!G:G, "*Resource Management-CS*")</f>
        <v>193</v>
      </c>
      <c r="C7" s="44">
        <f>B7/(COUNTA('All Papers'!A:A)-1)</f>
        <v>0.30441640378548895</v>
      </c>
      <c r="D7" s="4">
        <v>0.31</v>
      </c>
      <c r="F7" s="3"/>
    </row>
    <row r="8" spans="1:7" x14ac:dyDescent="0.25">
      <c r="A8" s="44"/>
      <c r="B8" s="44"/>
      <c r="C8" s="44"/>
      <c r="F8" s="3"/>
    </row>
    <row r="9" spans="1:7" x14ac:dyDescent="0.25">
      <c r="A9" s="50" t="s">
        <v>1164</v>
      </c>
      <c r="B9" s="56">
        <f>COUNTIF('All Papers'!G:G, "*Energy Management*")</f>
        <v>16</v>
      </c>
      <c r="C9" s="44">
        <f>B9/(COUNTA('All Papers'!A:A)-1)</f>
        <v>2.5236593059936908E-2</v>
      </c>
      <c r="D9" s="4">
        <v>0.03</v>
      </c>
    </row>
    <row r="10" spans="1:7" x14ac:dyDescent="0.25">
      <c r="A10" s="50" t="s">
        <v>2408</v>
      </c>
      <c r="B10" s="56">
        <f>COUNTIF('All Papers'!G:G, "*Resource Management-PS*")</f>
        <v>95</v>
      </c>
      <c r="C10" s="44">
        <f>B10/(COUNTA('All Papers'!A:A)-1)</f>
        <v>0.14984227129337541</v>
      </c>
      <c r="D10" s="4">
        <v>0.15</v>
      </c>
      <c r="F10" s="3"/>
    </row>
    <row r="11" spans="1:7" x14ac:dyDescent="0.25">
      <c r="A11" s="57" t="s">
        <v>1174</v>
      </c>
      <c r="B11" s="56">
        <f>COUNTIF('All Papers'!G:G, "*Big Data*")</f>
        <v>9</v>
      </c>
      <c r="C11" s="44">
        <f>B11/(COUNTA('All Papers'!A:A)-1)</f>
        <v>1.4195583596214511E-2</v>
      </c>
      <c r="D11" s="4">
        <v>0.01</v>
      </c>
      <c r="E11" t="s">
        <v>2394</v>
      </c>
      <c r="F11" s="3">
        <f>SUM(B9:B14)</f>
        <v>243</v>
      </c>
      <c r="G11">
        <f>F11/(COUNTA('All Papers'!A:A)-1)</f>
        <v>0.3832807570977918</v>
      </c>
    </row>
    <row r="12" spans="1:7" x14ac:dyDescent="0.25">
      <c r="A12" s="50" t="s">
        <v>1215</v>
      </c>
      <c r="B12" s="56">
        <f>COUNTIF('All Papers'!G:G, "*SLA Management*")</f>
        <v>35</v>
      </c>
      <c r="C12" s="44">
        <f>B12/(COUNTA('All Papers'!A:A)-1)</f>
        <v>5.5205047318611984E-2</v>
      </c>
      <c r="D12" s="4">
        <v>0.05</v>
      </c>
      <c r="F12" s="3"/>
    </row>
    <row r="13" spans="1:7" x14ac:dyDescent="0.25">
      <c r="A13" s="50" t="s">
        <v>1094</v>
      </c>
      <c r="B13" s="56">
        <f>COUNTIF('All Papers'!G:G, "*Monitoring*")</f>
        <v>37</v>
      </c>
      <c r="C13" s="44">
        <f>B13/(COUNTA('All Papers'!A:A)-1)</f>
        <v>5.8359621451104099E-2</v>
      </c>
      <c r="D13" s="4">
        <v>0.06</v>
      </c>
    </row>
    <row r="14" spans="1:7" x14ac:dyDescent="0.25">
      <c r="A14" s="57" t="s">
        <v>1066</v>
      </c>
      <c r="B14" s="56">
        <f>COUNTIF('All Papers'!G:G, "*Pricing*")</f>
        <v>51</v>
      </c>
      <c r="C14" s="44">
        <f>B14/(COUNTA('All Papers'!A:A)-1)</f>
        <v>8.0441640378548895E-2</v>
      </c>
      <c r="D14" s="4">
        <v>0.08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4A59-B1B7-4DEC-8A8F-C2C464F89816}">
  <dimension ref="A1:O3"/>
  <sheetViews>
    <sheetView workbookViewId="0">
      <selection activeCell="F2" sqref="F2"/>
    </sheetView>
  </sheetViews>
  <sheetFormatPr defaultRowHeight="15" x14ac:dyDescent="0.25"/>
  <cols>
    <col min="1" max="1" width="18.5703125" customWidth="1"/>
  </cols>
  <sheetData>
    <row r="1" spans="1:15" x14ac:dyDescent="0.25">
      <c r="A1" t="s">
        <v>4406</v>
      </c>
      <c r="B1" s="3" t="s">
        <v>4393</v>
      </c>
      <c r="C1" s="3" t="s">
        <v>4394</v>
      </c>
      <c r="D1" s="3" t="s">
        <v>4395</v>
      </c>
      <c r="E1" s="3" t="s">
        <v>4396</v>
      </c>
      <c r="F1" s="3" t="s">
        <v>4397</v>
      </c>
      <c r="G1" s="3" t="s">
        <v>4392</v>
      </c>
      <c r="H1" s="3" t="s">
        <v>4398</v>
      </c>
      <c r="I1" s="3" t="s">
        <v>4399</v>
      </c>
      <c r="J1" s="3" t="s">
        <v>4400</v>
      </c>
      <c r="K1" s="3" t="s">
        <v>4401</v>
      </c>
      <c r="L1" s="3" t="s">
        <v>4402</v>
      </c>
      <c r="M1" s="3" t="s">
        <v>4403</v>
      </c>
      <c r="N1" s="3" t="s">
        <v>4404</v>
      </c>
      <c r="O1" s="3" t="s">
        <v>4405</v>
      </c>
    </row>
    <row r="2" spans="1:15" x14ac:dyDescent="0.25">
      <c r="A2" t="s">
        <v>2396</v>
      </c>
      <c r="B2" s="3">
        <f>COUNTIF('Journal Papers'!C:C,"2009")</f>
        <v>2</v>
      </c>
      <c r="C2" s="3">
        <f>COUNTIF('Journal Papers'!C:C,"2010")</f>
        <v>1</v>
      </c>
      <c r="D2" s="3">
        <f>COUNTIF('Journal Papers'!C:C,"2011")</f>
        <v>3</v>
      </c>
      <c r="E2" s="3">
        <f>COUNTIF('Journal Papers'!C:C,"2012")</f>
        <v>17</v>
      </c>
      <c r="F2" s="3">
        <f>COUNTIF('Journal Papers'!C:C,"2013")</f>
        <v>17</v>
      </c>
      <c r="G2" s="3">
        <f>COUNTIF('Journal Papers'!C:C,"2014")</f>
        <v>25</v>
      </c>
      <c r="H2" s="3">
        <f>COUNTIF('Journal Papers'!C:C,"2015")</f>
        <v>33</v>
      </c>
      <c r="I2" s="3">
        <f>COUNTIF('Journal Papers'!C:C,"2016")</f>
        <v>35</v>
      </c>
      <c r="J2" s="3">
        <f>COUNTIF('Journal Papers'!C:C,"2017")</f>
        <v>50</v>
      </c>
      <c r="K2" s="3">
        <f>COUNTIF('Journal Papers'!C:C,"2018")</f>
        <v>70</v>
      </c>
      <c r="L2" s="3">
        <f>COUNTIF('Journal Papers'!C:C,"2019")</f>
        <v>70</v>
      </c>
      <c r="M2" s="3">
        <f>COUNTIF('Journal Papers'!C:C,"2020")</f>
        <v>29</v>
      </c>
      <c r="N2" s="3">
        <f>COUNTIF('Journal Papers'!C:C,"2021")</f>
        <v>36</v>
      </c>
      <c r="O2" s="3">
        <f>COUNTIF('Journal Papers'!C:C,"2022")</f>
        <v>38</v>
      </c>
    </row>
    <row r="3" spans="1:15" x14ac:dyDescent="0.25">
      <c r="A3" t="s">
        <v>2395</v>
      </c>
      <c r="B3" s="3">
        <f>COUNTIF('Conference Papers'!C:C,"2009")</f>
        <v>2</v>
      </c>
      <c r="C3" s="3">
        <f>COUNTIF('Conference Papers'!C:C,"2010")</f>
        <v>6</v>
      </c>
      <c r="D3" s="3">
        <f>COUNTIF('Conference Papers'!C:C,"2011")</f>
        <v>7</v>
      </c>
      <c r="E3" s="3">
        <f>COUNTIF('Conference Papers'!C:C,"2012")</f>
        <v>18</v>
      </c>
      <c r="F3" s="3">
        <f>COUNTIF('Conference Papers'!C:C,"2013")</f>
        <v>25</v>
      </c>
      <c r="G3" s="3">
        <f>COUNTIF('Conference Papers'!C:C,"2014")</f>
        <v>34</v>
      </c>
      <c r="H3" s="3">
        <f>COUNTIF('Conference Papers'!C:C,"2015")</f>
        <v>30</v>
      </c>
      <c r="I3" s="3">
        <f>COUNTIF('Conference Papers'!C:C,"2016")</f>
        <v>20</v>
      </c>
      <c r="J3" s="3">
        <f>COUNTIF('Conference Papers'!C:C,"2017")</f>
        <v>15</v>
      </c>
      <c r="K3" s="3">
        <f>COUNTIF('Conference Papers'!C:C,"2018")</f>
        <v>13</v>
      </c>
      <c r="L3" s="3">
        <f>COUNTIF('Conference Papers'!C:C,"2019")</f>
        <v>22</v>
      </c>
      <c r="M3" s="3">
        <f>COUNTIF('Conference Papers'!C:C,"2020")</f>
        <v>4</v>
      </c>
      <c r="N3" s="3">
        <f>COUNTIF('Conference Papers'!C:C,"2021")</f>
        <v>6</v>
      </c>
      <c r="O3" s="3">
        <f>COUNTIF('Conference Papers'!C:C,"2022")</f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Journal Papers</vt:lpstr>
      <vt:lpstr>Journals</vt:lpstr>
      <vt:lpstr>Conference Papers</vt:lpstr>
      <vt:lpstr>Conferences</vt:lpstr>
      <vt:lpstr>All Papers</vt:lpstr>
      <vt:lpstr>Authors</vt:lpstr>
      <vt:lpstr>Countries</vt:lpstr>
      <vt:lpstr>Topics</vt:lpstr>
      <vt:lpstr>Year</vt:lpstr>
      <vt:lpstr>Topics-Year</vt:lpstr>
      <vt:lpstr>Emperical Evaluation</vt:lpstr>
      <vt:lpstr>Techniques</vt:lpstr>
      <vt:lpstr>NIST roles</vt:lpstr>
      <vt:lpstr>Topics-NIST</vt:lpstr>
      <vt:lpstr>Service Layer</vt:lpstr>
      <vt:lpstr>Control Topology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saeid abrishami</cp:lastModifiedBy>
  <cp:revision/>
  <dcterms:created xsi:type="dcterms:W3CDTF">2015-06-05T18:17:20Z</dcterms:created>
  <dcterms:modified xsi:type="dcterms:W3CDTF">2024-06-30T12:11:13Z</dcterms:modified>
  <cp:category/>
  <cp:contentStatus/>
</cp:coreProperties>
</file>