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izza\Desktop\"/>
    </mc:Choice>
  </mc:AlternateContent>
  <bookViews>
    <workbookView xWindow="0" yWindow="495" windowWidth="28800" windowHeight="17505"/>
  </bookViews>
  <sheets>
    <sheet name="Автоматизированный расчет" sheetId="3" r:id="rId1"/>
    <sheet name="Соответствие" sheetId="4" r:id="rId2"/>
    <sheet name="SummaryReport" sheetId="5" r:id="rId3"/>
    <sheet name="Шаблоны соотвествие профилю" sheetId="2" r:id="rId4"/>
  </sheets>
  <calcPr calcId="162913"/>
  <pivotCaches>
    <pivotCache cacheId="58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3" l="1"/>
  <c r="D18" i="3"/>
  <c r="E18" i="3"/>
  <c r="F18" i="3" s="1"/>
  <c r="W2" i="3"/>
  <c r="H18" i="3" l="1"/>
  <c r="C35" i="3"/>
  <c r="S6" i="3"/>
  <c r="D24" i="3"/>
  <c r="E24" i="3"/>
  <c r="F24" i="3" s="1"/>
  <c r="E19" i="3"/>
  <c r="F19" i="3" s="1"/>
  <c r="E20" i="3"/>
  <c r="F20" i="3" s="1"/>
  <c r="E21" i="3"/>
  <c r="F21" i="3" s="1"/>
  <c r="E22" i="3"/>
  <c r="F22" i="3" s="1"/>
  <c r="E23" i="3"/>
  <c r="F23" i="3" s="1"/>
  <c r="D19" i="3"/>
  <c r="D20" i="3"/>
  <c r="D21" i="3"/>
  <c r="D22" i="3"/>
  <c r="D23" i="3"/>
  <c r="H22" i="3" l="1"/>
  <c r="H24" i="3"/>
  <c r="H21" i="3"/>
  <c r="H20" i="3"/>
  <c r="H23" i="3"/>
  <c r="H19" i="3"/>
  <c r="E3" i="3"/>
  <c r="F3" i="3" s="1"/>
  <c r="E4" i="3"/>
  <c r="F4" i="3" s="1"/>
  <c r="E5" i="3"/>
  <c r="F5" i="3" s="1"/>
  <c r="E6" i="3"/>
  <c r="F6" i="3" s="1"/>
  <c r="E7" i="3"/>
  <c r="F7" i="3" s="1"/>
  <c r="E8" i="3"/>
  <c r="F8" i="3" s="1"/>
  <c r="D3" i="3"/>
  <c r="D4" i="3"/>
  <c r="D5" i="3"/>
  <c r="D6" i="3"/>
  <c r="D7" i="3"/>
  <c r="D8" i="3"/>
  <c r="H8" i="3" l="1"/>
  <c r="H7" i="3"/>
  <c r="H3" i="3"/>
  <c r="H5" i="3"/>
  <c r="H6" i="3"/>
  <c r="H4" i="3"/>
  <c r="B49" i="3"/>
  <c r="B50" i="3"/>
  <c r="B51" i="3"/>
  <c r="B52" i="3"/>
  <c r="B53" i="3"/>
  <c r="D49" i="3"/>
  <c r="F49" i="3" s="1"/>
  <c r="D35" i="3" l="1"/>
  <c r="G35" i="3"/>
  <c r="A3" i="4"/>
  <c r="A4" i="4"/>
  <c r="A5" i="4"/>
  <c r="A6" i="4"/>
  <c r="A7" i="4"/>
  <c r="A8" i="4"/>
  <c r="A9" i="4"/>
  <c r="A10" i="4"/>
  <c r="A11" i="4"/>
  <c r="A12" i="4"/>
  <c r="A13" i="4"/>
  <c r="A2" i="4"/>
  <c r="F44" i="3" l="1"/>
  <c r="F36" i="3"/>
  <c r="H36" i="3" s="1"/>
  <c r="F33" i="3"/>
  <c r="H33" i="3" s="1"/>
  <c r="F42" i="3"/>
  <c r="F37" i="3"/>
  <c r="H37" i="3" s="1"/>
  <c r="F43" i="3"/>
  <c r="F38" i="3"/>
  <c r="H38" i="3" s="1"/>
  <c r="F34" i="3"/>
  <c r="F41" i="3"/>
  <c r="H41" i="3" s="1"/>
  <c r="F40" i="3"/>
  <c r="H40" i="3" s="1"/>
  <c r="F39" i="3"/>
  <c r="H39" i="3" s="1"/>
  <c r="F35" i="3"/>
  <c r="H35" i="3" s="1"/>
  <c r="E2" i="3"/>
  <c r="F2" i="3" s="1"/>
  <c r="D2" i="3"/>
  <c r="D50" i="3"/>
  <c r="D51" i="3"/>
  <c r="H51" i="3" s="1"/>
  <c r="D52" i="3"/>
  <c r="H52" i="3" s="1"/>
  <c r="D53" i="3"/>
  <c r="C36" i="3"/>
  <c r="C43" i="3"/>
  <c r="C33" i="3"/>
  <c r="H2" i="3" l="1"/>
  <c r="C42" i="3"/>
  <c r="C39" i="3"/>
  <c r="C38" i="3"/>
  <c r="C40" i="3"/>
  <c r="C34" i="3"/>
  <c r="C44" i="3"/>
  <c r="C37" i="3"/>
  <c r="C41" i="3"/>
  <c r="G41" i="3" l="1"/>
  <c r="I41" i="3" s="1"/>
  <c r="G44" i="3"/>
  <c r="G40" i="3"/>
  <c r="G39" i="3"/>
  <c r="G37" i="3"/>
  <c r="G34" i="3"/>
  <c r="G38" i="3"/>
  <c r="G42" i="3"/>
  <c r="I42" i="3" s="1"/>
  <c r="G33" i="3"/>
  <c r="G43" i="3"/>
  <c r="I43" i="3" s="1"/>
  <c r="G36" i="3"/>
  <c r="F53" i="3"/>
  <c r="G53" i="3" s="1"/>
  <c r="F51" i="3"/>
  <c r="F52" i="3"/>
  <c r="G49" i="3"/>
  <c r="H49" i="3" s="1"/>
  <c r="I56" i="3"/>
  <c r="F50" i="3"/>
  <c r="G50" i="3" s="1"/>
  <c r="I55" i="3"/>
  <c r="B45" i="3"/>
  <c r="D9" i="3"/>
  <c r="D25" i="3"/>
  <c r="E25" i="3"/>
  <c r="F25" i="3" s="1"/>
  <c r="D14" i="3"/>
  <c r="H53" i="3" l="1"/>
  <c r="I57" i="3" s="1"/>
  <c r="H50" i="3"/>
  <c r="I54" i="3" s="1"/>
  <c r="I53" i="3"/>
  <c r="G54" i="3"/>
  <c r="D42" i="3"/>
  <c r="D33" i="3"/>
  <c r="D43" i="3"/>
  <c r="D44" i="3"/>
  <c r="H25" i="3"/>
  <c r="D15" i="3"/>
  <c r="D17" i="3"/>
  <c r="D16" i="3"/>
  <c r="D26" i="3"/>
  <c r="D27" i="3"/>
  <c r="D28" i="3"/>
  <c r="V3" i="3" l="1"/>
  <c r="P3" i="3"/>
  <c r="E11" i="3" l="1"/>
  <c r="E9" i="3"/>
  <c r="F9" i="3" s="1"/>
  <c r="H9" i="3" s="1"/>
  <c r="P2" i="3"/>
  <c r="V2" i="3"/>
  <c r="S2" i="3"/>
  <c r="U2" i="3" s="1"/>
  <c r="S5" i="3"/>
  <c r="S3" i="3"/>
  <c r="U3" i="3" s="1"/>
  <c r="D11" i="3" s="1"/>
  <c r="E14" i="3" l="1"/>
  <c r="F14" i="3" s="1"/>
  <c r="H14" i="3" s="1"/>
  <c r="S4" i="3"/>
  <c r="U4" i="3" s="1"/>
  <c r="I33" i="3"/>
  <c r="D34" i="3"/>
  <c r="U5" i="3"/>
  <c r="U6" i="3" s="1"/>
  <c r="I36" i="3"/>
  <c r="E28" i="3"/>
  <c r="F28" i="3" s="1"/>
  <c r="D13" i="3"/>
  <c r="D10" i="3"/>
  <c r="D12" i="3"/>
  <c r="E13" i="3"/>
  <c r="F13" i="3" s="1"/>
  <c r="E27" i="3"/>
  <c r="F27" i="3" s="1"/>
  <c r="E17" i="3"/>
  <c r="F17" i="3" s="1"/>
  <c r="E12" i="3"/>
  <c r="F12" i="3" s="1"/>
  <c r="E26" i="3"/>
  <c r="E16" i="3"/>
  <c r="E15" i="3"/>
  <c r="F15" i="3" s="1"/>
  <c r="E10" i="3"/>
  <c r="F10" i="3" s="1"/>
  <c r="D37" i="3"/>
  <c r="V4" i="3"/>
  <c r="V5" i="3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V6" i="3" l="1"/>
  <c r="F26" i="3"/>
  <c r="H26" i="3" s="1"/>
  <c r="F11" i="3"/>
  <c r="H11" i="3" s="1"/>
  <c r="F16" i="3"/>
  <c r="H16" i="3" s="1"/>
  <c r="C45" i="3"/>
  <c r="I44" i="3" s="1"/>
  <c r="D40" i="3"/>
  <c r="I39" i="3"/>
  <c r="I40" i="3"/>
  <c r="D41" i="3"/>
  <c r="I34" i="3"/>
  <c r="D36" i="3"/>
  <c r="I37" i="3"/>
  <c r="D38" i="3"/>
  <c r="D39" i="3"/>
  <c r="I38" i="3"/>
  <c r="H28" i="3"/>
  <c r="H13" i="3"/>
  <c r="H27" i="3"/>
  <c r="H17" i="3"/>
  <c r="H12" i="3"/>
  <c r="H10" i="3"/>
  <c r="H15" i="3"/>
  <c r="I40" i="2"/>
  <c r="I44" i="2"/>
  <c r="I41" i="2"/>
  <c r="I32" i="2"/>
  <c r="I31" i="2"/>
  <c r="I30" i="2"/>
  <c r="I29" i="2"/>
  <c r="I28" i="2"/>
  <c r="I27" i="2"/>
  <c r="I26" i="2"/>
  <c r="D45" i="3" l="1"/>
</calcChain>
</file>

<file path=xl/comments1.xml><?xml version="1.0" encoding="utf-8"?>
<comments xmlns="http://schemas.openxmlformats.org/spreadsheetml/2006/main">
  <authors>
    <author>Microsoft Office User</author>
  </authors>
  <commentList>
    <comment ref="N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<sst xmlns="http://schemas.openxmlformats.org/spreadsheetml/2006/main" count="256" uniqueCount="117">
  <si>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</si>
  <si>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</si>
  <si>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</si>
  <si>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</si>
  <si>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</si>
  <si>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</si>
  <si>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</si>
  <si>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</si>
  <si>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</si>
  <si>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</si>
  <si>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</si>
  <si>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</si>
  <si>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</si>
  <si>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</si>
  <si>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</si>
  <si>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</si>
  <si>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</si>
  <si>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</si>
  <si>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</si>
  <si>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</si>
  <si>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</si>
  <si>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</si>
  <si>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</si>
  <si>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</si>
  <si>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</si>
  <si>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</si>
  <si>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</si>
  <si>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</si>
  <si>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</si>
  <si>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</si>
  <si>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</si>
  <si>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</si>
  <si>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</si>
  <si>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</si>
  <si>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</si>
  <si>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</si>
  <si>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</si>
  <si>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</si>
  <si>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</si>
  <si>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</si>
  <si>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</si>
  <si>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</si>
  <si>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</si>
  <si>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</si>
  <si>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</si>
  <si>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</si>
  <si>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</si>
  <si>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</si>
  <si>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</si>
  <si>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</si>
  <si>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</si>
  <si>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</si>
  <si>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</si>
  <si>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</si>
  <si>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</si>
  <si>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</si>
  <si>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Duration + Thin_time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</si>
  <si>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</si>
  <si>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</si>
  <si>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</si>
  <si>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</si>
  <si>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</si>
  <si>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</si>
  <si>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</si>
  <si>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</si>
  <si>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</si>
  <si>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</si>
  <si>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</si>
  <si>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Поиск билета без покупки</t>
  </si>
  <si>
    <t>Покупка билет</t>
  </si>
  <si>
    <t>Логин и логоут</t>
  </si>
  <si>
    <t>Удаление юрони</t>
  </si>
  <si>
    <t>Поиск билета</t>
  </si>
  <si>
    <t>Просмотр текущих бронирований</t>
  </si>
  <si>
    <t>Кол-во в минуту</t>
  </si>
  <si>
    <t>vu</t>
  </si>
  <si>
    <t>мин</t>
  </si>
  <si>
    <t>округл</t>
  </si>
  <si>
    <t>pacing сек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</si>
  <si>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</si>
  <si>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</si>
  <si>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</si>
  <si>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</si>
  <si>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Имя в статистике</t>
  </si>
  <si>
    <t>Имя в скрипте</t>
  </si>
  <si>
    <t>open_home_page</t>
  </si>
  <si>
    <t>SLA Status</t>
  </si>
  <si>
    <t>Minimum</t>
  </si>
  <si>
    <t>Average</t>
  </si>
  <si>
    <t>Maximum</t>
  </si>
  <si>
    <t>Std. Deviation</t>
  </si>
  <si>
    <t>90 Percent</t>
  </si>
  <si>
    <t>choose_flight</t>
  </si>
  <si>
    <t>No Data</t>
  </si>
  <si>
    <t>click_flights</t>
  </si>
  <si>
    <t>click_itinerary</t>
  </si>
  <si>
    <t>click_sign_off</t>
  </si>
  <si>
    <t>click_sign_up_now</t>
  </si>
  <si>
    <t>customer_profile</t>
  </si>
  <si>
    <t>delete_ticket</t>
  </si>
  <si>
    <t>fill_payment_details</t>
  </si>
  <si>
    <t>find_flight</t>
  </si>
  <si>
    <t>open_site</t>
  </si>
  <si>
    <t>UC01_registration</t>
  </si>
  <si>
    <t>UC02_BuyTicket</t>
  </si>
  <si>
    <t>UC03_ViewItinerary</t>
  </si>
  <si>
    <t>UC04_DeleteTicket</t>
  </si>
  <si>
    <t>UC05_BuyTicket_without_payment</t>
  </si>
  <si>
    <t>UC06_BuyTicket_without_view_receipt</t>
  </si>
  <si>
    <t>ScriptName</t>
  </si>
  <si>
    <t>Операций 20 мин</t>
  </si>
  <si>
    <t>Статистика операций 20 мин</t>
  </si>
  <si>
    <t xml:space="preserve">Переход на страницу поиска билетов </t>
  </si>
  <si>
    <t>Home_Page</t>
  </si>
  <si>
    <t>Login</t>
  </si>
  <si>
    <t>Find_Flight</t>
  </si>
  <si>
    <t>Click_Flights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</si>
</sst>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6" borderId="6" applyNumberFormat="0" applyAlignment="0" applyProtection="0"/>
    <xf numFmtId="0" fontId="18" fillId="7" borderId="7" applyNumberFormat="0" applyAlignment="0" applyProtection="0"/>
    <xf numFmtId="0" fontId="19" fillId="7" borderId="6" applyNumberFormat="0" applyAlignment="0" applyProtection="0"/>
    <xf numFmtId="0" fontId="20" fillId="0" borderId="8" applyNumberFormat="0" applyFill="0" applyAlignment="0" applyProtection="0"/>
    <xf numFmtId="0" fontId="21" fillId="8" borderId="9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9" fillId="0" borderId="11" applyNumberFormat="0" applyFill="0" applyAlignment="0" applyProtection="0"/>
    <xf numFmtId="0" fontId="24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4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4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4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4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4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9" borderId="10" applyNumberFormat="0" applyFont="0" applyAlignment="0" applyProtection="0"/>
    <xf numFmtId="9" fontId="25" fillId="0" borderId="0" applyFont="0" applyFill="0" applyBorder="0" applyAlignment="0" applyProtection="0"/>
  </cellStyleXfs>
  <cellXfs count="67">
    <xf numFmtId="0" fontId="0" fillId="0" borderId="0" xfId="0"/>
    <xf numFmtId="0" fontId="10" fillId="5" borderId="1" xfId="0" applyFont="1" applyFill="1" applyBorder="1" applyAlignment="1">
      <alignment horizontal="center" vertical="top" wrapText="1"/>
    </xf>
    <xf numFmtId="0" fontId="11" fillId="0" borderId="2" xfId="0" applyFont="1" applyBorder="1" applyAlignment="1">
      <alignment horizontal="left" vertical="top" wrapText="1"/>
    </xf>
    <xf numFmtId="0" fontId="9" fillId="0" borderId="2" xfId="4" applyFont="1" applyBorder="1" applyAlignment="1">
      <alignment horizontal="center" vertical="top"/>
    </xf>
    <xf numFmtId="0" fontId="10" fillId="0" borderId="2" xfId="0" applyFont="1" applyBorder="1" applyAlignment="1">
      <alignment horizontal="center" vertical="top"/>
    </xf>
    <xf numFmtId="10" fontId="10" fillId="0" borderId="2" xfId="0" applyNumberFormat="1" applyFont="1" applyBorder="1" applyAlignment="1">
      <alignment horizontal="center" vertical="top"/>
    </xf>
    <xf numFmtId="10" fontId="12" fillId="0" borderId="2" xfId="0" applyNumberFormat="1" applyFont="1" applyBorder="1" applyAlignment="1">
      <alignment horizontal="center" vertical="top"/>
    </xf>
    <xf numFmtId="10" fontId="12" fillId="0" borderId="2" xfId="0" applyNumberFormat="1" applyFont="1" applyBorder="1" applyAlignment="1">
      <alignment horizontal="left" vertical="top"/>
    </xf>
    <xf numFmtId="0" fontId="10" fillId="5" borderId="2" xfId="0" applyFont="1" applyFill="1" applyBorder="1" applyAlignment="1">
      <alignment horizontal="left" vertical="top"/>
    </xf>
    <xf numFmtId="0" fontId="1" fillId="0" borderId="2" xfId="42" applyBorder="1"/>
    <xf numFmtId="0" fontId="10" fillId="0" borderId="2" xfId="0" applyFont="1" applyBorder="1" applyAlignment="1">
      <alignment horizontal="left" vertical="top"/>
    </xf>
    <xf numFmtId="10" fontId="10" fillId="0" borderId="2" xfId="0" applyNumberFormat="1" applyFont="1" applyBorder="1" applyAlignment="1">
      <alignment horizontal="left" vertical="top"/>
    </xf>
    <xf numFmtId="0" fontId="9" fillId="0" borderId="2" xfId="4" applyFont="1" applyBorder="1" applyAlignment="1">
      <alignment horizontal="left" vertical="top"/>
    </xf>
    <xf numFmtId="0" fontId="11" fillId="0" borderId="2" xfId="0" applyFont="1" applyBorder="1" applyAlignment="1">
      <alignment horizontal="left" vertical="top"/>
    </xf>
    <xf numFmtId="0" fontId="1" fillId="0" borderId="0" xfId="42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5" borderId="2" xfId="0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26" fillId="0" borderId="0" xfId="0" applyFont="1"/>
    <xf numFmtId="1" fontId="26" fillId="0" borderId="0" xfId="0" applyNumberFormat="1" applyFont="1"/>
    <xf numFmtId="0" fontId="0" fillId="37" borderId="2" xfId="0" applyFill="1" applyBorder="1"/>
    <xf numFmtId="9" fontId="0" fillId="0" borderId="2" xfId="44" applyFont="1" applyBorder="1"/>
    <xf numFmtId="9" fontId="0" fillId="38" borderId="2" xfId="44" applyFont="1" applyFill="1" applyBorder="1"/>
    <xf numFmtId="1" fontId="3" fillId="0" borderId="12" xfId="0" applyNumberFormat="1" applyFont="1" applyBorder="1" applyAlignment="1">
      <alignment horizontal="center" vertical="center" wrapText="1"/>
    </xf>
    <xf numFmtId="1" fontId="0" fillId="0" borderId="13" xfId="0" applyNumberFormat="1" applyBorder="1"/>
    <xf numFmtId="0" fontId="5" fillId="0" borderId="2" xfId="0" applyFont="1" applyBorder="1" applyAlignment="1">
      <alignment vertical="center" wrapText="1"/>
    </xf>
    <xf numFmtId="0" fontId="0" fillId="40" borderId="2" xfId="0" applyFill="1" applyBorder="1"/>
    <xf numFmtId="0" fontId="0" fillId="0" borderId="2" xfId="0" applyFill="1" applyBorder="1"/>
    <xf numFmtId="0" fontId="0" fillId="37" borderId="14" xfId="0" applyFill="1" applyBorder="1"/>
    <xf numFmtId="0" fontId="0" fillId="35" borderId="14" xfId="0" applyFill="1" applyBorder="1"/>
    <xf numFmtId="9" fontId="0" fillId="0" borderId="0" xfId="44" applyFont="1"/>
    <xf numFmtId="0" fontId="0" fillId="0" borderId="0" xfId="0" applyAlignment="1">
      <alignment horizontal="center"/>
    </xf>
    <xf numFmtId="165" fontId="0" fillId="41" borderId="2" xfId="0" applyNumberFormat="1" applyFill="1" applyBorder="1"/>
    <xf numFmtId="165" fontId="0" fillId="41" borderId="2" xfId="0" quotePrefix="1" applyNumberFormat="1" applyFill="1" applyBorder="1"/>
    <xf numFmtId="0" fontId="0" fillId="0" borderId="0" xfId="0" applyFont="1"/>
    <xf numFmtId="9" fontId="0" fillId="0" borderId="0" xfId="0" applyNumberFormat="1" applyFont="1"/>
    <xf numFmtId="1" fontId="0" fillId="35" borderId="2" xfId="0" applyNumberFormat="1" applyFill="1" applyBorder="1"/>
    <xf numFmtId="0" fontId="5" fillId="0" borderId="12" xfId="0" applyFont="1" applyBorder="1" applyAlignment="1">
      <alignment vertical="center" wrapText="1"/>
    </xf>
    <xf numFmtId="0" fontId="5" fillId="39" borderId="15" xfId="0" applyFont="1" applyFill="1" applyBorder="1" applyAlignment="1">
      <alignment vertical="center" wrapText="1"/>
    </xf>
    <xf numFmtId="0" fontId="5" fillId="39" borderId="16" xfId="0" applyFont="1" applyFill="1" applyBorder="1" applyAlignment="1">
      <alignment vertical="center" wrapText="1"/>
    </xf>
    <xf numFmtId="0" fontId="3" fillId="39" borderId="16" xfId="0" applyFont="1" applyFill="1" applyBorder="1" applyAlignment="1">
      <alignment horizontal="center" vertical="center" wrapText="1"/>
    </xf>
    <xf numFmtId="0" fontId="3" fillId="39" borderId="15" xfId="0" applyFont="1" applyFill="1" applyBorder="1" applyAlignment="1">
      <alignment horizontal="left" vertical="center" wrapText="1"/>
    </xf>
    <xf numFmtId="0" fontId="3" fillId="35" borderId="15" xfId="0" applyFont="1" applyFill="1" applyBorder="1" applyAlignment="1">
      <alignment horizontal="left" vertical="center" wrapText="1"/>
    </xf>
    <xf numFmtId="0" fontId="4" fillId="39" borderId="17" xfId="0" applyFont="1" applyFill="1" applyBorder="1" applyAlignment="1">
      <alignment horizontal="left" vertical="center" wrapText="1"/>
    </xf>
    <xf numFmtId="0" fontId="3" fillId="39" borderId="18" xfId="0" applyFont="1" applyFill="1" applyBorder="1" applyAlignment="1">
      <alignment horizontal="center" vertical="center" wrapText="1"/>
    </xf>
    <xf numFmtId="165" fontId="0" fillId="35" borderId="0" xfId="0" applyNumberFormat="1" applyFill="1"/>
    <xf numFmtId="1" fontId="0" fillId="35" borderId="2" xfId="0" quotePrefix="1" applyNumberFormat="1" applyFill="1" applyBorder="1"/>
    <xf numFmtId="1" fontId="0" fillId="41" borderId="2" xfId="0" applyNumberFormat="1" applyFill="1" applyBorder="1"/>
    <xf numFmtId="0" fontId="0" fillId="40" borderId="0" xfId="0" applyFill="1"/>
    <xf numFmtId="0" fontId="0" fillId="0" borderId="19" xfId="0" applyBorder="1"/>
    <xf numFmtId="0" fontId="0" fillId="0" borderId="20" xfId="0" applyBorder="1"/>
    <xf numFmtId="0" fontId="0" fillId="0" borderId="21" xfId="0" applyBorder="1"/>
    <xf numFmtId="9" fontId="0" fillId="0" borderId="22" xfId="44" applyFont="1" applyBorder="1"/>
    <xf numFmtId="0" fontId="0" fillId="0" borderId="12" xfId="0" applyBorder="1"/>
    <xf numFmtId="9" fontId="0" fillId="0" borderId="0" xfId="44" applyFont="1" applyBorder="1"/>
    <xf numFmtId="0" fontId="5" fillId="0" borderId="22" xfId="0" applyFont="1" applyBorder="1" applyAlignment="1">
      <alignment vertical="center" wrapText="1"/>
    </xf>
    <xf numFmtId="9" fontId="0" fillId="0" borderId="23" xfId="44" applyFont="1" applyBorder="1"/>
    <xf numFmtId="0" fontId="5" fillId="0" borderId="12" xfId="0" applyFont="1" applyBorder="1" applyAlignment="1">
      <alignment wrapText="1"/>
    </xf>
    <xf numFmtId="0" fontId="5" fillId="0" borderId="0" xfId="0" applyFont="1" applyBorder="1" applyAlignment="1">
      <alignment vertical="center" wrapText="1"/>
    </xf>
    <xf numFmtId="1" fontId="0" fillId="36" borderId="2" xfId="0" applyNumberFormat="1" applyFill="1" applyBorder="1"/>
    <xf numFmtId="0" fontId="0" fillId="34" borderId="0" xfId="0" applyFill="1" applyAlignment="1">
      <alignment horizontal="center"/>
    </xf>
    <xf numFmtId="0" fontId="0" fillId="41" borderId="24" xfId="0" applyFill="1" applyBorder="1" applyAlignment="1">
      <alignment horizontal="center"/>
    </xf>
    <xf numFmtId="0" fontId="0" fillId="41" borderId="25" xfId="0" applyFill="1" applyBorder="1" applyAlignment="1">
      <alignment horizontal="center"/>
    </xf>
  </cellXfs>
  <cellStyles count="45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Обычный" xfId="0" builtinId="0"/>
    <cellStyle name="Обычный 2" xfId="4"/>
    <cellStyle name="Обычный 3" xfId="42"/>
    <cellStyle name="Плохой" xfId="2" builtinId="27" customBuiltin="1"/>
    <cellStyle name="Пояснение" xfId="16" builtinId="53" customBuiltin="1"/>
    <cellStyle name="Примечание 2" xfId="43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лексей Сафонов" refreshedDate="44814.721899884258" createdVersion="6" refreshedVersion="6" minRefreshableVersion="3" recordCount="27">
  <cacheSource type="worksheet">
    <worksheetSource ref="A1:H28" sheet="Автоматизированный расчет"/>
  </cacheSource>
  <cacheFields count="8">
    <cacheField name="Script name" numFmtId="0">
      <sharedItems/>
    </cacheField>
    <cacheField name="transaction rq" numFmtId="0">
      <sharedItems containsBlank="1" count="14">
        <s v="Главная Welcome страница"/>
        <s v="Вход в систему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Выход из системы"/>
        <s v="Просмотр квитанций"/>
        <s v="Отмена бронирования "/>
        <s v="Перход на страницу регистрации"/>
        <s v="Заполнение полей регистарции"/>
        <s v="Переход на следуюущий эран после регистарции"/>
        <s v="Переход на страницу поиска билетов "/>
        <m u="1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3"/>
    </cacheField>
    <cacheField name="pacing" numFmtId="0">
      <sharedItems containsSemiMixedTypes="0" containsString="0" containsNumber="1" containsInteger="1" minValue="33" maxValue="104"/>
    </cacheField>
    <cacheField name="одним пользователем в минуту" numFmtId="2">
      <sharedItems containsSemiMixedTypes="0" containsString="0" containsNumber="1" minValue="0.57692307692307687" maxValue="1.8181818181818181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23.076923076923073" maxValue="61.0169491525423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s v="Покупка билета"/>
    <x v="0"/>
    <n v="1"/>
    <n v="3"/>
    <n v="59"/>
    <n v="1.0169491525423728"/>
    <n v="20"/>
    <n v="61.016949152542367"/>
  </r>
  <r>
    <s v="Покупка билета"/>
    <x v="1"/>
    <n v="1"/>
    <n v="3"/>
    <n v="59"/>
    <n v="1.0169491525423728"/>
    <n v="20"/>
    <n v="61.016949152542367"/>
  </r>
  <r>
    <s v="Покупка билета"/>
    <x v="2"/>
    <n v="1"/>
    <n v="3"/>
    <n v="59"/>
    <n v="1.0169491525423728"/>
    <n v="20"/>
    <n v="61.016949152542367"/>
  </r>
  <r>
    <s v="Покупка билета"/>
    <x v="3"/>
    <n v="1"/>
    <n v="3"/>
    <n v="59"/>
    <n v="1.0169491525423728"/>
    <n v="20"/>
    <n v="61.016949152542367"/>
  </r>
  <r>
    <s v="Покупка билета"/>
    <x v="4"/>
    <n v="1"/>
    <n v="3"/>
    <n v="59"/>
    <n v="1.0169491525423728"/>
    <n v="20"/>
    <n v="61.016949152542367"/>
  </r>
  <r>
    <s v="Покупка билета"/>
    <x v="5"/>
    <n v="1"/>
    <n v="3"/>
    <n v="59"/>
    <n v="1.0169491525423728"/>
    <n v="20"/>
    <n v="61.016949152542367"/>
  </r>
  <r>
    <s v="Покупка билета"/>
    <x v="6"/>
    <n v="1"/>
    <n v="3"/>
    <n v="59"/>
    <n v="1.0169491525423728"/>
    <n v="20"/>
    <n v="61.016949152542367"/>
  </r>
  <r>
    <s v="Удаление бронирования "/>
    <x v="0"/>
    <n v="1"/>
    <n v="2"/>
    <n v="104"/>
    <n v="0.57692307692307687"/>
    <n v="20"/>
    <n v="23.076923076923073"/>
  </r>
  <r>
    <s v="Удаление бронирования "/>
    <x v="1"/>
    <n v="1"/>
    <n v="2"/>
    <n v="104"/>
    <n v="0.57692307692307687"/>
    <n v="20"/>
    <n v="23.076923076923073"/>
  </r>
  <r>
    <s v="Удаление бронирования "/>
    <x v="7"/>
    <n v="1"/>
    <n v="2"/>
    <n v="104"/>
    <n v="0.57692307692307687"/>
    <n v="20"/>
    <n v="23.076923076923073"/>
  </r>
  <r>
    <s v="Удаление бронирования "/>
    <x v="8"/>
    <n v="1"/>
    <n v="2"/>
    <n v="104"/>
    <n v="0.57692307692307687"/>
    <n v="20"/>
    <n v="23.076923076923073"/>
  </r>
  <r>
    <s v="Удаление бронирования "/>
    <x v="6"/>
    <n v="1"/>
    <n v="2"/>
    <n v="104"/>
    <n v="0.57692307692307687"/>
    <n v="20"/>
    <n v="23.076923076923073"/>
  </r>
  <r>
    <s v="Регистрация новых пользователей"/>
    <x v="0"/>
    <n v="1"/>
    <n v="2"/>
    <n v="75"/>
    <n v="0.8"/>
    <n v="20"/>
    <n v="32"/>
  </r>
  <r>
    <s v="Регистрация новых пользователей"/>
    <x v="9"/>
    <n v="1"/>
    <n v="2"/>
    <n v="75"/>
    <n v="0.8"/>
    <n v="20"/>
    <n v="32"/>
  </r>
  <r>
    <s v="Регистрация новых пользователей"/>
    <x v="10"/>
    <n v="1"/>
    <n v="2"/>
    <n v="75"/>
    <n v="0.8"/>
    <n v="20"/>
    <n v="32"/>
  </r>
  <r>
    <s v="Регистрация новых пользователей"/>
    <x v="11"/>
    <n v="1"/>
    <n v="2"/>
    <n v="75"/>
    <n v="0.8"/>
    <n v="20"/>
    <n v="32"/>
  </r>
  <r>
    <s v="Регистрация новых пользователей"/>
    <x v="7"/>
    <n v="1"/>
    <n v="2"/>
    <n v="75"/>
    <n v="0.8"/>
    <n v="20"/>
    <n v="32"/>
  </r>
  <r>
    <s v="Поиск билета без покупки"/>
    <x v="0"/>
    <n v="1"/>
    <n v="2"/>
    <n v="85"/>
    <n v="0.70588235294117652"/>
    <n v="20"/>
    <n v="28.235294117647062"/>
  </r>
  <r>
    <s v="Поиск билета без покупки"/>
    <x v="1"/>
    <n v="1"/>
    <n v="2"/>
    <n v="85"/>
    <n v="0.70588235294117652"/>
    <n v="20"/>
    <n v="28.235294117647062"/>
  </r>
  <r>
    <s v="Поиск билета без покупки"/>
    <x v="12"/>
    <n v="1"/>
    <n v="2"/>
    <n v="85"/>
    <n v="0.70588235294117652"/>
    <n v="20"/>
    <n v="28.235294117647062"/>
  </r>
  <r>
    <s v="Поиск билета без покупки"/>
    <x v="3"/>
    <n v="1"/>
    <n v="2"/>
    <n v="85"/>
    <n v="0.70588235294117652"/>
    <n v="20"/>
    <n v="28.235294117647062"/>
  </r>
  <r>
    <s v="Поиск билета без покупки"/>
    <x v="4"/>
    <n v="1"/>
    <n v="2"/>
    <n v="85"/>
    <n v="0.70588235294117652"/>
    <n v="20"/>
    <n v="28.235294117647062"/>
  </r>
  <r>
    <s v="Поиск билета без покупки"/>
    <x v="6"/>
    <n v="1"/>
    <n v="2"/>
    <n v="85"/>
    <n v="0.70588235294117652"/>
    <n v="20"/>
    <n v="28.235294117647062"/>
  </r>
  <r>
    <s v="Ознакомление с путевым листом"/>
    <x v="0"/>
    <n v="1"/>
    <n v="1"/>
    <n v="33"/>
    <n v="1.8181818181818181"/>
    <n v="20"/>
    <n v="36.36363636363636"/>
  </r>
  <r>
    <s v="Ознакомление с путевым листом"/>
    <x v="1"/>
    <n v="1"/>
    <n v="1"/>
    <n v="33"/>
    <n v="1.8181818181818181"/>
    <n v="20"/>
    <n v="36.36363636363636"/>
  </r>
  <r>
    <s v="Ознакомление с путевым листом"/>
    <x v="7"/>
    <n v="1"/>
    <n v="1"/>
    <n v="33"/>
    <n v="1.8181818181818181"/>
    <n v="20"/>
    <n v="36.36363636363636"/>
  </r>
  <r>
    <s v="Ознакомление с путевым листом"/>
    <x v="2"/>
    <n v="1"/>
    <n v="1"/>
    <n v="33"/>
    <n v="1.8181818181818181"/>
    <n v="20"/>
    <n v="36.363636363636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586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1:J15" firstHeaderRow="1" firstDataRow="1" firstDataCol="1"/>
  <pivotFields count="8">
    <pivotField showAll="0"/>
    <pivotField axis="axisRow" showAll="0">
      <items count="15">
        <item x="1"/>
        <item x="4"/>
        <item x="6"/>
        <item x="3"/>
        <item x="5"/>
        <item x="8"/>
        <item x="7"/>
        <item x="0"/>
        <item x="9"/>
        <item x="10"/>
        <item x="11"/>
        <item x="2"/>
        <item x="12"/>
        <item m="1" x="1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Сумма по полю Итого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7"/>
  <sheetViews>
    <sheetView tabSelected="1" topLeftCell="A31" zoomScale="80" zoomScaleNormal="80" workbookViewId="0">
      <selection activeCell="I7" sqref="I7"/>
    </sheetView>
  </sheetViews>
  <sheetFormatPr defaultColWidth="11.42578125" defaultRowHeight="15" x14ac:dyDescent="0.25"/>
  <cols>
    <col min="1" max="1" width="39.28515625" customWidth="1"/>
    <col min="2" max="2" width="31.42578125" bestFit="1" customWidth="1"/>
    <col min="3" max="3" width="18.140625" customWidth="1"/>
    <col min="4" max="4" width="17.85546875" customWidth="1"/>
    <col min="5" max="5" width="19.140625" bestFit="1" customWidth="1"/>
    <col min="7" max="7" width="18.7109375" bestFit="1" customWidth="1"/>
    <col min="8" max="8" width="17" customWidth="1"/>
    <col min="9" max="9" width="49.5703125" bestFit="1" customWidth="1"/>
    <col min="10" max="10" width="21.7109375" bestFit="1" customWidth="1"/>
    <col min="11" max="11" width="18.7109375" customWidth="1"/>
    <col min="12" max="12" width="27.42578125" bestFit="1" customWidth="1"/>
    <col min="13" max="13" width="35.85546875" bestFit="1" customWidth="1"/>
    <col min="16" max="16" width="19.85546875" bestFit="1" customWidth="1"/>
    <col min="19" max="19" width="44" bestFit="1" customWidth="1"/>
  </cols>
  <sheetData>
    <row r="1" spans="1:24" x14ac:dyDescent="0.25">
      <c r="A1" t="s">
        <v>37</v>
      </c>
      <c r="B1" t="s">
        <v>38</v>
      </c>
      <c r="C1" t="s">
        <v>39</v>
      </c>
      <c r="D1" t="s">
        <v>43</v>
      </c>
      <c r="E1" t="s">
        <v>53</v>
      </c>
      <c r="F1" t="s">
        <v>54</v>
      </c>
      <c r="G1" t="s">
        <v>55</v>
      </c>
      <c r="H1" t="s">
        <v>7</v>
      </c>
      <c r="I1" s="16" t="s">
        <v>40</v>
      </c>
      <c r="J1" t="s">
        <v>52</v>
      </c>
      <c r="M1" t="s">
        <v>42</v>
      </c>
      <c r="N1" t="s">
        <v>44</v>
      </c>
      <c r="O1" t="s">
        <v>45</v>
      </c>
      <c r="P1" t="s">
        <v>56</v>
      </c>
      <c r="Q1" t="s">
        <v>46</v>
      </c>
      <c r="R1" t="s">
        <v>43</v>
      </c>
      <c r="S1" t="s">
        <v>47</v>
      </c>
      <c r="T1" s="22" t="s">
        <v>48</v>
      </c>
      <c r="U1" s="22" t="s">
        <v>49</v>
      </c>
      <c r="V1" s="38" t="s">
        <v>50</v>
      </c>
      <c r="X1" t="s">
        <v>51</v>
      </c>
    </row>
    <row r="2" spans="1:24" x14ac:dyDescent="0.25">
      <c r="A2" s="30" t="s">
        <v>8</v>
      </c>
      <c r="B2" s="30" t="s">
        <v>64</v>
      </c>
      <c r="C2" s="30">
        <v>1</v>
      </c>
      <c r="D2" s="53">
        <f>VLOOKUP(A2,$M$1:$W$7,6,FALSE)</f>
        <v>3</v>
      </c>
      <c r="E2">
        <f>VLOOKUP(A2,$M$1:$W$7,5,FALSE)</f>
        <v>59</v>
      </c>
      <c r="F2" s="21">
        <f>60/E2*C2</f>
        <v>1.0169491525423728</v>
      </c>
      <c r="G2">
        <v>20</v>
      </c>
      <c r="H2" s="20">
        <f>D2*F2*G2</f>
        <v>61.016949152542367</v>
      </c>
      <c r="I2" s="17" t="s">
        <v>0</v>
      </c>
      <c r="J2" s="15">
        <v>148.69280271074885</v>
      </c>
      <c r="K2" s="15"/>
      <c r="M2" t="s">
        <v>8</v>
      </c>
      <c r="N2" s="24">
        <v>2</v>
      </c>
      <c r="O2" s="24">
        <v>30</v>
      </c>
      <c r="P2" s="31">
        <f>N2+O2</f>
        <v>32</v>
      </c>
      <c r="Q2" s="18">
        <v>59</v>
      </c>
      <c r="R2" s="18">
        <v>3</v>
      </c>
      <c r="S2" s="19">
        <f>60/(Q2)</f>
        <v>1.0169491525423728</v>
      </c>
      <c r="T2" s="22">
        <v>20</v>
      </c>
      <c r="U2" s="23">
        <f>ROUND(R2*S2*T2,0)</f>
        <v>61</v>
      </c>
      <c r="V2" s="39">
        <f>R2/W$2</f>
        <v>0.3</v>
      </c>
      <c r="W2">
        <f>SUM(R2:R6)</f>
        <v>10</v>
      </c>
    </row>
    <row r="3" spans="1:24" x14ac:dyDescent="0.25">
      <c r="A3" s="30" t="s">
        <v>8</v>
      </c>
      <c r="B3" s="30" t="s">
        <v>0</v>
      </c>
      <c r="C3" s="30">
        <v>1</v>
      </c>
      <c r="D3" s="53">
        <f t="shared" ref="D3:D8" si="0">VLOOKUP(A3,$M$1:$W$7,6,FALSE)</f>
        <v>3</v>
      </c>
      <c r="E3">
        <f t="shared" ref="E3:E8" si="1">VLOOKUP(A3,$M$1:$W$7,5,FALSE)</f>
        <v>59</v>
      </c>
      <c r="F3" s="21">
        <f t="shared" ref="F3:F8" si="2">60/E3*C3</f>
        <v>1.0169491525423728</v>
      </c>
      <c r="G3">
        <v>20</v>
      </c>
      <c r="H3" s="20">
        <f t="shared" ref="H3:H8" si="3">D3*F3*G3</f>
        <v>61.016949152542367</v>
      </c>
      <c r="I3" s="17" t="s">
        <v>12</v>
      </c>
      <c r="J3" s="15">
        <v>89.252243270189425</v>
      </c>
      <c r="K3" s="15"/>
      <c r="M3" t="s">
        <v>9</v>
      </c>
      <c r="N3" s="24">
        <v>2</v>
      </c>
      <c r="O3" s="24">
        <v>20</v>
      </c>
      <c r="P3" s="31">
        <f t="shared" ref="P3:P4" si="4">N3+O3</f>
        <v>22</v>
      </c>
      <c r="Q3" s="40">
        <v>104</v>
      </c>
      <c r="R3" s="18">
        <v>2</v>
      </c>
      <c r="S3" s="19">
        <f t="shared" ref="S3:S4" si="5">60/(Q3)</f>
        <v>0.57692307692307687</v>
      </c>
      <c r="T3" s="22">
        <v>20</v>
      </c>
      <c r="U3" s="23">
        <f t="shared" ref="U3:U4" si="6">ROUND(R3*S3*T3,0)</f>
        <v>23</v>
      </c>
      <c r="V3" s="39">
        <f>R3/W$2</f>
        <v>0.2</v>
      </c>
    </row>
    <row r="4" spans="1:24" x14ac:dyDescent="0.25">
      <c r="A4" s="30" t="s">
        <v>8</v>
      </c>
      <c r="B4" s="30" t="s">
        <v>80</v>
      </c>
      <c r="C4" s="30">
        <v>1</v>
      </c>
      <c r="D4" s="53">
        <f t="shared" si="0"/>
        <v>3</v>
      </c>
      <c r="E4">
        <f t="shared" si="1"/>
        <v>59</v>
      </c>
      <c r="F4" s="21">
        <f t="shared" si="2"/>
        <v>1.0169491525423728</v>
      </c>
      <c r="G4">
        <v>20</v>
      </c>
      <c r="H4" s="20">
        <f t="shared" si="3"/>
        <v>61.016949152542367</v>
      </c>
      <c r="I4" s="17" t="s">
        <v>6</v>
      </c>
      <c r="J4" s="15">
        <v>112.32916634711249</v>
      </c>
      <c r="K4" s="15"/>
      <c r="M4" t="s">
        <v>63</v>
      </c>
      <c r="N4" s="24">
        <v>1</v>
      </c>
      <c r="O4" s="24">
        <v>18</v>
      </c>
      <c r="P4" s="31">
        <f>N4+O4</f>
        <v>19</v>
      </c>
      <c r="Q4" s="40">
        <v>75</v>
      </c>
      <c r="R4" s="18">
        <v>2</v>
      </c>
      <c r="S4" s="19">
        <f t="shared" si="5"/>
        <v>0.8</v>
      </c>
      <c r="T4" s="22">
        <v>20</v>
      </c>
      <c r="U4" s="23">
        <f t="shared" si="6"/>
        <v>32</v>
      </c>
      <c r="V4" s="39">
        <f t="shared" ref="V4" si="7">R4/W$2</f>
        <v>0.2</v>
      </c>
    </row>
    <row r="5" spans="1:24" x14ac:dyDescent="0.25">
      <c r="A5" s="30" t="s">
        <v>8</v>
      </c>
      <c r="B5" s="30" t="s">
        <v>11</v>
      </c>
      <c r="C5" s="30">
        <v>1</v>
      </c>
      <c r="D5" s="53">
        <f t="shared" si="0"/>
        <v>3</v>
      </c>
      <c r="E5">
        <f t="shared" si="1"/>
        <v>59</v>
      </c>
      <c r="F5" s="21">
        <f t="shared" si="2"/>
        <v>1.0169491525423728</v>
      </c>
      <c r="G5">
        <v>20</v>
      </c>
      <c r="H5" s="20">
        <f t="shared" si="3"/>
        <v>61.016949152542367</v>
      </c>
      <c r="I5" s="17" t="s">
        <v>11</v>
      </c>
      <c r="J5" s="15">
        <v>89.252243270189425</v>
      </c>
      <c r="K5" s="15"/>
      <c r="M5" t="s">
        <v>10</v>
      </c>
      <c r="N5" s="24">
        <v>2</v>
      </c>
      <c r="O5" s="24">
        <v>15</v>
      </c>
      <c r="P5" s="31">
        <v>17</v>
      </c>
      <c r="Q5" s="18">
        <v>33</v>
      </c>
      <c r="R5" s="18">
        <v>1</v>
      </c>
      <c r="S5" s="19">
        <f>60/(Q5)</f>
        <v>1.8181818181818181</v>
      </c>
      <c r="T5" s="22">
        <v>20</v>
      </c>
      <c r="U5" s="23">
        <f>ROUND(R5*S5*T5,0)</f>
        <v>36</v>
      </c>
      <c r="V5" s="39">
        <f>R5/W$2</f>
        <v>0.1</v>
      </c>
    </row>
    <row r="6" spans="1:24" x14ac:dyDescent="0.25">
      <c r="A6" s="30" t="s">
        <v>8</v>
      </c>
      <c r="B6" s="30" t="s">
        <v>12</v>
      </c>
      <c r="C6" s="30">
        <v>1</v>
      </c>
      <c r="D6" s="53">
        <f t="shared" si="0"/>
        <v>3</v>
      </c>
      <c r="E6">
        <f t="shared" si="1"/>
        <v>59</v>
      </c>
      <c r="F6" s="21">
        <f t="shared" si="2"/>
        <v>1.0169491525423728</v>
      </c>
      <c r="G6">
        <v>20</v>
      </c>
      <c r="H6" s="20">
        <f t="shared" si="3"/>
        <v>61.016949152542367</v>
      </c>
      <c r="I6" s="17" t="s">
        <v>3</v>
      </c>
      <c r="J6" s="15">
        <v>61.016949152542367</v>
      </c>
      <c r="K6" s="15"/>
      <c r="M6" t="s">
        <v>68</v>
      </c>
      <c r="N6" s="24">
        <v>2</v>
      </c>
      <c r="O6" s="32">
        <v>25</v>
      </c>
      <c r="P6">
        <v>27</v>
      </c>
      <c r="Q6" s="18">
        <v>85</v>
      </c>
      <c r="R6" s="33">
        <v>2</v>
      </c>
      <c r="S6" s="19">
        <f>60/(Q6)</f>
        <v>0.70588235294117652</v>
      </c>
      <c r="T6" s="22">
        <v>20</v>
      </c>
      <c r="U6" s="23">
        <f>SUM(U2:U5)</f>
        <v>152</v>
      </c>
      <c r="V6" s="39">
        <f>SUM(V2:V5)</f>
        <v>0.79999999999999993</v>
      </c>
    </row>
    <row r="7" spans="1:24" x14ac:dyDescent="0.25">
      <c r="A7" s="30" t="s">
        <v>8</v>
      </c>
      <c r="B7" s="30" t="s">
        <v>3</v>
      </c>
      <c r="C7" s="30">
        <v>1</v>
      </c>
      <c r="D7" s="53">
        <f t="shared" si="0"/>
        <v>3</v>
      </c>
      <c r="E7">
        <f t="shared" si="1"/>
        <v>59</v>
      </c>
      <c r="F7" s="21">
        <f t="shared" si="2"/>
        <v>1.0169491525423728</v>
      </c>
      <c r="G7">
        <v>20</v>
      </c>
      <c r="H7" s="20">
        <f t="shared" si="3"/>
        <v>61.016949152542367</v>
      </c>
      <c r="I7" s="17" t="s">
        <v>13</v>
      </c>
      <c r="J7" s="15">
        <v>23.076923076923073</v>
      </c>
      <c r="K7" s="15"/>
    </row>
    <row r="8" spans="1:24" ht="15.75" thickBot="1" x14ac:dyDescent="0.3">
      <c r="A8" s="30" t="s">
        <v>8</v>
      </c>
      <c r="B8" s="30" t="s">
        <v>6</v>
      </c>
      <c r="C8" s="30">
        <v>1</v>
      </c>
      <c r="D8" s="53">
        <f t="shared" si="0"/>
        <v>3</v>
      </c>
      <c r="E8">
        <f t="shared" si="1"/>
        <v>59</v>
      </c>
      <c r="F8" s="21">
        <f t="shared" si="2"/>
        <v>1.0169491525423728</v>
      </c>
      <c r="G8">
        <v>20</v>
      </c>
      <c r="H8" s="20">
        <f t="shared" si="3"/>
        <v>61.016949152542367</v>
      </c>
      <c r="I8" s="17" t="s">
        <v>4</v>
      </c>
      <c r="J8" s="15">
        <v>91.44055944055944</v>
      </c>
      <c r="K8" s="15"/>
    </row>
    <row r="9" spans="1:24" x14ac:dyDescent="0.25">
      <c r="A9" s="30" t="s">
        <v>9</v>
      </c>
      <c r="B9" s="30" t="s">
        <v>64</v>
      </c>
      <c r="C9" s="30">
        <v>1</v>
      </c>
      <c r="D9" s="55">
        <f>VLOOKUP(A9,$M$1:$W$7,6,FALSE)</f>
        <v>2</v>
      </c>
      <c r="E9" s="20">
        <f>VLOOKUP(A9,$M$1:$W$7,5,FALSE)</f>
        <v>104</v>
      </c>
      <c r="F9" s="21">
        <f t="shared" ref="F9:F28" si="8">60/E9*C9</f>
        <v>0.57692307692307687</v>
      </c>
      <c r="G9">
        <v>20</v>
      </c>
      <c r="H9" s="20">
        <f t="shared" ref="H9" si="9">D9*F9*G9</f>
        <v>23.076923076923073</v>
      </c>
      <c r="I9" s="17" t="s">
        <v>64</v>
      </c>
      <c r="J9" s="15">
        <v>180.69280271074888</v>
      </c>
      <c r="K9" s="15"/>
    </row>
    <row r="10" spans="1:24" x14ac:dyDescent="0.25">
      <c r="A10" s="30" t="s">
        <v>9</v>
      </c>
      <c r="B10" s="30" t="s">
        <v>0</v>
      </c>
      <c r="C10" s="30">
        <v>1</v>
      </c>
      <c r="D10" s="53">
        <f>VLOOKUP(A10,$M$1:$W$7,6,FALSE)</f>
        <v>2</v>
      </c>
      <c r="E10" s="20">
        <f>VLOOKUP(A10,$M$1:$W$7,5,FALSE)</f>
        <v>104</v>
      </c>
      <c r="F10" s="21">
        <f t="shared" si="8"/>
        <v>0.57692307692307687</v>
      </c>
      <c r="G10">
        <v>20</v>
      </c>
      <c r="H10" s="20">
        <f t="shared" ref="H10:H28" si="10">D10*F10*G10</f>
        <v>23.076923076923073</v>
      </c>
      <c r="I10" s="17" t="s">
        <v>66</v>
      </c>
      <c r="J10" s="15">
        <v>32</v>
      </c>
    </row>
    <row r="11" spans="1:24" x14ac:dyDescent="0.25">
      <c r="A11" s="30" t="s">
        <v>9</v>
      </c>
      <c r="B11" s="30" t="s">
        <v>4</v>
      </c>
      <c r="C11" s="30">
        <v>1</v>
      </c>
      <c r="D11" s="53">
        <f>VLOOKUP(A11,$M$1:$W$7,6,FALSE)</f>
        <v>2</v>
      </c>
      <c r="E11" s="20">
        <f>VLOOKUP(A11,$M$1:$W$7,5,FALSE)</f>
        <v>104</v>
      </c>
      <c r="F11" s="21">
        <f t="shared" si="8"/>
        <v>0.57692307692307687</v>
      </c>
      <c r="G11">
        <v>20</v>
      </c>
      <c r="H11" s="20">
        <f t="shared" si="10"/>
        <v>23.076923076923073</v>
      </c>
      <c r="I11" s="17" t="s">
        <v>65</v>
      </c>
      <c r="J11" s="15">
        <v>32</v>
      </c>
    </row>
    <row r="12" spans="1:24" x14ac:dyDescent="0.25">
      <c r="A12" s="30" t="s">
        <v>9</v>
      </c>
      <c r="B12" s="30" t="s">
        <v>13</v>
      </c>
      <c r="C12" s="30">
        <v>1</v>
      </c>
      <c r="D12" s="53">
        <f>VLOOKUP(A12,$M$1:$W$7,6,FALSE)</f>
        <v>2</v>
      </c>
      <c r="E12" s="20">
        <f>VLOOKUP(A12,$M$1:$W$7,5,FALSE)</f>
        <v>104</v>
      </c>
      <c r="F12" s="21">
        <f t="shared" si="8"/>
        <v>0.57692307692307687</v>
      </c>
      <c r="G12">
        <v>20</v>
      </c>
      <c r="H12" s="20">
        <f t="shared" si="10"/>
        <v>23.076923076923073</v>
      </c>
      <c r="I12" s="17" t="s">
        <v>67</v>
      </c>
      <c r="J12" s="15">
        <v>32</v>
      </c>
    </row>
    <row r="13" spans="1:24" ht="15.75" thickBot="1" x14ac:dyDescent="0.3">
      <c r="A13" s="30" t="s">
        <v>9</v>
      </c>
      <c r="B13" s="30" t="s">
        <v>6</v>
      </c>
      <c r="C13" s="30">
        <v>1</v>
      </c>
      <c r="D13" s="54">
        <f>VLOOKUP(A13,$M$1:$W$7,6,FALSE)</f>
        <v>2</v>
      </c>
      <c r="E13" s="20">
        <f>VLOOKUP(A13,$M$1:$W$7,5,FALSE)</f>
        <v>104</v>
      </c>
      <c r="F13" s="21">
        <f t="shared" si="8"/>
        <v>0.57692307692307687</v>
      </c>
      <c r="G13">
        <v>20</v>
      </c>
      <c r="H13" s="20">
        <f t="shared" si="10"/>
        <v>23.076923076923073</v>
      </c>
      <c r="I13" s="17" t="s">
        <v>80</v>
      </c>
      <c r="J13" s="15">
        <v>97.380585516178726</v>
      </c>
    </row>
    <row r="14" spans="1:24" x14ac:dyDescent="0.25">
      <c r="A14" s="30" t="s">
        <v>63</v>
      </c>
      <c r="B14" s="30" t="s">
        <v>64</v>
      </c>
      <c r="C14" s="30">
        <v>1</v>
      </c>
      <c r="D14" s="55">
        <f>VLOOKUP(A14,$M$1:$W$7,6,FALSE)</f>
        <v>2</v>
      </c>
      <c r="E14" s="20">
        <f>VLOOKUP(A14,$M$1:$W$7,5,FALSE)</f>
        <v>75</v>
      </c>
      <c r="F14" s="21">
        <f t="shared" si="8"/>
        <v>0.8</v>
      </c>
      <c r="G14">
        <v>20</v>
      </c>
      <c r="H14" s="20">
        <f t="shared" ref="H14" si="11">D14*F14*G14</f>
        <v>32</v>
      </c>
      <c r="I14" s="17" t="s">
        <v>112</v>
      </c>
      <c r="J14" s="15">
        <v>28.235294117647062</v>
      </c>
    </row>
    <row r="15" spans="1:24" x14ac:dyDescent="0.25">
      <c r="A15" s="30" t="s">
        <v>63</v>
      </c>
      <c r="B15" s="30" t="s">
        <v>66</v>
      </c>
      <c r="C15" s="30">
        <v>1</v>
      </c>
      <c r="D15" s="53">
        <f>VLOOKUP(A15,$M$1:$W$7,6,FALSE)</f>
        <v>2</v>
      </c>
      <c r="E15" s="20">
        <f>VLOOKUP(A15,$M$1:$W$7,5,FALSE)</f>
        <v>75</v>
      </c>
      <c r="F15" s="21">
        <f t="shared" si="8"/>
        <v>0.8</v>
      </c>
      <c r="G15">
        <v>20</v>
      </c>
      <c r="H15" s="20">
        <f t="shared" si="10"/>
        <v>32</v>
      </c>
      <c r="I15" s="17" t="s">
        <v>41</v>
      </c>
      <c r="J15" s="15">
        <v>1017.3695696128398</v>
      </c>
    </row>
    <row r="16" spans="1:24" x14ac:dyDescent="0.25">
      <c r="A16" s="30" t="s">
        <v>63</v>
      </c>
      <c r="B16" s="30" t="s">
        <v>65</v>
      </c>
      <c r="C16" s="30">
        <v>1</v>
      </c>
      <c r="D16" s="53">
        <f>VLOOKUP(A16,$M$1:$W$7,6,FALSE)</f>
        <v>2</v>
      </c>
      <c r="E16" s="20">
        <f>VLOOKUP(A16,$M$1:$W$7,5,FALSE)</f>
        <v>75</v>
      </c>
      <c r="F16" s="21">
        <f t="shared" si="8"/>
        <v>0.8</v>
      </c>
      <c r="G16">
        <v>20</v>
      </c>
      <c r="H16" s="20">
        <f t="shared" si="10"/>
        <v>32</v>
      </c>
    </row>
    <row r="17" spans="1:9" x14ac:dyDescent="0.25">
      <c r="A17" s="30" t="s">
        <v>63</v>
      </c>
      <c r="B17" s="30" t="s">
        <v>67</v>
      </c>
      <c r="C17" s="30">
        <v>1</v>
      </c>
      <c r="D17" s="53">
        <f>VLOOKUP(A17,$M$1:$W$7,6,FALSE)</f>
        <v>2</v>
      </c>
      <c r="E17" s="20">
        <f>VLOOKUP(A17,$M$1:$W$7,5,FALSE)</f>
        <v>75</v>
      </c>
      <c r="F17" s="21">
        <f t="shared" si="8"/>
        <v>0.8</v>
      </c>
      <c r="G17">
        <v>20</v>
      </c>
      <c r="H17" s="20">
        <f t="shared" si="10"/>
        <v>32</v>
      </c>
    </row>
    <row r="18" spans="1:9" ht="15.75" thickBot="1" x14ac:dyDescent="0.3">
      <c r="A18" s="30" t="s">
        <v>63</v>
      </c>
      <c r="B18" s="30" t="s">
        <v>4</v>
      </c>
      <c r="C18" s="30">
        <v>1</v>
      </c>
      <c r="D18" s="54">
        <f>VLOOKUP(A18,$M$1:$W$7,6,FALSE)</f>
        <v>2</v>
      </c>
      <c r="E18" s="20">
        <f>VLOOKUP(A18,$M$1:$W$7,5,FALSE)</f>
        <v>75</v>
      </c>
      <c r="F18" s="21">
        <f t="shared" si="8"/>
        <v>0.8</v>
      </c>
      <c r="G18">
        <v>20</v>
      </c>
      <c r="H18" s="20">
        <f>D18*F18*G18</f>
        <v>32</v>
      </c>
    </row>
    <row r="19" spans="1:9" ht="15.75" thickBot="1" x14ac:dyDescent="0.3">
      <c r="A19" s="30" t="s">
        <v>68</v>
      </c>
      <c r="B19" s="30" t="s">
        <v>64</v>
      </c>
      <c r="C19" s="30">
        <v>1</v>
      </c>
      <c r="D19" s="54">
        <f t="shared" ref="D19:D24" si="12">VLOOKUP(A19,$M$1:$W$7,6,FALSE)</f>
        <v>2</v>
      </c>
      <c r="E19" s="20">
        <f t="shared" ref="E19:E24" si="13">VLOOKUP(A19,$M$1:$W$7,5,FALSE)</f>
        <v>85</v>
      </c>
      <c r="F19" s="21">
        <f t="shared" si="8"/>
        <v>0.70588235294117652</v>
      </c>
      <c r="G19">
        <v>20</v>
      </c>
      <c r="H19" s="20">
        <f t="shared" ref="H19:H24" si="14">D19*F19*G19</f>
        <v>28.235294117647062</v>
      </c>
    </row>
    <row r="20" spans="1:9" ht="15.75" thickBot="1" x14ac:dyDescent="0.3">
      <c r="A20" s="30" t="s">
        <v>68</v>
      </c>
      <c r="B20" s="30" t="s">
        <v>0</v>
      </c>
      <c r="C20" s="30">
        <v>1</v>
      </c>
      <c r="D20" s="54">
        <f t="shared" si="12"/>
        <v>2</v>
      </c>
      <c r="E20" s="20">
        <f t="shared" si="13"/>
        <v>85</v>
      </c>
      <c r="F20" s="21">
        <f t="shared" si="8"/>
        <v>0.70588235294117652</v>
      </c>
      <c r="G20">
        <v>20</v>
      </c>
      <c r="H20" s="20">
        <f t="shared" si="14"/>
        <v>28.235294117647062</v>
      </c>
    </row>
    <row r="21" spans="1:9" ht="15.75" thickBot="1" x14ac:dyDescent="0.3">
      <c r="A21" s="30" t="s">
        <v>68</v>
      </c>
      <c r="B21" s="30" t="s">
        <v>112</v>
      </c>
      <c r="C21" s="30">
        <v>1</v>
      </c>
      <c r="D21" s="54">
        <f t="shared" si="12"/>
        <v>2</v>
      </c>
      <c r="E21" s="20">
        <f t="shared" si="13"/>
        <v>85</v>
      </c>
      <c r="F21" s="21">
        <f t="shared" si="8"/>
        <v>0.70588235294117652</v>
      </c>
      <c r="G21">
        <v>20</v>
      </c>
      <c r="H21" s="20">
        <f t="shared" si="14"/>
        <v>28.235294117647062</v>
      </c>
    </row>
    <row r="22" spans="1:9" ht="15.75" thickBot="1" x14ac:dyDescent="0.3">
      <c r="A22" s="30" t="s">
        <v>68</v>
      </c>
      <c r="B22" s="30" t="s">
        <v>11</v>
      </c>
      <c r="C22" s="30">
        <v>1</v>
      </c>
      <c r="D22" s="54">
        <f t="shared" si="12"/>
        <v>2</v>
      </c>
      <c r="E22" s="20">
        <f t="shared" si="13"/>
        <v>85</v>
      </c>
      <c r="F22" s="21">
        <f t="shared" si="8"/>
        <v>0.70588235294117652</v>
      </c>
      <c r="G22">
        <v>20</v>
      </c>
      <c r="H22" s="20">
        <f t="shared" si="14"/>
        <v>28.235294117647062</v>
      </c>
    </row>
    <row r="23" spans="1:9" ht="15.75" thickBot="1" x14ac:dyDescent="0.3">
      <c r="A23" s="30" t="s">
        <v>68</v>
      </c>
      <c r="B23" s="30" t="s">
        <v>12</v>
      </c>
      <c r="C23" s="30">
        <v>1</v>
      </c>
      <c r="D23" s="54">
        <f t="shared" si="12"/>
        <v>2</v>
      </c>
      <c r="E23" s="20">
        <f t="shared" si="13"/>
        <v>85</v>
      </c>
      <c r="F23" s="21">
        <f t="shared" si="8"/>
        <v>0.70588235294117652</v>
      </c>
      <c r="G23">
        <v>20</v>
      </c>
      <c r="H23" s="20">
        <f t="shared" si="14"/>
        <v>28.235294117647062</v>
      </c>
    </row>
    <row r="24" spans="1:9" ht="15.75" thickBot="1" x14ac:dyDescent="0.3">
      <c r="A24" s="30" t="s">
        <v>68</v>
      </c>
      <c r="B24" s="30" t="s">
        <v>6</v>
      </c>
      <c r="C24" s="30">
        <v>1</v>
      </c>
      <c r="D24" s="53">
        <f t="shared" si="12"/>
        <v>2</v>
      </c>
      <c r="E24" s="20">
        <f t="shared" si="13"/>
        <v>85</v>
      </c>
      <c r="F24" s="21">
        <f t="shared" si="8"/>
        <v>0.70588235294117652</v>
      </c>
      <c r="G24">
        <v>20</v>
      </c>
      <c r="H24" s="20">
        <f t="shared" si="14"/>
        <v>28.235294117647062</v>
      </c>
    </row>
    <row r="25" spans="1:9" x14ac:dyDescent="0.25">
      <c r="A25" s="30" t="s">
        <v>10</v>
      </c>
      <c r="B25" s="30" t="s">
        <v>64</v>
      </c>
      <c r="C25" s="30">
        <v>1</v>
      </c>
      <c r="D25" s="55">
        <f>VLOOKUP(A25,$M$1:$W$7,6,FALSE)</f>
        <v>1</v>
      </c>
      <c r="E25">
        <f>VLOOKUP(A25,$M$1:$W$7,5,FALSE)</f>
        <v>33</v>
      </c>
      <c r="F25" s="21">
        <f t="shared" si="8"/>
        <v>1.8181818181818181</v>
      </c>
      <c r="G25">
        <v>20</v>
      </c>
      <c r="H25" s="20">
        <f t="shared" ref="H25" si="15">D25*F25*G25</f>
        <v>36.36363636363636</v>
      </c>
    </row>
    <row r="26" spans="1:9" x14ac:dyDescent="0.25">
      <c r="A26" s="30" t="s">
        <v>10</v>
      </c>
      <c r="B26" s="30" t="s">
        <v>0</v>
      </c>
      <c r="C26" s="30">
        <v>1</v>
      </c>
      <c r="D26" s="53">
        <f>VLOOKUP(A26,$M$1:$W$7,6,FALSE)</f>
        <v>1</v>
      </c>
      <c r="E26">
        <f>VLOOKUP(A26,$M$1:$W$7,5,FALSE)</f>
        <v>33</v>
      </c>
      <c r="F26" s="21">
        <f t="shared" si="8"/>
        <v>1.8181818181818181</v>
      </c>
      <c r="G26">
        <v>20</v>
      </c>
      <c r="H26" s="20">
        <f t="shared" si="10"/>
        <v>36.36363636363636</v>
      </c>
    </row>
    <row r="27" spans="1:9" x14ac:dyDescent="0.25">
      <c r="A27" s="30" t="s">
        <v>10</v>
      </c>
      <c r="B27" s="30" t="s">
        <v>4</v>
      </c>
      <c r="C27" s="30">
        <v>1</v>
      </c>
      <c r="D27" s="53">
        <f>VLOOKUP(A27,$M$1:$W$7,6,FALSE)</f>
        <v>1</v>
      </c>
      <c r="E27">
        <f>VLOOKUP(A27,$M$1:$W$7,5,FALSE)</f>
        <v>33</v>
      </c>
      <c r="F27" s="21">
        <f t="shared" si="8"/>
        <v>1.8181818181818181</v>
      </c>
      <c r="G27">
        <v>20</v>
      </c>
      <c r="H27" s="20">
        <f t="shared" si="10"/>
        <v>36.36363636363636</v>
      </c>
    </row>
    <row r="28" spans="1:9" ht="15.75" thickBot="1" x14ac:dyDescent="0.3">
      <c r="A28" s="30" t="s">
        <v>10</v>
      </c>
      <c r="B28" s="30" t="s">
        <v>80</v>
      </c>
      <c r="C28" s="30">
        <v>1</v>
      </c>
      <c r="D28" s="54">
        <f>VLOOKUP(A28,$M$1:$W$7,6,FALSE)</f>
        <v>1</v>
      </c>
      <c r="E28">
        <f>VLOOKUP(A28,$M$1:$W$7,5,FALSE)</f>
        <v>33</v>
      </c>
      <c r="F28" s="21">
        <f t="shared" si="8"/>
        <v>1.8181818181818181</v>
      </c>
      <c r="G28">
        <v>20</v>
      </c>
      <c r="H28" s="20">
        <f t="shared" si="10"/>
        <v>36.36363636363636</v>
      </c>
    </row>
    <row r="30" spans="1:9" ht="15.75" thickBot="1" x14ac:dyDescent="0.3"/>
    <row r="31" spans="1:9" x14ac:dyDescent="0.25">
      <c r="A31" s="65" t="s">
        <v>82</v>
      </c>
      <c r="B31" s="66"/>
    </row>
    <row r="32" spans="1:9" ht="93.75" x14ac:dyDescent="0.3">
      <c r="A32" s="42" t="s">
        <v>81</v>
      </c>
      <c r="B32" s="43" t="s">
        <v>60</v>
      </c>
      <c r="C32" s="41" t="s">
        <v>58</v>
      </c>
      <c r="D32" s="59" t="s">
        <v>59</v>
      </c>
      <c r="E32" s="62"/>
      <c r="F32" s="61" t="s">
        <v>109</v>
      </c>
      <c r="G32" s="29" t="s">
        <v>57</v>
      </c>
      <c r="H32" s="29" t="s">
        <v>61</v>
      </c>
      <c r="I32" s="29" t="s">
        <v>62</v>
      </c>
    </row>
    <row r="33" spans="1:9" ht="18.75" x14ac:dyDescent="0.25">
      <c r="A33" s="42" t="s">
        <v>64</v>
      </c>
      <c r="B33" s="44">
        <v>520</v>
      </c>
      <c r="C33" s="28">
        <f>GETPIVOTDATA("Итого",$I$1,"transaction rq",A33)*3</f>
        <v>542.07840813224664</v>
      </c>
      <c r="D33" s="60">
        <f t="shared" ref="D33:D35" si="16">1-B33/C33</f>
        <v>4.072917829049616E-2</v>
      </c>
      <c r="E33" s="58"/>
      <c r="F33" s="57" t="str">
        <f>VLOOKUP(A33,Соответствие!A:B,2,FALSE)</f>
        <v>Home_Page</v>
      </c>
      <c r="G33" s="63">
        <f>C33/3</f>
        <v>180.69280271074888</v>
      </c>
      <c r="H33" s="52" t="e">
        <f>VLOOKUP(F33,SummaryReport!A:J,8,FALSE)</f>
        <v>#N/A</v>
      </c>
      <c r="I33" s="26" t="e">
        <f>1-G33/H33</f>
        <v>#N/A</v>
      </c>
    </row>
    <row r="34" spans="1:9" ht="18.75" x14ac:dyDescent="0.25">
      <c r="A34" s="45" t="s">
        <v>0</v>
      </c>
      <c r="B34" s="44">
        <v>422</v>
      </c>
      <c r="C34" s="28">
        <f>GETPIVOTDATA("Итого",$I$1,"transaction rq",A34)*3</f>
        <v>446.07840813224652</v>
      </c>
      <c r="D34" s="60">
        <f t="shared" si="16"/>
        <v>5.3977972691088283E-2</v>
      </c>
      <c r="E34" s="58"/>
      <c r="F34" s="57" t="str">
        <f>VLOOKUP(A34,Соответствие!A:B,2,FALSE)</f>
        <v>Login</v>
      </c>
      <c r="G34" s="63">
        <f t="shared" ref="G34:G44" si="17">C34/3</f>
        <v>148.69280271074885</v>
      </c>
      <c r="H34" s="52">
        <v>26</v>
      </c>
      <c r="I34" s="26">
        <f>1-G34/H34</f>
        <v>-4.7189539504134173</v>
      </c>
    </row>
    <row r="35" spans="1:9" ht="37.5" x14ac:dyDescent="0.25">
      <c r="A35" s="46" t="s">
        <v>80</v>
      </c>
      <c r="B35" s="44">
        <v>305</v>
      </c>
      <c r="C35" s="28">
        <f>GETPIVOTDATA("Итого",$I$1,"transaction rq",A35)*3</f>
        <v>292.14175654853619</v>
      </c>
      <c r="D35" s="60">
        <f t="shared" si="16"/>
        <v>-4.401371308016877E-2</v>
      </c>
      <c r="E35" s="58"/>
      <c r="F35" s="57" t="str">
        <f>VLOOKUP(A35,Соответствие!A:B,2,FALSE)</f>
        <v>Click_Flights</v>
      </c>
      <c r="G35" s="63">
        <f t="shared" si="17"/>
        <v>97.380585516178726</v>
      </c>
      <c r="H35" s="52">
        <f>VLOOKUP(F35,SummaryReport!A:J,8,FALSE)</f>
        <v>106</v>
      </c>
      <c r="I35" s="26"/>
    </row>
    <row r="36" spans="1:9" ht="37.5" x14ac:dyDescent="0.25">
      <c r="A36" s="45" t="s">
        <v>11</v>
      </c>
      <c r="B36" s="44">
        <v>282</v>
      </c>
      <c r="C36" s="28">
        <f>GETPIVOTDATA("Итого",$I$1,"transaction rq",A36)*3</f>
        <v>267.75672981056829</v>
      </c>
      <c r="D36" s="56">
        <f t="shared" ref="D36:D45" si="18">1-B36/C36</f>
        <v>-5.3194816800715028E-2</v>
      </c>
      <c r="E36" s="58"/>
      <c r="F36" s="57" t="str">
        <f>VLOOKUP(A36,Соответствие!A:B,2,FALSE)</f>
        <v>Find_Flight</v>
      </c>
      <c r="G36" s="63">
        <f t="shared" si="17"/>
        <v>89.252243270189425</v>
      </c>
      <c r="H36" s="52">
        <f>VLOOKUP(F36,SummaryReport!A:J,8,FALSE)</f>
        <v>92</v>
      </c>
      <c r="I36" s="26">
        <f>1-G36/H36</f>
        <v>2.9866920976201916E-2</v>
      </c>
    </row>
    <row r="37" spans="1:9" ht="18.75" x14ac:dyDescent="0.25">
      <c r="A37" s="45" t="s">
        <v>12</v>
      </c>
      <c r="B37" s="44">
        <v>270</v>
      </c>
      <c r="C37" s="28">
        <f>GETPIVOTDATA("Итого",$I$1,"transaction rq",A37)*3</f>
        <v>267.75672981056829</v>
      </c>
      <c r="D37" s="56">
        <f t="shared" si="18"/>
        <v>-8.3780160857909181E-3</v>
      </c>
      <c r="E37" s="58"/>
      <c r="F37" s="57">
        <f>VLOOKUP(A37,Соответствие!A:B,2,FALSE)</f>
        <v>0</v>
      </c>
      <c r="G37" s="63">
        <f t="shared" si="17"/>
        <v>89.252243270189425</v>
      </c>
      <c r="H37" s="52" t="e">
        <f>VLOOKUP(F37,SummaryReport!A:J,8,FALSE)</f>
        <v>#N/A</v>
      </c>
      <c r="I37" s="26" t="e">
        <f>1-G37/H37</f>
        <v>#N/A</v>
      </c>
    </row>
    <row r="38" spans="1:9" ht="18.75" x14ac:dyDescent="0.25">
      <c r="A38" s="45" t="s">
        <v>3</v>
      </c>
      <c r="B38" s="44">
        <v>175</v>
      </c>
      <c r="C38" s="28">
        <f>GETPIVOTDATA("Итого",$I$1,"transaction rq",A38)*3</f>
        <v>183.0508474576271</v>
      </c>
      <c r="D38" s="56">
        <f t="shared" si="18"/>
        <v>4.3981481481481399E-2</v>
      </c>
      <c r="E38" s="58"/>
      <c r="F38" s="57">
        <f>VLOOKUP(A38,Соответствие!A:B,2,FALSE)</f>
        <v>0</v>
      </c>
      <c r="G38" s="63">
        <f t="shared" si="17"/>
        <v>61.016949152542367</v>
      </c>
      <c r="H38" s="52" t="e">
        <f>VLOOKUP(F38,SummaryReport!A:J,8,FALSE)</f>
        <v>#N/A</v>
      </c>
      <c r="I38" s="26" t="e">
        <f>1-G38/H38</f>
        <v>#N/A</v>
      </c>
    </row>
    <row r="39" spans="1:9" ht="18.75" x14ac:dyDescent="0.25">
      <c r="A39" s="45" t="s">
        <v>4</v>
      </c>
      <c r="B39" s="44">
        <v>280</v>
      </c>
      <c r="C39" s="28">
        <f>GETPIVOTDATA("Итого",$I$1,"transaction rq",A39)*3</f>
        <v>274.32167832167829</v>
      </c>
      <c r="D39" s="56">
        <f t="shared" si="18"/>
        <v>-2.0699500356887945E-2</v>
      </c>
      <c r="E39" s="58"/>
      <c r="F39" s="57">
        <f>VLOOKUP(A39,Соответствие!A:B,2,FALSE)</f>
        <v>0</v>
      </c>
      <c r="G39" s="63">
        <f t="shared" si="17"/>
        <v>91.440559440559426</v>
      </c>
      <c r="H39" s="52" t="e">
        <f>VLOOKUP(F39,SummaryReport!A:J,8,FALSE)</f>
        <v>#N/A</v>
      </c>
      <c r="I39" s="26" t="e">
        <f>1-G39/H39</f>
        <v>#N/A</v>
      </c>
    </row>
    <row r="40" spans="1:9" ht="18.75" x14ac:dyDescent="0.25">
      <c r="A40" s="45" t="s">
        <v>13</v>
      </c>
      <c r="B40" s="44">
        <v>73</v>
      </c>
      <c r="C40" s="28">
        <f>GETPIVOTDATA("Итого",$I$1,"transaction rq",A40)*3</f>
        <v>69.230769230769226</v>
      </c>
      <c r="D40" s="56">
        <f t="shared" si="18"/>
        <v>-5.4444444444444517E-2</v>
      </c>
      <c r="E40" s="58"/>
      <c r="F40" s="57">
        <f>VLOOKUP(A40,Соответствие!A:B,2,FALSE)</f>
        <v>0</v>
      </c>
      <c r="G40" s="63">
        <f t="shared" si="17"/>
        <v>23.076923076923077</v>
      </c>
      <c r="H40" s="52" t="e">
        <f>VLOOKUP(F40,SummaryReport!A:J,8,FALSE)</f>
        <v>#N/A</v>
      </c>
      <c r="I40" s="26" t="e">
        <f>1-G40/H40</f>
        <v>#N/A</v>
      </c>
    </row>
    <row r="41" spans="1:9" ht="18.75" x14ac:dyDescent="0.25">
      <c r="A41" s="45" t="s">
        <v>6</v>
      </c>
      <c r="B41" s="44">
        <v>326</v>
      </c>
      <c r="C41" s="28">
        <f>GETPIVOTDATA("Итого",$I$1,"transaction rq",A41)*3</f>
        <v>336.98749904133746</v>
      </c>
      <c r="D41" s="56">
        <f t="shared" si="18"/>
        <v>3.2605064201475464E-2</v>
      </c>
      <c r="E41" s="58"/>
      <c r="F41" s="57">
        <f>VLOOKUP(A41,Соответствие!A:B,2,FALSE)</f>
        <v>0</v>
      </c>
      <c r="G41" s="63">
        <f t="shared" si="17"/>
        <v>112.32916634711249</v>
      </c>
      <c r="H41" s="52" t="e">
        <f>VLOOKUP(F41,SummaryReport!A:J,8,FALSE)</f>
        <v>#N/A</v>
      </c>
      <c r="I41" s="26" t="e">
        <f>1-G41/H41</f>
        <v>#N/A</v>
      </c>
    </row>
    <row r="42" spans="1:9" ht="37.5" x14ac:dyDescent="0.25">
      <c r="A42" s="45" t="s">
        <v>66</v>
      </c>
      <c r="B42" s="44">
        <v>97</v>
      </c>
      <c r="C42" s="28">
        <f>GETPIVOTDATA("Итого",$I$1,"transaction rq",A42)*3</f>
        <v>96</v>
      </c>
      <c r="D42" s="56">
        <f t="shared" si="18"/>
        <v>-1.0416666666666741E-2</v>
      </c>
      <c r="E42" s="58"/>
      <c r="F42" s="57">
        <f>VLOOKUP(A42,Соответствие!A:B,2,FALSE)</f>
        <v>0</v>
      </c>
      <c r="G42" s="63">
        <f t="shared" si="17"/>
        <v>32</v>
      </c>
      <c r="H42" s="52"/>
      <c r="I42" s="26" t="e">
        <f>1-G42/H42</f>
        <v>#DIV/0!</v>
      </c>
    </row>
    <row r="43" spans="1:9" ht="18.75" x14ac:dyDescent="0.25">
      <c r="A43" s="45" t="s">
        <v>65</v>
      </c>
      <c r="B43" s="44">
        <v>97</v>
      </c>
      <c r="C43" s="28">
        <f>GETPIVOTDATA("Итого",$I$1,"transaction rq",A43)*3</f>
        <v>96</v>
      </c>
      <c r="D43" s="56">
        <f t="shared" si="18"/>
        <v>-1.0416666666666741E-2</v>
      </c>
      <c r="E43" s="58"/>
      <c r="F43" s="57">
        <f>VLOOKUP(A43,Соответствие!A:B,2,FALSE)</f>
        <v>0</v>
      </c>
      <c r="G43" s="63">
        <f t="shared" si="17"/>
        <v>32</v>
      </c>
      <c r="H43" s="52"/>
      <c r="I43" s="26" t="e">
        <f>1-G43/H43</f>
        <v>#DIV/0!</v>
      </c>
    </row>
    <row r="44" spans="1:9" ht="37.5" x14ac:dyDescent="0.25">
      <c r="A44" s="45" t="s">
        <v>67</v>
      </c>
      <c r="B44" s="44">
        <v>97</v>
      </c>
      <c r="C44" s="28">
        <f>GETPIVOTDATA("Итого",$I$1,"transaction rq",A44)*3</f>
        <v>96</v>
      </c>
      <c r="D44" s="56">
        <f t="shared" si="18"/>
        <v>-1.0416666666666741E-2</v>
      </c>
      <c r="E44" s="58"/>
      <c r="F44" s="57">
        <f>VLOOKUP(A44,Соответствие!A:B,2,FALSE)</f>
        <v>0</v>
      </c>
      <c r="G44" s="63">
        <f t="shared" si="17"/>
        <v>32</v>
      </c>
      <c r="H44" s="52"/>
      <c r="I44" s="26" t="e">
        <f>1-G44/H44</f>
        <v>#DIV/0!</v>
      </c>
    </row>
    <row r="45" spans="1:9" ht="19.5" thickBot="1" x14ac:dyDescent="0.3">
      <c r="A45" s="47" t="s">
        <v>7</v>
      </c>
      <c r="B45" s="48">
        <f>SUM(B33:B44)</f>
        <v>2944</v>
      </c>
      <c r="C45" s="27">
        <f>SUM(C33:C44)</f>
        <v>2967.4028264855774</v>
      </c>
      <c r="D45" s="25">
        <f t="shared" si="18"/>
        <v>7.8866361778371363E-3</v>
      </c>
    </row>
    <row r="47" spans="1:9" x14ac:dyDescent="0.25">
      <c r="C47" s="35" t="s">
        <v>79</v>
      </c>
      <c r="D47" s="35"/>
      <c r="E47" s="35"/>
      <c r="F47" s="35"/>
      <c r="G47" s="35"/>
      <c r="H47" s="35"/>
    </row>
    <row r="48" spans="1:9" x14ac:dyDescent="0.25">
      <c r="B48" t="s">
        <v>111</v>
      </c>
      <c r="C48" t="s">
        <v>78</v>
      </c>
      <c r="D48" t="s">
        <v>74</v>
      </c>
      <c r="E48" t="s">
        <v>76</v>
      </c>
      <c r="F48" t="s">
        <v>75</v>
      </c>
      <c r="G48" t="s">
        <v>77</v>
      </c>
      <c r="H48" t="s">
        <v>110</v>
      </c>
    </row>
    <row r="49" spans="1:9" x14ac:dyDescent="0.25">
      <c r="A49" t="s">
        <v>69</v>
      </c>
      <c r="B49" s="36">
        <f>124/3</f>
        <v>41.333333333333336</v>
      </c>
      <c r="C49" s="40">
        <v>57</v>
      </c>
      <c r="D49" s="36">
        <f>60/C49</f>
        <v>1.0526315789473684</v>
      </c>
      <c r="E49" s="51">
        <v>20</v>
      </c>
      <c r="F49" s="49">
        <f>B49/(D49*E49)</f>
        <v>1.9633333333333336</v>
      </c>
      <c r="G49" s="20">
        <f>ROUND(F49,0)</f>
        <v>2</v>
      </c>
      <c r="H49" s="20">
        <f>G49*D49*E49</f>
        <v>42.105263157894733</v>
      </c>
    </row>
    <row r="50" spans="1:9" x14ac:dyDescent="0.25">
      <c r="A50" t="s">
        <v>70</v>
      </c>
      <c r="B50" s="36">
        <f>150/3</f>
        <v>50</v>
      </c>
      <c r="C50" s="40">
        <v>25</v>
      </c>
      <c r="D50" s="36">
        <f t="shared" ref="D50:D53" si="19">60/C50</f>
        <v>2.4</v>
      </c>
      <c r="E50" s="51">
        <v>20</v>
      </c>
      <c r="F50" s="49">
        <f>B50/(D50*E50)</f>
        <v>1.0416666666666667</v>
      </c>
      <c r="G50" s="20">
        <f t="shared" ref="G50:G53" si="20">ROUND(F50,0)</f>
        <v>1</v>
      </c>
      <c r="H50" s="20">
        <f t="shared" ref="H50:H53" si="21">G50*D50*E50</f>
        <v>48</v>
      </c>
      <c r="I50" s="35"/>
    </row>
    <row r="51" spans="1:9" x14ac:dyDescent="0.25">
      <c r="A51" t="s">
        <v>71</v>
      </c>
      <c r="B51" s="37">
        <f>30/3</f>
        <v>10</v>
      </c>
      <c r="C51" s="50">
        <v>115</v>
      </c>
      <c r="D51" s="36">
        <f t="shared" si="19"/>
        <v>0.52173913043478259</v>
      </c>
      <c r="E51" s="51">
        <v>20</v>
      </c>
      <c r="F51" s="49">
        <f>B51/(D51*E51)</f>
        <v>0.95833333333333337</v>
      </c>
      <c r="G51" s="20">
        <v>1</v>
      </c>
      <c r="H51" s="20">
        <f t="shared" si="21"/>
        <v>10.434782608695652</v>
      </c>
    </row>
    <row r="52" spans="1:9" x14ac:dyDescent="0.25">
      <c r="A52" t="s">
        <v>72</v>
      </c>
      <c r="B52" s="36">
        <f>20/3</f>
        <v>6.666666666666667</v>
      </c>
      <c r="C52" s="40">
        <v>180</v>
      </c>
      <c r="D52" s="36">
        <f t="shared" si="19"/>
        <v>0.33333333333333331</v>
      </c>
      <c r="E52" s="51">
        <v>20</v>
      </c>
      <c r="F52" s="49">
        <f>B52/(D52*E52)</f>
        <v>1.0000000000000002</v>
      </c>
      <c r="G52" s="20">
        <v>1</v>
      </c>
      <c r="H52" s="20">
        <f t="shared" si="21"/>
        <v>6.6666666666666661</v>
      </c>
    </row>
    <row r="53" spans="1:9" x14ac:dyDescent="0.25">
      <c r="A53" t="s">
        <v>73</v>
      </c>
      <c r="B53" s="36">
        <f>120/3</f>
        <v>40</v>
      </c>
      <c r="C53" s="40">
        <v>30</v>
      </c>
      <c r="D53" s="36">
        <f t="shared" si="19"/>
        <v>2</v>
      </c>
      <c r="E53" s="51">
        <v>20</v>
      </c>
      <c r="F53" s="49">
        <f>B53/(D53*E53)</f>
        <v>1</v>
      </c>
      <c r="G53" s="20">
        <f t="shared" si="20"/>
        <v>1</v>
      </c>
      <c r="H53" s="20">
        <f t="shared" si="21"/>
        <v>40</v>
      </c>
      <c r="I53" s="34">
        <f>1-B49/H49</f>
        <v>1.8333333333333202E-2</v>
      </c>
    </row>
    <row r="54" spans="1:9" x14ac:dyDescent="0.25">
      <c r="G54" s="20">
        <f>SUM(G49:G53)</f>
        <v>6</v>
      </c>
      <c r="I54" s="34">
        <f>1-B50/H50</f>
        <v>-4.1666666666666741E-2</v>
      </c>
    </row>
    <row r="55" spans="1:9" x14ac:dyDescent="0.25">
      <c r="I55" s="34">
        <f>1-B51/H51</f>
        <v>4.166666666666663E-2</v>
      </c>
    </row>
    <row r="56" spans="1:9" x14ac:dyDescent="0.25">
      <c r="I56" s="34">
        <f>1-B52/H52</f>
        <v>0</v>
      </c>
    </row>
    <row r="57" spans="1:9" x14ac:dyDescent="0.25">
      <c r="I57" s="34">
        <f>1-B53/H53</f>
        <v>0</v>
      </c>
    </row>
  </sheetData>
  <mergeCells count="1">
    <mergeCell ref="A31:B31"/>
  </mergeCell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4" sqref="B4"/>
    </sheetView>
  </sheetViews>
  <sheetFormatPr defaultRowHeight="15" x14ac:dyDescent="0.25"/>
  <cols>
    <col min="1" max="1" width="47.42578125" bestFit="1" customWidth="1"/>
    <col min="2" max="2" width="14.140625" bestFit="1" customWidth="1"/>
  </cols>
  <sheetData>
    <row r="1" spans="1:2" x14ac:dyDescent="0.25">
      <c r="A1" t="s">
        <v>83</v>
      </c>
      <c r="B1" t="s">
        <v>84</v>
      </c>
    </row>
    <row r="2" spans="1:2" x14ac:dyDescent="0.25">
      <c r="A2" t="str">
        <f>'Автоматизированный расчет'!A33</f>
        <v>Главная Welcome страница</v>
      </c>
      <c r="B2" t="s">
        <v>113</v>
      </c>
    </row>
    <row r="3" spans="1:2" x14ac:dyDescent="0.25">
      <c r="A3" t="str">
        <f>'Автоматизированный расчет'!A34</f>
        <v>Вход в систему</v>
      </c>
      <c r="B3" t="s">
        <v>114</v>
      </c>
    </row>
    <row r="4" spans="1:2" x14ac:dyDescent="0.25">
      <c r="A4" t="str">
        <f>'Автоматизированный расчет'!A35</f>
        <v>Переход на страницу поиска билетов</v>
      </c>
      <c r="B4" t="s">
        <v>116</v>
      </c>
    </row>
    <row r="5" spans="1:2" x14ac:dyDescent="0.25">
      <c r="A5" t="str">
        <f>'Автоматизированный расчет'!A36</f>
        <v xml:space="preserve">Заполнение полей для поиска билета </v>
      </c>
      <c r="B5" t="s">
        <v>115</v>
      </c>
    </row>
    <row r="6" spans="1:2" x14ac:dyDescent="0.25">
      <c r="A6" t="str">
        <f>'Автоматизированный расчет'!A37</f>
        <v xml:space="preserve">Выбор рейса из найденных </v>
      </c>
    </row>
    <row r="7" spans="1:2" x14ac:dyDescent="0.25">
      <c r="A7" t="str">
        <f>'Автоматизированный расчет'!A38</f>
        <v>Оплата билета</v>
      </c>
    </row>
    <row r="8" spans="1:2" x14ac:dyDescent="0.25">
      <c r="A8" t="str">
        <f>'Автоматизированный расчет'!A39</f>
        <v>Просмотр квитанций</v>
      </c>
    </row>
    <row r="9" spans="1:2" x14ac:dyDescent="0.25">
      <c r="A9" t="str">
        <f>'Автоматизированный расчет'!A40</f>
        <v xml:space="preserve">Отмена бронирования </v>
      </c>
    </row>
    <row r="10" spans="1:2" x14ac:dyDescent="0.25">
      <c r="A10" t="str">
        <f>'Автоматизированный расчет'!A41</f>
        <v>Выход из системы</v>
      </c>
    </row>
    <row r="11" spans="1:2" x14ac:dyDescent="0.25">
      <c r="A11" t="str">
        <f>'Автоматизированный расчет'!A42</f>
        <v>Перход на страницу регистрации</v>
      </c>
    </row>
    <row r="12" spans="1:2" x14ac:dyDescent="0.25">
      <c r="A12" t="str">
        <f>'Автоматизированный расчет'!A43</f>
        <v>Заполнение полей регистарции</v>
      </c>
    </row>
    <row r="13" spans="1:2" x14ac:dyDescent="0.25">
      <c r="A13" t="str">
        <f>'Автоматизированный расчет'!A44</f>
        <v>Переход на следуюущий эран после регистарции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0" sqref="A10"/>
    </sheetView>
  </sheetViews>
  <sheetFormatPr defaultRowHeight="15" x14ac:dyDescent="0.25"/>
  <cols>
    <col min="1" max="1" width="36.42578125" bestFit="1" customWidth="1"/>
  </cols>
  <sheetData>
    <row r="1" spans="1:10" x14ac:dyDescent="0.25">
      <c r="A1" t="s">
        <v>27</v>
      </c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  <c r="H1" t="s">
        <v>28</v>
      </c>
      <c r="I1" t="s">
        <v>29</v>
      </c>
      <c r="J1" t="s">
        <v>30</v>
      </c>
    </row>
    <row r="2" spans="1:10" x14ac:dyDescent="0.25">
      <c r="A2" t="s">
        <v>92</v>
      </c>
      <c r="B2" t="s">
        <v>93</v>
      </c>
      <c r="C2">
        <v>0.106</v>
      </c>
      <c r="D2">
        <v>0.14000000000000001</v>
      </c>
      <c r="E2">
        <v>0.51</v>
      </c>
      <c r="F2">
        <v>0.05</v>
      </c>
      <c r="G2">
        <v>0.17899999999999999</v>
      </c>
      <c r="H2">
        <v>92</v>
      </c>
      <c r="I2">
        <v>0</v>
      </c>
      <c r="J2">
        <v>0</v>
      </c>
    </row>
    <row r="3" spans="1:10" x14ac:dyDescent="0.25">
      <c r="A3" t="s">
        <v>94</v>
      </c>
      <c r="B3" t="s">
        <v>93</v>
      </c>
      <c r="C3">
        <v>0.24299999999999999</v>
      </c>
      <c r="D3">
        <v>0.54</v>
      </c>
      <c r="E3">
        <v>14.148</v>
      </c>
      <c r="F3">
        <v>1.3879999999999999</v>
      </c>
      <c r="G3">
        <v>0.58399999999999996</v>
      </c>
      <c r="H3">
        <v>106</v>
      </c>
      <c r="I3">
        <v>0</v>
      </c>
      <c r="J3">
        <v>0</v>
      </c>
    </row>
    <row r="4" spans="1:10" x14ac:dyDescent="0.25">
      <c r="A4" t="s">
        <v>95</v>
      </c>
      <c r="B4" t="s">
        <v>93</v>
      </c>
      <c r="C4">
        <v>0.24299999999999999</v>
      </c>
      <c r="D4">
        <v>0.42599999999999999</v>
      </c>
      <c r="E4">
        <v>2.2069999999999999</v>
      </c>
      <c r="F4">
        <v>0.33300000000000002</v>
      </c>
      <c r="G4">
        <v>0.55000000000000004</v>
      </c>
      <c r="H4">
        <v>95</v>
      </c>
      <c r="I4">
        <v>0</v>
      </c>
      <c r="J4">
        <v>0</v>
      </c>
    </row>
    <row r="5" spans="1:10" x14ac:dyDescent="0.25">
      <c r="A5" t="s">
        <v>96</v>
      </c>
      <c r="B5" t="s">
        <v>93</v>
      </c>
      <c r="C5">
        <v>0.16600000000000001</v>
      </c>
      <c r="D5">
        <v>0.27</v>
      </c>
      <c r="E5">
        <v>2.63</v>
      </c>
      <c r="F5">
        <v>0.29699999999999999</v>
      </c>
      <c r="G5">
        <v>0.34499999999999997</v>
      </c>
      <c r="H5">
        <v>105</v>
      </c>
      <c r="I5">
        <v>0</v>
      </c>
      <c r="J5">
        <v>0</v>
      </c>
    </row>
    <row r="6" spans="1:10" x14ac:dyDescent="0.25">
      <c r="A6" t="s">
        <v>97</v>
      </c>
      <c r="B6" t="s">
        <v>93</v>
      </c>
      <c r="C6">
        <v>9.2999999999999999E-2</v>
      </c>
      <c r="D6">
        <v>0.14699999999999999</v>
      </c>
      <c r="E6">
        <v>0.50600000000000001</v>
      </c>
      <c r="F6">
        <v>7.6999999999999999E-2</v>
      </c>
      <c r="G6">
        <v>0.19800000000000001</v>
      </c>
      <c r="H6">
        <v>34</v>
      </c>
      <c r="I6">
        <v>0</v>
      </c>
      <c r="J6">
        <v>0</v>
      </c>
    </row>
    <row r="7" spans="1:10" x14ac:dyDescent="0.25">
      <c r="A7" t="s">
        <v>98</v>
      </c>
      <c r="B7" t="s">
        <v>93</v>
      </c>
      <c r="C7">
        <v>9.2999999999999999E-2</v>
      </c>
      <c r="D7">
        <v>0.13800000000000001</v>
      </c>
      <c r="E7">
        <v>0.45400000000000001</v>
      </c>
      <c r="F7">
        <v>8.2000000000000003E-2</v>
      </c>
      <c r="G7">
        <v>0.186</v>
      </c>
      <c r="H7">
        <v>34</v>
      </c>
      <c r="I7">
        <v>0</v>
      </c>
      <c r="J7">
        <v>0</v>
      </c>
    </row>
    <row r="8" spans="1:10" x14ac:dyDescent="0.25">
      <c r="A8" t="s">
        <v>99</v>
      </c>
      <c r="B8" t="s">
        <v>93</v>
      </c>
      <c r="C8">
        <v>0.115</v>
      </c>
      <c r="D8">
        <v>0.161</v>
      </c>
      <c r="E8">
        <v>0.41399999999999998</v>
      </c>
      <c r="F8">
        <v>6.6000000000000003E-2</v>
      </c>
      <c r="G8">
        <v>0.223</v>
      </c>
      <c r="H8">
        <v>25</v>
      </c>
      <c r="I8">
        <v>1</v>
      </c>
      <c r="J8">
        <v>0</v>
      </c>
    </row>
    <row r="9" spans="1:10" x14ac:dyDescent="0.25">
      <c r="A9" t="s">
        <v>100</v>
      </c>
      <c r="B9" t="s">
        <v>93</v>
      </c>
      <c r="C9">
        <v>0.114</v>
      </c>
      <c r="D9">
        <v>0.20699999999999999</v>
      </c>
      <c r="E9">
        <v>2.64</v>
      </c>
      <c r="F9">
        <v>0.33300000000000002</v>
      </c>
      <c r="G9">
        <v>0.26300000000000001</v>
      </c>
      <c r="H9">
        <v>57</v>
      </c>
      <c r="I9">
        <v>0</v>
      </c>
      <c r="J9">
        <v>0</v>
      </c>
    </row>
    <row r="10" spans="1:10" x14ac:dyDescent="0.25">
      <c r="A10" t="s">
        <v>101</v>
      </c>
      <c r="B10" t="s">
        <v>93</v>
      </c>
      <c r="C10">
        <v>0.104</v>
      </c>
      <c r="D10">
        <v>0.189</v>
      </c>
      <c r="E10">
        <v>2.1070000000000002</v>
      </c>
      <c r="F10">
        <v>0.25600000000000001</v>
      </c>
      <c r="G10">
        <v>0.184</v>
      </c>
      <c r="H10">
        <v>92</v>
      </c>
      <c r="I10">
        <v>0</v>
      </c>
      <c r="J10">
        <v>0</v>
      </c>
    </row>
    <row r="11" spans="1:10" x14ac:dyDescent="0.25">
      <c r="A11" t="s">
        <v>24</v>
      </c>
      <c r="B11" t="s">
        <v>93</v>
      </c>
      <c r="C11">
        <v>0.224</v>
      </c>
      <c r="D11">
        <v>0.48299999999999998</v>
      </c>
      <c r="E11">
        <v>8.968</v>
      </c>
      <c r="F11">
        <v>0.83099999999999996</v>
      </c>
      <c r="G11">
        <v>0.67900000000000005</v>
      </c>
      <c r="H11">
        <v>144</v>
      </c>
      <c r="I11">
        <v>0</v>
      </c>
      <c r="J11">
        <v>0</v>
      </c>
    </row>
    <row r="12" spans="1:10" x14ac:dyDescent="0.25">
      <c r="A12" t="s">
        <v>85</v>
      </c>
      <c r="B12" t="s">
        <v>93</v>
      </c>
      <c r="C12">
        <v>0.19900000000000001</v>
      </c>
      <c r="D12">
        <v>0.65200000000000002</v>
      </c>
      <c r="E12">
        <v>11.465</v>
      </c>
      <c r="F12">
        <v>1.899</v>
      </c>
      <c r="G12">
        <v>0.504</v>
      </c>
      <c r="H12">
        <v>34</v>
      </c>
      <c r="I12">
        <v>0</v>
      </c>
      <c r="J12">
        <v>0</v>
      </c>
    </row>
    <row r="13" spans="1:10" x14ac:dyDescent="0.25">
      <c r="A13" t="s">
        <v>102</v>
      </c>
      <c r="B13" t="s">
        <v>93</v>
      </c>
      <c r="C13">
        <v>0.152</v>
      </c>
      <c r="D13">
        <v>0.255</v>
      </c>
      <c r="E13">
        <v>2.6960000000000002</v>
      </c>
      <c r="F13">
        <v>0.20499999999999999</v>
      </c>
      <c r="G13">
        <v>0.34399999999999997</v>
      </c>
      <c r="H13">
        <v>178</v>
      </c>
      <c r="I13">
        <v>0</v>
      </c>
      <c r="J13">
        <v>0</v>
      </c>
    </row>
    <row r="14" spans="1:10" x14ac:dyDescent="0.25">
      <c r="A14" t="s">
        <v>103</v>
      </c>
      <c r="B14" t="s">
        <v>93</v>
      </c>
      <c r="C14">
        <v>0.77800000000000002</v>
      </c>
      <c r="D14">
        <v>1.446</v>
      </c>
      <c r="E14">
        <v>13.048999999999999</v>
      </c>
      <c r="F14">
        <v>2.1110000000000002</v>
      </c>
      <c r="G14">
        <v>1.623</v>
      </c>
      <c r="H14">
        <v>33</v>
      </c>
      <c r="I14">
        <v>0</v>
      </c>
      <c r="J14">
        <v>0</v>
      </c>
    </row>
    <row r="15" spans="1:10" x14ac:dyDescent="0.25">
      <c r="A15" t="s">
        <v>104</v>
      </c>
      <c r="B15" t="s">
        <v>93</v>
      </c>
      <c r="C15">
        <v>1.44</v>
      </c>
      <c r="D15">
        <v>2.3420000000000001</v>
      </c>
      <c r="E15">
        <v>19.016999999999999</v>
      </c>
      <c r="F15">
        <v>2.7629999999999999</v>
      </c>
      <c r="G15">
        <v>4.1509999999999998</v>
      </c>
      <c r="H15">
        <v>45</v>
      </c>
      <c r="I15">
        <v>0</v>
      </c>
      <c r="J15">
        <v>0</v>
      </c>
    </row>
    <row r="16" spans="1:10" x14ac:dyDescent="0.25">
      <c r="A16" t="s">
        <v>105</v>
      </c>
      <c r="B16" t="s">
        <v>93</v>
      </c>
      <c r="C16">
        <v>0.69399999999999995</v>
      </c>
      <c r="D16">
        <v>1.014</v>
      </c>
      <c r="E16">
        <v>2.077</v>
      </c>
      <c r="F16">
        <v>0.36599999999999999</v>
      </c>
      <c r="G16">
        <v>1.637</v>
      </c>
      <c r="H16">
        <v>24</v>
      </c>
      <c r="I16">
        <v>0</v>
      </c>
      <c r="J16">
        <v>0</v>
      </c>
    </row>
    <row r="17" spans="1:10" x14ac:dyDescent="0.25">
      <c r="A17" t="s">
        <v>106</v>
      </c>
      <c r="B17" t="s">
        <v>93</v>
      </c>
      <c r="C17">
        <v>0.98599999999999999</v>
      </c>
      <c r="D17">
        <v>1.61</v>
      </c>
      <c r="E17">
        <v>6.6539999999999999</v>
      </c>
      <c r="F17">
        <v>1.294</v>
      </c>
      <c r="G17">
        <v>1.9570000000000001</v>
      </c>
      <c r="H17">
        <v>25</v>
      </c>
      <c r="I17">
        <v>1</v>
      </c>
      <c r="J17">
        <v>0</v>
      </c>
    </row>
    <row r="18" spans="1:10" x14ac:dyDescent="0.25">
      <c r="A18" t="s">
        <v>107</v>
      </c>
      <c r="B18" t="s">
        <v>93</v>
      </c>
      <c r="C18">
        <v>1.109</v>
      </c>
      <c r="D18">
        <v>1.9690000000000001</v>
      </c>
      <c r="E18">
        <v>14.016999999999999</v>
      </c>
      <c r="F18">
        <v>2.3239999999999998</v>
      </c>
      <c r="G18">
        <v>3.5369999999999999</v>
      </c>
      <c r="H18">
        <v>35</v>
      </c>
      <c r="I18">
        <v>0</v>
      </c>
      <c r="J18">
        <v>0</v>
      </c>
    </row>
    <row r="19" spans="1:10" x14ac:dyDescent="0.25">
      <c r="A19" t="s">
        <v>108</v>
      </c>
      <c r="B19" t="s">
        <v>93</v>
      </c>
      <c r="C19">
        <v>1.56</v>
      </c>
      <c r="D19">
        <v>2.4740000000000002</v>
      </c>
      <c r="E19">
        <v>7.1920000000000002</v>
      </c>
      <c r="F19">
        <v>1.5089999999999999</v>
      </c>
      <c r="G19">
        <v>3.153</v>
      </c>
      <c r="H19">
        <v>12</v>
      </c>
      <c r="I19">
        <v>0</v>
      </c>
      <c r="J1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O44"/>
  <sheetViews>
    <sheetView workbookViewId="0">
      <selection activeCell="H17" sqref="H17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.42578125" customWidth="1"/>
    <col min="12" max="12" width="40.28515625" customWidth="1"/>
    <col min="13" max="13" width="6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9" spans="5:9" x14ac:dyDescent="0.25">
      <c r="E9" s="64" t="s">
        <v>33</v>
      </c>
      <c r="F9" s="64"/>
      <c r="G9" s="64"/>
      <c r="H9" s="64"/>
      <c r="I9" s="64"/>
    </row>
    <row r="11" spans="5:9" ht="28.5" x14ac:dyDescent="0.25">
      <c r="E11" s="1" t="s">
        <v>14</v>
      </c>
      <c r="F11" s="1" t="s">
        <v>15</v>
      </c>
      <c r="G11" s="1" t="s">
        <v>16</v>
      </c>
      <c r="H11" s="1" t="s">
        <v>17</v>
      </c>
      <c r="I11" s="1" t="s">
        <v>18</v>
      </c>
    </row>
    <row r="12" spans="5:9" ht="15.75" x14ac:dyDescent="0.25">
      <c r="E12" s="2" t="s">
        <v>0</v>
      </c>
      <c r="F12" s="3" t="s">
        <v>24</v>
      </c>
      <c r="G12" s="4">
        <v>368</v>
      </c>
      <c r="H12" s="3">
        <f>121*3</f>
        <v>363</v>
      </c>
      <c r="I12" s="5">
        <f>1-G12/H12</f>
        <v>-1.377410468319562E-2</v>
      </c>
    </row>
    <row r="13" spans="5:9" ht="31.5" x14ac:dyDescent="0.25">
      <c r="E13" s="2" t="s">
        <v>1</v>
      </c>
      <c r="F13" s="3" t="s">
        <v>23</v>
      </c>
      <c r="G13" s="4">
        <v>251</v>
      </c>
      <c r="H13" s="3">
        <f>82*3</f>
        <v>246</v>
      </c>
      <c r="I13" s="5">
        <f t="shared" ref="I13:I18" si="0">1-G13/H13</f>
        <v>-2.0325203252032464E-2</v>
      </c>
    </row>
    <row r="14" spans="5:9" ht="31.5" x14ac:dyDescent="0.25">
      <c r="E14" s="2" t="s">
        <v>2</v>
      </c>
      <c r="F14" s="3" t="s">
        <v>26</v>
      </c>
      <c r="G14" s="4">
        <v>251</v>
      </c>
      <c r="H14" s="3">
        <f>82*3</f>
        <v>246</v>
      </c>
      <c r="I14" s="5">
        <f t="shared" si="0"/>
        <v>-2.0325203252032464E-2</v>
      </c>
    </row>
    <row r="15" spans="5:9" ht="15.75" x14ac:dyDescent="0.25">
      <c r="E15" s="2" t="s">
        <v>3</v>
      </c>
      <c r="F15" s="3" t="s">
        <v>19</v>
      </c>
      <c r="G15" s="4">
        <v>175</v>
      </c>
      <c r="H15" s="3">
        <f>56*3</f>
        <v>168</v>
      </c>
      <c r="I15" s="6">
        <f t="shared" si="0"/>
        <v>-4.1666666666666741E-2</v>
      </c>
    </row>
    <row r="16" spans="5:9" ht="31.5" x14ac:dyDescent="0.25">
      <c r="E16" s="2" t="s">
        <v>20</v>
      </c>
      <c r="F16" s="3" t="s">
        <v>22</v>
      </c>
      <c r="G16" s="4">
        <v>159</v>
      </c>
      <c r="H16" s="4">
        <f>56*3</f>
        <v>168</v>
      </c>
      <c r="I16" s="5">
        <f t="shared" si="0"/>
        <v>5.3571428571428603E-2</v>
      </c>
    </row>
    <row r="17" spans="5:9" ht="47.25" x14ac:dyDescent="0.25">
      <c r="E17" s="2" t="s">
        <v>5</v>
      </c>
      <c r="F17" s="3" t="s">
        <v>21</v>
      </c>
      <c r="G17" s="4">
        <v>73</v>
      </c>
      <c r="H17" s="3">
        <f>25*3</f>
        <v>75</v>
      </c>
      <c r="I17" s="5">
        <f t="shared" si="0"/>
        <v>2.6666666666666616E-2</v>
      </c>
    </row>
    <row r="18" spans="5:9" ht="31.5" x14ac:dyDescent="0.25">
      <c r="E18" s="2" t="s">
        <v>6</v>
      </c>
      <c r="F18" s="3" t="s">
        <v>25</v>
      </c>
      <c r="G18" s="4">
        <v>326</v>
      </c>
      <c r="H18" s="3">
        <f>104*3</f>
        <v>312</v>
      </c>
      <c r="I18" s="5">
        <f t="shared" si="0"/>
        <v>-4.4871794871794934E-2</v>
      </c>
    </row>
    <row r="23" spans="5:9" x14ac:dyDescent="0.25">
      <c r="E23" s="64" t="s">
        <v>31</v>
      </c>
      <c r="F23" s="64"/>
      <c r="G23" s="64"/>
      <c r="H23" s="64"/>
      <c r="I23" s="64"/>
    </row>
    <row r="25" spans="5:9" x14ac:dyDescent="0.25">
      <c r="E25" s="8" t="s">
        <v>14</v>
      </c>
      <c r="F25" s="8" t="s">
        <v>15</v>
      </c>
      <c r="G25" s="8" t="s">
        <v>16</v>
      </c>
      <c r="H25" s="8" t="s">
        <v>17</v>
      </c>
      <c r="I25" s="8" t="s">
        <v>18</v>
      </c>
    </row>
    <row r="26" spans="5:9" ht="15.75" x14ac:dyDescent="0.25">
      <c r="E26" s="13" t="s">
        <v>0</v>
      </c>
      <c r="F26" s="12" t="s">
        <v>24</v>
      </c>
      <c r="G26" s="10">
        <f>5*368</f>
        <v>1840</v>
      </c>
      <c r="H26" s="9">
        <f>721*3</f>
        <v>2163</v>
      </c>
      <c r="I26" s="11">
        <f>1-G26/H26</f>
        <v>0.14932963476652794</v>
      </c>
    </row>
    <row r="27" spans="5:9" ht="15.75" x14ac:dyDescent="0.25">
      <c r="E27" s="13" t="s">
        <v>1</v>
      </c>
      <c r="F27" s="12" t="s">
        <v>23</v>
      </c>
      <c r="G27" s="10">
        <f>5*251</f>
        <v>1255</v>
      </c>
      <c r="H27" s="9">
        <f>3*464</f>
        <v>1392</v>
      </c>
      <c r="I27" s="11">
        <f t="shared" ref="I27:I32" si="1">1-G27/H27</f>
        <v>9.8419540229885083E-2</v>
      </c>
    </row>
    <row r="28" spans="5:9" ht="15.75" x14ac:dyDescent="0.25">
      <c r="E28" s="13" t="s">
        <v>2</v>
      </c>
      <c r="F28" s="12" t="s">
        <v>26</v>
      </c>
      <c r="G28" s="10">
        <f>5*251</f>
        <v>1255</v>
      </c>
      <c r="H28" s="9">
        <f>3*462</f>
        <v>1386</v>
      </c>
      <c r="I28" s="11">
        <f t="shared" si="1"/>
        <v>9.4516594516594554E-2</v>
      </c>
    </row>
    <row r="29" spans="5:9" ht="15.75" x14ac:dyDescent="0.25">
      <c r="E29" s="13" t="s">
        <v>3</v>
      </c>
      <c r="F29" s="12" t="s">
        <v>19</v>
      </c>
      <c r="G29" s="10">
        <f>5*175</f>
        <v>875</v>
      </c>
      <c r="H29" s="9">
        <f>3*314</f>
        <v>942</v>
      </c>
      <c r="I29" s="7">
        <f t="shared" si="1"/>
        <v>7.1125265392781301E-2</v>
      </c>
    </row>
    <row r="30" spans="5:9" ht="15.75" x14ac:dyDescent="0.25">
      <c r="E30" s="13" t="s">
        <v>20</v>
      </c>
      <c r="F30" s="12" t="s">
        <v>22</v>
      </c>
      <c r="G30" s="10">
        <f>5*159</f>
        <v>795</v>
      </c>
      <c r="H30" s="9">
        <f>3*330</f>
        <v>990</v>
      </c>
      <c r="I30" s="11">
        <f t="shared" si="1"/>
        <v>0.19696969696969702</v>
      </c>
    </row>
    <row r="31" spans="5:9" ht="15.75" x14ac:dyDescent="0.25">
      <c r="E31" s="13" t="s">
        <v>5</v>
      </c>
      <c r="F31" s="12" t="s">
        <v>21</v>
      </c>
      <c r="G31" s="10">
        <f>5*73</f>
        <v>365</v>
      </c>
      <c r="H31" s="9">
        <f>3*141</f>
        <v>423</v>
      </c>
      <c r="I31" s="11">
        <f t="shared" si="1"/>
        <v>0.13711583924349879</v>
      </c>
    </row>
    <row r="32" spans="5:9" ht="15.75" x14ac:dyDescent="0.25">
      <c r="E32" s="13" t="s">
        <v>6</v>
      </c>
      <c r="F32" s="12" t="s">
        <v>25</v>
      </c>
      <c r="G32" s="10">
        <f>5*326</f>
        <v>1630</v>
      </c>
      <c r="H32" s="9">
        <f>3*599</f>
        <v>1797</v>
      </c>
      <c r="I32" s="11">
        <f t="shared" si="1"/>
        <v>9.2932665553700611E-2</v>
      </c>
    </row>
    <row r="35" spans="5:15" x14ac:dyDescent="0.25">
      <c r="E35" s="64" t="s">
        <v>32</v>
      </c>
      <c r="F35" s="64"/>
      <c r="G35" s="64"/>
      <c r="H35" s="64"/>
      <c r="I35" s="64"/>
    </row>
    <row r="37" spans="5:15" x14ac:dyDescent="0.25">
      <c r="E37" s="8" t="s">
        <v>14</v>
      </c>
      <c r="F37" s="8" t="s">
        <v>15</v>
      </c>
      <c r="G37" s="8" t="s">
        <v>16</v>
      </c>
      <c r="H37" s="8" t="s">
        <v>17</v>
      </c>
      <c r="I37" s="8" t="s">
        <v>18</v>
      </c>
      <c r="L37" s="14" t="s">
        <v>27</v>
      </c>
      <c r="M37" s="14" t="s">
        <v>28</v>
      </c>
      <c r="N37" s="14" t="s">
        <v>29</v>
      </c>
      <c r="O37" s="14" t="s">
        <v>30</v>
      </c>
    </row>
    <row r="38" spans="5:15" ht="15.75" x14ac:dyDescent="0.25">
      <c r="E38" s="13" t="s">
        <v>0</v>
      </c>
      <c r="F38" s="12" t="s">
        <v>24</v>
      </c>
      <c r="G38" s="10">
        <f>5*368</f>
        <v>1840</v>
      </c>
      <c r="H38" s="9">
        <v>2109</v>
      </c>
      <c r="I38" s="11">
        <f>1-G38/H38</f>
        <v>0.12754860123281175</v>
      </c>
      <c r="L38" s="14" t="s">
        <v>21</v>
      </c>
      <c r="M38" s="14">
        <v>377</v>
      </c>
      <c r="N38" s="14">
        <v>27</v>
      </c>
      <c r="O38" s="14">
        <v>0</v>
      </c>
    </row>
    <row r="39" spans="5:15" ht="15.75" x14ac:dyDescent="0.25">
      <c r="E39" s="13" t="s">
        <v>1</v>
      </c>
      <c r="F39" s="12" t="s">
        <v>23</v>
      </c>
      <c r="G39" s="10">
        <f>5*251</f>
        <v>1255</v>
      </c>
      <c r="H39" s="14">
        <v>1315</v>
      </c>
      <c r="I39" s="11">
        <f t="shared" ref="I39:I44" si="2">1-G39/H39</f>
        <v>4.5627376425855459E-2</v>
      </c>
      <c r="L39" s="14" t="s">
        <v>22</v>
      </c>
      <c r="M39" s="14">
        <v>998</v>
      </c>
      <c r="N39" s="14">
        <v>1</v>
      </c>
      <c r="O39" s="14">
        <v>0</v>
      </c>
    </row>
    <row r="40" spans="5:15" ht="15.75" x14ac:dyDescent="0.25">
      <c r="E40" s="13" t="s">
        <v>2</v>
      </c>
      <c r="F40" s="12" t="s">
        <v>26</v>
      </c>
      <c r="G40" s="10">
        <f>5*251</f>
        <v>1255</v>
      </c>
      <c r="H40" s="9">
        <v>1315</v>
      </c>
      <c r="I40" s="11">
        <f t="shared" si="2"/>
        <v>4.5627376425855459E-2</v>
      </c>
      <c r="L40" s="14" t="s">
        <v>23</v>
      </c>
      <c r="M40" s="14" t="s">
        <v>34</v>
      </c>
      <c r="N40" s="14">
        <v>0</v>
      </c>
      <c r="O40" s="14">
        <v>0</v>
      </c>
    </row>
    <row r="41" spans="5:15" ht="15.75" x14ac:dyDescent="0.25">
      <c r="E41" s="13" t="s">
        <v>3</v>
      </c>
      <c r="F41" s="12" t="s">
        <v>19</v>
      </c>
      <c r="G41" s="10">
        <f>5*175</f>
        <v>875</v>
      </c>
      <c r="H41" s="14">
        <v>924</v>
      </c>
      <c r="I41" s="7">
        <f t="shared" si="2"/>
        <v>5.3030303030302983E-2</v>
      </c>
      <c r="L41" s="14" t="s">
        <v>24</v>
      </c>
      <c r="M41" s="14" t="s">
        <v>35</v>
      </c>
      <c r="N41" s="14">
        <v>139</v>
      </c>
      <c r="O41" s="14">
        <v>0</v>
      </c>
    </row>
    <row r="42" spans="5:15" ht="15.75" x14ac:dyDescent="0.25">
      <c r="E42" s="13" t="s">
        <v>20</v>
      </c>
      <c r="F42" s="12" t="s">
        <v>22</v>
      </c>
      <c r="G42" s="10">
        <f>5*159</f>
        <v>795</v>
      </c>
      <c r="H42" s="14">
        <v>998</v>
      </c>
      <c r="I42" s="11">
        <f t="shared" si="2"/>
        <v>0.20340681362725455</v>
      </c>
      <c r="L42" s="14" t="s">
        <v>25</v>
      </c>
      <c r="M42" s="14" t="s">
        <v>36</v>
      </c>
      <c r="N42" s="14">
        <v>1</v>
      </c>
      <c r="O42" s="14">
        <v>0</v>
      </c>
    </row>
    <row r="43" spans="5:15" ht="15.75" x14ac:dyDescent="0.25">
      <c r="E43" s="13" t="s">
        <v>5</v>
      </c>
      <c r="F43" s="12" t="s">
        <v>21</v>
      </c>
      <c r="G43" s="10">
        <f>5*73</f>
        <v>365</v>
      </c>
      <c r="H43" s="14">
        <v>404</v>
      </c>
      <c r="I43" s="11">
        <f t="shared" si="2"/>
        <v>9.6534653465346509E-2</v>
      </c>
      <c r="L43" s="14" t="s">
        <v>19</v>
      </c>
      <c r="M43" s="14">
        <v>924</v>
      </c>
      <c r="N43" s="14">
        <v>0</v>
      </c>
      <c r="O43" s="14">
        <v>0</v>
      </c>
    </row>
    <row r="44" spans="5:15" ht="15.75" x14ac:dyDescent="0.25">
      <c r="E44" s="13" t="s">
        <v>6</v>
      </c>
      <c r="F44" s="12" t="s">
        <v>25</v>
      </c>
      <c r="G44" s="10">
        <f>5*326</f>
        <v>1630</v>
      </c>
      <c r="H44" s="9">
        <v>1675</v>
      </c>
      <c r="I44" s="11">
        <f t="shared" si="2"/>
        <v>2.68656716417911E-2</v>
      </c>
      <c r="L44" s="14" t="s">
        <v>26</v>
      </c>
      <c r="M44" s="14" t="s">
        <v>34</v>
      </c>
      <c r="N44" s="14">
        <v>0</v>
      </c>
      <c r="O44" s="14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Автоматизированный расчет</vt:lpstr>
      <vt:lpstr>Соответствие</vt:lpstr>
      <vt:lpstr>SummaryReport</vt:lpstr>
      <vt:lpstr>Шаблоны соотвествие профилю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Алексей Сафонов</cp:lastModifiedBy>
  <dcterms:created xsi:type="dcterms:W3CDTF">2015-06-05T18:19:34Z</dcterms:created>
  <dcterms:modified xsi:type="dcterms:W3CDTF">2022-09-10T07:20:55Z</dcterms:modified>
</cp:coreProperties>
</file>