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almaholdingsinc.sharepoint.com/sites/CEN-Engineering/Shared Documents/General/NPD/Andromeda Staff Tag/Battery Life/"/>
    </mc:Choice>
  </mc:AlternateContent>
  <xr:revisionPtr revIDLastSave="0" documentId="8_{EA3F80E8-A156-4DC8-AF35-635DB93C510B}" xr6:coauthVersionLast="47" xr6:coauthVersionMax="47" xr10:uidLastSave="{00000000-0000-0000-0000-000000000000}"/>
  <bookViews>
    <workbookView xWindow="28680" yWindow="-120" windowWidth="29040" windowHeight="15840" tabRatio="879" firstSheet="2" activeTab="2" xr2:uid="{5EEA6324-F84C-4AD4-9E8A-1D312F75596D}"/>
  </bookViews>
  <sheets>
    <sheet name="Cover" sheetId="1" r:id="rId1"/>
    <sheet name="Summary" sheetId="42" r:id="rId2"/>
    <sheet name="Calculator" sheetId="3" r:id="rId3"/>
    <sheet name="Current Consumption" sheetId="38" r:id="rId4"/>
    <sheet name="BLE Advertisement" sheetId="34" r:id="rId5"/>
    <sheet name="Current Sims" sheetId="43" r:id="rId6"/>
    <sheet name="BF1" sheetId="44" r:id="rId7"/>
    <sheet name="Lists" sheetId="11" r:id="rId8"/>
  </sheets>
  <externalReferences>
    <externalReference r:id="rId9"/>
    <externalReference r:id="rId10"/>
  </externalReferences>
  <definedNames>
    <definedName name="Activity_Level" localSheetId="3">#REF!</definedName>
    <definedName name="Activity_Level" localSheetId="5">#REF!</definedName>
    <definedName name="Activity_Level" localSheetId="7">#REF!</definedName>
    <definedName name="Activity_Level">#REF!</definedName>
    <definedName name="x" localSheetId="5">#REF!</definedName>
    <definedName name="x" localSheetId="7">#REF!</definedName>
    <definedName name="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43" l="1"/>
  <c r="L26" i="43" s="1"/>
  <c r="K22" i="43"/>
  <c r="K23" i="43"/>
  <c r="L23" i="43" s="1"/>
  <c r="K24" i="43"/>
  <c r="K25" i="43"/>
  <c r="L22" i="43"/>
  <c r="L24" i="43"/>
  <c r="L25" i="43"/>
  <c r="C62" i="3"/>
  <c r="C63" i="3"/>
  <c r="C309" i="3"/>
  <c r="C307" i="3" l="1"/>
  <c r="N4" i="44"/>
  <c r="Q5" i="44"/>
  <c r="R5" i="44"/>
  <c r="S5" i="44" s="1"/>
  <c r="R9" i="44"/>
  <c r="N28" i="44"/>
  <c r="Q7" i="44" s="1"/>
  <c r="S9" i="44" l="1"/>
  <c r="Q9" i="44" s="1"/>
  <c r="G319" i="3" l="1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18" i="3"/>
  <c r="C65" i="3" l="1"/>
  <c r="C119" i="3"/>
  <c r="G225" i="38" l="1"/>
  <c r="C64" i="3"/>
  <c r="G169" i="38"/>
  <c r="D13" i="43" l="1"/>
  <c r="E13" i="42"/>
  <c r="E12" i="42"/>
  <c r="E11" i="42"/>
  <c r="D7" i="43"/>
  <c r="D16" i="43" s="1"/>
  <c r="D9" i="43"/>
  <c r="D12" i="43" s="1"/>
  <c r="D11" i="43"/>
  <c r="D14" i="43" l="1"/>
  <c r="D15" i="43"/>
  <c r="K21" i="43" l="1"/>
  <c r="L21" i="43" s="1"/>
  <c r="D19" i="42"/>
  <c r="E7" i="42"/>
  <c r="E9" i="42"/>
  <c r="E5" i="42"/>
  <c r="C426" i="3"/>
  <c r="E428" i="3" s="1"/>
  <c r="E718" i="38"/>
  <c r="C425" i="3" s="1"/>
  <c r="E717" i="38"/>
  <c r="C201" i="3"/>
  <c r="C274" i="3"/>
  <c r="C165" i="3"/>
  <c r="E171" i="3"/>
  <c r="E858" i="38"/>
  <c r="C162" i="3" s="1"/>
  <c r="E857" i="38"/>
  <c r="E812" i="38"/>
  <c r="C160" i="3" s="1"/>
  <c r="E811" i="38"/>
  <c r="E765" i="38"/>
  <c r="C158" i="3" s="1"/>
  <c r="E764" i="38"/>
  <c r="C67" i="3"/>
  <c r="C70" i="3" l="1"/>
  <c r="C294" i="3"/>
  <c r="C308" i="3" s="1"/>
  <c r="C306" i="3"/>
  <c r="C364" i="3"/>
  <c r="K7" i="3"/>
  <c r="C415" i="3"/>
  <c r="C395" i="3"/>
  <c r="C385" i="3"/>
  <c r="C375" i="3"/>
  <c r="C365" i="3"/>
  <c r="C245" i="3"/>
  <c r="C214" i="3"/>
  <c r="C71" i="3"/>
  <c r="C310" i="3"/>
  <c r="C285" i="3"/>
  <c r="C284" i="3"/>
  <c r="C275" i="3"/>
  <c r="C424" i="3" l="1"/>
  <c r="C429" i="3" s="1"/>
  <c r="C304" i="3"/>
  <c r="C414" i="3"/>
  <c r="C394" i="3"/>
  <c r="C305" i="3"/>
  <c r="HJ6" i="34"/>
  <c r="HI6" i="34"/>
  <c r="D221" i="3"/>
  <c r="C171" i="3"/>
  <c r="A133" i="11"/>
  <c r="C428" i="3" l="1"/>
  <c r="B221" i="3"/>
  <c r="F221" i="3"/>
  <c r="C122" i="3"/>
  <c r="C121" i="3"/>
  <c r="C120" i="3"/>
  <c r="E128" i="3"/>
  <c r="B171" i="3"/>
  <c r="C164" i="3"/>
  <c r="C79" i="3"/>
  <c r="B128" i="3"/>
  <c r="G129" i="3" s="1"/>
  <c r="B79" i="3"/>
  <c r="F81" i="3" s="1"/>
  <c r="B317" i="3"/>
  <c r="H335" i="3" s="1"/>
  <c r="E317" i="3"/>
  <c r="C317" i="3"/>
  <c r="C101" i="3"/>
  <c r="C42" i="3"/>
  <c r="C303" i="3"/>
  <c r="C297" i="3"/>
  <c r="C299" i="3"/>
  <c r="C301" i="3"/>
  <c r="C295" i="3"/>
  <c r="G23" i="3"/>
  <c r="G22" i="3"/>
  <c r="G21" i="3"/>
  <c r="G19" i="3"/>
  <c r="G17" i="3"/>
  <c r="G15" i="3"/>
  <c r="D17" i="3"/>
  <c r="D253" i="3"/>
  <c r="C128" i="3"/>
  <c r="C105" i="3"/>
  <c r="C416" i="3"/>
  <c r="E418" i="3" s="1"/>
  <c r="A132" i="11"/>
  <c r="A131" i="11"/>
  <c r="A130" i="11"/>
  <c r="A129" i="11"/>
  <c r="GE6" i="34"/>
  <c r="GD6" i="34"/>
  <c r="AF16" i="34"/>
  <c r="AE16" i="34"/>
  <c r="FA6" i="34"/>
  <c r="EZ6" i="34"/>
  <c r="C376" i="3"/>
  <c r="DV6" i="34"/>
  <c r="DU6" i="34"/>
  <c r="H185" i="3" l="1"/>
  <c r="H184" i="3"/>
  <c r="H181" i="3"/>
  <c r="H177" i="3"/>
  <c r="H173" i="3"/>
  <c r="H193" i="3"/>
  <c r="H189" i="3"/>
  <c r="H188" i="3"/>
  <c r="H176" i="3"/>
  <c r="H192" i="3"/>
  <c r="H172" i="3"/>
  <c r="H180" i="3"/>
  <c r="G182" i="3"/>
  <c r="G183" i="3"/>
  <c r="G184" i="3"/>
  <c r="G188" i="3"/>
  <c r="G189" i="3"/>
  <c r="G191" i="3"/>
  <c r="G192" i="3"/>
  <c r="G193" i="3"/>
  <c r="G194" i="3"/>
  <c r="G175" i="3"/>
  <c r="G172" i="3"/>
  <c r="G180" i="3"/>
  <c r="G181" i="3"/>
  <c r="G186" i="3"/>
  <c r="G187" i="3"/>
  <c r="G190" i="3"/>
  <c r="G173" i="3"/>
  <c r="G174" i="3"/>
  <c r="G195" i="3"/>
  <c r="G176" i="3"/>
  <c r="G178" i="3"/>
  <c r="G179" i="3"/>
  <c r="G177" i="3"/>
  <c r="G185" i="3"/>
  <c r="C419" i="3"/>
  <c r="J129" i="3"/>
  <c r="I129" i="3"/>
  <c r="F80" i="3"/>
  <c r="F91" i="3"/>
  <c r="H91" i="3" s="1"/>
  <c r="F90" i="3"/>
  <c r="H90" i="3" s="1"/>
  <c r="F89" i="3"/>
  <c r="I89" i="3" s="1"/>
  <c r="F88" i="3"/>
  <c r="H88" i="3" s="1"/>
  <c r="F87" i="3"/>
  <c r="H87" i="3" s="1"/>
  <c r="F86" i="3"/>
  <c r="H86" i="3" s="1"/>
  <c r="F85" i="3"/>
  <c r="F84" i="3"/>
  <c r="F83" i="3"/>
  <c r="H83" i="3" s="1"/>
  <c r="F82" i="3"/>
  <c r="H82" i="3" s="1"/>
  <c r="G130" i="3"/>
  <c r="H331" i="3"/>
  <c r="J331" i="3" s="1"/>
  <c r="H338" i="3"/>
  <c r="H334" i="3"/>
  <c r="H318" i="3"/>
  <c r="J318" i="3" s="1"/>
  <c r="H349" i="3"/>
  <c r="J349" i="3" s="1"/>
  <c r="H327" i="3"/>
  <c r="J327" i="3" s="1"/>
  <c r="H325" i="3"/>
  <c r="J325" i="3" s="1"/>
  <c r="H345" i="3"/>
  <c r="J345" i="3" s="1"/>
  <c r="H324" i="3"/>
  <c r="J324" i="3" s="1"/>
  <c r="H344" i="3"/>
  <c r="J344" i="3" s="1"/>
  <c r="H323" i="3"/>
  <c r="J323" i="3" s="1"/>
  <c r="H336" i="3"/>
  <c r="H333" i="3"/>
  <c r="J333" i="3" s="1"/>
  <c r="H329" i="3"/>
  <c r="J329" i="3" s="1"/>
  <c r="H348" i="3"/>
  <c r="J348" i="3" s="1"/>
  <c r="H326" i="3"/>
  <c r="J326" i="3" s="1"/>
  <c r="H343" i="3"/>
  <c r="J343" i="3" s="1"/>
  <c r="H322" i="3"/>
  <c r="J322" i="3" s="1"/>
  <c r="H342" i="3"/>
  <c r="H321" i="3"/>
  <c r="J321" i="3" s="1"/>
  <c r="H339" i="3"/>
  <c r="H337" i="3"/>
  <c r="H332" i="3"/>
  <c r="J332" i="3" s="1"/>
  <c r="H330" i="3"/>
  <c r="J330" i="3" s="1"/>
  <c r="H328" i="3"/>
  <c r="J328" i="3" s="1"/>
  <c r="H347" i="3"/>
  <c r="J347" i="3" s="1"/>
  <c r="H346" i="3"/>
  <c r="H341" i="3"/>
  <c r="H320" i="3"/>
  <c r="J320" i="3" s="1"/>
  <c r="H340" i="3"/>
  <c r="H319" i="3"/>
  <c r="J319" i="3" s="1"/>
  <c r="C200" i="3"/>
  <c r="C43" i="3"/>
  <c r="G43" i="3" s="1"/>
  <c r="C406" i="3" s="1"/>
  <c r="E408" i="3" s="1"/>
  <c r="CQ6" i="34"/>
  <c r="CP6" i="34"/>
  <c r="C405" i="3"/>
  <c r="C73" i="3"/>
  <c r="C356" i="3"/>
  <c r="E358" i="3" s="1"/>
  <c r="C396" i="3"/>
  <c r="E398" i="3" s="1"/>
  <c r="C418" i="3" l="1"/>
  <c r="C157" i="3"/>
  <c r="C161" i="3"/>
  <c r="C159" i="3"/>
  <c r="C404" i="3"/>
  <c r="C244" i="3"/>
  <c r="C213" i="3"/>
  <c r="C118" i="3"/>
  <c r="C384" i="3"/>
  <c r="C374" i="3"/>
  <c r="C354" i="3"/>
  <c r="K318" i="3"/>
  <c r="K331" i="3"/>
  <c r="I86" i="3"/>
  <c r="I87" i="3"/>
  <c r="H89" i="3"/>
  <c r="I88" i="3"/>
  <c r="J130" i="3"/>
  <c r="I130" i="3"/>
  <c r="I82" i="3"/>
  <c r="I83" i="3"/>
  <c r="I90" i="3"/>
  <c r="I91" i="3"/>
  <c r="G86" i="3"/>
  <c r="G82" i="3"/>
  <c r="G84" i="3"/>
  <c r="G80" i="3"/>
  <c r="K320" i="3"/>
  <c r="K344" i="3"/>
  <c r="K324" i="3"/>
  <c r="K345" i="3"/>
  <c r="K347" i="3"/>
  <c r="K325" i="3"/>
  <c r="K328" i="3"/>
  <c r="K327" i="3"/>
  <c r="K330" i="3"/>
  <c r="K349" i="3"/>
  <c r="K332" i="3"/>
  <c r="K321" i="3"/>
  <c r="K322" i="3"/>
  <c r="K343" i="3"/>
  <c r="K326" i="3"/>
  <c r="K348" i="3"/>
  <c r="K329" i="3"/>
  <c r="K333" i="3"/>
  <c r="K319" i="3"/>
  <c r="K323" i="3"/>
  <c r="G42" i="3"/>
  <c r="AI16" i="34"/>
  <c r="AH16" i="34"/>
  <c r="C302" i="3" l="1"/>
  <c r="C296" i="3"/>
  <c r="C300" i="3"/>
  <c r="C298" i="3"/>
  <c r="C386" i="3"/>
  <c r="K5" i="3"/>
  <c r="E388" i="3" l="1"/>
  <c r="E105" i="3" l="1"/>
  <c r="C311" i="3"/>
  <c r="I333" i="3" l="1"/>
  <c r="I324" i="3"/>
  <c r="I322" i="3"/>
  <c r="I348" i="3"/>
  <c r="I325" i="3"/>
  <c r="I332" i="3"/>
  <c r="I347" i="3"/>
  <c r="I339" i="3"/>
  <c r="I323" i="3"/>
  <c r="I338" i="3"/>
  <c r="I341" i="3"/>
  <c r="I331" i="3"/>
  <c r="I340" i="3"/>
  <c r="I330" i="3"/>
  <c r="I349" i="3"/>
  <c r="I346" i="3"/>
  <c r="I345" i="3"/>
  <c r="I335" i="3"/>
  <c r="I342" i="3"/>
  <c r="I326" i="3"/>
  <c r="I344" i="3"/>
  <c r="I334" i="3"/>
  <c r="I336" i="3"/>
  <c r="I343" i="3"/>
  <c r="I329" i="3"/>
  <c r="I327" i="3"/>
  <c r="I328" i="3"/>
  <c r="I337" i="3"/>
  <c r="I320" i="3"/>
  <c r="I321" i="3"/>
  <c r="I319" i="3"/>
  <c r="I318" i="3"/>
  <c r="F317" i="3" l="1"/>
  <c r="D317" i="3"/>
  <c r="J336" i="3" l="1"/>
  <c r="J335" i="3"/>
  <c r="J346" i="3"/>
  <c r="J341" i="3"/>
  <c r="J339" i="3"/>
  <c r="J337" i="3"/>
  <c r="J334" i="3"/>
  <c r="J342" i="3"/>
  <c r="J340" i="3"/>
  <c r="J338" i="3"/>
  <c r="K338" i="3"/>
  <c r="K342" i="3"/>
  <c r="K341" i="3"/>
  <c r="K340" i="3"/>
  <c r="K335" i="3"/>
  <c r="K346" i="3"/>
  <c r="K334" i="3"/>
  <c r="K337" i="3"/>
  <c r="K336" i="3"/>
  <c r="K339" i="3"/>
  <c r="C314" i="3" l="1"/>
  <c r="C366" i="3" l="1"/>
  <c r="E368" i="3" s="1"/>
  <c r="E378" i="3"/>
  <c r="C286" i="3" l="1"/>
  <c r="E288" i="3" s="1"/>
  <c r="C289" i="3" l="1"/>
  <c r="C288" i="3" s="1"/>
  <c r="C57" i="3" l="1"/>
  <c r="C50" i="3" s="1"/>
  <c r="C59" i="3" l="1"/>
  <c r="H144" i="3" l="1"/>
  <c r="H136" i="3"/>
  <c r="C163" i="3"/>
  <c r="H183" i="3" l="1"/>
  <c r="H179" i="3"/>
  <c r="H178" i="3"/>
  <c r="H195" i="3"/>
  <c r="H194" i="3"/>
  <c r="H191" i="3"/>
  <c r="H190" i="3"/>
  <c r="H187" i="3"/>
  <c r="H175" i="3"/>
  <c r="H174" i="3"/>
  <c r="H182" i="3"/>
  <c r="H186" i="3"/>
  <c r="C276" i="3"/>
  <c r="C248" i="3"/>
  <c r="A84" i="11" l="1"/>
  <c r="A83" i="11"/>
  <c r="A75" i="11" l="1"/>
  <c r="B105" i="3" l="1"/>
  <c r="E278" i="3" l="1"/>
  <c r="C355" i="3"/>
  <c r="C202" i="3" l="1"/>
  <c r="E204" i="3" l="1"/>
  <c r="A73" i="11"/>
  <c r="A74" i="11"/>
  <c r="A76" i="11"/>
  <c r="A77" i="11"/>
  <c r="A72" i="11"/>
  <c r="D15" i="3" l="1"/>
  <c r="D171" i="3" l="1"/>
  <c r="J183" i="3" l="1"/>
  <c r="J187" i="3"/>
  <c r="J186" i="3"/>
  <c r="J182" i="3"/>
  <c r="J181" i="3"/>
  <c r="J180" i="3"/>
  <c r="I182" i="3"/>
  <c r="I187" i="3"/>
  <c r="I186" i="3"/>
  <c r="I180" i="3"/>
  <c r="I185" i="3"/>
  <c r="I184" i="3"/>
  <c r="I183" i="3"/>
  <c r="I181" i="3"/>
  <c r="J184" i="3"/>
  <c r="J185" i="3"/>
  <c r="I192" i="3"/>
  <c r="I195" i="3"/>
  <c r="J188" i="3"/>
  <c r="I188" i="3"/>
  <c r="I190" i="3"/>
  <c r="J193" i="3"/>
  <c r="I193" i="3"/>
  <c r="J195" i="3"/>
  <c r="I189" i="3"/>
  <c r="J191" i="3"/>
  <c r="I191" i="3"/>
  <c r="I194" i="3"/>
  <c r="J194" i="3"/>
  <c r="J189" i="3"/>
  <c r="J192" i="3"/>
  <c r="J190" i="3"/>
  <c r="I178" i="3"/>
  <c r="I175" i="3"/>
  <c r="I173" i="3"/>
  <c r="I177" i="3"/>
  <c r="I179" i="3"/>
  <c r="I174" i="3"/>
  <c r="I176" i="3"/>
  <c r="I172" i="3"/>
  <c r="J179" i="3"/>
  <c r="J175" i="3"/>
  <c r="J173" i="3"/>
  <c r="J174" i="3"/>
  <c r="J177" i="3"/>
  <c r="J178" i="3"/>
  <c r="J176" i="3"/>
  <c r="J172" i="3"/>
  <c r="E313" i="3"/>
  <c r="C72" i="3"/>
  <c r="C168" i="3" l="1"/>
  <c r="E167" i="3"/>
  <c r="G87" i="3"/>
  <c r="G85" i="3"/>
  <c r="G83" i="3"/>
  <c r="G81" i="3"/>
  <c r="C246" i="3"/>
  <c r="C167" i="3" l="1"/>
  <c r="K8" i="3"/>
  <c r="K9" i="3" s="1"/>
  <c r="B253" i="3" l="1"/>
  <c r="H268" i="3"/>
  <c r="H269" i="3"/>
  <c r="H266" i="3"/>
  <c r="H267" i="3"/>
  <c r="G255" i="3" l="1"/>
  <c r="G254" i="3"/>
  <c r="I254" i="3" s="1"/>
  <c r="G256" i="3"/>
  <c r="G257" i="3"/>
  <c r="G269" i="3"/>
  <c r="G265" i="3"/>
  <c r="G261" i="3"/>
  <c r="G268" i="3"/>
  <c r="G264" i="3"/>
  <c r="G260" i="3"/>
  <c r="G267" i="3"/>
  <c r="G263" i="3"/>
  <c r="G259" i="3"/>
  <c r="G266" i="3"/>
  <c r="G262" i="3"/>
  <c r="G258" i="3"/>
  <c r="J254" i="3" l="1"/>
  <c r="J262" i="3"/>
  <c r="I262" i="3"/>
  <c r="J261" i="3"/>
  <c r="I261" i="3"/>
  <c r="J256" i="3"/>
  <c r="I256" i="3"/>
  <c r="J260" i="3"/>
  <c r="I260" i="3"/>
  <c r="J265" i="3"/>
  <c r="I265" i="3"/>
  <c r="J263" i="3"/>
  <c r="I263" i="3"/>
  <c r="J257" i="3"/>
  <c r="I257" i="3"/>
  <c r="J255" i="3"/>
  <c r="I255" i="3"/>
  <c r="J258" i="3"/>
  <c r="I258" i="3"/>
  <c r="J259" i="3"/>
  <c r="I259" i="3"/>
  <c r="J264" i="3"/>
  <c r="I264" i="3"/>
  <c r="G141" i="3" l="1"/>
  <c r="F110" i="3"/>
  <c r="F106" i="3"/>
  <c r="H106" i="3" s="1"/>
  <c r="F107" i="3"/>
  <c r="F111" i="3"/>
  <c r="F108" i="3"/>
  <c r="F112" i="3"/>
  <c r="F109" i="3"/>
  <c r="F113" i="3"/>
  <c r="G140" i="3"/>
  <c r="G136" i="3"/>
  <c r="G132" i="3"/>
  <c r="G133" i="3"/>
  <c r="G152" i="3"/>
  <c r="G150" i="3"/>
  <c r="G148" i="3"/>
  <c r="G146" i="3"/>
  <c r="G144" i="3"/>
  <c r="G142" i="3"/>
  <c r="G139" i="3"/>
  <c r="G135" i="3"/>
  <c r="G131" i="3"/>
  <c r="G149" i="3"/>
  <c r="G145" i="3"/>
  <c r="G137" i="3"/>
  <c r="G138" i="3"/>
  <c r="G134" i="3"/>
  <c r="G151" i="3"/>
  <c r="G147" i="3"/>
  <c r="G143" i="3"/>
  <c r="J132" i="3" l="1"/>
  <c r="I132" i="3"/>
  <c r="J147" i="3"/>
  <c r="I147" i="3"/>
  <c r="I148" i="3"/>
  <c r="J148" i="3"/>
  <c r="J137" i="3"/>
  <c r="I137" i="3"/>
  <c r="J139" i="3"/>
  <c r="I139" i="3"/>
  <c r="J152" i="3"/>
  <c r="I152" i="3"/>
  <c r="J140" i="3"/>
  <c r="I140" i="3"/>
  <c r="I149" i="3"/>
  <c r="J149" i="3"/>
  <c r="I151" i="3"/>
  <c r="J151" i="3"/>
  <c r="J138" i="3"/>
  <c r="I138" i="3"/>
  <c r="J131" i="3"/>
  <c r="I131" i="3"/>
  <c r="I146" i="3"/>
  <c r="J146" i="3"/>
  <c r="I150" i="3"/>
  <c r="J150" i="3"/>
  <c r="I145" i="3"/>
  <c r="J145" i="3"/>
  <c r="I106" i="3"/>
  <c r="H112" i="3"/>
  <c r="I112" i="3"/>
  <c r="H113" i="3"/>
  <c r="I113" i="3"/>
  <c r="H108" i="3"/>
  <c r="I108" i="3"/>
  <c r="I110" i="3"/>
  <c r="H110" i="3"/>
  <c r="C212" i="3" l="1"/>
  <c r="C215" i="3"/>
  <c r="I233" i="3" l="1"/>
  <c r="I227" i="3"/>
  <c r="I239" i="3"/>
  <c r="I236" i="3"/>
  <c r="I230" i="3"/>
  <c r="I224" i="3"/>
  <c r="I232" i="3"/>
  <c r="I238" i="3"/>
  <c r="I235" i="3"/>
  <c r="I229" i="3"/>
  <c r="I226" i="3"/>
  <c r="I223" i="3"/>
  <c r="H143" i="3"/>
  <c r="H135" i="3"/>
  <c r="H142" i="3"/>
  <c r="H141" i="3"/>
  <c r="H134" i="3"/>
  <c r="H133" i="3"/>
  <c r="E221" i="3"/>
  <c r="C253" i="3"/>
  <c r="E253" i="3"/>
  <c r="D105" i="3"/>
  <c r="C221" i="3"/>
  <c r="D128" i="3"/>
  <c r="D79" i="3"/>
  <c r="I144" i="3" l="1"/>
  <c r="J144" i="3"/>
  <c r="J143" i="3"/>
  <c r="I143" i="3"/>
  <c r="I142" i="3"/>
  <c r="J142" i="3"/>
  <c r="J141" i="3"/>
  <c r="I141" i="3"/>
  <c r="F237" i="3"/>
  <c r="F223" i="3"/>
  <c r="H223" i="3" s="1"/>
  <c r="K223" i="3" s="1"/>
  <c r="F238" i="3"/>
  <c r="F224" i="3"/>
  <c r="F239" i="3"/>
  <c r="F225" i="3"/>
  <c r="F222" i="3"/>
  <c r="H222" i="3" s="1"/>
  <c r="F226" i="3"/>
  <c r="H226" i="3" s="1"/>
  <c r="K226" i="3" s="1"/>
  <c r="F227" i="3"/>
  <c r="F228" i="3"/>
  <c r="F229" i="3"/>
  <c r="F232" i="3"/>
  <c r="F234" i="3"/>
  <c r="F235" i="3"/>
  <c r="F236" i="3"/>
  <c r="F231" i="3"/>
  <c r="F230" i="3"/>
  <c r="F233" i="3"/>
  <c r="J133" i="3"/>
  <c r="J136" i="3"/>
  <c r="J135" i="3"/>
  <c r="J134" i="3"/>
  <c r="I85" i="3"/>
  <c r="I81" i="3"/>
  <c r="I84" i="3"/>
  <c r="I80" i="3"/>
  <c r="J266" i="3"/>
  <c r="J222" i="3" l="1"/>
  <c r="K222" i="3"/>
  <c r="H225" i="3"/>
  <c r="H235" i="3"/>
  <c r="H234" i="3"/>
  <c r="H229" i="3"/>
  <c r="H228" i="3"/>
  <c r="H227" i="3"/>
  <c r="K227" i="3" s="1"/>
  <c r="H231" i="3"/>
  <c r="H236" i="3"/>
  <c r="H232" i="3"/>
  <c r="H239" i="3"/>
  <c r="H224" i="3"/>
  <c r="K224" i="3" s="1"/>
  <c r="H233" i="3"/>
  <c r="H238" i="3"/>
  <c r="H230" i="3"/>
  <c r="H237" i="3"/>
  <c r="E75" i="3"/>
  <c r="G109" i="3"/>
  <c r="I109" i="3" s="1"/>
  <c r="G107" i="3"/>
  <c r="I107" i="3" s="1"/>
  <c r="J267" i="3"/>
  <c r="J268" i="3"/>
  <c r="J269" i="3"/>
  <c r="G111" i="3"/>
  <c r="I111" i="3" s="1"/>
  <c r="K239" i="3" l="1"/>
  <c r="J239" i="3"/>
  <c r="J234" i="3"/>
  <c r="K234" i="3"/>
  <c r="K235" i="3"/>
  <c r="J235" i="3"/>
  <c r="J232" i="3"/>
  <c r="K232" i="3"/>
  <c r="J231" i="3"/>
  <c r="K231" i="3"/>
  <c r="J228" i="3"/>
  <c r="K228" i="3"/>
  <c r="K225" i="3"/>
  <c r="J225" i="3"/>
  <c r="J229" i="3"/>
  <c r="K229" i="3"/>
  <c r="J237" i="3"/>
  <c r="K237" i="3"/>
  <c r="K230" i="3"/>
  <c r="J230" i="3"/>
  <c r="K238" i="3"/>
  <c r="J238" i="3"/>
  <c r="K233" i="3"/>
  <c r="J233" i="3"/>
  <c r="K236" i="3"/>
  <c r="J236" i="3"/>
  <c r="E124" i="3"/>
  <c r="E248" i="3"/>
  <c r="E100" i="3"/>
  <c r="E217" i="3" l="1"/>
  <c r="C389" i="3"/>
  <c r="C399" i="3"/>
  <c r="C379" i="3"/>
  <c r="C378" i="3" s="1"/>
  <c r="C369" i="3"/>
  <c r="C368" i="3" s="1"/>
  <c r="C279" i="3"/>
  <c r="C205" i="3"/>
  <c r="H111" i="3"/>
  <c r="J224" i="3"/>
  <c r="H80" i="3"/>
  <c r="C398" i="3" l="1"/>
  <c r="C409" i="3"/>
  <c r="J227" i="3"/>
  <c r="H81" i="3"/>
  <c r="H84" i="3"/>
  <c r="H85" i="3"/>
  <c r="C359" i="3"/>
  <c r="C358" i="3" s="1"/>
  <c r="C204" i="3"/>
  <c r="C408" i="3" l="1"/>
  <c r="C76" i="3"/>
  <c r="C388" i="3"/>
  <c r="J223" i="3" l="1"/>
  <c r="J226" i="3"/>
  <c r="I268" i="3"/>
  <c r="I269" i="3"/>
  <c r="I267" i="3"/>
  <c r="I266" i="3"/>
  <c r="H107" i="3"/>
  <c r="I134" i="3"/>
  <c r="C218" i="3" l="1"/>
  <c r="I133" i="3"/>
  <c r="I136" i="3"/>
  <c r="I135" i="3"/>
  <c r="C249" i="3"/>
  <c r="H109" i="3"/>
  <c r="C278" i="3"/>
  <c r="C217" i="3" l="1"/>
  <c r="C125" i="3"/>
  <c r="K15" i="3" s="1"/>
  <c r="K19" i="3" s="1"/>
  <c r="C100" i="3"/>
  <c r="K14" i="3" l="1"/>
  <c r="C124" i="3"/>
  <c r="C75" i="3"/>
  <c r="AG24" i="34" l="1"/>
  <c r="N28" i="3" l="1"/>
  <c r="N35" i="3" s="1"/>
  <c r="C313" i="3"/>
  <c r="E429" i="3" l="1"/>
  <c r="K33" i="3" s="1"/>
  <c r="E419" i="3"/>
  <c r="E389" i="3"/>
  <c r="E399" i="3"/>
  <c r="E409" i="3"/>
  <c r="K20" i="3"/>
  <c r="E168" i="3"/>
  <c r="E76" i="3"/>
  <c r="K31" i="3" s="1"/>
  <c r="E314" i="3"/>
  <c r="N30" i="3"/>
  <c r="E369" i="3"/>
  <c r="E125" i="3"/>
  <c r="K34" i="3" s="1"/>
  <c r="E205" i="3"/>
  <c r="E289" i="3"/>
  <c r="E249" i="3"/>
  <c r="K38" i="3" s="1"/>
  <c r="E359" i="3"/>
  <c r="E101" i="3"/>
  <c r="K39" i="3" s="1"/>
  <c r="E379" i="3"/>
  <c r="E279" i="3"/>
  <c r="K18" i="3"/>
  <c r="E67" i="3"/>
  <c r="K30" i="3" s="1"/>
  <c r="K11" i="3"/>
  <c r="K12" i="3" s="1"/>
  <c r="E59" i="3"/>
  <c r="K35" i="3" s="1"/>
  <c r="E218" i="3"/>
  <c r="K32" i="3" s="1"/>
  <c r="N33" i="3"/>
  <c r="N31" i="3"/>
  <c r="N34" i="3"/>
  <c r="N32" i="3"/>
  <c r="N36" i="3" l="1"/>
  <c r="K29" i="3"/>
  <c r="K28" i="3"/>
  <c r="K37" i="3"/>
  <c r="K36" i="3"/>
  <c r="K4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8664F-9EBF-4AE2-A980-73C837351D39}" keepAlive="1" name="Query - Liveview_TagData_20231115_153709" description="Connection to the 'Liveview_TagData_20231115_153709' query in the workbook." type="5" refreshedVersion="0" background="1">
    <dbPr connection="Provider=Microsoft.Mashup.OleDb.1;Data Source=$Workbook$;Location=Liveview_TagData_20231115_153709;Extended Properties=&quot;&quot;" command="SELECT * FROM [Liveview_TagData_20231115_153709]"/>
  </connection>
  <connection id="2" xr16:uid="{5F299D0F-4B28-4D16-8A68-221F2EC4BEB8}" keepAlive="1" name="Query - VHL test Liveview_TagData_20231107_095132" description="Connection to the 'VHL test Liveview_TagData_20231107_095132' query in the workbook." type="5" refreshedVersion="8" background="1" saveData="1">
    <dbPr connection="Provider=Microsoft.Mashup.OleDb.1;Data Source=$Workbook$;Location=&quot;VHL test Liveview_TagData_20231107_095132&quot;;Extended Properties=&quot;&quot;" command="SELECT * FROM [VHL test Liveview_TagData_20231107_095132]"/>
  </connection>
</connections>
</file>

<file path=xl/sharedStrings.xml><?xml version="1.0" encoding="utf-8"?>
<sst xmlns="http://schemas.openxmlformats.org/spreadsheetml/2006/main" count="1450" uniqueCount="487">
  <si>
    <t>ANDROMEDA STAFF BADGE-CURRENT CHARACTERISATION DOCUMENT</t>
  </si>
  <si>
    <t>Change History</t>
  </si>
  <si>
    <t>Revision</t>
  </si>
  <si>
    <t>Description</t>
  </si>
  <si>
    <t xml:space="preserve">Date </t>
  </si>
  <si>
    <t>Modified by</t>
  </si>
  <si>
    <t xml:space="preserve"> </t>
  </si>
  <si>
    <t>Initial</t>
  </si>
  <si>
    <t xml:space="preserve">Initial Release </t>
  </si>
  <si>
    <t>Anila John</t>
  </si>
  <si>
    <t>Revision 1</t>
  </si>
  <si>
    <t>Updated BLE &amp; IR calculations</t>
  </si>
  <si>
    <t>Yamen Alimam</t>
  </si>
  <si>
    <t xml:space="preserve">                                       Description : Full FW Test Results </t>
  </si>
  <si>
    <t>Test Remarks</t>
  </si>
  <si>
    <t>Details</t>
  </si>
  <si>
    <t>Data</t>
  </si>
  <si>
    <t>Device under test</t>
  </si>
  <si>
    <t>Andromeda Staff badge CTX</t>
  </si>
  <si>
    <t>Badge HW version</t>
  </si>
  <si>
    <t>CTH-SB760 Rev A</t>
  </si>
  <si>
    <t>Badge FW version</t>
  </si>
  <si>
    <t>41.1.24</t>
  </si>
  <si>
    <t>Star Version (If Applicable)</t>
  </si>
  <si>
    <t>S.3.1.27</t>
  </si>
  <si>
    <t>Time Star Version</t>
  </si>
  <si>
    <t>S.0.1.197</t>
  </si>
  <si>
    <t>Core Live Version</t>
  </si>
  <si>
    <t>5.15-SP12-GA</t>
  </si>
  <si>
    <t>Completion date</t>
  </si>
  <si>
    <t>FW Support Ticket</t>
  </si>
  <si>
    <t>AND-1362</t>
  </si>
  <si>
    <t>FW Release Ticket</t>
  </si>
  <si>
    <t>AND-845</t>
  </si>
  <si>
    <t>Status</t>
  </si>
  <si>
    <t>Completed</t>
  </si>
  <si>
    <t>Author/Test Engineer</t>
  </si>
  <si>
    <t>Yamen Alimam / Anila John</t>
  </si>
  <si>
    <t>Assumptions</t>
  </si>
  <si>
    <t>Profile Settings</t>
  </si>
  <si>
    <t>Battery Life (yrs)</t>
  </si>
  <si>
    <t>Item</t>
  </si>
  <si>
    <t>Parameter</t>
  </si>
  <si>
    <t>Assumption</t>
  </si>
  <si>
    <t xml:space="preserve">Predefined Profile: Extreme Response Tags </t>
  </si>
  <si>
    <t>Profile</t>
  </si>
  <si>
    <t>Predefined profile settings</t>
  </si>
  <si>
    <t>Extreme response tags</t>
  </si>
  <si>
    <t>Motion level</t>
  </si>
  <si>
    <t>900 MHz and BLE</t>
  </si>
  <si>
    <t>w/ BF1</t>
  </si>
  <si>
    <t>Low BLE</t>
  </si>
  <si>
    <t>BLE only*</t>
  </si>
  <si>
    <t>900 MHz only*</t>
  </si>
  <si>
    <t>*Not yet implemented in firmware</t>
  </si>
  <si>
    <t>Firmware</t>
  </si>
  <si>
    <t>Firmware version</t>
  </si>
  <si>
    <t>V24</t>
  </si>
  <si>
    <t>Motion</t>
  </si>
  <si>
    <t>hrs/wk</t>
  </si>
  <si>
    <t>Motion interrupt interval</t>
  </si>
  <si>
    <t>1s</t>
  </si>
  <si>
    <t>UHF</t>
  </si>
  <si>
    <t>Star coverage</t>
  </si>
  <si>
    <t>RF retry rate</t>
  </si>
  <si>
    <t>tries</t>
  </si>
  <si>
    <t>IR / LF</t>
  </si>
  <si>
    <t>IR coverage</t>
  </si>
  <si>
    <t>IR transitions</t>
  </si>
  <si>
    <t>per day</t>
  </si>
  <si>
    <t>LF Exciter coverage</t>
  </si>
  <si>
    <t>Door Controller coverage</t>
  </si>
  <si>
    <t>IR + LF coverage</t>
  </si>
  <si>
    <t>I/O</t>
  </si>
  <si>
    <t>Button press events</t>
  </si>
  <si>
    <t>Duress events</t>
  </si>
  <si>
    <t>BLE</t>
  </si>
  <si>
    <t>Sessions connected to mobile app</t>
  </si>
  <si>
    <t>per year</t>
  </si>
  <si>
    <t>Time connected to app per session</t>
  </si>
  <si>
    <t>180s</t>
  </si>
  <si>
    <t>Duress timeouts</t>
  </si>
  <si>
    <t>Upgrades</t>
  </si>
  <si>
    <t>Storage</t>
  </si>
  <si>
    <t>Shelf time</t>
  </si>
  <si>
    <t>6mo</t>
  </si>
  <si>
    <t>DC-DC</t>
  </si>
  <si>
    <t>Current draw was measured with 3v input supply. Efficiency can vary with input.</t>
  </si>
  <si>
    <r>
      <rPr>
        <b/>
        <sz val="16"/>
        <color rgb="FF000000"/>
        <rFont val="Calibri"/>
        <family val="2"/>
        <scheme val="minor"/>
      </rPr>
      <t xml:space="preserve">Badge </t>
    </r>
    <r>
      <rPr>
        <b/>
        <sz val="16"/>
        <color rgb="FF70AD47"/>
        <rFont val="Calibri"/>
        <family val="2"/>
        <scheme val="minor"/>
      </rPr>
      <t>Settings</t>
    </r>
    <r>
      <rPr>
        <b/>
        <sz val="16"/>
        <color rgb="FF000000"/>
        <rFont val="Calibri"/>
        <family val="2"/>
        <scheme val="minor"/>
      </rPr>
      <t xml:space="preserve"> &amp; </t>
    </r>
    <r>
      <rPr>
        <b/>
        <sz val="16"/>
        <color rgb="FF5B9BD5"/>
        <rFont val="Calibri"/>
        <family val="2"/>
        <scheme val="minor"/>
      </rPr>
      <t>Assumptions</t>
    </r>
  </si>
  <si>
    <t>Operating Mode</t>
  </si>
  <si>
    <t>Tag with Supercapacitor</t>
  </si>
  <si>
    <t>Lifetime</t>
  </si>
  <si>
    <t>Battery</t>
  </si>
  <si>
    <t>Nominal Capacity (mAh)</t>
  </si>
  <si>
    <t>Tag with Proximity Sensor</t>
  </si>
  <si>
    <t>Battery Type</t>
  </si>
  <si>
    <t>CR2032</t>
  </si>
  <si>
    <t>IR Report Rate</t>
  </si>
  <si>
    <t>ms</t>
  </si>
  <si>
    <t>Nominal Battery Capacity</t>
  </si>
  <si>
    <t>mAh</t>
  </si>
  <si>
    <t>CR2032H</t>
  </si>
  <si>
    <t>RF Report Rate</t>
  </si>
  <si>
    <t># of Batteries in Pack</t>
  </si>
  <si>
    <t>CR2430</t>
  </si>
  <si>
    <t>IR Profile</t>
  </si>
  <si>
    <t>s</t>
  </si>
  <si>
    <t>Nominal Battery Pack Capacity</t>
  </si>
  <si>
    <t>CR2450N</t>
  </si>
  <si>
    <t>IR-RX</t>
  </si>
  <si>
    <t>Derating (Considering Storage)</t>
  </si>
  <si>
    <t>CR2450</t>
  </si>
  <si>
    <t>Paging Profile</t>
  </si>
  <si>
    <t>Derated Capacity</t>
  </si>
  <si>
    <t>CR2477</t>
  </si>
  <si>
    <t>Proximity Sensor Rate</t>
  </si>
  <si>
    <t>N/a</t>
  </si>
  <si>
    <t>ER32L65</t>
  </si>
  <si>
    <t>LF Receive</t>
  </si>
  <si>
    <t>(TRUE/FALSE)</t>
  </si>
  <si>
    <t>Capacity Cost per Day</t>
  </si>
  <si>
    <t>1/2AA</t>
  </si>
  <si>
    <t>LF Exciter TX Rate</t>
  </si>
  <si>
    <t>Per Day</t>
  </si>
  <si>
    <t>CR123A</t>
  </si>
  <si>
    <t>Door Controller TX Rate</t>
  </si>
  <si>
    <t xml:space="preserve">Security Solutions Mode </t>
  </si>
  <si>
    <t>Average Total Current (Supply Powered)</t>
  </si>
  <si>
    <t>mA</t>
  </si>
  <si>
    <t>Activity Level (Motion)</t>
  </si>
  <si>
    <t>Sleep</t>
  </si>
  <si>
    <t>Hours per Week</t>
  </si>
  <si>
    <t>Average Total Current (Battery Powered)</t>
  </si>
  <si>
    <t>Star Coverage</t>
  </si>
  <si>
    <t>Paging Activity</t>
  </si>
  <si>
    <t>RF Retry Rate</t>
  </si>
  <si>
    <t>Years</t>
  </si>
  <si>
    <t>IR Coverage</t>
  </si>
  <si>
    <t>Derated Lifetime</t>
  </si>
  <si>
    <t>IR Transitions</t>
  </si>
  <si>
    <t>Months</t>
  </si>
  <si>
    <t>LF Exciter Coverage</t>
  </si>
  <si>
    <t>Door Controller Coverage</t>
  </si>
  <si>
    <t>not yet supported by badge</t>
  </si>
  <si>
    <t>IR + LF Coverage</t>
  </si>
  <si>
    <t>Button + RF Location + BLE Transitions+1 Blue LED Blink</t>
  </si>
  <si>
    <t>Button + RF Location + BLE Transitions+IR + 2 Blue LEDs Blink</t>
  </si>
  <si>
    <t>Duress Events</t>
  </si>
  <si>
    <t>Battery Consumers</t>
  </si>
  <si>
    <t>Average Total Current</t>
  </si>
  <si>
    <t>IR Receive</t>
  </si>
  <si>
    <t>BLE Parameters</t>
  </si>
  <si>
    <t>Advertisement</t>
  </si>
  <si>
    <t>BLE in 900 MHz</t>
  </si>
  <si>
    <t>not yet supported in estimation</t>
  </si>
  <si>
    <t>Paging Request &amp; response</t>
  </si>
  <si>
    <t>Connection</t>
  </si>
  <si>
    <t>BLE IR-RX profile</t>
  </si>
  <si>
    <t xml:space="preserve">LF </t>
  </si>
  <si>
    <t>Duress Event</t>
  </si>
  <si>
    <t>Number of pings</t>
  </si>
  <si>
    <t>Motion interrupt</t>
  </si>
  <si>
    <t>Duress Timeout</t>
  </si>
  <si>
    <t>First ping optimized?</t>
  </si>
  <si>
    <t>Location Data</t>
  </si>
  <si>
    <t>Upgrade</t>
  </si>
  <si>
    <t>Active report rate in BLE</t>
  </si>
  <si>
    <t>Battery Leakage</t>
  </si>
  <si>
    <t>Fast Reporting</t>
  </si>
  <si>
    <t>Sleep report rate in BLE</t>
  </si>
  <si>
    <t>LBI + Temperature Check</t>
  </si>
  <si>
    <t>Duress Rate</t>
  </si>
  <si>
    <t>Button Press</t>
  </si>
  <si>
    <t>DC field WPS</t>
  </si>
  <si>
    <t>Fast Reporting Rate</t>
  </si>
  <si>
    <t>Proximity Check</t>
  </si>
  <si>
    <t>No. of Sessions Connected to Mobile App</t>
  </si>
  <si>
    <t>Per Year</t>
  </si>
  <si>
    <t>TOTAL</t>
  </si>
  <si>
    <t>Total Time Connected to Mobile App per Session</t>
  </si>
  <si>
    <t>Duress Events per day</t>
  </si>
  <si>
    <t>Duress Event Interval</t>
  </si>
  <si>
    <t>Duress Timeouts per day</t>
  </si>
  <si>
    <t>Duress Timeout Interval</t>
  </si>
  <si>
    <t>Upgrades per year</t>
  </si>
  <si>
    <t>Shelf Time</t>
  </si>
  <si>
    <t>Capacity Lost</t>
  </si>
  <si>
    <t>Leakage</t>
  </si>
  <si>
    <t>Primary Leakage Rate</t>
  </si>
  <si>
    <t>Super Capacitor Leakage (Max)</t>
  </si>
  <si>
    <t>Avg Current</t>
  </si>
  <si>
    <t>Of Total</t>
  </si>
  <si>
    <t>Factory / Inventory  Sleep</t>
  </si>
  <si>
    <t>Awake Sleep (Inactive)</t>
  </si>
  <si>
    <t>Awake Sleep LF Disabled (Active)</t>
  </si>
  <si>
    <t>Awake Sleep LF Enabled (Active)</t>
  </si>
  <si>
    <t>Average Current</t>
  </si>
  <si>
    <t>Paging (Up to 2/3 Tries with 6s Interval)</t>
  </si>
  <si>
    <t>Current</t>
  </si>
  <si>
    <t>Time</t>
  </si>
  <si>
    <t>Active Period (Profile Based)</t>
  </si>
  <si>
    <t>Inactive Period (5 Minutes)</t>
  </si>
  <si>
    <t>Average Current per Count</t>
  </si>
  <si>
    <t>Times per Day</t>
  </si>
  <si>
    <t>Paging</t>
  </si>
  <si>
    <t>Included in Calculation</t>
  </si>
  <si>
    <t>Period</t>
  </si>
  <si>
    <t>Average Current (mA)</t>
  </si>
  <si>
    <t>Count per Day</t>
  </si>
  <si>
    <t>900 MHz only</t>
  </si>
  <si>
    <t>BLE only</t>
  </si>
  <si>
    <t>Proximity Check (N/a)</t>
  </si>
  <si>
    <t>SS mode Enabled</t>
  </si>
  <si>
    <t>Location Data (Up to 4 Tries with 500ms Interval)</t>
  </si>
  <si>
    <t>Active No IR Period (RF Report Rate)</t>
  </si>
  <si>
    <t>Active Under IR Period (IR Report Rate)</t>
  </si>
  <si>
    <t>IR &amp; LF Coverage</t>
  </si>
  <si>
    <t>Location Transmit</t>
  </si>
  <si>
    <t>Period (ms)</t>
  </si>
  <si>
    <t>IR</t>
  </si>
  <si>
    <t>Current (not seeing IR)</t>
  </si>
  <si>
    <t>Time (not seeing IR)</t>
  </si>
  <si>
    <t>Current (seeing IR in 1 slot)</t>
  </si>
  <si>
    <t>Time (seeing IR in 1 slot)</t>
  </si>
  <si>
    <t>Current (async)</t>
  </si>
  <si>
    <t>Time (async)</t>
  </si>
  <si>
    <t>Period 900 MHz Active</t>
  </si>
  <si>
    <t>Period Sleep</t>
  </si>
  <si>
    <t>Period BLE Active</t>
  </si>
  <si>
    <t xml:space="preserve">IR Receive </t>
  </si>
  <si>
    <t>Marker in Asynchronous mode (IR transition)</t>
  </si>
  <si>
    <t>Long IR Current</t>
  </si>
  <si>
    <t>Long IR Time</t>
  </si>
  <si>
    <t>LF Receive (interrupt)</t>
  </si>
  <si>
    <t>Current (Door Controller Field)</t>
  </si>
  <si>
    <t>Time (Door Controller Field)</t>
  </si>
  <si>
    <t>Period (Door Controller Field)</t>
  </si>
  <si>
    <t>Current (LF Exciter)</t>
  </si>
  <si>
    <t>Time (LF Exciter)</t>
  </si>
  <si>
    <t>Period (LF Exciter)</t>
  </si>
  <si>
    <t>DC LF Field</t>
  </si>
  <si>
    <t>LF Exciter Field</t>
  </si>
  <si>
    <t>LF RX Enabled</t>
  </si>
  <si>
    <t>LF Decode</t>
  </si>
  <si>
    <t>WPS Packet (Currently N/a)</t>
  </si>
  <si>
    <t>Average current</t>
  </si>
  <si>
    <t>DC Coverage</t>
  </si>
  <si>
    <t>DC WPS Packets Tx</t>
  </si>
  <si>
    <t>Button Press (Button + RF Location + BLE Transitions + 1 Blue LED Blink)</t>
  </si>
  <si>
    <t>Button Press (Button + RF Location + BLE Transitions +IR+Blue LEDs Blink)</t>
  </si>
  <si>
    <t>BLE  (Advertisement)</t>
  </si>
  <si>
    <t>5 pings (default)</t>
  </si>
  <si>
    <t>4 pings</t>
  </si>
  <si>
    <t>3 pings</t>
  </si>
  <si>
    <t>2 pings</t>
  </si>
  <si>
    <t>1 ping</t>
  </si>
  <si>
    <t>1 ping optimized</t>
  </si>
  <si>
    <t>5 pings optimized</t>
  </si>
  <si>
    <t>FINAL Current</t>
  </si>
  <si>
    <t>FINAL Time</t>
  </si>
  <si>
    <t>Active Period</t>
  </si>
  <si>
    <t>Inactive Period</t>
  </si>
  <si>
    <t>BLE Enabled</t>
  </si>
  <si>
    <t>BLE location Transmit</t>
  </si>
  <si>
    <t>Include in Calculation</t>
  </si>
  <si>
    <t>BLE  (Connection Event)</t>
  </si>
  <si>
    <t>Length</t>
  </si>
  <si>
    <t>LBI check</t>
  </si>
  <si>
    <t>(Every 1 hr)</t>
  </si>
  <si>
    <t>Temperature check</t>
  </si>
  <si>
    <t>(Every 1 min in awake sleep and every 5 min in LBS)</t>
  </si>
  <si>
    <t>BLE Duress Event</t>
  </si>
  <si>
    <t>BLE Upgrade</t>
  </si>
  <si>
    <t>BLE Duress Timeout</t>
  </si>
  <si>
    <t>BLE Fast Reporting</t>
  </si>
  <si>
    <t>Motion Interrupt</t>
  </si>
  <si>
    <t>Factory / Inventory Sleep (Includes LF Check every 2 minutes)</t>
  </si>
  <si>
    <t>Factory Sleep</t>
  </si>
  <si>
    <t>Value</t>
  </si>
  <si>
    <t>Unit</t>
  </si>
  <si>
    <t>Factory sleep</t>
  </si>
  <si>
    <t>LF check every 2 minutes</t>
  </si>
  <si>
    <t>Awake Sleep (Inactive - Between Paging Requests)</t>
  </si>
  <si>
    <t>Awake Sleep (Inactive - Between 5min LocationTx)</t>
  </si>
  <si>
    <t>Awake Sleep with LF Disabled (Active - Between IR)</t>
  </si>
  <si>
    <t>AVG</t>
  </si>
  <si>
    <t>Awake Sleep with LF Enabled (Active - Between IR)</t>
  </si>
  <si>
    <t>Page Request (Without Response)</t>
  </si>
  <si>
    <t>Page Reqest and Response</t>
  </si>
  <si>
    <t>Average current per pulse</t>
  </si>
  <si>
    <t>Average Time per pulse</t>
  </si>
  <si>
    <t>Paging Interval pairs</t>
  </si>
  <si>
    <t>REG motion</t>
  </si>
  <si>
    <t>Paging Interval REG sleep</t>
  </si>
  <si>
    <t>Paging Interval REG motion</t>
  </si>
  <si>
    <t>RF Location Tx</t>
  </si>
  <si>
    <t>UHF Location Data Interval (Regular mode, sleep, no IR, no LF)</t>
  </si>
  <si>
    <t>Time (ms)</t>
  </si>
  <si>
    <t>UHF Location Data Interval (Regular mode, motion, no IR, no LF)</t>
  </si>
  <si>
    <t>IR Open (Not Seeing IR)</t>
  </si>
  <si>
    <t>1 (AGC)</t>
  </si>
  <si>
    <t>IR Open (Seeing IR in 1 Slot)</t>
  </si>
  <si>
    <t>IR Open (Async)</t>
  </si>
  <si>
    <t>Seeing SUPT markers (IR transitions)</t>
  </si>
  <si>
    <t>When badge is in UHF and BLE/900 MHz mode, star unplugged, VW in Async mode, SUPT marker happens once or more when Given button press/motion when badge is out of star coverage. Then after given button press/motion again, only BLE packets and UHF paging seen no IR, no markers.</t>
  </si>
  <si>
    <t xml:space="preserve">IR Open Interval (motion, IRRx = 0, IR profile = 3s) </t>
  </si>
  <si>
    <t>LF Receive (Exciter)</t>
  </si>
  <si>
    <t xml:space="preserve">Current </t>
  </si>
  <si>
    <t>LF Receive (Exciter) Interval</t>
  </si>
  <si>
    <t>LF Rx Interval</t>
  </si>
  <si>
    <t>LF Receive (Door Controller)</t>
  </si>
  <si>
    <t>LF receive (Door Controller) not yet supported by badge</t>
  </si>
  <si>
    <t>LF Rx (Door Controller)</t>
  </si>
  <si>
    <t>LF Receive (Door Controller) + WPS Packets &amp; Retries</t>
  </si>
  <si>
    <t>LF RX Interval</t>
  </si>
  <si>
    <t>LF Receive (Door Controller) WPS packet</t>
  </si>
  <si>
    <t>DC WPS packet</t>
  </si>
  <si>
    <t>wps packets every 3 sec</t>
  </si>
  <si>
    <t>wps+LF</t>
  </si>
  <si>
    <t>LF Receive (Door Controller) WPS packet Interval</t>
  </si>
  <si>
    <t xml:space="preserve">interval 3s , if not ir will try </t>
  </si>
  <si>
    <t>Proximity Sensor</t>
  </si>
  <si>
    <t xml:space="preserve">Proximity Sensor Current </t>
  </si>
  <si>
    <t>Average current per pulse(LF-RX Enabled)</t>
  </si>
  <si>
    <t>Proximity Sensor Interval</t>
  </si>
  <si>
    <t>Reg motion &amp; SS mode</t>
  </si>
  <si>
    <t>BUTTONS</t>
  </si>
  <si>
    <t>Button Press - Button + RF + BLE Transitions+ 1 Blue LED blink</t>
  </si>
  <si>
    <t>Button Press - Button + RF + BLE Transitions+IR+ 2 Blue LEDs blink</t>
  </si>
  <si>
    <t>Button Press - Button + RF + CCX ACX + 2 green LED blink)</t>
  </si>
  <si>
    <t>Button + RF Location + CCX ACX + 1 green LED Blink</t>
  </si>
  <si>
    <t>Button Press - Button + CCX ACX + 2 green LED blink</t>
  </si>
  <si>
    <t>Button + CCX ACX + 1 green LED blink</t>
  </si>
  <si>
    <t>WiFi CCX ACX packet</t>
  </si>
  <si>
    <t xml:space="preserve">WiFi CCX ACX Packet Current </t>
  </si>
  <si>
    <t xml:space="preserve">Send Wi-Fi packets </t>
  </si>
  <si>
    <t>First Wi-Fi Set</t>
  </si>
  <si>
    <t xml:space="preserve">WiFI packet Retry </t>
  </si>
  <si>
    <t>Wi-Fi Retry</t>
  </si>
  <si>
    <t>1 6 11 1 6 11</t>
  </si>
  <si>
    <t>WiFi single channel 1 try</t>
  </si>
  <si>
    <t>Wi-Fi Single Channel Try 1</t>
  </si>
  <si>
    <t>wifi intialiaztion</t>
  </si>
  <si>
    <t>Wireless Upgrade Timeout Interval</t>
  </si>
  <si>
    <t>Wireless Upgrade Timeout</t>
  </si>
  <si>
    <t>Wireless Upgrade [3 sec timeout] No Delay</t>
  </si>
  <si>
    <t>BLE Fast reporting</t>
  </si>
  <si>
    <t>BLE fast reporting interval</t>
  </si>
  <si>
    <t>BLE Fast reporting interval</t>
  </si>
  <si>
    <t>BLE Advertisements</t>
  </si>
  <si>
    <t>Advertisement time has changed from 4ms to 14 ms for V4</t>
  </si>
  <si>
    <t>BLE Advertisements Interval</t>
  </si>
  <si>
    <t>(interval has changed slightly)</t>
  </si>
  <si>
    <t>BLE Connection &amp; Configuration</t>
  </si>
  <si>
    <t>BLE Connection</t>
  </si>
  <si>
    <t>LBI Check</t>
  </si>
  <si>
    <t>LBI Check (every 1 hr)</t>
  </si>
  <si>
    <t>Temperature Check (every 1 min during awake sleep;5 mins in LBS mode)</t>
  </si>
  <si>
    <t xml:space="preserve">Temperature check </t>
  </si>
  <si>
    <t xml:space="preserve">Time </t>
  </si>
  <si>
    <t>BLE duress while paging with IR markers</t>
  </si>
  <si>
    <t>BLE Upgrade through Mobile app</t>
  </si>
  <si>
    <t xml:space="preserve">Average current </t>
  </si>
  <si>
    <t>Average Time</t>
  </si>
  <si>
    <t>Column1</t>
  </si>
  <si>
    <t>Column2</t>
  </si>
  <si>
    <t>Column3</t>
  </si>
  <si>
    <t>BLE Advertisements while paging</t>
  </si>
  <si>
    <t>BLE advertisement interval</t>
  </si>
  <si>
    <t>Wireless Upgrade [5 sec timeout with delay]</t>
  </si>
  <si>
    <t>Wireless Upgrade [5 sec timeout] No delay</t>
  </si>
  <si>
    <t>Short Button Press - Button 1 + RF + BLE Transitions+Blue LED 1 blink</t>
  </si>
  <si>
    <t>Average current per pulse (LF-RX Enabled)</t>
  </si>
  <si>
    <t>Wi-Fi (UDP - Success Association)</t>
  </si>
  <si>
    <t>Wi-Fi (UDP)</t>
  </si>
  <si>
    <t>Average current per pulse (Secondary)</t>
  </si>
  <si>
    <t>Wi-Fi (TCP - Success Association)</t>
  </si>
  <si>
    <t>Wi-Fi (TCP)</t>
  </si>
  <si>
    <t>Wi-Fi (TCP - Fail Association)</t>
  </si>
  <si>
    <t>Short Button Press - Button 1 + RF + IR+ BLE Transitions+Blue LED 1 blink</t>
  </si>
  <si>
    <t>Short Button Press - Button 2 + RF +  BLE Transitions+Blue LED 1 blink</t>
  </si>
  <si>
    <t>Short Button Press - Button 2 + RF +IR+  BLE Transitions+IR+Blue LED 1 blink</t>
  </si>
  <si>
    <t>Short Button Press - Button 3 + RF +  BLE Transitions+Blue LED 1 blink</t>
  </si>
  <si>
    <t>Short Button Press - Button 3 + RF + BLE Transitions+IR+Blue LED 1 blink</t>
  </si>
  <si>
    <t>Short Button Press - Button 1,2 + RF +  BLE Transitions+Blue LED 1 blink</t>
  </si>
  <si>
    <t>Short Button Press - Button 1,2 + RF +  BLE Transitions+IR+Blue LED 1 blink</t>
  </si>
  <si>
    <t>Short Button Press - Button 1,3 + RF +  BLE Transitions+Blue LED 1 blink</t>
  </si>
  <si>
    <t>Short Button Press - Button 1,3 + RF +  BLE Transitions+IR+Blue LED 1 blink</t>
  </si>
  <si>
    <t>Short Button Press - Button 2,3 + RF +  BLE Transitions+Blue LED 1 blink</t>
  </si>
  <si>
    <t>Short Button Press - Button 2,3+ RF +  BLE Transitions+IR+Blue LED 1 blink</t>
  </si>
  <si>
    <t>Short Button Press - Button 1,2,3 + RF +  BLE Transitions+Blue LED 1 blink</t>
  </si>
  <si>
    <t>Short Button Press - Button 1,2,3 + RF +  BLE Transitions+IR+Blue LED 1 blink</t>
  </si>
  <si>
    <t>Long Button Press - Button 3L+ RF +  BLE Transitions+Blue LED 1 blink</t>
  </si>
  <si>
    <t>Long Button Press - Button 3L+ RF + BLE Transitions+IR+Blue LED 1 blink</t>
  </si>
  <si>
    <t>Long Button Press - Button 1L+ RF +  BLE Transitions+Blue LED 1 blink</t>
  </si>
  <si>
    <t>Long Button Press - Button 1L+ RF +  BLE Transitions+IR+Blue LED 1 blink</t>
  </si>
  <si>
    <t>Long Button Press - Button 2L+ RF +  BLE Transitions+Blue LED 1 blink</t>
  </si>
  <si>
    <t>Long Button Press - Button 2L+ RF +  BLE Transitions+IR+Blue LED 1 blink</t>
  </si>
  <si>
    <t>Long Button Press - Button 1L,2L+ RF +  BLE Transitions+Blue LED 1 blink</t>
  </si>
  <si>
    <t>(not tested with V6 because the event happens with IR and then enter duress)</t>
  </si>
  <si>
    <t>Long Button Press - Button 1L,2L+ RF +  BLE Transitions+IR+Blue LED 1 blink</t>
  </si>
  <si>
    <t>Double Button Press - Button 1D+ RF +  BLE Transitions+Blue LED 1 blink</t>
  </si>
  <si>
    <t>Double button press</t>
  </si>
  <si>
    <t>Double Button Press - Button 1D+ RF +  BLE Transitions+IR+Blue LED 1 blink</t>
  </si>
  <si>
    <t>Double Button Press - Button 2D+ RF +  BLE Transitions+Blue LED 1 blink</t>
  </si>
  <si>
    <t>Double Button Press - Button 2D+ RF +  BLE Transitions+IR+Blue LED 1 blink</t>
  </si>
  <si>
    <t>Double Button Press - Button 1D,2D+ RF +  BLE Transitions+Blue LED 1 blink</t>
  </si>
  <si>
    <t>Double Button Press - Button 1D,2D+ RF +  BLE Transitions+IR+Blue LED 1 blink</t>
  </si>
  <si>
    <t>Double Button Press - Button 3D+ RF +  BLE Transitions+Blue LED 1 blink</t>
  </si>
  <si>
    <t>Double Button Press - Button 3D+ RF +  BLE Transitions+IR+Blue LED 1 blink</t>
  </si>
  <si>
    <t>V4 default
5 pings
100ms interval</t>
  </si>
  <si>
    <t>V23 default
5 pings
100ms interval</t>
  </si>
  <si>
    <t>V4 modified
First 2 pings</t>
  </si>
  <si>
    <t>V4 modified
First 3 pings</t>
  </si>
  <si>
    <t>V4 modified
First 4 pings</t>
  </si>
  <si>
    <t>V4 modified
First ping</t>
  </si>
  <si>
    <t>V4 modified
First ping reduced</t>
  </si>
  <si>
    <t>V4</t>
  </si>
  <si>
    <t>V23</t>
  </si>
  <si>
    <t>from V23 to V4:</t>
  </si>
  <si>
    <t>Current Simulations</t>
  </si>
  <si>
    <t>Test FW</t>
  </si>
  <si>
    <t>V6</t>
  </si>
  <si>
    <t>Test Profiles</t>
  </si>
  <si>
    <t>DEFAULT</t>
  </si>
  <si>
    <t>predefined profile (extreme response tags)</t>
  </si>
  <si>
    <t>LOW BLE</t>
  </si>
  <si>
    <t>predefined profile (extreme response tags)
1 ping, 48s active report rate, 1h sleep report rate, 6h fast reporting interval, BLE in 900MHz disabled</t>
  </si>
  <si>
    <t>In System</t>
  </si>
  <si>
    <t>No IR</t>
  </si>
  <si>
    <t>Modes</t>
  </si>
  <si>
    <t>async, sleep</t>
  </si>
  <si>
    <t>Note: These modes do not include incremental current consumers (i.e. LF receive, button press, battery derating, etc.)</t>
  </si>
  <si>
    <t>async, motion</t>
  </si>
  <si>
    <t>sync, sleep</t>
  </si>
  <si>
    <t>sync, motion, no IR</t>
  </si>
  <si>
    <t>sync, motion, IR</t>
  </si>
  <si>
    <t>Results</t>
  </si>
  <si>
    <t>HW</t>
  </si>
  <si>
    <t>Tag ID</t>
  </si>
  <si>
    <t>Tester</t>
  </si>
  <si>
    <t>FW</t>
  </si>
  <si>
    <t>Average Current (uA)</t>
  </si>
  <si>
    <t>Comments</t>
  </si>
  <si>
    <t>Rev 0</t>
  </si>
  <si>
    <t>Yamen</t>
  </si>
  <si>
    <t>Rev A</t>
  </si>
  <si>
    <t>Anila</t>
  </si>
  <si>
    <t>V24A</t>
  </si>
  <si>
    <t>does not include hourly BLE fast report; due to HW tolerances, acceptable current values fall within a range</t>
  </si>
  <si>
    <t>does not include hourly BLE fast report, V24A and test V6 are comparable in terms of current consumption</t>
  </si>
  <si>
    <r>
      <t> </t>
    </r>
    <r>
      <rPr>
        <b/>
        <sz val="8"/>
        <color rgb="FF172B4D"/>
        <rFont val="Segoe UI"/>
        <family val="2"/>
      </rPr>
      <t>V10 – Initial Peak duration: 3.91ms and current 4.75mA</t>
    </r>
  </si>
  <si>
    <t>mA*ms</t>
  </si>
  <si>
    <t>5 ping burst</t>
  </si>
  <si>
    <t>reduction in charge</t>
  </si>
  <si>
    <t>5 ping burst (optimized)</t>
  </si>
  <si>
    <t> V09 – Initial Peak duration: 5.26ms and current 5.51mA</t>
  </si>
  <si>
    <t>Active Paging Rate (ms)</t>
  </si>
  <si>
    <t>IR Report Rate (ms)</t>
  </si>
  <si>
    <t>RF Report Rate (ms)</t>
  </si>
  <si>
    <t>IR Profile (s)</t>
  </si>
  <si>
    <t>Power</t>
  </si>
  <si>
    <t>LOW</t>
  </si>
  <si>
    <t>MEDIUM</t>
  </si>
  <si>
    <t>HIGH</t>
  </si>
  <si>
    <t>LF Power Levels</t>
  </si>
  <si>
    <t>Battery Cells</t>
  </si>
  <si>
    <t>Binary</t>
  </si>
  <si>
    <t>Proximity Sensor Interval (ms)</t>
  </si>
  <si>
    <t>Capacity (mAh)</t>
  </si>
  <si>
    <t>TCP or UDP Protocol</t>
  </si>
  <si>
    <t>TCP</t>
  </si>
  <si>
    <t>UDP</t>
  </si>
  <si>
    <t>Operating Modes</t>
  </si>
  <si>
    <t>900 MHz Only</t>
  </si>
  <si>
    <t>BLE Only</t>
  </si>
  <si>
    <t>TCP / UDP Profile Pull / Wireless Upgrade Check (ms)</t>
  </si>
  <si>
    <t>hours</t>
  </si>
  <si>
    <t>sec</t>
  </si>
  <si>
    <t>BLE  Report Rate (ms)</t>
  </si>
  <si>
    <t>Active (ms)</t>
  </si>
  <si>
    <t>Sleep (ms)</t>
  </si>
  <si>
    <t>BLE Duress TimeOut (ms)</t>
  </si>
  <si>
    <t>BLE Duress Rate (ms)</t>
  </si>
  <si>
    <t>IR-RX / BLE IR-RX profile</t>
  </si>
  <si>
    <t>BLE Fast Reporting (s)</t>
  </si>
  <si>
    <t>Number of BLE 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</si>
</sst>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"/>
    <numFmt numFmtId="166" formatCode="0.0"/>
    <numFmt numFmtId="167" formatCode="0.0%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4" tint="-0.249977111117893"/>
      <name val="Calibri"/>
      <family val="2"/>
      <scheme val="minor"/>
    </font>
    <font>
      <b/>
      <i/>
      <u/>
      <sz val="22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B050"/>
      <name val="Calibri"/>
      <family val="2"/>
      <scheme val="minor"/>
    </font>
    <font>
      <sz val="16"/>
      <color rgb="FF333333"/>
      <name val="Verdana"/>
      <family val="2"/>
    </font>
    <font>
      <sz val="12"/>
      <color rgb="FFC00000"/>
      <name val="Arial"/>
      <family val="2"/>
    </font>
    <font>
      <sz val="16"/>
      <color rgb="FFC00000"/>
      <name val="Arial"/>
      <family val="2"/>
    </font>
    <font>
      <sz val="18"/>
      <color rgb="FFC00000"/>
      <name val="Arial"/>
      <family val="2"/>
    </font>
    <font>
      <b/>
      <sz val="26"/>
      <color rgb="FFC00000"/>
      <name val="Arial"/>
      <family val="2"/>
    </font>
    <font>
      <sz val="26"/>
      <color rgb="FFC00000"/>
      <name val="Arial"/>
      <family val="2"/>
    </font>
    <font>
      <b/>
      <sz val="16"/>
      <color rgb="FFC00000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26"/>
      <color rgb="FFFF0000"/>
      <name val="Arial"/>
      <family val="2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7030A0"/>
      <name val="Arial"/>
      <family val="2"/>
    </font>
    <font>
      <b/>
      <sz val="22"/>
      <color rgb="FF7030A0"/>
      <name val="Arial"/>
      <family val="2"/>
    </font>
    <font>
      <b/>
      <sz val="24"/>
      <color rgb="FF7030A0"/>
      <name val="Arial"/>
      <family val="2"/>
    </font>
    <font>
      <b/>
      <sz val="26"/>
      <color rgb="FF7030A0"/>
      <name val="Arial"/>
      <family val="2"/>
    </font>
    <font>
      <b/>
      <sz val="14"/>
      <color rgb="FF7030A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Arial"/>
      <family val="2"/>
    </font>
    <font>
      <b/>
      <sz val="11"/>
      <color rgb="FF000000"/>
      <name val="Calibri"/>
      <family val="2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70AD47"/>
      <name val="Calibri"/>
      <family val="2"/>
      <scheme val="minor"/>
    </font>
    <font>
      <b/>
      <sz val="16"/>
      <color rgb="FF5B9BD5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26"/>
      <color theme="1"/>
      <name val="Arial"/>
      <family val="2"/>
    </font>
    <font>
      <sz val="16"/>
      <color theme="1"/>
      <name val="Arial"/>
      <family val="2"/>
    </font>
    <font>
      <sz val="12"/>
      <name val="Calibri"/>
      <family val="2"/>
    </font>
    <font>
      <strike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 tint="4.9989318521683403E-2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172B4D"/>
      <name val="Segoe UI"/>
      <family val="2"/>
    </font>
    <font>
      <sz val="8"/>
      <color rgb="FF172B4D"/>
      <name val="Segoe UI"/>
      <family val="2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D8EE"/>
        <bgColor indexed="64"/>
      </patternFill>
    </fill>
    <fill>
      <patternFill patternType="solid">
        <fgColor rgb="FFFFBDBD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0" borderId="2" applyNumberFormat="0" applyFill="0" applyAlignment="0" applyProtection="0"/>
    <xf numFmtId="0" fontId="1" fillId="5" borderId="0" applyNumberFormat="0" applyBorder="0" applyAlignment="0" applyProtection="0"/>
    <xf numFmtId="0" fontId="1" fillId="0" borderId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45">
    <xf numFmtId="0" fontId="0" fillId="0" borderId="0" xfId="0"/>
    <xf numFmtId="0" fontId="0" fillId="0" borderId="7" xfId="0" applyBorder="1"/>
    <xf numFmtId="0" fontId="7" fillId="0" borderId="0" xfId="0" applyFont="1"/>
    <xf numFmtId="0" fontId="1" fillId="0" borderId="0" xfId="6"/>
    <xf numFmtId="0" fontId="9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4" fontId="1" fillId="0" borderId="7" xfId="6" applyNumberFormat="1" applyBorder="1"/>
    <xf numFmtId="0" fontId="8" fillId="0" borderId="0" xfId="0" applyFont="1"/>
    <xf numFmtId="0" fontId="10" fillId="17" borderId="7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17" borderId="7" xfId="0" applyFont="1" applyFill="1" applyBorder="1" applyAlignment="1">
      <alignment horizontal="center"/>
    </xf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22" fillId="0" borderId="0" xfId="0" applyFont="1"/>
    <xf numFmtId="0" fontId="24" fillId="0" borderId="0" xfId="0" applyFont="1"/>
    <xf numFmtId="0" fontId="25" fillId="14" borderId="20" xfId="0" applyFont="1" applyFill="1" applyBorder="1"/>
    <xf numFmtId="0" fontId="18" fillId="0" borderId="0" xfId="0" applyFont="1"/>
    <xf numFmtId="0" fontId="11" fillId="0" borderId="0" xfId="0" applyFont="1"/>
    <xf numFmtId="0" fontId="29" fillId="0" borderId="0" xfId="0" applyFont="1"/>
    <xf numFmtId="0" fontId="28" fillId="0" borderId="0" xfId="0" applyFont="1"/>
    <xf numFmtId="0" fontId="32" fillId="0" borderId="0" xfId="0" applyFont="1"/>
    <xf numFmtId="0" fontId="37" fillId="0" borderId="0" xfId="0" applyFont="1"/>
    <xf numFmtId="0" fontId="38" fillId="6" borderId="3" xfId="0" applyFont="1" applyFill="1" applyBorder="1"/>
    <xf numFmtId="0" fontId="38" fillId="6" borderId="17" xfId="0" applyFont="1" applyFill="1" applyBorder="1"/>
    <xf numFmtId="0" fontId="38" fillId="6" borderId="4" xfId="0" applyFont="1" applyFill="1" applyBorder="1"/>
    <xf numFmtId="0" fontId="37" fillId="7" borderId="5" xfId="0" applyFont="1" applyFill="1" applyBorder="1"/>
    <xf numFmtId="0" fontId="37" fillId="7" borderId="6" xfId="0" applyFont="1" applyFill="1" applyBorder="1"/>
    <xf numFmtId="0" fontId="37" fillId="7" borderId="18" xfId="0" applyFont="1" applyFill="1" applyBorder="1"/>
    <xf numFmtId="0" fontId="28" fillId="0" borderId="0" xfId="6" applyFont="1"/>
    <xf numFmtId="0" fontId="39" fillId="0" borderId="0" xfId="0" applyFont="1"/>
    <xf numFmtId="0" fontId="37" fillId="0" borderId="0" xfId="0" applyFont="1" applyAlignment="1">
      <alignment wrapText="1"/>
    </xf>
    <xf numFmtId="0" fontId="37" fillId="0" borderId="0" xfId="6" applyFont="1"/>
    <xf numFmtId="0" fontId="40" fillId="0" borderId="0" xfId="0" applyFont="1"/>
    <xf numFmtId="0" fontId="43" fillId="0" borderId="0" xfId="0" applyFont="1"/>
    <xf numFmtId="0" fontId="45" fillId="0" borderId="0" xfId="0" applyFont="1"/>
    <xf numFmtId="0" fontId="25" fillId="10" borderId="0" xfId="0" applyFont="1" applyFill="1" applyAlignment="1" applyProtection="1">
      <alignment horizontal="center" vertical="center"/>
      <protection locked="0"/>
    </xf>
    <xf numFmtId="0" fontId="19" fillId="10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22" xfId="0" applyFont="1" applyBorder="1" applyProtection="1">
      <protection locked="0"/>
    </xf>
    <xf numFmtId="0" fontId="5" fillId="0" borderId="0" xfId="0" applyFont="1" applyProtection="1">
      <protection locked="0"/>
    </xf>
    <xf numFmtId="0" fontId="25" fillId="14" borderId="20" xfId="0" applyFont="1" applyFill="1" applyBorder="1" applyProtection="1">
      <protection locked="0"/>
    </xf>
    <xf numFmtId="0" fontId="25" fillId="13" borderId="20" xfId="0" applyFont="1" applyFill="1" applyBorder="1" applyProtection="1">
      <protection locked="0"/>
    </xf>
    <xf numFmtId="0" fontId="25" fillId="0" borderId="21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11" fillId="0" borderId="16" xfId="0" applyFon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5" fillId="0" borderId="20" xfId="0" applyFont="1" applyBorder="1" applyProtection="1">
      <protection locked="0"/>
    </xf>
    <xf numFmtId="0" fontId="11" fillId="3" borderId="0" xfId="2" applyNumberFormat="1" applyFont="1" applyBorder="1" applyProtection="1">
      <protection locked="0"/>
    </xf>
    <xf numFmtId="0" fontId="11" fillId="3" borderId="21" xfId="2" applyNumberFormat="1" applyFont="1" applyBorder="1" applyProtection="1">
      <protection locked="0"/>
    </xf>
    <xf numFmtId="0" fontId="11" fillId="15" borderId="22" xfId="3" applyNumberFormat="1" applyFont="1" applyFill="1" applyBorder="1" applyProtection="1">
      <protection locked="0"/>
    </xf>
    <xf numFmtId="0" fontId="11" fillId="15" borderId="10" xfId="3" applyNumberFormat="1" applyFont="1" applyFill="1" applyBorder="1" applyProtection="1">
      <protection locked="0"/>
    </xf>
    <xf numFmtId="0" fontId="11" fillId="0" borderId="20" xfId="0" applyFont="1" applyBorder="1" applyProtection="1">
      <protection locked="0"/>
    </xf>
    <xf numFmtId="0" fontId="17" fillId="0" borderId="21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12" fillId="0" borderId="7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0" fillId="12" borderId="7" xfId="0" applyFill="1" applyBorder="1" applyAlignment="1" applyProtection="1">
      <alignment horizontal="center"/>
      <protection locked="0"/>
    </xf>
    <xf numFmtId="0" fontId="5" fillId="16" borderId="7" xfId="0" applyFont="1" applyFill="1" applyBorder="1" applyAlignment="1" applyProtection="1">
      <alignment horizontal="center"/>
      <protection locked="0"/>
    </xf>
    <xf numFmtId="0" fontId="0" fillId="16" borderId="7" xfId="0" applyFill="1" applyBorder="1" applyAlignment="1" applyProtection="1">
      <alignment horizontal="center"/>
      <protection locked="0"/>
    </xf>
    <xf numFmtId="0" fontId="0" fillId="16" borderId="13" xfId="0" applyFill="1" applyBorder="1" applyAlignment="1" applyProtection="1">
      <alignment horizontal="center"/>
      <protection locked="0"/>
    </xf>
    <xf numFmtId="0" fontId="11" fillId="0" borderId="7" xfId="0" applyFont="1" applyBorder="1" applyAlignment="1" applyProtection="1">
      <alignment horizontal="center"/>
      <protection locked="0"/>
    </xf>
    <xf numFmtId="0" fontId="18" fillId="0" borderId="7" xfId="0" applyFont="1" applyBorder="1" applyAlignment="1" applyProtection="1">
      <alignment horizontal="center"/>
      <protection locked="0"/>
    </xf>
    <xf numFmtId="0" fontId="26" fillId="0" borderId="7" xfId="0" applyFont="1" applyBorder="1" applyAlignment="1" applyProtection="1">
      <alignment horizontal="center"/>
      <protection locked="0"/>
    </xf>
    <xf numFmtId="0" fontId="11" fillId="12" borderId="7" xfId="0" applyFont="1" applyFill="1" applyBorder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1" fillId="16" borderId="7" xfId="0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21" xfId="0" applyFont="1" applyBorder="1" applyProtection="1">
      <protection locked="0"/>
    </xf>
    <xf numFmtId="0" fontId="27" fillId="0" borderId="0" xfId="0" applyFont="1" applyProtection="1">
      <protection locked="0"/>
    </xf>
    <xf numFmtId="0" fontId="12" fillId="0" borderId="11" xfId="0" applyFont="1" applyBorder="1" applyProtection="1">
      <protection locked="0"/>
    </xf>
    <xf numFmtId="0" fontId="12" fillId="0" borderId="22" xfId="0" applyFont="1" applyBorder="1" applyProtection="1">
      <protection locked="0"/>
    </xf>
    <xf numFmtId="0" fontId="12" fillId="0" borderId="10" xfId="0" applyFont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10" fillId="0" borderId="13" xfId="0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12" xfId="0" applyBorder="1" applyProtection="1"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11" fillId="16" borderId="13" xfId="0" applyFont="1" applyFill="1" applyBorder="1" applyAlignment="1" applyProtection="1">
      <alignment horizontal="center"/>
      <protection locked="0"/>
    </xf>
    <xf numFmtId="0" fontId="11" fillId="0" borderId="13" xfId="0" applyFont="1" applyBorder="1" applyAlignment="1" applyProtection="1">
      <alignment horizontal="center"/>
      <protection locked="0"/>
    </xf>
    <xf numFmtId="0" fontId="22" fillId="0" borderId="0" xfId="0" applyFont="1" applyAlignment="1" applyProtection="1">
      <alignment wrapText="1"/>
      <protection locked="0"/>
    </xf>
    <xf numFmtId="0" fontId="10" fillId="0" borderId="19" xfId="0" applyFont="1" applyBorder="1" applyProtection="1">
      <protection locked="0"/>
    </xf>
    <xf numFmtId="0" fontId="10" fillId="0" borderId="12" xfId="0" applyFont="1" applyBorder="1" applyProtection="1">
      <protection locked="0"/>
    </xf>
    <xf numFmtId="0" fontId="5" fillId="0" borderId="7" xfId="0" applyFont="1" applyBorder="1" applyAlignment="1" applyProtection="1">
      <alignment horizontal="center" wrapText="1"/>
      <protection locked="0"/>
    </xf>
    <xf numFmtId="10" fontId="0" fillId="0" borderId="14" xfId="8" applyNumberFormat="1" applyFont="1" applyBorder="1" applyProtection="1">
      <protection locked="0"/>
    </xf>
    <xf numFmtId="10" fontId="0" fillId="0" borderId="21" xfId="8" applyNumberFormat="1" applyFont="1" applyBorder="1" applyProtection="1">
      <protection locked="0"/>
    </xf>
    <xf numFmtId="10" fontId="0" fillId="0" borderId="0" xfId="8" applyNumberFormat="1" applyFont="1" applyProtection="1">
      <protection locked="0"/>
    </xf>
    <xf numFmtId="1" fontId="11" fillId="0" borderId="7" xfId="0" applyNumberFormat="1" applyFont="1" applyBorder="1" applyAlignment="1" applyProtection="1">
      <alignment horizontal="center"/>
      <protection locked="0"/>
    </xf>
    <xf numFmtId="1" fontId="11" fillId="0" borderId="20" xfId="0" applyNumberFormat="1" applyFont="1" applyBorder="1" applyAlignment="1" applyProtection="1">
      <alignment horizontal="right"/>
      <protection locked="0"/>
    </xf>
    <xf numFmtId="9" fontId="0" fillId="12" borderId="7" xfId="8" applyFont="1" applyFill="1" applyBorder="1" applyAlignment="1" applyProtection="1">
      <alignment horizontal="center"/>
      <protection locked="0"/>
    </xf>
    <xf numFmtId="0" fontId="25" fillId="10" borderId="22" xfId="0" applyFont="1" applyFill="1" applyBorder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14" fontId="1" fillId="0" borderId="7" xfId="6" applyNumberFormat="1" applyBorder="1" applyAlignment="1">
      <alignment horizontal="center" vertical="center"/>
    </xf>
    <xf numFmtId="0" fontId="0" fillId="0" borderId="14" xfId="0" applyBorder="1" applyProtection="1">
      <protection locked="0"/>
    </xf>
    <xf numFmtId="0" fontId="0" fillId="0" borderId="22" xfId="0" applyBorder="1" applyProtection="1"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0" fillId="10" borderId="0" xfId="0" applyFill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1" fontId="11" fillId="0" borderId="0" xfId="0" applyNumberFormat="1" applyFont="1" applyAlignment="1" applyProtection="1">
      <alignment horizontal="center"/>
      <protection locked="0"/>
    </xf>
    <xf numFmtId="0" fontId="53" fillId="0" borderId="0" xfId="0" applyFont="1" applyProtection="1">
      <protection locked="0"/>
    </xf>
    <xf numFmtId="0" fontId="54" fillId="0" borderId="0" xfId="0" applyFont="1" applyProtection="1">
      <protection locked="0"/>
    </xf>
    <xf numFmtId="0" fontId="37" fillId="8" borderId="8" xfId="0" applyFont="1" applyFill="1" applyBorder="1"/>
    <xf numFmtId="0" fontId="37" fillId="8" borderId="24" xfId="0" applyFont="1" applyFill="1" applyBorder="1"/>
    <xf numFmtId="0" fontId="37" fillId="8" borderId="9" xfId="0" applyFont="1" applyFill="1" applyBorder="1"/>
    <xf numFmtId="1" fontId="0" fillId="0" borderId="0" xfId="0" applyNumberFormat="1" applyProtection="1">
      <protection locked="0"/>
    </xf>
    <xf numFmtId="0" fontId="55" fillId="0" borderId="0" xfId="0" applyFont="1"/>
    <xf numFmtId="0" fontId="11" fillId="18" borderId="0" xfId="0" applyFont="1" applyFill="1" applyAlignment="1" applyProtection="1">
      <alignment horizontal="right"/>
      <protection locked="0"/>
    </xf>
    <xf numFmtId="14" fontId="1" fillId="0" borderId="7" xfId="6" applyNumberFormat="1" applyBorder="1" applyAlignment="1">
      <alignment horizontal="center"/>
    </xf>
    <xf numFmtId="0" fontId="0" fillId="8" borderId="25" xfId="6" applyFont="1" applyFill="1" applyBorder="1"/>
    <xf numFmtId="14" fontId="0" fillId="5" borderId="25" xfId="5" applyNumberFormat="1" applyFont="1" applyBorder="1" applyAlignment="1">
      <alignment horizontal="center"/>
    </xf>
    <xf numFmtId="14" fontId="0" fillId="8" borderId="25" xfId="6" applyNumberFormat="1" applyFont="1" applyFill="1" applyBorder="1" applyAlignment="1">
      <alignment horizontal="center" vertical="center" wrapText="1"/>
    </xf>
    <xf numFmtId="14" fontId="0" fillId="20" borderId="25" xfId="4" applyNumberFormat="1" applyFont="1" applyFill="1" applyBorder="1" applyAlignment="1">
      <alignment horizontal="center"/>
    </xf>
    <xf numFmtId="0" fontId="0" fillId="20" borderId="25" xfId="1" applyFont="1" applyFill="1" applyBorder="1" applyAlignment="1" applyProtection="1">
      <alignment horizontal="center"/>
    </xf>
    <xf numFmtId="0" fontId="6" fillId="9" borderId="25" xfId="0" applyFont="1" applyFill="1" applyBorder="1" applyAlignment="1">
      <alignment horizontal="center"/>
    </xf>
    <xf numFmtId="0" fontId="0" fillId="9" borderId="25" xfId="0" applyFill="1" applyBorder="1"/>
    <xf numFmtId="0" fontId="5" fillId="9" borderId="25" xfId="6" applyFont="1" applyFill="1" applyBorder="1" applyAlignment="1">
      <alignment horizontal="center"/>
    </xf>
    <xf numFmtId="14" fontId="5" fillId="9" borderId="25" xfId="6" applyNumberFormat="1" applyFont="1" applyFill="1" applyBorder="1" applyAlignment="1">
      <alignment horizontal="center"/>
    </xf>
    <xf numFmtId="0" fontId="10" fillId="0" borderId="25" xfId="0" applyFont="1" applyBorder="1" applyProtection="1">
      <protection locked="0"/>
    </xf>
    <xf numFmtId="0" fontId="5" fillId="0" borderId="0" xfId="0" applyFont="1"/>
    <xf numFmtId="0" fontId="22" fillId="0" borderId="0" xfId="0" applyFont="1" applyAlignment="1">
      <alignment horizontal="center"/>
    </xf>
    <xf numFmtId="0" fontId="0" fillId="0" borderId="20" xfId="0" applyBorder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/>
      <protection locked="0"/>
    </xf>
    <xf numFmtId="0" fontId="62" fillId="0" borderId="0" xfId="0" applyFont="1"/>
    <xf numFmtId="0" fontId="64" fillId="0" borderId="0" xfId="0" applyFont="1"/>
    <xf numFmtId="0" fontId="65" fillId="0" borderId="0" xfId="0" applyFont="1"/>
    <xf numFmtId="0" fontId="5" fillId="0" borderId="0" xfId="8" applyNumberFormat="1" applyFont="1" applyProtection="1">
      <protection locked="0"/>
    </xf>
    <xf numFmtId="10" fontId="0" fillId="0" borderId="0" xfId="0" applyNumberFormat="1"/>
    <xf numFmtId="10" fontId="0" fillId="0" borderId="0" xfId="0" applyNumberFormat="1" applyProtection="1">
      <protection locked="0"/>
    </xf>
    <xf numFmtId="0" fontId="0" fillId="0" borderId="11" xfId="0" applyBorder="1" applyProtection="1">
      <protection locked="0"/>
    </xf>
    <xf numFmtId="10" fontId="0" fillId="0" borderId="10" xfId="0" applyNumberFormat="1" applyBorder="1" applyProtection="1">
      <protection locked="0"/>
    </xf>
    <xf numFmtId="0" fontId="10" fillId="0" borderId="7" xfId="0" applyFon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1" fillId="12" borderId="13" xfId="0" applyFont="1" applyFill="1" applyBorder="1" applyAlignment="1" applyProtection="1">
      <alignment horizontal="center"/>
      <protection locked="0"/>
    </xf>
    <xf numFmtId="0" fontId="37" fillId="8" borderId="5" xfId="0" applyFont="1" applyFill="1" applyBorder="1"/>
    <xf numFmtId="0" fontId="37" fillId="8" borderId="18" xfId="0" applyFont="1" applyFill="1" applyBorder="1"/>
    <xf numFmtId="0" fontId="37" fillId="8" borderId="6" xfId="0" applyFont="1" applyFill="1" applyBorder="1"/>
    <xf numFmtId="0" fontId="5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0" fillId="0" borderId="0" xfId="0" quotePrefix="1" applyProtection="1">
      <protection locked="0"/>
    </xf>
    <xf numFmtId="11" fontId="0" fillId="0" borderId="0" xfId="0" applyNumberFormat="1" applyProtection="1">
      <protection locked="0"/>
    </xf>
    <xf numFmtId="0" fontId="68" fillId="23" borderId="25" xfId="0" applyFont="1" applyFill="1" applyBorder="1" applyAlignment="1">
      <alignment horizontal="center"/>
    </xf>
    <xf numFmtId="0" fontId="68" fillId="24" borderId="25" xfId="0" applyFont="1" applyFill="1" applyBorder="1" applyAlignment="1">
      <alignment horizontal="center" wrapText="1"/>
    </xf>
    <xf numFmtId="0" fontId="68" fillId="24" borderId="27" xfId="0" applyFont="1" applyFill="1" applyBorder="1" applyAlignment="1">
      <alignment horizontal="center" wrapText="1"/>
    </xf>
    <xf numFmtId="10" fontId="0" fillId="0" borderId="0" xfId="8" applyNumberFormat="1" applyFont="1" applyFill="1" applyProtection="1">
      <protection locked="0"/>
    </xf>
    <xf numFmtId="10" fontId="0" fillId="0" borderId="21" xfId="0" applyNumberFormat="1" applyBorder="1" applyProtection="1">
      <protection locked="0"/>
    </xf>
    <xf numFmtId="10" fontId="5" fillId="0" borderId="10" xfId="0" applyNumberFormat="1" applyFont="1" applyBorder="1" applyProtection="1">
      <protection locked="0"/>
    </xf>
    <xf numFmtId="0" fontId="52" fillId="0" borderId="0" xfId="0" applyFont="1"/>
    <xf numFmtId="0" fontId="35" fillId="0" borderId="0" xfId="0" applyFont="1"/>
    <xf numFmtId="0" fontId="30" fillId="0" borderId="0" xfId="0" applyFont="1"/>
    <xf numFmtId="0" fontId="34" fillId="0" borderId="0" xfId="0" applyFont="1"/>
    <xf numFmtId="0" fontId="31" fillId="0" borderId="0" xfId="0" applyFont="1"/>
    <xf numFmtId="0" fontId="33" fillId="0" borderId="0" xfId="0" applyFont="1"/>
    <xf numFmtId="0" fontId="69" fillId="0" borderId="0" xfId="0" applyFont="1"/>
    <xf numFmtId="0" fontId="13" fillId="0" borderId="0" xfId="0" applyFont="1"/>
    <xf numFmtId="0" fontId="63" fillId="0" borderId="0" xfId="0" applyFont="1"/>
    <xf numFmtId="0" fontId="41" fillId="0" borderId="0" xfId="0" applyFont="1"/>
    <xf numFmtId="0" fontId="42" fillId="0" borderId="0" xfId="0" applyFont="1"/>
    <xf numFmtId="0" fontId="44" fillId="0" borderId="0" xfId="0" applyFont="1"/>
    <xf numFmtId="0" fontId="36" fillId="0" borderId="0" xfId="0" applyFont="1"/>
    <xf numFmtId="0" fontId="23" fillId="0" borderId="0" xfId="0" applyFont="1"/>
    <xf numFmtId="0" fontId="57" fillId="0" borderId="0" xfId="0" applyFont="1"/>
    <xf numFmtId="0" fontId="25" fillId="0" borderId="23" xfId="0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10" fillId="21" borderId="0" xfId="0" applyFont="1" applyFill="1"/>
    <xf numFmtId="0" fontId="25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9" fontId="25" fillId="10" borderId="0" xfId="8" applyFont="1" applyFill="1" applyBorder="1" applyAlignment="1" applyProtection="1">
      <alignment horizontal="center" vertical="center"/>
      <protection locked="0"/>
    </xf>
    <xf numFmtId="0" fontId="25" fillId="11" borderId="0" xfId="0" applyFont="1" applyFill="1" applyAlignment="1" applyProtection="1">
      <alignment horizontal="center" vertical="center"/>
      <protection locked="0"/>
    </xf>
    <xf numFmtId="0" fontId="25" fillId="14" borderId="16" xfId="0" applyFont="1" applyFill="1" applyBorder="1" applyProtection="1">
      <protection locked="0"/>
    </xf>
    <xf numFmtId="0" fontId="25" fillId="10" borderId="23" xfId="0" applyFont="1" applyFill="1" applyBorder="1" applyAlignment="1" applyProtection="1">
      <alignment horizontal="center" vertical="center"/>
      <protection locked="0"/>
    </xf>
    <xf numFmtId="0" fontId="25" fillId="13" borderId="11" xfId="0" applyFont="1" applyFill="1" applyBorder="1" applyProtection="1">
      <protection locked="0"/>
    </xf>
    <xf numFmtId="0" fontId="25" fillId="0" borderId="21" xfId="0" applyFont="1" applyBorder="1" applyAlignment="1" applyProtection="1">
      <alignment vertical="center"/>
      <protection locked="0"/>
    </xf>
    <xf numFmtId="0" fontId="48" fillId="21" borderId="0" xfId="0" applyFont="1" applyFill="1"/>
    <xf numFmtId="0" fontId="49" fillId="21" borderId="0" xfId="0" applyFont="1" applyFill="1"/>
    <xf numFmtId="0" fontId="66" fillId="0" borderId="0" xfId="0" applyFont="1"/>
    <xf numFmtId="0" fontId="67" fillId="0" borderId="0" xfId="0" applyFont="1" applyAlignment="1" applyProtection="1">
      <alignment horizontal="center" vertical="center"/>
      <protection locked="0"/>
    </xf>
    <xf numFmtId="0" fontId="19" fillId="10" borderId="23" xfId="0" applyFont="1" applyFill="1" applyBorder="1" applyAlignment="1">
      <alignment horizontal="center" vertical="center"/>
    </xf>
    <xf numFmtId="0" fontId="25" fillId="0" borderId="23" xfId="0" applyFont="1" applyBorder="1" applyProtection="1">
      <protection locked="0"/>
    </xf>
    <xf numFmtId="0" fontId="25" fillId="0" borderId="14" xfId="0" applyFont="1" applyBorder="1" applyProtection="1"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67" fillId="0" borderId="21" xfId="0" applyFont="1" applyBorder="1" applyAlignment="1" applyProtection="1">
      <alignment horizontal="center" vertical="center"/>
      <protection locked="0"/>
    </xf>
    <xf numFmtId="0" fontId="66" fillId="22" borderId="20" xfId="0" applyFont="1" applyFill="1" applyBorder="1"/>
    <xf numFmtId="0" fontId="66" fillId="22" borderId="11" xfId="0" applyFont="1" applyFill="1" applyBorder="1"/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13" borderId="16" xfId="0" applyFont="1" applyFill="1" applyBorder="1" applyProtection="1">
      <protection locked="0"/>
    </xf>
    <xf numFmtId="0" fontId="19" fillId="10" borderId="23" xfId="0" applyFont="1" applyFill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Protection="1">
      <protection locked="0"/>
    </xf>
    <xf numFmtId="0" fontId="19" fillId="0" borderId="23" xfId="0" applyFont="1" applyBorder="1" applyAlignment="1" applyProtection="1">
      <alignment vertical="center"/>
      <protection locked="0"/>
    </xf>
    <xf numFmtId="0" fontId="19" fillId="0" borderId="14" xfId="0" applyFont="1" applyBorder="1" applyAlignment="1" applyProtection="1">
      <alignment vertical="center"/>
      <protection locked="0"/>
    </xf>
    <xf numFmtId="0" fontId="19" fillId="0" borderId="22" xfId="0" applyFont="1" applyBorder="1" applyAlignment="1" applyProtection="1">
      <alignment vertical="center"/>
      <protection locked="0"/>
    </xf>
    <xf numFmtId="0" fontId="19" fillId="0" borderId="10" xfId="0" applyFont="1" applyBorder="1" applyAlignment="1" applyProtection="1">
      <alignment vertical="center"/>
      <protection locked="0"/>
    </xf>
    <xf numFmtId="9" fontId="25" fillId="11" borderId="0" xfId="0" applyNumberFormat="1" applyFont="1" applyFill="1" applyAlignment="1" applyProtection="1">
      <alignment horizontal="center" vertical="center"/>
      <protection locked="0"/>
    </xf>
    <xf numFmtId="164" fontId="0" fillId="0" borderId="0" xfId="0" quotePrefix="1" applyNumberFormat="1" applyProtection="1">
      <protection locked="0"/>
    </xf>
    <xf numFmtId="164" fontId="0" fillId="0" borderId="0" xfId="0" applyNumberFormat="1" applyProtection="1">
      <protection locked="0"/>
    </xf>
    <xf numFmtId="164" fontId="11" fillId="0" borderId="0" xfId="0" applyNumberFormat="1" applyFont="1" applyProtection="1">
      <protection locked="0"/>
    </xf>
    <xf numFmtId="0" fontId="36" fillId="21" borderId="0" xfId="0" applyFont="1" applyFill="1"/>
    <xf numFmtId="0" fontId="0" fillId="0" borderId="16" xfId="0" applyBorder="1" applyProtection="1">
      <protection locked="0"/>
    </xf>
    <xf numFmtId="0" fontId="51" fillId="21" borderId="0" xfId="0" applyFont="1" applyFill="1"/>
    <xf numFmtId="0" fontId="13" fillId="21" borderId="0" xfId="0" applyFont="1" applyFill="1"/>
    <xf numFmtId="0" fontId="70" fillId="21" borderId="0" xfId="0" applyFont="1" applyFill="1"/>
    <xf numFmtId="0" fontId="50" fillId="21" borderId="0" xfId="0" applyFont="1" applyFill="1"/>
    <xf numFmtId="0" fontId="13" fillId="25" borderId="0" xfId="0" applyFont="1" applyFill="1"/>
    <xf numFmtId="0" fontId="51" fillId="25" borderId="0" xfId="0" applyFont="1" applyFill="1"/>
    <xf numFmtId="0" fontId="71" fillId="21" borderId="0" xfId="0" applyFont="1" applyFill="1"/>
    <xf numFmtId="0" fontId="57" fillId="21" borderId="3" xfId="0" applyFont="1" applyFill="1" applyBorder="1"/>
    <xf numFmtId="0" fontId="57" fillId="25" borderId="0" xfId="0" applyFont="1" applyFill="1"/>
    <xf numFmtId="0" fontId="57" fillId="21" borderId="0" xfId="0" applyFont="1" applyFill="1"/>
    <xf numFmtId="165" fontId="0" fillId="0" borderId="0" xfId="0" applyNumberFormat="1" applyProtection="1">
      <protection locked="0"/>
    </xf>
    <xf numFmtId="0" fontId="51" fillId="0" borderId="0" xfId="0" applyFont="1"/>
    <xf numFmtId="0" fontId="0" fillId="14" borderId="0" xfId="0" applyFill="1"/>
    <xf numFmtId="0" fontId="21" fillId="0" borderId="0" xfId="0" applyFont="1"/>
    <xf numFmtId="2" fontId="0" fillId="0" borderId="0" xfId="0" applyNumberFormat="1" applyProtection="1">
      <protection locked="0"/>
    </xf>
    <xf numFmtId="0" fontId="52" fillId="0" borderId="0" xfId="0" applyFont="1" applyAlignment="1">
      <alignment horizontal="right"/>
    </xf>
    <xf numFmtId="0" fontId="5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2" fontId="21" fillId="0" borderId="0" xfId="0" applyNumberFormat="1" applyFont="1"/>
    <xf numFmtId="166" fontId="21" fillId="0" borderId="0" xfId="0" applyNumberFormat="1" applyFont="1"/>
    <xf numFmtId="9" fontId="0" fillId="0" borderId="7" xfId="8" applyFont="1" applyFill="1" applyBorder="1" applyAlignment="1" applyProtection="1">
      <alignment horizontal="center"/>
      <protection locked="0"/>
    </xf>
    <xf numFmtId="0" fontId="25" fillId="0" borderId="23" xfId="0" applyFont="1" applyBorder="1" applyAlignment="1" applyProtection="1">
      <alignment horizontal="left"/>
      <protection locked="0"/>
    </xf>
    <xf numFmtId="0" fontId="19" fillId="0" borderId="0" xfId="0" applyFont="1" applyAlignment="1" applyProtection="1">
      <alignment horizontal="left" vertical="center"/>
      <protection locked="0"/>
    </xf>
    <xf numFmtId="9" fontId="25" fillId="0" borderId="0" xfId="0" applyNumberFormat="1" applyFont="1" applyAlignment="1" applyProtection="1">
      <alignment horizontal="center" vertical="center"/>
      <protection locked="0"/>
    </xf>
    <xf numFmtId="0" fontId="25" fillId="10" borderId="0" xfId="8" applyNumberFormat="1" applyFont="1" applyFill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right"/>
      <protection locked="0"/>
    </xf>
    <xf numFmtId="10" fontId="5" fillId="0" borderId="10" xfId="0" applyNumberFormat="1" applyFont="1" applyBorder="1" applyAlignment="1" applyProtection="1">
      <alignment horizontal="center"/>
      <protection locked="0"/>
    </xf>
    <xf numFmtId="0" fontId="0" fillId="26" borderId="0" xfId="0" applyFill="1"/>
    <xf numFmtId="9" fontId="0" fillId="26" borderId="0" xfId="0" applyNumberFormat="1" applyFill="1" applyAlignment="1">
      <alignment horizontal="center"/>
    </xf>
    <xf numFmtId="0" fontId="0" fillId="26" borderId="0" xfId="0" applyFill="1" applyAlignment="1">
      <alignment horizontal="center"/>
    </xf>
    <xf numFmtId="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166" fontId="0" fillId="26" borderId="0" xfId="0" applyNumberFormat="1" applyFill="1"/>
    <xf numFmtId="2" fontId="0" fillId="14" borderId="0" xfId="0" applyNumberFormat="1" applyFill="1"/>
    <xf numFmtId="0" fontId="0" fillId="13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8" borderId="0" xfId="0" applyFill="1"/>
    <xf numFmtId="9" fontId="0" fillId="28" borderId="0" xfId="0" applyNumberForma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11" fillId="27" borderId="20" xfId="0" applyFont="1" applyFill="1" applyBorder="1" applyProtection="1">
      <protection locked="0"/>
    </xf>
    <xf numFmtId="10" fontId="0" fillId="27" borderId="21" xfId="8" applyNumberFormat="1" applyFont="1" applyFill="1" applyBorder="1" applyProtection="1">
      <protection locked="0"/>
    </xf>
    <xf numFmtId="0" fontId="11" fillId="27" borderId="11" xfId="0" applyFont="1" applyFill="1" applyBorder="1" applyProtection="1">
      <protection locked="0"/>
    </xf>
    <xf numFmtId="10" fontId="0" fillId="27" borderId="10" xfId="8" applyNumberFormat="1" applyFont="1" applyFill="1" applyBorder="1" applyProtection="1">
      <protection locked="0"/>
    </xf>
    <xf numFmtId="2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14" borderId="0" xfId="0" applyFill="1" applyAlignment="1">
      <alignment horizontal="left"/>
    </xf>
    <xf numFmtId="9" fontId="0" fillId="0" borderId="0" xfId="0" applyNumberFormat="1" applyAlignment="1">
      <alignment horizontal="center"/>
    </xf>
    <xf numFmtId="0" fontId="0" fillId="29" borderId="0" xfId="0" applyFill="1" applyAlignment="1">
      <alignment horizontal="center" vertical="center"/>
    </xf>
    <xf numFmtId="0" fontId="0" fillId="29" borderId="0" xfId="0" applyFill="1"/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73" fillId="0" borderId="36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9" fontId="0" fillId="0" borderId="34" xfId="0" applyNumberForma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9" fontId="0" fillId="0" borderId="28" xfId="0" applyNumberFormat="1" applyBorder="1" applyAlignment="1">
      <alignment horizontal="center"/>
    </xf>
    <xf numFmtId="0" fontId="0" fillId="0" borderId="32" xfId="0" applyBorder="1" applyAlignment="1">
      <alignment horizontal="center" wrapText="1"/>
    </xf>
    <xf numFmtId="167" fontId="0" fillId="0" borderId="3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167" fontId="0" fillId="0" borderId="34" xfId="0" applyNumberFormat="1" applyBorder="1" applyAlignment="1">
      <alignment horizontal="center"/>
    </xf>
    <xf numFmtId="0" fontId="0" fillId="0" borderId="29" xfId="0" applyBorder="1" applyAlignment="1">
      <alignment horizontal="center" wrapText="1"/>
    </xf>
    <xf numFmtId="167" fontId="0" fillId="0" borderId="28" xfId="0" applyNumberFormat="1" applyBorder="1" applyAlignment="1">
      <alignment horizontal="center"/>
    </xf>
    <xf numFmtId="9" fontId="5" fillId="0" borderId="29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38" fillId="0" borderId="0" xfId="0" applyFont="1"/>
    <xf numFmtId="9" fontId="5" fillId="13" borderId="0" xfId="0" applyNumberFormat="1" applyFont="1" applyFill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0" fillId="0" borderId="34" xfId="0" applyBorder="1" applyAlignment="1">
      <alignment horizontal="center" vertical="center" wrapText="1"/>
    </xf>
    <xf numFmtId="14" fontId="16" fillId="20" borderId="25" xfId="7" applyNumberFormat="1" applyFill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13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5" fillId="0" borderId="29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0" fontId="56" fillId="9" borderId="16" xfId="0" applyFont="1" applyFill="1" applyBorder="1" applyAlignment="1">
      <alignment horizontal="center"/>
    </xf>
    <xf numFmtId="0" fontId="56" fillId="9" borderId="23" xfId="0" applyFont="1" applyFill="1" applyBorder="1" applyAlignment="1">
      <alignment horizontal="center"/>
    </xf>
    <xf numFmtId="0" fontId="56" fillId="9" borderId="14" xfId="0" applyFont="1" applyFill="1" applyBorder="1" applyAlignment="1">
      <alignment horizontal="center"/>
    </xf>
    <xf numFmtId="0" fontId="68" fillId="0" borderId="25" xfId="0" applyFont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73" fillId="0" borderId="36" xfId="0" applyFont="1" applyBorder="1" applyAlignment="1">
      <alignment horizontal="center" vertical="center"/>
    </xf>
    <xf numFmtId="0" fontId="73" fillId="0" borderId="37" xfId="0" applyFont="1" applyBorder="1" applyAlignment="1">
      <alignment horizontal="center" vertical="center"/>
    </xf>
    <xf numFmtId="0" fontId="73" fillId="0" borderId="38" xfId="0" applyFont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15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4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29" borderId="0" xfId="0" applyFill="1" applyAlignment="1">
      <alignment horizontal="center" vertical="center" wrapText="1"/>
    </xf>
    <xf numFmtId="0" fontId="74" fillId="0" borderId="36" xfId="0" applyFont="1" applyBorder="1" applyAlignment="1">
      <alignment horizontal="center"/>
    </xf>
    <xf numFmtId="0" fontId="74" fillId="0" borderId="37" xfId="0" applyFont="1" applyBorder="1" applyAlignment="1">
      <alignment horizontal="center"/>
    </xf>
    <xf numFmtId="0" fontId="74" fillId="0" borderId="38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0" fillId="27" borderId="0" xfId="0" applyFill="1" applyAlignment="1">
      <alignment horizontal="left" vertical="center"/>
    </xf>
    <xf numFmtId="0" fontId="0" fillId="28" borderId="0" xfId="0" applyFill="1" applyAlignment="1">
      <alignment horizontal="left"/>
    </xf>
    <xf numFmtId="0" fontId="0" fillId="26" borderId="0" xfId="0" applyFill="1" applyAlignment="1">
      <alignment horizontal="left"/>
    </xf>
    <xf numFmtId="0" fontId="19" fillId="0" borderId="31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13" borderId="32" xfId="0" applyFont="1" applyFill="1" applyBorder="1" applyAlignment="1">
      <alignment horizontal="center" vertical="center" wrapText="1"/>
    </xf>
    <xf numFmtId="0" fontId="19" fillId="13" borderId="29" xfId="0" applyFont="1" applyFill="1" applyBorder="1" applyAlignment="1">
      <alignment horizontal="center" vertical="center" wrapText="1"/>
    </xf>
    <xf numFmtId="2" fontId="19" fillId="0" borderId="34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29" xfId="0" applyNumberFormat="1" applyFont="1" applyBorder="1" applyAlignment="1">
      <alignment horizontal="center" vertical="center"/>
    </xf>
    <xf numFmtId="2" fontId="19" fillId="0" borderId="28" xfId="0" applyNumberFormat="1" applyFont="1" applyBorder="1" applyAlignment="1">
      <alignment horizontal="center" vertical="center"/>
    </xf>
    <xf numFmtId="9" fontId="19" fillId="13" borderId="41" xfId="0" applyNumberFormat="1" applyFont="1" applyFill="1" applyBorder="1" applyAlignment="1">
      <alignment horizontal="center" vertical="center"/>
    </xf>
    <xf numFmtId="2" fontId="46" fillId="13" borderId="0" xfId="0" applyNumberFormat="1" applyFont="1" applyFill="1" applyAlignment="1">
      <alignment horizontal="center" vertical="center"/>
    </xf>
    <xf numFmtId="9" fontId="19" fillId="0" borderId="41" xfId="0" applyNumberFormat="1" applyFont="1" applyBorder="1" applyAlignment="1">
      <alignment horizontal="center" vertical="center"/>
    </xf>
    <xf numFmtId="9" fontId="19" fillId="0" borderId="40" xfId="0" applyNumberFormat="1" applyFont="1" applyBorder="1" applyAlignment="1">
      <alignment horizontal="center" vertical="center"/>
    </xf>
    <xf numFmtId="2" fontId="19" fillId="0" borderId="32" xfId="0" applyNumberFormat="1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58" fillId="0" borderId="7" xfId="0" applyFont="1" applyBorder="1" applyAlignment="1" applyProtection="1">
      <alignment horizontal="center"/>
      <protection locked="0"/>
    </xf>
    <xf numFmtId="0" fontId="20" fillId="0" borderId="16" xfId="0" applyFont="1" applyBorder="1" applyAlignment="1" applyProtection="1">
      <alignment horizontal="center"/>
      <protection locked="0"/>
    </xf>
    <xf numFmtId="0" fontId="20" fillId="0" borderId="23" xfId="0" applyFont="1" applyBorder="1" applyAlignment="1" applyProtection="1">
      <alignment horizontal="center"/>
      <protection locked="0"/>
    </xf>
    <xf numFmtId="0" fontId="20" fillId="0" borderId="14" xfId="0" applyFon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12" fillId="3" borderId="20" xfId="2" applyNumberFormat="1" applyFont="1" applyBorder="1" applyAlignment="1" applyProtection="1">
      <alignment horizontal="left" vertical="center"/>
      <protection locked="0"/>
    </xf>
    <xf numFmtId="0" fontId="12" fillId="3" borderId="11" xfId="2" applyNumberFormat="1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/>
      <protection locked="0"/>
    </xf>
    <xf numFmtId="0" fontId="5" fillId="0" borderId="14" xfId="0" applyFont="1" applyBorder="1" applyAlignment="1" applyProtection="1">
      <alignment horizontal="left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5" fillId="0" borderId="20" xfId="0" quotePrefix="1" applyFont="1" applyBorder="1" applyAlignment="1" applyProtection="1">
      <alignment horizontal="left"/>
      <protection locked="0"/>
    </xf>
    <xf numFmtId="0" fontId="10" fillId="0" borderId="13" xfId="0" applyFont="1" applyBorder="1" applyAlignment="1" applyProtection="1">
      <alignment horizontal="left"/>
      <protection locked="0"/>
    </xf>
    <xf numFmtId="0" fontId="10" fillId="0" borderId="19" xfId="0" applyFont="1" applyBorder="1" applyAlignment="1" applyProtection="1">
      <alignment horizontal="left"/>
      <protection locked="0"/>
    </xf>
    <xf numFmtId="0" fontId="10" fillId="0" borderId="12" xfId="0" applyFont="1" applyBorder="1" applyAlignment="1" applyProtection="1">
      <alignment horizontal="left"/>
      <protection locked="0"/>
    </xf>
    <xf numFmtId="0" fontId="2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5" fillId="21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0" fontId="7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74" fillId="0" borderId="36" xfId="0" applyFont="1" applyBorder="1" applyAlignment="1">
      <alignment horizontal="center" vertical="center"/>
    </xf>
    <xf numFmtId="0" fontId="74" fillId="0" borderId="37" xfId="0" applyFont="1" applyBorder="1" applyAlignment="1">
      <alignment horizontal="center" vertical="center"/>
    </xf>
    <xf numFmtId="0" fontId="74" fillId="0" borderId="38" xfId="0" applyFont="1" applyBorder="1" applyAlignment="1">
      <alignment horizontal="center" vertical="center"/>
    </xf>
    <xf numFmtId="0" fontId="75" fillId="0" borderId="33" xfId="0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67" fontId="0" fillId="13" borderId="35" xfId="0" applyNumberFormat="1" applyFill="1" applyBorder="1" applyAlignment="1">
      <alignment horizontal="center" vertical="center" wrapText="1"/>
    </xf>
    <xf numFmtId="167" fontId="0" fillId="13" borderId="0" xfId="0" applyNumberFormat="1" applyFill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9" fontId="0" fillId="0" borderId="32" xfId="0" applyNumberFormat="1" applyBorder="1" applyAlignment="1">
      <alignment horizontal="center" wrapText="1"/>
    </xf>
    <xf numFmtId="9" fontId="0" fillId="0" borderId="31" xfId="0" applyNumberForma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0" fillId="0" borderId="13" xfId="0" applyFont="1" applyBorder="1" applyAlignment="1" applyProtection="1">
      <protection locked="0"/>
    </xf>
    <xf numFmtId="0" fontId="10" fillId="0" borderId="7" xfId="0" applyFont="1" applyBorder="1" applyAlignment="1" applyProtection="1">
      <protection locked="0"/>
    </xf>
    <xf numFmtId="0" fontId="20" fillId="0" borderId="15" xfId="0" applyFont="1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20" fillId="0" borderId="13" xfId="0" applyFont="1" applyBorder="1" applyAlignment="1" applyProtection="1">
      <protection locked="0"/>
    </xf>
    <xf numFmtId="0" fontId="11" fillId="0" borderId="19" xfId="0" applyFont="1" applyBorder="1" applyAlignment="1" applyProtection="1">
      <protection locked="0"/>
    </xf>
    <xf numFmtId="0" fontId="11" fillId="0" borderId="12" xfId="0" applyFont="1" applyBorder="1" applyAlignment="1" applyProtection="1">
      <protection locked="0"/>
    </xf>
  </cellXfs>
  <cellStyles count="9">
    <cellStyle name="20% - Accent1" xfId="5" builtinId="30"/>
    <cellStyle name="Good" xfId="1" builtinId="26"/>
    <cellStyle name="Hyperlink" xfId="7" builtinId="8"/>
    <cellStyle name="Input" xfId="3" builtinId="20"/>
    <cellStyle name="Neutral" xfId="2" builtinId="28"/>
    <cellStyle name="Normal" xfId="0" builtinId="0"/>
    <cellStyle name="Normal 2" xfId="6" xr:uid="{00000000-0005-0000-0000-000006000000}"/>
    <cellStyle name="Percent" xfId="8" builtinId="5"/>
    <cellStyle name="Total" xfId="4" builtinId="25"/>
  </cellStyles>
  <dxfs count="3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C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FFBDBD"/>
      <color rgb="FFFF9999"/>
      <color rgb="FFFF7C80"/>
      <color rgb="FFFCD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9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FC-4407-8779-AD5D7BC898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FC-4407-8779-AD5D7BC898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FC-4407-8779-AD5D7BC898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00-4D9E-9340-5321184D40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D00-4D9E-9340-5321184D40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D00-4D9E-9340-5321184D40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D00-4D9E-9340-5321184D40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D00-4D9E-9340-5321184D407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D00-4D9E-9340-5321184D40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D00-4D9E-9340-5321184D40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Calculator!$J$28:$J$37</c:f>
              <c:strCache>
                <c:ptCount val="10"/>
                <c:pt idx="0">
                  <c:v>BLE</c:v>
                </c:pt>
                <c:pt idx="1">
                  <c:v>IR Receive</c:v>
                </c:pt>
                <c:pt idx="2">
                  <c:v>Sleep</c:v>
                </c:pt>
                <c:pt idx="3">
                  <c:v>Paging Request &amp; response</c:v>
                </c:pt>
                <c:pt idx="4">
                  <c:v>LF </c:v>
                </c:pt>
                <c:pt idx="5">
                  <c:v>Motion interrupt</c:v>
                </c:pt>
                <c:pt idx="6">
                  <c:v>Location Data</c:v>
                </c:pt>
                <c:pt idx="7">
                  <c:v>Battery Leakage</c:v>
                </c:pt>
                <c:pt idx="8">
                  <c:v>LBI + Temperature Check</c:v>
                </c:pt>
                <c:pt idx="9">
                  <c:v>Button Press</c:v>
                </c:pt>
              </c:strCache>
            </c:strRef>
          </c:cat>
          <c:val>
            <c:numRef>
              <c:f>Calculator!$K$28:$K$37</c:f>
              <c:numCache>
                <c:formatCode>0.00%</c:formatCode>
                <c:ptCount val="10"/>
                <c:pt idx="0">
                  <c:v>0.33763052226046641</c:v>
                </c:pt>
                <c:pt idx="1">
                  <c:v>0.36838172631491928</c:v>
                </c:pt>
                <c:pt idx="2">
                  <c:v>0.17615375048088153</c:v>
                </c:pt>
                <c:pt idx="3">
                  <c:v>4.1131739001319348E-2</c:v>
                </c:pt>
                <c:pt idx="4">
                  <c:v>2.6801038420994103E-2</c:v>
                </c:pt>
                <c:pt idx="5">
                  <c:v>1.7310001150980924E-2</c:v>
                </c:pt>
                <c:pt idx="6">
                  <c:v>1.4977872476674214E-2</c:v>
                </c:pt>
                <c:pt idx="7">
                  <c:v>1.2165331360950367E-2</c:v>
                </c:pt>
                <c:pt idx="8">
                  <c:v>4.4518224412862673E-3</c:v>
                </c:pt>
                <c:pt idx="9">
                  <c:v>9.9619609152768298E-4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FC-4407-8779-AD5D7BC8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84" Type="http://schemas.openxmlformats.org/officeDocument/2006/relationships/image" Target="../media/image85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83" Type="http://schemas.openxmlformats.org/officeDocument/2006/relationships/image" Target="../media/image84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5.png"/><Relationship Id="rId13" Type="http://schemas.openxmlformats.org/officeDocument/2006/relationships/image" Target="../media/image100.png"/><Relationship Id="rId18" Type="http://schemas.openxmlformats.org/officeDocument/2006/relationships/image" Target="../media/image105.png"/><Relationship Id="rId3" Type="http://schemas.openxmlformats.org/officeDocument/2006/relationships/image" Target="../media/image90.png"/><Relationship Id="rId21" Type="http://schemas.openxmlformats.org/officeDocument/2006/relationships/image" Target="../media/image108.png"/><Relationship Id="rId7" Type="http://schemas.openxmlformats.org/officeDocument/2006/relationships/image" Target="../media/image94.png"/><Relationship Id="rId12" Type="http://schemas.openxmlformats.org/officeDocument/2006/relationships/image" Target="../media/image99.png"/><Relationship Id="rId17" Type="http://schemas.openxmlformats.org/officeDocument/2006/relationships/image" Target="../media/image104.png"/><Relationship Id="rId2" Type="http://schemas.openxmlformats.org/officeDocument/2006/relationships/image" Target="../media/image89.png"/><Relationship Id="rId16" Type="http://schemas.openxmlformats.org/officeDocument/2006/relationships/image" Target="../media/image103.png"/><Relationship Id="rId20" Type="http://schemas.openxmlformats.org/officeDocument/2006/relationships/image" Target="../media/image107.png"/><Relationship Id="rId1" Type="http://schemas.openxmlformats.org/officeDocument/2006/relationships/image" Target="../media/image88.png"/><Relationship Id="rId6" Type="http://schemas.openxmlformats.org/officeDocument/2006/relationships/image" Target="../media/image93.png"/><Relationship Id="rId11" Type="http://schemas.openxmlformats.org/officeDocument/2006/relationships/image" Target="../media/image98.png"/><Relationship Id="rId5" Type="http://schemas.openxmlformats.org/officeDocument/2006/relationships/image" Target="../media/image92.png"/><Relationship Id="rId15" Type="http://schemas.openxmlformats.org/officeDocument/2006/relationships/image" Target="../media/image102.png"/><Relationship Id="rId10" Type="http://schemas.openxmlformats.org/officeDocument/2006/relationships/image" Target="../media/image97.png"/><Relationship Id="rId19" Type="http://schemas.openxmlformats.org/officeDocument/2006/relationships/image" Target="../media/image106.png"/><Relationship Id="rId4" Type="http://schemas.openxmlformats.org/officeDocument/2006/relationships/image" Target="../media/image91.png"/><Relationship Id="rId9" Type="http://schemas.openxmlformats.org/officeDocument/2006/relationships/image" Target="../media/image96.png"/><Relationship Id="rId14" Type="http://schemas.openxmlformats.org/officeDocument/2006/relationships/image" Target="../media/image10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image" Target="../media/image10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8.png"/><Relationship Id="rId3" Type="http://schemas.openxmlformats.org/officeDocument/2006/relationships/image" Target="../media/image113.png"/><Relationship Id="rId7" Type="http://schemas.openxmlformats.org/officeDocument/2006/relationships/image" Target="../media/image117.png"/><Relationship Id="rId2" Type="http://schemas.openxmlformats.org/officeDocument/2006/relationships/image" Target="../media/image112.png"/><Relationship Id="rId1" Type="http://schemas.openxmlformats.org/officeDocument/2006/relationships/image" Target="../media/image111.png"/><Relationship Id="rId6" Type="http://schemas.openxmlformats.org/officeDocument/2006/relationships/image" Target="../media/image116.png"/><Relationship Id="rId5" Type="http://schemas.openxmlformats.org/officeDocument/2006/relationships/image" Target="../media/image115.png"/><Relationship Id="rId4" Type="http://schemas.openxmlformats.org/officeDocument/2006/relationships/image" Target="../media/image114.png"/><Relationship Id="rId9" Type="http://schemas.openxmlformats.org/officeDocument/2006/relationships/image" Target="../media/image1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7619</xdr:rowOff>
    </xdr:from>
    <xdr:ext cx="4267200" cy="3771041"/>
    <xdr:pic>
      <xdr:nvPicPr>
        <xdr:cNvPr id="6" name="Picture 5">
          <a:extLst>
            <a:ext uri="{FF2B5EF4-FFF2-40B4-BE49-F238E27FC236}">
              <a16:creationId xmlns:a16="http://schemas.microsoft.com/office/drawing/2014/main" id="{A2D4AE00-505D-4AEC-9CFF-B0A62F05D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340994"/>
          <a:ext cx="4267200" cy="377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41</xdr:row>
      <xdr:rowOff>0</xdr:rowOff>
    </xdr:from>
    <xdr:to>
      <xdr:col>15</xdr:col>
      <xdr:colOff>416718</xdr:colOff>
      <xdr:row>74</xdr:row>
      <xdr:rowOff>120287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91A4DB6-D6D6-494A-8E4C-FCA9B4F04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1000</xdr:row>
      <xdr:rowOff>238125</xdr:rowOff>
    </xdr:from>
    <xdr:to>
      <xdr:col>7</xdr:col>
      <xdr:colOff>1086485</xdr:colOff>
      <xdr:row>1031</xdr:row>
      <xdr:rowOff>38734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C2029231-02F8-4212-8F81-09F6CAF39EC9}"/>
            </a:ext>
            <a:ext uri="{147F2762-F138-4A5C-976F-8EAC2B608ADB}">
              <a16:predDERef xmlns:a16="http://schemas.microsoft.com/office/drawing/2014/main" pred="{65CF1763-C725-9B21-5D15-4460DB73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176930"/>
          <a:ext cx="16250285" cy="9091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1043</xdr:row>
      <xdr:rowOff>9525</xdr:rowOff>
    </xdr:from>
    <xdr:to>
      <xdr:col>7</xdr:col>
      <xdr:colOff>1196975</xdr:colOff>
      <xdr:row>1080</xdr:row>
      <xdr:rowOff>231776</xdr:rowOff>
    </xdr:to>
    <xdr:pic>
      <xdr:nvPicPr>
        <xdr:cNvPr id="3" name="Picture 21">
          <a:extLst>
            <a:ext uri="{FF2B5EF4-FFF2-40B4-BE49-F238E27FC236}">
              <a16:creationId xmlns:a16="http://schemas.microsoft.com/office/drawing/2014/main" id="{7DCA626E-D783-46C3-83A6-274F72A40BC6}"/>
            </a:ext>
            <a:ext uri="{147F2762-F138-4A5C-976F-8EAC2B608ADB}">
              <a16:predDERef xmlns:a16="http://schemas.microsoft.com/office/drawing/2014/main" pred="{648B0462-6FD6-4CC4-9CD0-817A1E944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987930"/>
          <a:ext cx="16366490" cy="8973820"/>
        </a:xfrm>
        <a:prstGeom prst="rect">
          <a:avLst/>
        </a:prstGeom>
      </xdr:spPr>
    </xdr:pic>
    <xdr:clientData/>
  </xdr:twoCellAnchor>
  <xdr:twoCellAnchor editAs="oneCell">
    <xdr:from>
      <xdr:col>27</xdr:col>
      <xdr:colOff>444500</xdr:colOff>
      <xdr:row>154</xdr:row>
      <xdr:rowOff>0</xdr:rowOff>
    </xdr:from>
    <xdr:to>
      <xdr:col>51</xdr:col>
      <xdr:colOff>473216</xdr:colOff>
      <xdr:row>190</xdr:row>
      <xdr:rowOff>171550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DC1EF-C069-43AD-8489-956FF472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54590" y="31251525"/>
          <a:ext cx="14209536" cy="773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5</xdr:col>
      <xdr:colOff>952798</xdr:colOff>
      <xdr:row>1150</xdr:row>
      <xdr:rowOff>78226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360D7E-71CD-4A49-A5CD-A56B4A512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655650"/>
          <a:ext cx="13219093" cy="2802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3765</xdr:row>
      <xdr:rowOff>154782</xdr:rowOff>
    </xdr:from>
    <xdr:to>
      <xdr:col>6</xdr:col>
      <xdr:colOff>1279289</xdr:colOff>
      <xdr:row>3804</xdr:row>
      <xdr:rowOff>20936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323C6F-F5DD-4A64-BE93-EE8F73D5C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74969482"/>
          <a:ext cx="14995289" cy="7648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2466</xdr:row>
      <xdr:rowOff>47625</xdr:rowOff>
    </xdr:from>
    <xdr:to>
      <xdr:col>6</xdr:col>
      <xdr:colOff>742950</xdr:colOff>
      <xdr:row>2505</xdr:row>
      <xdr:rowOff>95252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3CAF8C4C-A77D-4DF5-B141-89FC2E9CF310}"/>
            </a:ext>
            <a:ext uri="{147F2762-F138-4A5C-976F-8EAC2B608ADB}">
              <a16:predDERef xmlns:a16="http://schemas.microsoft.com/office/drawing/2014/main" pred="{EE019983-0D1B-55F1-8EB0-6DBFA403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7226255"/>
          <a:ext cx="14458950" cy="7842885"/>
        </a:xfrm>
        <a:prstGeom prst="rect">
          <a:avLst/>
        </a:prstGeom>
      </xdr:spPr>
    </xdr:pic>
    <xdr:clientData/>
  </xdr:twoCellAnchor>
  <xdr:twoCellAnchor editAs="oneCell">
    <xdr:from>
      <xdr:col>10</xdr:col>
      <xdr:colOff>723900</xdr:colOff>
      <xdr:row>2389</xdr:row>
      <xdr:rowOff>19050</xdr:rowOff>
    </xdr:from>
    <xdr:to>
      <xdr:col>24</xdr:col>
      <xdr:colOff>0</xdr:colOff>
      <xdr:row>2425</xdr:row>
      <xdr:rowOff>135253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0A6D9E-0374-4D5C-BF9F-B75EF45080E3}"/>
            </a:ext>
            <a:ext uri="{147F2762-F138-4A5C-976F-8EAC2B608ADB}">
              <a16:predDERef xmlns:a16="http://schemas.microsoft.com/office/drawing/2014/main" pred="{8A1CD574-959D-1087-D4BF-6335E370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488150" y="331551915"/>
          <a:ext cx="13754100" cy="74333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85725</xdr:rowOff>
    </xdr:from>
    <xdr:to>
      <xdr:col>7</xdr:col>
      <xdr:colOff>610235</xdr:colOff>
      <xdr:row>52</xdr:row>
      <xdr:rowOff>92075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E0988A6-64FE-40C5-9366-55D633A98542}"/>
            </a:ext>
            <a:ext uri="{147F2762-F138-4A5C-976F-8EAC2B608ADB}">
              <a16:predDERef xmlns:a16="http://schemas.microsoft.com/office/drawing/2014/main" pred="{24E146B5-FCB2-1F1E-8B91-1CF64CD6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49755"/>
          <a:ext cx="15770225" cy="87979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6</xdr:row>
      <xdr:rowOff>180975</xdr:rowOff>
    </xdr:from>
    <xdr:to>
      <xdr:col>12</xdr:col>
      <xdr:colOff>4570730</xdr:colOff>
      <xdr:row>28</xdr:row>
      <xdr:rowOff>58420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207DD78A-978E-466B-AD54-A2CB07B35DB0}"/>
            </a:ext>
            <a:ext uri="{147F2762-F138-4A5C-976F-8EAC2B608ADB}">
              <a16:predDERef xmlns:a16="http://schemas.microsoft.com/office/drawing/2014/main" pred="{52369C99-EE99-DF0E-BF66-F4405F06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45100" y="1541145"/>
          <a:ext cx="7723505" cy="4276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171450</xdr:rowOff>
    </xdr:from>
    <xdr:to>
      <xdr:col>7</xdr:col>
      <xdr:colOff>1124585</xdr:colOff>
      <xdr:row>159</xdr:row>
      <xdr:rowOff>136525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6B7FDC23-CBAA-4F44-8C06-1A3736D9D8CF}"/>
            </a:ext>
            <a:ext uri="{147F2762-F138-4A5C-976F-8EAC2B608ADB}">
              <a16:predDERef xmlns:a16="http://schemas.microsoft.com/office/drawing/2014/main" pred="{44A6BEB7-A231-744B-A602-1E5D07CD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3408640"/>
          <a:ext cx="16276955" cy="8975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57150</xdr:rowOff>
    </xdr:from>
    <xdr:to>
      <xdr:col>7</xdr:col>
      <xdr:colOff>1122680</xdr:colOff>
      <xdr:row>554</xdr:row>
      <xdr:rowOff>117475</xdr:rowOff>
    </xdr:to>
    <xdr:pic>
      <xdr:nvPicPr>
        <xdr:cNvPr id="14" name="Picture 8">
          <a:extLst>
            <a:ext uri="{FF2B5EF4-FFF2-40B4-BE49-F238E27FC236}">
              <a16:creationId xmlns:a16="http://schemas.microsoft.com/office/drawing/2014/main" id="{1CADB4A0-CD13-452F-A63F-B5275D42A4A8}"/>
            </a:ext>
            <a:ext uri="{147F2762-F138-4A5C-976F-8EAC2B608ADB}">
              <a16:predDERef xmlns:a16="http://schemas.microsoft.com/office/drawing/2014/main" pred="{2D552DAB-191C-DC0E-F579-1E0D73B0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3761540"/>
          <a:ext cx="16303625" cy="89509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563</xdr:row>
      <xdr:rowOff>0</xdr:rowOff>
    </xdr:from>
    <xdr:to>
      <xdr:col>7</xdr:col>
      <xdr:colOff>860334</xdr:colOff>
      <xdr:row>603</xdr:row>
      <xdr:rowOff>0</xdr:rowOff>
    </xdr:to>
    <xdr:pic>
      <xdr:nvPicPr>
        <xdr:cNvPr id="15" name="Picture 9">
          <a:extLst>
            <a:ext uri="{FF2B5EF4-FFF2-40B4-BE49-F238E27FC236}">
              <a16:creationId xmlns:a16="http://schemas.microsoft.com/office/drawing/2014/main" id="{F429B8F3-F996-4C98-A18C-195B78581695}"/>
            </a:ext>
            <a:ext uri="{147F2762-F138-4A5C-976F-8EAC2B608ADB}">
              <a16:predDERef xmlns:a16="http://schemas.microsoft.com/office/drawing/2014/main" pred="{3992D1FA-C127-AF23-B88C-727908BF5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8921"/>
        <a:stretch/>
      </xdr:blipFill>
      <xdr:spPr>
        <a:xfrm>
          <a:off x="1" y="118872000"/>
          <a:ext cx="16038680" cy="83127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6</xdr:col>
      <xdr:colOff>95943</xdr:colOff>
      <xdr:row>2126</xdr:row>
      <xdr:rowOff>114299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BB4ACFAB-612F-426B-948C-5DE7399E09CF}"/>
            </a:ext>
            <a:ext uri="{147F2762-F138-4A5C-976F-8EAC2B608ADB}">
              <a16:predDERef xmlns:a16="http://schemas.microsoft.com/office/drawing/2014/main" pred="{1042CD96-1C38-435B-BA8D-78556761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70671925"/>
          <a:ext cx="13830300" cy="7515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2031</xdr:row>
      <xdr:rowOff>47625</xdr:rowOff>
    </xdr:from>
    <xdr:to>
      <xdr:col>6</xdr:col>
      <xdr:colOff>94038</xdr:colOff>
      <xdr:row>2071</xdr:row>
      <xdr:rowOff>93344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28F253A-E831-47CE-A91A-F2345B58F830}"/>
            </a:ext>
            <a:ext uri="{147F2762-F138-4A5C-976F-8EAC2B608ADB}">
              <a16:predDERef xmlns:a16="http://schemas.microsoft.com/office/drawing/2014/main" pred="{49245E83-5D61-0B10-BAA3-AD253B81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59615305"/>
          <a:ext cx="13807440" cy="7439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2146</xdr:row>
      <xdr:rowOff>9525</xdr:rowOff>
    </xdr:from>
    <xdr:to>
      <xdr:col>6</xdr:col>
      <xdr:colOff>57843</xdr:colOff>
      <xdr:row>2183</xdr:row>
      <xdr:rowOff>59056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039F24DE-85AD-41CF-B446-1D1155807FEB}"/>
            </a:ext>
            <a:ext uri="{147F2762-F138-4A5C-976F-8EAC2B608ADB}">
              <a16:predDERef xmlns:a16="http://schemas.microsoft.com/office/drawing/2014/main" pred="{BDD4F09D-6DA4-D2CC-5247-41B86AAC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82199080"/>
          <a:ext cx="13792200" cy="7444741"/>
        </a:xfrm>
        <a:prstGeom prst="rect">
          <a:avLst/>
        </a:prstGeom>
      </xdr:spPr>
    </xdr:pic>
    <xdr:clientData/>
  </xdr:twoCellAnchor>
  <xdr:twoCellAnchor editAs="oneCell">
    <xdr:from>
      <xdr:col>6</xdr:col>
      <xdr:colOff>1390650</xdr:colOff>
      <xdr:row>2148</xdr:row>
      <xdr:rowOff>171450</xdr:rowOff>
    </xdr:from>
    <xdr:to>
      <xdr:col>15</xdr:col>
      <xdr:colOff>514350</xdr:colOff>
      <xdr:row>2183</xdr:row>
      <xdr:rowOff>59056</xdr:rowOff>
    </xdr:to>
    <xdr:pic>
      <xdr:nvPicPr>
        <xdr:cNvPr id="22" name="Picture 9">
          <a:extLst>
            <a:ext uri="{FF2B5EF4-FFF2-40B4-BE49-F238E27FC236}">
              <a16:creationId xmlns:a16="http://schemas.microsoft.com/office/drawing/2014/main" id="{2A139C09-EF6D-4293-87A4-E179948D64A5}"/>
            </a:ext>
            <a:ext uri="{147F2762-F138-4A5C-976F-8EAC2B608ADB}">
              <a16:predDERef xmlns:a16="http://schemas.microsoft.com/office/drawing/2014/main" pred="{6DF7FE82-6D5A-0182-6BC5-F8ED89E5A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74340" y="282755340"/>
          <a:ext cx="12767310" cy="68903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2196</xdr:row>
      <xdr:rowOff>0</xdr:rowOff>
    </xdr:from>
    <xdr:to>
      <xdr:col>5</xdr:col>
      <xdr:colOff>1386840</xdr:colOff>
      <xdr:row>2232</xdr:row>
      <xdr:rowOff>169546</xdr:rowOff>
    </xdr:to>
    <xdr:pic>
      <xdr:nvPicPr>
        <xdr:cNvPr id="23" name="Picture 10">
          <a:extLst>
            <a:ext uri="{FF2B5EF4-FFF2-40B4-BE49-F238E27FC236}">
              <a16:creationId xmlns:a16="http://schemas.microsoft.com/office/drawing/2014/main" id="{E1B99D30-11F9-4585-A0AE-BC36E11A9998}"/>
            </a:ext>
            <a:ext uri="{147F2762-F138-4A5C-976F-8EAC2B608ADB}">
              <a16:predDERef xmlns:a16="http://schemas.microsoft.com/office/drawing/2014/main" pred="{4720EE69-B784-BB61-0220-FE251301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92303200"/>
          <a:ext cx="13658850" cy="736854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2200</xdr:row>
      <xdr:rowOff>133350</xdr:rowOff>
    </xdr:from>
    <xdr:to>
      <xdr:col>14</xdr:col>
      <xdr:colOff>781050</xdr:colOff>
      <xdr:row>2236</xdr:row>
      <xdr:rowOff>135252</xdr:rowOff>
    </xdr:to>
    <xdr:pic>
      <xdr:nvPicPr>
        <xdr:cNvPr id="24" name="Picture 12">
          <a:extLst>
            <a:ext uri="{FF2B5EF4-FFF2-40B4-BE49-F238E27FC236}">
              <a16:creationId xmlns:a16="http://schemas.microsoft.com/office/drawing/2014/main" id="{270B677D-633C-4E69-BDC1-9E28EC53B3B5}"/>
            </a:ext>
            <a:ext uri="{147F2762-F138-4A5C-976F-8EAC2B608ADB}">
              <a16:predDERef xmlns:a16="http://schemas.microsoft.com/office/drawing/2014/main" pred="{70FEE1B3-1683-461D-8FE6-45574E23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493240" y="293232840"/>
          <a:ext cx="13357860" cy="72047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24</xdr:col>
      <xdr:colOff>169545</xdr:colOff>
      <xdr:row>2338</xdr:row>
      <xdr:rowOff>97154</xdr:rowOff>
    </xdr:to>
    <xdr:pic>
      <xdr:nvPicPr>
        <xdr:cNvPr id="25" name="Picture 5">
          <a:extLst>
            <a:ext uri="{FF2B5EF4-FFF2-40B4-BE49-F238E27FC236}">
              <a16:creationId xmlns:a16="http://schemas.microsoft.com/office/drawing/2014/main" id="{7F1E37CA-C6AF-49F5-8C6B-FC63CC935E23}"/>
            </a:ext>
            <a:ext uri="{147F2762-F138-4A5C-976F-8EAC2B608ADB}">
              <a16:predDERef xmlns:a16="http://schemas.microsoft.com/office/drawing/2014/main" pred="{388EA3DD-6D81-24FE-8E8D-CB629E7C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097875" y="314667900"/>
          <a:ext cx="12323445" cy="6617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2296</xdr:row>
      <xdr:rowOff>0</xdr:rowOff>
    </xdr:from>
    <xdr:to>
      <xdr:col>6</xdr:col>
      <xdr:colOff>95943</xdr:colOff>
      <xdr:row>2332</xdr:row>
      <xdr:rowOff>135255</xdr:rowOff>
    </xdr:to>
    <xdr:pic>
      <xdr:nvPicPr>
        <xdr:cNvPr id="26" name="Picture 16">
          <a:extLst>
            <a:ext uri="{FF2B5EF4-FFF2-40B4-BE49-F238E27FC236}">
              <a16:creationId xmlns:a16="http://schemas.microsoft.com/office/drawing/2014/main" id="{48B01724-885C-4F09-8F16-3E70FE86E0BB}"/>
            </a:ext>
            <a:ext uri="{147F2762-F138-4A5C-976F-8EAC2B608ADB}">
              <a16:predDERef xmlns:a16="http://schemas.microsoft.com/office/drawing/2014/main" pred="{5A6AF934-544E-F82E-2E74-F490F75F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12553350"/>
          <a:ext cx="13830300" cy="7446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2250</xdr:row>
      <xdr:rowOff>171450</xdr:rowOff>
    </xdr:from>
    <xdr:to>
      <xdr:col>6</xdr:col>
      <xdr:colOff>134043</xdr:colOff>
      <xdr:row>2288</xdr:row>
      <xdr:rowOff>91441</xdr:rowOff>
    </xdr:to>
    <xdr:pic>
      <xdr:nvPicPr>
        <xdr:cNvPr id="27" name="Picture 18">
          <a:extLst>
            <a:ext uri="{FF2B5EF4-FFF2-40B4-BE49-F238E27FC236}">
              <a16:creationId xmlns:a16="http://schemas.microsoft.com/office/drawing/2014/main" id="{7A6A84B2-225F-4AB8-99EC-866A93B851E3}"/>
            </a:ext>
            <a:ext uri="{147F2762-F138-4A5C-976F-8EAC2B608ADB}">
              <a16:predDERef xmlns:a16="http://schemas.microsoft.com/office/drawing/2014/main" pred="{742F0640-BC64-D961-4658-272DA1380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3386490"/>
          <a:ext cx="13868400" cy="7517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613</xdr:row>
      <xdr:rowOff>21129</xdr:rowOff>
    </xdr:from>
    <xdr:to>
      <xdr:col>7</xdr:col>
      <xdr:colOff>798683</xdr:colOff>
      <xdr:row>710</xdr:row>
      <xdr:rowOff>1</xdr:rowOff>
    </xdr:to>
    <xdr:pic>
      <xdr:nvPicPr>
        <xdr:cNvPr id="28" name="Picture 8">
          <a:extLst>
            <a:ext uri="{FF2B5EF4-FFF2-40B4-BE49-F238E27FC236}">
              <a16:creationId xmlns:a16="http://schemas.microsoft.com/office/drawing/2014/main" id="{18CAC5DB-A328-4A1A-9E75-8D983D800A36}"/>
            </a:ext>
            <a:ext uri="{147F2762-F138-4A5C-976F-8EAC2B608ADB}">
              <a16:predDERef xmlns:a16="http://schemas.microsoft.com/office/drawing/2014/main" pred="{47B43F3A-F6B2-A6D7-0EC0-C3D018F85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8663"/>
        <a:stretch/>
      </xdr:blipFill>
      <xdr:spPr>
        <a:xfrm>
          <a:off x="0" y="130652174"/>
          <a:ext cx="15973220" cy="84994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453</xdr:row>
      <xdr:rowOff>123825</xdr:rowOff>
    </xdr:from>
    <xdr:to>
      <xdr:col>7</xdr:col>
      <xdr:colOff>915035</xdr:colOff>
      <xdr:row>498</xdr:row>
      <xdr:rowOff>22859</xdr:rowOff>
    </xdr:to>
    <xdr:pic>
      <xdr:nvPicPr>
        <xdr:cNvPr id="29" name="Picture 3">
          <a:extLst>
            <a:ext uri="{FF2B5EF4-FFF2-40B4-BE49-F238E27FC236}">
              <a16:creationId xmlns:a16="http://schemas.microsoft.com/office/drawing/2014/main" id="{573678AF-6E4E-4B80-8828-E21B7193D5D1}"/>
            </a:ext>
            <a:ext uri="{147F2762-F138-4A5C-976F-8EAC2B608ADB}">
              <a16:predDERef xmlns:a16="http://schemas.microsoft.com/office/drawing/2014/main" pred="{55972F1A-484C-EE28-D71D-C9FD28D9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92127705"/>
          <a:ext cx="16075025" cy="8943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114300</xdr:rowOff>
    </xdr:from>
    <xdr:to>
      <xdr:col>7</xdr:col>
      <xdr:colOff>1200785</xdr:colOff>
      <xdr:row>385</xdr:row>
      <xdr:rowOff>20319</xdr:rowOff>
    </xdr:to>
    <xdr:pic>
      <xdr:nvPicPr>
        <xdr:cNvPr id="30" name="Picture 4">
          <a:extLst>
            <a:ext uri="{FF2B5EF4-FFF2-40B4-BE49-F238E27FC236}">
              <a16:creationId xmlns:a16="http://schemas.microsoft.com/office/drawing/2014/main" id="{564DC9BA-F87E-4707-9C4E-DB4489567874}"/>
            </a:ext>
            <a:ext uri="{147F2762-F138-4A5C-976F-8EAC2B608ADB}">
              <a16:predDERef xmlns:a16="http://schemas.microsoft.com/office/drawing/2014/main" pred="{3BBF7C4B-3CCA-2F9E-E6C2-C225D81A2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68894325"/>
          <a:ext cx="16364585" cy="9103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7</xdr:col>
      <xdr:colOff>1010466</xdr:colOff>
      <xdr:row>946</xdr:row>
      <xdr:rowOff>2</xdr:rowOff>
    </xdr:to>
    <xdr:pic>
      <xdr:nvPicPr>
        <xdr:cNvPr id="31" name="Picture 17">
          <a:extLst>
            <a:ext uri="{FF2B5EF4-FFF2-40B4-BE49-F238E27FC236}">
              <a16:creationId xmlns:a16="http://schemas.microsoft.com/office/drawing/2014/main" id="{008451D2-F0FF-43BF-9AB8-37F19773F9C4}"/>
            </a:ext>
            <a:ext uri="{147F2762-F138-4A5C-976F-8EAC2B608ADB}">
              <a16:predDERef xmlns:a16="http://schemas.microsoft.com/office/drawing/2014/main" pred="{93BFFCB4-14E7-BBD8-4CBD-584127AD11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3090"/>
        <a:stretch/>
      </xdr:blipFill>
      <xdr:spPr>
        <a:xfrm>
          <a:off x="0" y="177771136"/>
          <a:ext cx="16183098" cy="8243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</xdr:row>
      <xdr:rowOff>85725</xdr:rowOff>
    </xdr:from>
    <xdr:to>
      <xdr:col>7</xdr:col>
      <xdr:colOff>1046480</xdr:colOff>
      <xdr:row>325</xdr:row>
      <xdr:rowOff>55245</xdr:rowOff>
    </xdr:to>
    <xdr:pic>
      <xdr:nvPicPr>
        <xdr:cNvPr id="32" name="Picture 16">
          <a:extLst>
            <a:ext uri="{FF2B5EF4-FFF2-40B4-BE49-F238E27FC236}">
              <a16:creationId xmlns:a16="http://schemas.microsoft.com/office/drawing/2014/main" id="{4C5EE0BB-90FA-4247-8939-0D6B124ECDE2}"/>
            </a:ext>
            <a:ext uri="{147F2762-F138-4A5C-976F-8EAC2B608ADB}">
              <a16:predDERef xmlns:a16="http://schemas.microsoft.com/office/drawing/2014/main" pred="{237B248C-D635-E273-D9C4-BDBE2561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56589930"/>
          <a:ext cx="16227425" cy="90354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400</xdr:row>
      <xdr:rowOff>57150</xdr:rowOff>
    </xdr:from>
    <xdr:to>
      <xdr:col>7</xdr:col>
      <xdr:colOff>1048385</xdr:colOff>
      <xdr:row>445</xdr:row>
      <xdr:rowOff>76200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CECFD90E-8C56-433D-A33C-5CB48387F676}"/>
            </a:ext>
            <a:ext uri="{147F2762-F138-4A5C-976F-8EAC2B608ADB}">
              <a16:predDERef xmlns:a16="http://schemas.microsoft.com/office/drawing/2014/main" pred="{6BFD7D22-2FA5-75E1-75F6-752076EC2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81273015"/>
          <a:ext cx="16212185" cy="9023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19050</xdr:rowOff>
    </xdr:from>
    <xdr:to>
      <xdr:col>7</xdr:col>
      <xdr:colOff>1196975</xdr:colOff>
      <xdr:row>102</xdr:row>
      <xdr:rowOff>149225</xdr:rowOff>
    </xdr:to>
    <xdr:pic>
      <xdr:nvPicPr>
        <xdr:cNvPr id="34" name="Picture 12">
          <a:extLst>
            <a:ext uri="{FF2B5EF4-FFF2-40B4-BE49-F238E27FC236}">
              <a16:creationId xmlns:a16="http://schemas.microsoft.com/office/drawing/2014/main" id="{5E3300EB-B492-4413-992F-1D39FD44C75E}"/>
            </a:ext>
            <a:ext uri="{147F2762-F138-4A5C-976F-8EAC2B608ADB}">
              <a16:predDERef xmlns:a16="http://schemas.microsoft.com/office/drawing/2014/main" pred="{D3C89C9B-D150-DECE-8E94-C6A32960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1692890"/>
          <a:ext cx="16366490" cy="9154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766</xdr:row>
      <xdr:rowOff>167639</xdr:rowOff>
    </xdr:from>
    <xdr:to>
      <xdr:col>7</xdr:col>
      <xdr:colOff>1160286</xdr:colOff>
      <xdr:row>804</xdr:row>
      <xdr:rowOff>22857</xdr:rowOff>
    </xdr:to>
    <xdr:pic>
      <xdr:nvPicPr>
        <xdr:cNvPr id="35" name="Picture 27">
          <a:extLst>
            <a:ext uri="{FF2B5EF4-FFF2-40B4-BE49-F238E27FC236}">
              <a16:creationId xmlns:a16="http://schemas.microsoft.com/office/drawing/2014/main" id="{CA1B062D-86EF-49AF-89B3-8E7AC6F5DE2A}"/>
            </a:ext>
            <a:ext uri="{147F2762-F138-4A5C-976F-8EAC2B608ADB}">
              <a16:predDERef xmlns:a16="http://schemas.microsoft.com/office/drawing/2014/main" pred="{553D68E3-8C58-295F-5C24-D042D0C27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41224230"/>
          <a:ext cx="16348158" cy="90456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767</xdr:row>
      <xdr:rowOff>3810</xdr:rowOff>
    </xdr:from>
    <xdr:to>
      <xdr:col>25</xdr:col>
      <xdr:colOff>320249</xdr:colOff>
      <xdr:row>804</xdr:row>
      <xdr:rowOff>3809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F2DDEF-4D10-46BC-8A43-1B42B93E48B2}"/>
            </a:ext>
            <a:ext uri="{147F2762-F138-4A5C-976F-8EAC2B608ADB}">
              <a16:predDERef xmlns:a16="http://schemas.microsoft.com/office/drawing/2014/main" pred="{12A9CC75-5EB0-D158-44B1-1EA29542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196955" y="141302855"/>
          <a:ext cx="16972719" cy="8967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2386</xdr:row>
      <xdr:rowOff>38100</xdr:rowOff>
    </xdr:from>
    <xdr:to>
      <xdr:col>6</xdr:col>
      <xdr:colOff>440748</xdr:colOff>
      <xdr:row>2424</xdr:row>
      <xdr:rowOff>131446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C5E7DE2-4BF3-4166-9E42-B7DE38E8054D}"/>
            </a:ext>
            <a:ext uri="{147F2762-F138-4A5C-976F-8EAC2B608ADB}">
              <a16:predDERef xmlns:a16="http://schemas.microsoft.com/office/drawing/2014/main" pred="{4FE40EDD-D119-7752-FA86-6F3AC9195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330974700"/>
          <a:ext cx="14173200" cy="78181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2518</xdr:row>
      <xdr:rowOff>114300</xdr:rowOff>
    </xdr:from>
    <xdr:to>
      <xdr:col>6</xdr:col>
      <xdr:colOff>821055</xdr:colOff>
      <xdr:row>2557</xdr:row>
      <xdr:rowOff>118108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8796474-420E-4F1A-8D7C-C4E21750D87B}"/>
            </a:ext>
            <a:ext uri="{147F2762-F138-4A5C-976F-8EAC2B608ADB}">
              <a16:predDERef xmlns:a16="http://schemas.microsoft.com/office/drawing/2014/main" pred="{EBDB57BF-3A01-E129-0A59-D3DC2527C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357711375"/>
          <a:ext cx="14542770" cy="7991475"/>
        </a:xfrm>
        <a:prstGeom prst="rect">
          <a:avLst/>
        </a:prstGeom>
      </xdr:spPr>
    </xdr:pic>
    <xdr:clientData/>
  </xdr:twoCellAnchor>
  <xdr:twoCellAnchor editAs="oneCell">
    <xdr:from>
      <xdr:col>6</xdr:col>
      <xdr:colOff>1028700</xdr:colOff>
      <xdr:row>2527</xdr:row>
      <xdr:rowOff>57150</xdr:rowOff>
    </xdr:from>
    <xdr:to>
      <xdr:col>14</xdr:col>
      <xdr:colOff>133350</xdr:colOff>
      <xdr:row>2558</xdr:row>
      <xdr:rowOff>169547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2CDB5FD-39B6-4B81-BF16-699BDE1D220F}"/>
            </a:ext>
            <a:ext uri="{147F2762-F138-4A5C-976F-8EAC2B608ADB}">
              <a16:predDERef xmlns:a16="http://schemas.microsoft.com/office/drawing/2014/main" pred="{05EA161F-6C0D-F70B-3450-3A695947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316200" y="359450640"/>
          <a:ext cx="11883390" cy="6517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2556</xdr:row>
      <xdr:rowOff>76200</xdr:rowOff>
    </xdr:from>
    <xdr:to>
      <xdr:col>6</xdr:col>
      <xdr:colOff>170238</xdr:colOff>
      <xdr:row>2594</xdr:row>
      <xdr:rowOff>167640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EFFCEC7-D12F-4A0C-B0B5-74FE01A5E6DC}"/>
            </a:ext>
            <a:ext uri="{147F2762-F138-4A5C-976F-8EAC2B608ADB}">
              <a16:predDERef xmlns:a16="http://schemas.microsoft.com/office/drawing/2014/main" pred="{131E1111-B403-F587-3996-FCEF6F8A3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365464725"/>
          <a:ext cx="13883640" cy="768858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2429</xdr:row>
      <xdr:rowOff>66675</xdr:rowOff>
    </xdr:from>
    <xdr:to>
      <xdr:col>1</xdr:col>
      <xdr:colOff>245745</xdr:colOff>
      <xdr:row>2454</xdr:row>
      <xdr:rowOff>93347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4EB363A-0C0B-4811-8507-F683B96CC530}"/>
            </a:ext>
            <a:ext uri="{147F2762-F138-4A5C-976F-8EAC2B608ADB}">
              <a16:predDERef xmlns:a16="http://schemas.microsoft.com/office/drawing/2014/main" pred="{D8CF1088-1D75-65F5-8B20-FD519C5D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240" y="339735795"/>
          <a:ext cx="9184005" cy="50387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2920</xdr:row>
      <xdr:rowOff>133350</xdr:rowOff>
    </xdr:from>
    <xdr:to>
      <xdr:col>6</xdr:col>
      <xdr:colOff>895350</xdr:colOff>
      <xdr:row>2960</xdr:row>
      <xdr:rowOff>173355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C8AC56C-0249-4B4D-A48A-1FF9618A27EA}"/>
            </a:ext>
            <a:ext uri="{147F2762-F138-4A5C-976F-8EAC2B608ADB}">
              <a16:predDERef xmlns:a16="http://schemas.microsoft.com/office/drawing/2014/main" pred="{04E288A7-C31D-3A0B-5C1B-F1689117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405599265"/>
          <a:ext cx="14603730" cy="8050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2872</xdr:row>
      <xdr:rowOff>0</xdr:rowOff>
    </xdr:from>
    <xdr:to>
      <xdr:col>7</xdr:col>
      <xdr:colOff>59748</xdr:colOff>
      <xdr:row>2913</xdr:row>
      <xdr:rowOff>169546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4C82B8F-435B-44D9-A03C-515ACBD5F54B}"/>
            </a:ext>
            <a:ext uri="{147F2762-F138-4A5C-976F-8EAC2B608ADB}">
              <a16:predDERef xmlns:a16="http://schemas.microsoft.com/office/drawing/2014/main" pred="{8D98E517-D298-F10C-CCB7-DDCFC230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95849475"/>
          <a:ext cx="15213330" cy="8353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2776</xdr:row>
      <xdr:rowOff>66675</xdr:rowOff>
    </xdr:from>
    <xdr:to>
      <xdr:col>5</xdr:col>
      <xdr:colOff>1348740</xdr:colOff>
      <xdr:row>2813</xdr:row>
      <xdr:rowOff>169545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E95EE1B-BF7A-469B-8440-C957EF24B263}"/>
            </a:ext>
            <a:ext uri="{147F2762-F138-4A5C-976F-8EAC2B608ADB}">
              <a16:predDERef xmlns:a16="http://schemas.microsoft.com/office/drawing/2014/main" pred="{2B797E0C-E738-7E66-D229-D49DE795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376673745"/>
          <a:ext cx="13613130" cy="74885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4207</xdr:row>
      <xdr:rowOff>0</xdr:rowOff>
    </xdr:from>
    <xdr:to>
      <xdr:col>6</xdr:col>
      <xdr:colOff>567690</xdr:colOff>
      <xdr:row>4245</xdr:row>
      <xdr:rowOff>173357</xdr:rowOff>
    </xdr:to>
    <xdr:pic>
      <xdr:nvPicPr>
        <xdr:cNvPr id="45" name="Picture 30">
          <a:extLst>
            <a:ext uri="{FF2B5EF4-FFF2-40B4-BE49-F238E27FC236}">
              <a16:creationId xmlns:a16="http://schemas.microsoft.com/office/drawing/2014/main" id="{185FBA92-B411-42B9-93A4-3E98E7E07A9E}"/>
            </a:ext>
            <a:ext uri="{147F2762-F138-4A5C-976F-8EAC2B608ADB}">
              <a16:predDERef xmlns:a16="http://schemas.microsoft.com/office/drawing/2014/main" pred="{DD3C4555-DDA4-DD93-04AF-3C0E179FD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663397200"/>
          <a:ext cx="14287500" cy="7760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4157</xdr:row>
      <xdr:rowOff>180975</xdr:rowOff>
    </xdr:from>
    <xdr:to>
      <xdr:col>6</xdr:col>
      <xdr:colOff>567690</xdr:colOff>
      <xdr:row>4196</xdr:row>
      <xdr:rowOff>129541</xdr:rowOff>
    </xdr:to>
    <xdr:pic>
      <xdr:nvPicPr>
        <xdr:cNvPr id="46" name="Picture 31">
          <a:extLst>
            <a:ext uri="{FF2B5EF4-FFF2-40B4-BE49-F238E27FC236}">
              <a16:creationId xmlns:a16="http://schemas.microsoft.com/office/drawing/2014/main" id="{1634EC9E-130B-434A-B308-BF847026B905}"/>
            </a:ext>
            <a:ext uri="{147F2762-F138-4A5C-976F-8EAC2B608ADB}">
              <a16:predDERef xmlns:a16="http://schemas.microsoft.com/office/drawing/2014/main" pred="{C944F105-C5F7-A187-D13F-104C1437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653555970"/>
          <a:ext cx="14287500" cy="7734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1153</xdr:row>
      <xdr:rowOff>104775</xdr:rowOff>
    </xdr:from>
    <xdr:to>
      <xdr:col>1</xdr:col>
      <xdr:colOff>0</xdr:colOff>
      <xdr:row>1171</xdr:row>
      <xdr:rowOff>135255</xdr:rowOff>
    </xdr:to>
    <xdr:pic>
      <xdr:nvPicPr>
        <xdr:cNvPr id="47" name="Picture 32">
          <a:extLst>
            <a:ext uri="{FF2B5EF4-FFF2-40B4-BE49-F238E27FC236}">
              <a16:creationId xmlns:a16="http://schemas.microsoft.com/office/drawing/2014/main" id="{BADCDBDB-9722-451E-BD21-E8BBDF4BD12B}"/>
            </a:ext>
            <a:ext uri="{147F2762-F138-4A5C-976F-8EAC2B608ADB}">
              <a16:predDERef xmlns:a16="http://schemas.microsoft.com/office/drawing/2014/main" pred="{7620156C-D66B-8923-EDE5-7CAB5D3F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20397070"/>
          <a:ext cx="8943975" cy="4493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5</xdr:col>
      <xdr:colOff>1373505</xdr:colOff>
      <xdr:row>1298</xdr:row>
      <xdr:rowOff>190499</xdr:rowOff>
    </xdr:to>
    <xdr:pic>
      <xdr:nvPicPr>
        <xdr:cNvPr id="48" name="Picture 33">
          <a:extLst>
            <a:ext uri="{FF2B5EF4-FFF2-40B4-BE49-F238E27FC236}">
              <a16:creationId xmlns:a16="http://schemas.microsoft.com/office/drawing/2014/main" id="{FA810E80-A9EC-4E39-9273-FAE03D82F8BF}"/>
            </a:ext>
            <a:ext uri="{147F2762-F138-4A5C-976F-8EAC2B608ADB}">
              <a16:predDERef xmlns:a16="http://schemas.microsoft.com/office/drawing/2014/main" pred="{FBBEF7A1-8EF0-A762-B413-5DE94A88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249135900"/>
          <a:ext cx="13639800" cy="6979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1222</xdr:row>
      <xdr:rowOff>95250</xdr:rowOff>
    </xdr:from>
    <xdr:to>
      <xdr:col>6</xdr:col>
      <xdr:colOff>57843</xdr:colOff>
      <xdr:row>1252</xdr:row>
      <xdr:rowOff>19051</xdr:rowOff>
    </xdr:to>
    <xdr:pic>
      <xdr:nvPicPr>
        <xdr:cNvPr id="49" name="Picture 34">
          <a:extLst>
            <a:ext uri="{FF2B5EF4-FFF2-40B4-BE49-F238E27FC236}">
              <a16:creationId xmlns:a16="http://schemas.microsoft.com/office/drawing/2014/main" id="{56351500-0CCA-40CD-9315-9588820E3AD3}"/>
            </a:ext>
            <a:ext uri="{147F2762-F138-4A5C-976F-8EAC2B608ADB}">
              <a16:predDERef xmlns:a16="http://schemas.microsoft.com/office/drawing/2014/main" pred="{6CC5A4C3-5CC5-525D-EBE1-F7E05FE0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37730665"/>
          <a:ext cx="13780770" cy="701611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1109</xdr:row>
      <xdr:rowOff>180975</xdr:rowOff>
    </xdr:from>
    <xdr:to>
      <xdr:col>13</xdr:col>
      <xdr:colOff>401955</xdr:colOff>
      <xdr:row>1133</xdr:row>
      <xdr:rowOff>20953</xdr:rowOff>
    </xdr:to>
    <xdr:pic>
      <xdr:nvPicPr>
        <xdr:cNvPr id="50" name="Picture 35">
          <a:extLst>
            <a:ext uri="{FF2B5EF4-FFF2-40B4-BE49-F238E27FC236}">
              <a16:creationId xmlns:a16="http://schemas.microsoft.com/office/drawing/2014/main" id="{2EF4E8EE-1096-4E4F-848D-E8861592A3C3}"/>
            </a:ext>
            <a:ext uri="{147F2762-F138-4A5C-976F-8EAC2B608ADB}">
              <a16:predDERef xmlns:a16="http://schemas.microsoft.com/office/drawing/2014/main" pred="{58656FAF-C725-4A8F-DB2B-3E20E5C3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049500" y="209405220"/>
          <a:ext cx="11369040" cy="578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1105</xdr:row>
      <xdr:rowOff>114300</xdr:rowOff>
    </xdr:from>
    <xdr:to>
      <xdr:col>6</xdr:col>
      <xdr:colOff>132138</xdr:colOff>
      <xdr:row>1133</xdr:row>
      <xdr:rowOff>211454</xdr:rowOff>
    </xdr:to>
    <xdr:pic>
      <xdr:nvPicPr>
        <xdr:cNvPr id="51" name="Picture 37">
          <a:extLst>
            <a:ext uri="{FF2B5EF4-FFF2-40B4-BE49-F238E27FC236}">
              <a16:creationId xmlns:a16="http://schemas.microsoft.com/office/drawing/2014/main" id="{47570432-3D80-44A0-B45A-D2030218E785}"/>
            </a:ext>
            <a:ext uri="{147F2762-F138-4A5C-976F-8EAC2B608ADB}">
              <a16:predDERef xmlns:a16="http://schemas.microsoft.com/office/drawing/2014/main" pred="{B24F879F-BF62-DD6E-50B2-A1FDB9A5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08349850"/>
          <a:ext cx="13841730" cy="7035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1178</xdr:row>
      <xdr:rowOff>9525</xdr:rowOff>
    </xdr:from>
    <xdr:to>
      <xdr:col>5</xdr:col>
      <xdr:colOff>94037</xdr:colOff>
      <xdr:row>1205</xdr:row>
      <xdr:rowOff>114299</xdr:rowOff>
    </xdr:to>
    <xdr:pic>
      <xdr:nvPicPr>
        <xdr:cNvPr id="52" name="Picture 38">
          <a:extLst>
            <a:ext uri="{FF2B5EF4-FFF2-40B4-BE49-F238E27FC236}">
              <a16:creationId xmlns:a16="http://schemas.microsoft.com/office/drawing/2014/main" id="{4E675FD3-3201-49B5-9F94-69E0946B4703}"/>
            </a:ext>
            <a:ext uri="{147F2762-F138-4A5C-976F-8EAC2B608ADB}">
              <a16:predDERef xmlns:a16="http://schemas.microsoft.com/office/drawing/2014/main" pred="{82137F20-24D1-B0BF-EC09-67E1172E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26687380"/>
          <a:ext cx="12382500" cy="6713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2825</xdr:row>
      <xdr:rowOff>38100</xdr:rowOff>
    </xdr:from>
    <xdr:to>
      <xdr:col>5</xdr:col>
      <xdr:colOff>473132</xdr:colOff>
      <xdr:row>2859</xdr:row>
      <xdr:rowOff>173354</xdr:rowOff>
    </xdr:to>
    <xdr:pic>
      <xdr:nvPicPr>
        <xdr:cNvPr id="53" name="Picture 30">
          <a:extLst>
            <a:ext uri="{FF2B5EF4-FFF2-40B4-BE49-F238E27FC236}">
              <a16:creationId xmlns:a16="http://schemas.microsoft.com/office/drawing/2014/main" id="{7350A9CB-9EF9-4D97-AA45-B0F68A4148E9}"/>
            </a:ext>
            <a:ext uri="{147F2762-F138-4A5C-976F-8EAC2B608ADB}">
              <a16:predDERef xmlns:a16="http://schemas.microsoft.com/office/drawing/2014/main" pred="{392A164B-1F48-E0AC-95E4-1C9D6ED1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386467350"/>
          <a:ext cx="12736830" cy="6926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3020</xdr:row>
      <xdr:rowOff>0</xdr:rowOff>
    </xdr:from>
    <xdr:to>
      <xdr:col>6</xdr:col>
      <xdr:colOff>324543</xdr:colOff>
      <xdr:row>3058</xdr:row>
      <xdr:rowOff>20956</xdr:rowOff>
    </xdr:to>
    <xdr:pic>
      <xdr:nvPicPr>
        <xdr:cNvPr id="54" name="Picture 32">
          <a:extLst>
            <a:ext uri="{FF2B5EF4-FFF2-40B4-BE49-F238E27FC236}">
              <a16:creationId xmlns:a16="http://schemas.microsoft.com/office/drawing/2014/main" id="{7EAE34B7-31C6-492A-AACA-AE72F74FF718}"/>
            </a:ext>
            <a:ext uri="{147F2762-F138-4A5C-976F-8EAC2B608ADB}">
              <a16:predDERef xmlns:a16="http://schemas.microsoft.com/office/drawing/2014/main" pred="{E4192EC7-0E2E-E1A2-107F-6D08C9B5B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425510325"/>
          <a:ext cx="14036040" cy="76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2976</xdr:row>
      <xdr:rowOff>19050</xdr:rowOff>
    </xdr:from>
    <xdr:to>
      <xdr:col>5</xdr:col>
      <xdr:colOff>320732</xdr:colOff>
      <xdr:row>3010</xdr:row>
      <xdr:rowOff>59054</xdr:rowOff>
    </xdr:to>
    <xdr:pic>
      <xdr:nvPicPr>
        <xdr:cNvPr id="55" name="Picture 33">
          <a:extLst>
            <a:ext uri="{FF2B5EF4-FFF2-40B4-BE49-F238E27FC236}">
              <a16:creationId xmlns:a16="http://schemas.microsoft.com/office/drawing/2014/main" id="{D830CDF6-29DC-4FC6-8EE0-510F760ABFB2}"/>
            </a:ext>
            <a:ext uri="{147F2762-F138-4A5C-976F-8EAC2B608ADB}">
              <a16:predDERef xmlns:a16="http://schemas.microsoft.com/office/drawing/2014/main" pred="{EDA6DA79-97A9-F758-AF4F-A343FA0B6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416705415"/>
          <a:ext cx="12584430" cy="6848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3068</xdr:row>
      <xdr:rowOff>180975</xdr:rowOff>
    </xdr:from>
    <xdr:to>
      <xdr:col>6</xdr:col>
      <xdr:colOff>666750</xdr:colOff>
      <xdr:row>3108</xdr:row>
      <xdr:rowOff>55242</xdr:rowOff>
    </xdr:to>
    <xdr:pic>
      <xdr:nvPicPr>
        <xdr:cNvPr id="56" name="Picture 35">
          <a:extLst>
            <a:ext uri="{FF2B5EF4-FFF2-40B4-BE49-F238E27FC236}">
              <a16:creationId xmlns:a16="http://schemas.microsoft.com/office/drawing/2014/main" id="{2C0720D0-E9D1-4ABB-A327-AB020FC676ED}"/>
            </a:ext>
            <a:ext uri="{147F2762-F138-4A5C-976F-8EAC2B608ADB}">
              <a16:predDERef xmlns:a16="http://schemas.microsoft.com/office/drawing/2014/main" pred="{4B3CE701-137A-DF34-1C62-3AC84162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435309645"/>
          <a:ext cx="14375130" cy="7860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3120</xdr:row>
      <xdr:rowOff>76200</xdr:rowOff>
    </xdr:from>
    <xdr:to>
      <xdr:col>5</xdr:col>
      <xdr:colOff>954405</xdr:colOff>
      <xdr:row>3156</xdr:row>
      <xdr:rowOff>97157</xdr:rowOff>
    </xdr:to>
    <xdr:pic>
      <xdr:nvPicPr>
        <xdr:cNvPr id="57" name="Picture 37">
          <a:extLst>
            <a:ext uri="{FF2B5EF4-FFF2-40B4-BE49-F238E27FC236}">
              <a16:creationId xmlns:a16="http://schemas.microsoft.com/office/drawing/2014/main" id="{270327CE-7F91-4AA4-AECF-AF6D736EDBC2}"/>
            </a:ext>
            <a:ext uri="{147F2762-F138-4A5C-976F-8EAC2B608ADB}">
              <a16:predDERef xmlns:a16="http://schemas.microsoft.com/office/drawing/2014/main" pred="{5B9DCB3D-8484-89C6-DECB-59CA14F1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445627125"/>
          <a:ext cx="13220700" cy="7202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3220</xdr:row>
      <xdr:rowOff>0</xdr:rowOff>
    </xdr:from>
    <xdr:to>
      <xdr:col>5</xdr:col>
      <xdr:colOff>208337</xdr:colOff>
      <xdr:row>3253</xdr:row>
      <xdr:rowOff>167640</xdr:rowOff>
    </xdr:to>
    <xdr:pic>
      <xdr:nvPicPr>
        <xdr:cNvPr id="58" name="Picture 38">
          <a:extLst>
            <a:ext uri="{FF2B5EF4-FFF2-40B4-BE49-F238E27FC236}">
              <a16:creationId xmlns:a16="http://schemas.microsoft.com/office/drawing/2014/main" id="{318A35C2-43B0-40DB-B2F1-7C074C5D103B}"/>
            </a:ext>
            <a:ext uri="{147F2762-F138-4A5C-976F-8EAC2B608ADB}">
              <a16:predDERef xmlns:a16="http://schemas.microsoft.com/office/drawing/2014/main" pred="{8B5B8B1B-7AE2-CE05-95EC-6182030F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465591525"/>
          <a:ext cx="12485370" cy="67875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3169</xdr:row>
      <xdr:rowOff>9525</xdr:rowOff>
    </xdr:from>
    <xdr:to>
      <xdr:col>6</xdr:col>
      <xdr:colOff>400743</xdr:colOff>
      <xdr:row>3207</xdr:row>
      <xdr:rowOff>97154</xdr:rowOff>
    </xdr:to>
    <xdr:pic>
      <xdr:nvPicPr>
        <xdr:cNvPr id="59" name="Picture 39">
          <a:extLst>
            <a:ext uri="{FF2B5EF4-FFF2-40B4-BE49-F238E27FC236}">
              <a16:creationId xmlns:a16="http://schemas.microsoft.com/office/drawing/2014/main" id="{CAB74A0D-1345-4769-B37C-D3C67E052738}"/>
            </a:ext>
            <a:ext uri="{147F2762-F138-4A5C-976F-8EAC2B608ADB}">
              <a16:predDERef xmlns:a16="http://schemas.microsoft.com/office/drawing/2014/main" pred="{CB61F9E1-29BA-2408-969D-FAC630F03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455382630"/>
          <a:ext cx="14112240" cy="7684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3268</xdr:row>
      <xdr:rowOff>142875</xdr:rowOff>
    </xdr:from>
    <xdr:to>
      <xdr:col>6</xdr:col>
      <xdr:colOff>248343</xdr:colOff>
      <xdr:row>3307</xdr:row>
      <xdr:rowOff>59056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F19DAAD-BB23-430C-A9CB-8C6781EB4976}"/>
            </a:ext>
            <a:ext uri="{147F2762-F138-4A5C-976F-8EAC2B608ADB}">
              <a16:predDERef xmlns:a16="http://schemas.microsoft.com/office/drawing/2014/main" pred="{A81A84FB-C229-2D26-C65F-F510E098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475352745"/>
          <a:ext cx="13959840" cy="7709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3319</xdr:row>
      <xdr:rowOff>0</xdr:rowOff>
    </xdr:from>
    <xdr:to>
      <xdr:col>6</xdr:col>
      <xdr:colOff>590550</xdr:colOff>
      <xdr:row>3358</xdr:row>
      <xdr:rowOff>93343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5C3D70C-C4AB-46E0-A4A8-5EF01966D96A}"/>
            </a:ext>
            <a:ext uri="{147F2762-F138-4A5C-976F-8EAC2B608ADB}">
              <a16:predDERef xmlns:a16="http://schemas.microsoft.com/office/drawing/2014/main" pred="{579916EE-3272-FDC3-EF97-7F5A5BB2B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485432100"/>
          <a:ext cx="14298930" cy="787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3419</xdr:row>
      <xdr:rowOff>0</xdr:rowOff>
    </xdr:from>
    <xdr:to>
      <xdr:col>6</xdr:col>
      <xdr:colOff>170238</xdr:colOff>
      <xdr:row>3457</xdr:row>
      <xdr:rowOff>55246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9E200EF-71FC-4C56-A071-E4F17E4DCE90}"/>
            </a:ext>
            <a:ext uri="{147F2762-F138-4A5C-976F-8EAC2B608ADB}">
              <a16:predDERef xmlns:a16="http://schemas.microsoft.com/office/drawing/2014/main" pred="{F00EF591-3C61-D02C-EF8A-4419E269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505472700"/>
          <a:ext cx="13879830" cy="7639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3369</xdr:row>
      <xdr:rowOff>28575</xdr:rowOff>
    </xdr:from>
    <xdr:to>
      <xdr:col>6</xdr:col>
      <xdr:colOff>910590</xdr:colOff>
      <xdr:row>3409</xdr:row>
      <xdr:rowOff>60959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14B28CE-3648-4263-AF6C-861E7DF9A9A9}"/>
            </a:ext>
            <a:ext uri="{147F2762-F138-4A5C-976F-8EAC2B608ADB}">
              <a16:predDERef xmlns:a16="http://schemas.microsoft.com/office/drawing/2014/main" pred="{9912FCA8-4EEC-965F-267D-9B32AFC3C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495479070"/>
          <a:ext cx="14630400" cy="80276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3469</xdr:row>
      <xdr:rowOff>76200</xdr:rowOff>
    </xdr:from>
    <xdr:to>
      <xdr:col>6</xdr:col>
      <xdr:colOff>208338</xdr:colOff>
      <xdr:row>3507</xdr:row>
      <xdr:rowOff>169544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28CAFDE-150E-442D-B351-22E1B6A309CC}"/>
            </a:ext>
            <a:ext uri="{147F2762-F138-4A5C-976F-8EAC2B608ADB}">
              <a16:predDERef xmlns:a16="http://schemas.microsoft.com/office/drawing/2014/main" pred="{31C60A4A-87AF-117D-197C-225B6F605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515569200"/>
          <a:ext cx="13917930" cy="767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3520</xdr:row>
      <xdr:rowOff>123825</xdr:rowOff>
    </xdr:from>
    <xdr:to>
      <xdr:col>6</xdr:col>
      <xdr:colOff>94038</xdr:colOff>
      <xdr:row>3558</xdr:row>
      <xdr:rowOff>135255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7120384-4163-4E6F-BBE1-B8B4AC936CD5}"/>
            </a:ext>
            <a:ext uri="{147F2762-F138-4A5C-976F-8EAC2B608ADB}">
              <a16:predDERef xmlns:a16="http://schemas.microsoft.com/office/drawing/2014/main" pred="{B71FB445-BA9A-6842-ACFE-B65DF15F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525839055"/>
          <a:ext cx="13807440" cy="761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3571</xdr:row>
      <xdr:rowOff>38100</xdr:rowOff>
    </xdr:from>
    <xdr:to>
      <xdr:col>6</xdr:col>
      <xdr:colOff>57843</xdr:colOff>
      <xdr:row>3609</xdr:row>
      <xdr:rowOff>17146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E13DF36-7064-439B-8C61-2A310C7C403C}"/>
            </a:ext>
            <a:ext uri="{147F2762-F138-4A5C-976F-8EAC2B608ADB}">
              <a16:predDERef xmlns:a16="http://schemas.microsoft.com/office/drawing/2014/main" pred="{CCDA59D1-63EA-60E7-7876-DDE7994CC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" y="535971750"/>
          <a:ext cx="13765530" cy="756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3621</xdr:row>
      <xdr:rowOff>85725</xdr:rowOff>
    </xdr:from>
    <xdr:to>
      <xdr:col>5</xdr:col>
      <xdr:colOff>1106805</xdr:colOff>
      <xdr:row>3658</xdr:row>
      <xdr:rowOff>15240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941B7EA-8AAC-4D75-982B-6ADA394F025B}"/>
            </a:ext>
            <a:ext uri="{147F2762-F138-4A5C-976F-8EAC2B608ADB}">
              <a16:predDERef xmlns:a16="http://schemas.microsoft.com/office/drawing/2014/main" pred="{7532E147-28B3-4055-E435-A09472B74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546041580"/>
          <a:ext cx="13373100" cy="7339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3669</xdr:row>
      <xdr:rowOff>0</xdr:rowOff>
    </xdr:from>
    <xdr:to>
      <xdr:col>6</xdr:col>
      <xdr:colOff>739140</xdr:colOff>
      <xdr:row>3708</xdr:row>
      <xdr:rowOff>173354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328945AD-3FD9-4F4A-B03E-1C729C161343}"/>
            </a:ext>
            <a:ext uri="{147F2762-F138-4A5C-976F-8EAC2B608ADB}">
              <a16:predDERef xmlns:a16="http://schemas.microsoft.com/office/drawing/2014/main" pred="{D55F1C82-097C-42CC-C6FD-3F9198C33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555574200"/>
          <a:ext cx="14455140" cy="7964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3717</xdr:row>
      <xdr:rowOff>0</xdr:rowOff>
    </xdr:from>
    <xdr:to>
      <xdr:col>6</xdr:col>
      <xdr:colOff>821055</xdr:colOff>
      <xdr:row>3757</xdr:row>
      <xdr:rowOff>15240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2F7BBFB-0F63-4176-A714-CCCA468C4400}"/>
            </a:ext>
            <a:ext uri="{147F2762-F138-4A5C-976F-8EAC2B608ADB}">
              <a16:predDERef xmlns:a16="http://schemas.microsoft.com/office/drawing/2014/main" pred="{23688497-7E3F-F160-6F52-151045450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565194450"/>
          <a:ext cx="14542770" cy="8012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3816</xdr:row>
      <xdr:rowOff>28575</xdr:rowOff>
    </xdr:from>
    <xdr:to>
      <xdr:col>6</xdr:col>
      <xdr:colOff>134043</xdr:colOff>
      <xdr:row>3854</xdr:row>
      <xdr:rowOff>93345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9C3B9E6-A9BB-49BD-A98B-3E5CC9D461AB}"/>
            </a:ext>
            <a:ext uri="{147F2762-F138-4A5C-976F-8EAC2B608ADB}">
              <a16:predDERef xmlns:a16="http://schemas.microsoft.com/office/drawing/2014/main" pred="{23ABF1ED-5CD2-702E-7B7E-3D9F93D6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585061695"/>
          <a:ext cx="13856970" cy="7650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3915</xdr:row>
      <xdr:rowOff>47625</xdr:rowOff>
    </xdr:from>
    <xdr:to>
      <xdr:col>5</xdr:col>
      <xdr:colOff>969645</xdr:colOff>
      <xdr:row>3951</xdr:row>
      <xdr:rowOff>175258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1138622-AACB-49F8-9BA0-BF6CF0B43D63}"/>
            </a:ext>
            <a:ext uri="{147F2762-F138-4A5C-976F-8EAC2B608ADB}">
              <a16:predDERef xmlns:a16="http://schemas.microsoft.com/office/drawing/2014/main" pred="{E1A19FCE-4E0E-2DCD-9EAB-85AB4655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604925130"/>
          <a:ext cx="13247370" cy="7319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3963</xdr:row>
      <xdr:rowOff>38100</xdr:rowOff>
    </xdr:from>
    <xdr:to>
      <xdr:col>5</xdr:col>
      <xdr:colOff>1158240</xdr:colOff>
      <xdr:row>4000</xdr:row>
      <xdr:rowOff>59054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260C59D-FA32-4913-B237-1710727E27F6}"/>
            </a:ext>
            <a:ext uri="{147F2762-F138-4A5C-976F-8EAC2B608ADB}">
              <a16:predDERef xmlns:a16="http://schemas.microsoft.com/office/drawing/2014/main" pred="{CF7E5F15-B4BB-F9D1-F333-E0093199D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614533950"/>
          <a:ext cx="13422630" cy="7427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4012</xdr:row>
      <xdr:rowOff>76200</xdr:rowOff>
    </xdr:from>
    <xdr:to>
      <xdr:col>6</xdr:col>
      <xdr:colOff>55938</xdr:colOff>
      <xdr:row>4050</xdr:row>
      <xdr:rowOff>93347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A74C63A-30E6-4887-8633-84CE671F232F}"/>
            </a:ext>
            <a:ext uri="{147F2762-F138-4A5C-976F-8EAC2B608ADB}">
              <a16:predDERef xmlns:a16="http://schemas.microsoft.com/office/drawing/2014/main" pred="{E23295F7-BBA2-DB60-50D9-02942AFD9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624392325"/>
          <a:ext cx="13769340" cy="7600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3865</xdr:row>
      <xdr:rowOff>114300</xdr:rowOff>
    </xdr:from>
    <xdr:to>
      <xdr:col>5</xdr:col>
      <xdr:colOff>1082040</xdr:colOff>
      <xdr:row>3902</xdr:row>
      <xdr:rowOff>93346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5472973-105A-45FF-BD05-37D20B1D9635}"/>
            </a:ext>
            <a:ext uri="{147F2762-F138-4A5C-976F-8EAC2B608ADB}">
              <a16:predDERef xmlns:a16="http://schemas.microsoft.com/office/drawing/2014/main" pred="{ADB1F176-E8B0-1F85-86AB-9F64A4A3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594969600"/>
          <a:ext cx="13346430" cy="7362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4111</xdr:row>
      <xdr:rowOff>57150</xdr:rowOff>
    </xdr:from>
    <xdr:to>
      <xdr:col>5</xdr:col>
      <xdr:colOff>800100</xdr:colOff>
      <xdr:row>4147</xdr:row>
      <xdr:rowOff>55245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2EDF523-99A2-4012-8100-02E8427D0024}"/>
            </a:ext>
            <a:ext uri="{147F2762-F138-4A5C-976F-8EAC2B608ADB}">
              <a16:predDERef xmlns:a16="http://schemas.microsoft.com/office/drawing/2014/main" pred="{94BFC8EF-4EEF-6034-0F9E-D405C165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644210040"/>
          <a:ext cx="13068300" cy="7185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4059</xdr:row>
      <xdr:rowOff>161925</xdr:rowOff>
    </xdr:from>
    <xdr:to>
      <xdr:col>6</xdr:col>
      <xdr:colOff>662940</xdr:colOff>
      <xdr:row>4099</xdr:row>
      <xdr:rowOff>97155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9FC7B53-6582-49B0-A9E7-FC7CFDCA4C27}"/>
            </a:ext>
            <a:ext uri="{147F2762-F138-4A5C-976F-8EAC2B608ADB}">
              <a16:predDERef xmlns:a16="http://schemas.microsoft.com/office/drawing/2014/main" pred="{56CEB830-A4D0-EB5B-3C32-E4EF75BD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633900180"/>
          <a:ext cx="14378940" cy="79248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4060</xdr:row>
      <xdr:rowOff>133350</xdr:rowOff>
    </xdr:from>
    <xdr:to>
      <xdr:col>20</xdr:col>
      <xdr:colOff>419100</xdr:colOff>
      <xdr:row>4102</xdr:row>
      <xdr:rowOff>137157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6504D24-D91D-48CF-9310-0CBBE2AC8C59}"/>
            </a:ext>
            <a:ext uri="{147F2762-F138-4A5C-976F-8EAC2B608ADB}">
              <a16:predDERef xmlns:a16="http://schemas.microsoft.com/office/drawing/2014/main" pred="{C659A819-CE34-9079-BE32-2E4EEDF16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028670" y="634065915"/>
          <a:ext cx="15270480" cy="8401050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4110</xdr:row>
      <xdr:rowOff>19050</xdr:rowOff>
    </xdr:from>
    <xdr:to>
      <xdr:col>17</xdr:col>
      <xdr:colOff>152400</xdr:colOff>
      <xdr:row>4146</xdr:row>
      <xdr:rowOff>129542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21F2230-EAA5-4497-8BE3-7851272E9A5E}"/>
            </a:ext>
            <a:ext uri="{147F2762-F138-4A5C-976F-8EAC2B608ADB}">
              <a16:predDERef xmlns:a16="http://schemas.microsoft.com/office/drawing/2014/main" pred="{3DCAB1E3-525B-873F-81B0-AE9B44C9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5975330" y="643971915"/>
          <a:ext cx="1328547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9</xdr:col>
      <xdr:colOff>515211</xdr:colOff>
      <xdr:row>850</xdr:row>
      <xdr:rowOff>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D3B2ED5-8ADD-1468-8160-F5E07D5AF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44018000"/>
          <a:ext cx="17968821" cy="96012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814</xdr:row>
      <xdr:rowOff>0</xdr:rowOff>
    </xdr:from>
    <xdr:to>
      <xdr:col>61</xdr:col>
      <xdr:colOff>320519</xdr:colOff>
      <xdr:row>850</xdr:row>
      <xdr:rowOff>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CA4C804-1960-1CD4-EC6B-15F58441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6909375" y="142279688"/>
          <a:ext cx="18176084" cy="857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814</xdr:row>
      <xdr:rowOff>0</xdr:rowOff>
    </xdr:from>
    <xdr:to>
      <xdr:col>30</xdr:col>
      <xdr:colOff>287134</xdr:colOff>
      <xdr:row>850</xdr:row>
      <xdr:rowOff>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A49B896-C1FC-D491-C0C9-9D608CA4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8216563" y="142279688"/>
          <a:ext cx="18388444" cy="857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9</xdr:col>
      <xdr:colOff>746391</xdr:colOff>
      <xdr:row>901</xdr:row>
      <xdr:rowOff>56526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BB915AF-8CAF-FBD2-867E-4F246CFD9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64921045"/>
          <a:ext cx="18181817" cy="1001240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860</xdr:row>
      <xdr:rowOff>0</xdr:rowOff>
    </xdr:from>
    <xdr:to>
      <xdr:col>30</xdr:col>
      <xdr:colOff>96786</xdr:colOff>
      <xdr:row>901</xdr:row>
      <xdr:rowOff>60164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0A5909D-6634-659C-6013-EC493A00A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8788063" y="151828500"/>
          <a:ext cx="18190476" cy="916190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860</xdr:row>
      <xdr:rowOff>0</xdr:rowOff>
    </xdr:from>
    <xdr:to>
      <xdr:col>61</xdr:col>
      <xdr:colOff>327291</xdr:colOff>
      <xdr:row>901</xdr:row>
      <xdr:rowOff>60164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1B87B4C-355F-D258-8D1B-E8AFF444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480875" y="151828500"/>
          <a:ext cx="18190476" cy="916190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767</xdr:row>
      <xdr:rowOff>228189</xdr:rowOff>
    </xdr:from>
    <xdr:to>
      <xdr:col>55</xdr:col>
      <xdr:colOff>0</xdr:colOff>
      <xdr:row>804</xdr:row>
      <xdr:rowOff>3809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77FC298-2912-0B2D-29F8-B059701A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5099625" y="130649252"/>
          <a:ext cx="16668750" cy="8582436"/>
        </a:xfrm>
        <a:prstGeom prst="rect">
          <a:avLst/>
        </a:prstGeom>
      </xdr:spPr>
    </xdr:pic>
    <xdr:clientData/>
  </xdr:twoCellAnchor>
  <xdr:twoCellAnchor editAs="oneCell">
    <xdr:from>
      <xdr:col>0</xdr:col>
      <xdr:colOff>20631</xdr:colOff>
      <xdr:row>955</xdr:row>
      <xdr:rowOff>0</xdr:rowOff>
    </xdr:from>
    <xdr:to>
      <xdr:col>10</xdr:col>
      <xdr:colOff>171447</xdr:colOff>
      <xdr:row>994</xdr:row>
      <xdr:rowOff>15241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158E3CA-AB00-6209-E981-296257CF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0631" y="186458679"/>
          <a:ext cx="18329687" cy="9552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10</xdr:col>
      <xdr:colOff>152956</xdr:colOff>
      <xdr:row>757</xdr:row>
      <xdr:rowOff>1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88DCA17-9913-D035-D025-DAC0A760C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40814136"/>
          <a:ext cx="18373588" cy="89708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720</xdr:row>
      <xdr:rowOff>0</xdr:rowOff>
    </xdr:from>
    <xdr:to>
      <xdr:col>32</xdr:col>
      <xdr:colOff>0</xdr:colOff>
      <xdr:row>757</xdr:row>
      <xdr:rowOff>20376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8396F7F-B8BE-CF54-8BC2-D5A539241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15364" y="140814136"/>
          <a:ext cx="18391909" cy="8979764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720</xdr:row>
      <xdr:rowOff>0</xdr:rowOff>
    </xdr:from>
    <xdr:to>
      <xdr:col>65</xdr:col>
      <xdr:colOff>135698</xdr:colOff>
      <xdr:row>757</xdr:row>
      <xdr:rowOff>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8852509-F0FA-91E7-916A-0BC2273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8584909" y="140814136"/>
          <a:ext cx="18381442" cy="8970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2338</xdr:row>
      <xdr:rowOff>180975</xdr:rowOff>
    </xdr:from>
    <xdr:to>
      <xdr:col>6</xdr:col>
      <xdr:colOff>173355</xdr:colOff>
      <xdr:row>2376</xdr:row>
      <xdr:rowOff>169545</xdr:rowOff>
    </xdr:to>
    <xdr:pic>
      <xdr:nvPicPr>
        <xdr:cNvPr id="71" name="Picture 4">
          <a:extLst>
            <a:ext uri="{FF2B5EF4-FFF2-40B4-BE49-F238E27FC236}">
              <a16:creationId xmlns:a16="http://schemas.microsoft.com/office/drawing/2014/main" id="{9DB03012-A5D2-323C-C90F-6933AF57EA54}"/>
            </a:ext>
            <a:ext uri="{147F2762-F138-4A5C-976F-8EAC2B608ADB}">
              <a16:predDERef xmlns:a16="http://schemas.microsoft.com/office/drawing/2014/main" pred="{58852509-F0FA-91E7-916A-0BC2273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341252175"/>
          <a:ext cx="13868400" cy="76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18590</xdr:rowOff>
    </xdr:from>
    <xdr:to>
      <xdr:col>9</xdr:col>
      <xdr:colOff>439433</xdr:colOff>
      <xdr:row>218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F3FC7978-36E4-E5F9-CA0D-79A6CDEF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6045"/>
          <a:ext cx="17853904" cy="9541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228</xdr:row>
      <xdr:rowOff>1</xdr:rowOff>
    </xdr:from>
    <xdr:to>
      <xdr:col>9</xdr:col>
      <xdr:colOff>476284</xdr:colOff>
      <xdr:row>274</xdr:row>
      <xdr:rowOff>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D982A31-BA56-611B-BF76-AE1C543D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8438956"/>
          <a:ext cx="17890754" cy="9559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8</xdr:row>
      <xdr:rowOff>0</xdr:rowOff>
    </xdr:from>
    <xdr:to>
      <xdr:col>65</xdr:col>
      <xdr:colOff>150169</xdr:colOff>
      <xdr:row>55</xdr:row>
      <xdr:rowOff>95795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52444-92E9-4D1E-003F-DC0A934F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58</xdr:row>
      <xdr:rowOff>0</xdr:rowOff>
    </xdr:from>
    <xdr:to>
      <xdr:col>65</xdr:col>
      <xdr:colOff>250614</xdr:colOff>
      <xdr:row>108</xdr:row>
      <xdr:rowOff>55196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490D9-ED58-DA33-2CA1-34FB95DA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9091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109</xdr:row>
      <xdr:rowOff>0</xdr:rowOff>
    </xdr:from>
    <xdr:to>
      <xdr:col>65</xdr:col>
      <xdr:colOff>250614</xdr:colOff>
      <xdr:row>159</xdr:row>
      <xdr:rowOff>55195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93CE86-A41F-B172-91B0-ABA9D18E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91364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8</xdr:row>
      <xdr:rowOff>0</xdr:rowOff>
    </xdr:from>
    <xdr:to>
      <xdr:col>96</xdr:col>
      <xdr:colOff>250616</xdr:colOff>
      <xdr:row>57</xdr:row>
      <xdr:rowOff>132262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8B82DF-F3F3-33BA-5773-2D5B32F2E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11136" y="1385455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59</xdr:row>
      <xdr:rowOff>0</xdr:rowOff>
    </xdr:from>
    <xdr:to>
      <xdr:col>96</xdr:col>
      <xdr:colOff>250616</xdr:colOff>
      <xdr:row>109</xdr:row>
      <xdr:rowOff>55196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4C54C8-E84C-C1BF-C5F9-2C9EB41E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11136" y="10304318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111</xdr:row>
      <xdr:rowOff>0</xdr:rowOff>
    </xdr:from>
    <xdr:to>
      <xdr:col>96</xdr:col>
      <xdr:colOff>250616</xdr:colOff>
      <xdr:row>161</xdr:row>
      <xdr:rowOff>55196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BB4403-B0BF-0CA0-F7DD-2D519F683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11136" y="19309773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</xdr:row>
      <xdr:rowOff>0</xdr:rowOff>
    </xdr:from>
    <xdr:to>
      <xdr:col>127</xdr:col>
      <xdr:colOff>59820</xdr:colOff>
      <xdr:row>56</xdr:row>
      <xdr:rowOff>130085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12FD01-1038-9090-84D9-A9800388E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07500" y="1415143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59</xdr:row>
      <xdr:rowOff>0</xdr:rowOff>
    </xdr:from>
    <xdr:to>
      <xdr:col>127</xdr:col>
      <xdr:colOff>59820</xdr:colOff>
      <xdr:row>108</xdr:row>
      <xdr:rowOff>37012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67546C-D346-3BDA-47B2-A7C541898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500" y="10531929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111</xdr:row>
      <xdr:rowOff>0</xdr:rowOff>
    </xdr:from>
    <xdr:to>
      <xdr:col>127</xdr:col>
      <xdr:colOff>59820</xdr:colOff>
      <xdr:row>160</xdr:row>
      <xdr:rowOff>37012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46E8FE6-202A-D91C-AADA-E1D63284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007500" y="19730357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129</xdr:col>
      <xdr:colOff>0</xdr:colOff>
      <xdr:row>59</xdr:row>
      <xdr:rowOff>0</xdr:rowOff>
    </xdr:from>
    <xdr:to>
      <xdr:col>158</xdr:col>
      <xdr:colOff>56009</xdr:colOff>
      <xdr:row>108</xdr:row>
      <xdr:rowOff>37012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28C2A5-2186-E56D-8600-86FE292A8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89464" y="10531929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129</xdr:col>
      <xdr:colOff>0</xdr:colOff>
      <xdr:row>111</xdr:row>
      <xdr:rowOff>0</xdr:rowOff>
    </xdr:from>
    <xdr:to>
      <xdr:col>158</xdr:col>
      <xdr:colOff>56009</xdr:colOff>
      <xdr:row>160</xdr:row>
      <xdr:rowOff>37012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64FBD29-69B2-CE63-EAB5-47AC144AA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989464" y="19730357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128</xdr:col>
      <xdr:colOff>0</xdr:colOff>
      <xdr:row>8</xdr:row>
      <xdr:rowOff>0</xdr:rowOff>
    </xdr:from>
    <xdr:to>
      <xdr:col>157</xdr:col>
      <xdr:colOff>56010</xdr:colOff>
      <xdr:row>56</xdr:row>
      <xdr:rowOff>133895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9E4C44F-378C-10AF-6DB4-13075FBE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377143" y="1415143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29</xdr:col>
      <xdr:colOff>59820</xdr:colOff>
      <xdr:row>56</xdr:row>
      <xdr:rowOff>130085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C772198-B774-3366-8A25-C7396475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415143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29</xdr:col>
      <xdr:colOff>59820</xdr:colOff>
      <xdr:row>108</xdr:row>
      <xdr:rowOff>37012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E0E9C72-7C5D-9C66-8D17-D5171B3CC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0531929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29</xdr:col>
      <xdr:colOff>59820</xdr:colOff>
      <xdr:row>160</xdr:row>
      <xdr:rowOff>37012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F7055AC-EAB9-BBAE-E5CF-1E62787D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730357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159</xdr:col>
      <xdr:colOff>0</xdr:colOff>
      <xdr:row>8</xdr:row>
      <xdr:rowOff>0</xdr:rowOff>
    </xdr:from>
    <xdr:to>
      <xdr:col>188</xdr:col>
      <xdr:colOff>56009</xdr:colOff>
      <xdr:row>56</xdr:row>
      <xdr:rowOff>133895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257BD9-2A97-1AB3-B6DC-8D6FC930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359107" y="1415143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159</xdr:col>
      <xdr:colOff>0</xdr:colOff>
      <xdr:row>59</xdr:row>
      <xdr:rowOff>0</xdr:rowOff>
    </xdr:from>
    <xdr:to>
      <xdr:col>188</xdr:col>
      <xdr:colOff>56009</xdr:colOff>
      <xdr:row>108</xdr:row>
      <xdr:rowOff>37012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F489F1-1099-CC62-C844-87B6E264A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7359107" y="10531929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159</xdr:col>
      <xdr:colOff>0</xdr:colOff>
      <xdr:row>111</xdr:row>
      <xdr:rowOff>0</xdr:rowOff>
    </xdr:from>
    <xdr:to>
      <xdr:col>188</xdr:col>
      <xdr:colOff>56009</xdr:colOff>
      <xdr:row>160</xdr:row>
      <xdr:rowOff>37012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2BDBFA-7F0F-0BA8-F184-17D738B2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359107" y="19730357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190</xdr:col>
      <xdr:colOff>0</xdr:colOff>
      <xdr:row>8</xdr:row>
      <xdr:rowOff>0</xdr:rowOff>
    </xdr:from>
    <xdr:to>
      <xdr:col>219</xdr:col>
      <xdr:colOff>246806</xdr:colOff>
      <xdr:row>57</xdr:row>
      <xdr:rowOff>136072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1D98A1-E2B5-599C-F1E9-3FB643F38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165909" y="1385455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190</xdr:col>
      <xdr:colOff>0</xdr:colOff>
      <xdr:row>59</xdr:row>
      <xdr:rowOff>0</xdr:rowOff>
    </xdr:from>
    <xdr:to>
      <xdr:col>219</xdr:col>
      <xdr:colOff>246806</xdr:colOff>
      <xdr:row>109</xdr:row>
      <xdr:rowOff>59006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3E79B3-94FE-6647-294B-C33D2E58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165909" y="10304318"/>
          <a:ext cx="17828571" cy="8704762"/>
        </a:xfrm>
        <a:prstGeom prst="rect">
          <a:avLst/>
        </a:prstGeom>
      </xdr:spPr>
    </xdr:pic>
    <xdr:clientData/>
  </xdr:twoCellAnchor>
  <xdr:twoCellAnchor editAs="oneCell">
    <xdr:from>
      <xdr:col>190</xdr:col>
      <xdr:colOff>0</xdr:colOff>
      <xdr:row>111</xdr:row>
      <xdr:rowOff>0</xdr:rowOff>
    </xdr:from>
    <xdr:to>
      <xdr:col>219</xdr:col>
      <xdr:colOff>250616</xdr:colOff>
      <xdr:row>161</xdr:row>
      <xdr:rowOff>55196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6566F-5305-ACF2-5D43-41056322D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165909" y="19309773"/>
          <a:ext cx="17828571" cy="8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5734547" cy="3114563"/>
    <xdr:pic>
      <xdr:nvPicPr>
        <xdr:cNvPr id="2" name="Picture 1">
          <a:extLst>
            <a:ext uri="{FF2B5EF4-FFF2-40B4-BE49-F238E27FC236}">
              <a16:creationId xmlns:a16="http://schemas.microsoft.com/office/drawing/2014/main" id="{F3E8ECDD-E41E-4741-B5DD-F2101598E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24375"/>
          <a:ext cx="5734547" cy="311456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5730737" cy="3095513"/>
    <xdr:pic>
      <xdr:nvPicPr>
        <xdr:cNvPr id="3" name="Picture 2">
          <a:extLst>
            <a:ext uri="{FF2B5EF4-FFF2-40B4-BE49-F238E27FC236}">
              <a16:creationId xmlns:a16="http://schemas.microsoft.com/office/drawing/2014/main" id="{DDF7BE6B-A554-44B9-8365-8611B29D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5730737" cy="309551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420</xdr:row>
      <xdr:rowOff>0</xdr:rowOff>
    </xdr:from>
    <xdr:to>
      <xdr:col>6</xdr:col>
      <xdr:colOff>589343</xdr:colOff>
      <xdr:row>431</xdr:row>
      <xdr:rowOff>173299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A20D4-D963-420C-AA88-47B7BFDCC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67950"/>
          <a:ext cx="13023278" cy="2189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6</xdr:col>
      <xdr:colOff>627440</xdr:colOff>
      <xdr:row>449</xdr:row>
      <xdr:rowOff>96641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47F0A-79C7-4797-B2D4-D64C0718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414350"/>
          <a:ext cx="13051850" cy="2483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6</xdr:col>
      <xdr:colOff>5654107</xdr:colOff>
      <xdr:row>477</xdr:row>
      <xdr:rowOff>131392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04D76-0F2F-42BE-B86A-5878474B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256350"/>
          <a:ext cx="18070897" cy="2160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6</xdr:col>
      <xdr:colOff>574107</xdr:colOff>
      <xdr:row>494</xdr:row>
      <xdr:rowOff>58544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0B3E98-5DD0-4039-9970-7C3DF5B9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8018600"/>
          <a:ext cx="12994707" cy="2445509"/>
        </a:xfrm>
        <a:prstGeom prst="rect">
          <a:avLst/>
        </a:prstGeom>
      </xdr:spPr>
    </xdr:pic>
    <xdr:clientData/>
  </xdr:twoCellAnchor>
  <xdr:twoCellAnchor editAs="oneCell">
    <xdr:from>
      <xdr:col>2</xdr:col>
      <xdr:colOff>250032</xdr:colOff>
      <xdr:row>85</xdr:row>
      <xdr:rowOff>166688</xdr:rowOff>
    </xdr:from>
    <xdr:to>
      <xdr:col>3</xdr:col>
      <xdr:colOff>1410444</xdr:colOff>
      <xdr:row>89</xdr:row>
      <xdr:rowOff>136605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88330C-22C0-5C76-B552-05FF9DD6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2407" y="24407813"/>
          <a:ext cx="1839068" cy="981472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178594</xdr:colOff>
      <xdr:row>90</xdr:row>
      <xdr:rowOff>178594</xdr:rowOff>
    </xdr:from>
    <xdr:to>
      <xdr:col>3</xdr:col>
      <xdr:colOff>1388552</xdr:colOff>
      <xdr:row>94</xdr:row>
      <xdr:rowOff>129925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029E05-29FF-90A8-064E-1B16C81E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0969" y="25610344"/>
          <a:ext cx="1877184" cy="9528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3</xdr:col>
      <xdr:colOff>1617059</xdr:colOff>
      <xdr:row>98</xdr:row>
      <xdr:rowOff>137050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99AAAC-7BDB-2780-EDF3-8615CB91E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2375" y="26584275"/>
          <a:ext cx="2285714" cy="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100</xdr:row>
      <xdr:rowOff>47625</xdr:rowOff>
    </xdr:from>
    <xdr:to>
      <xdr:col>3</xdr:col>
      <xdr:colOff>2018969</xdr:colOff>
      <xdr:row>105</xdr:row>
      <xdr:rowOff>133183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668BCB-3DFE-415C-6AFA-711EF6E6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0" y="27374850"/>
          <a:ext cx="2647619" cy="1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87283</xdr:colOff>
      <xdr:row>127</xdr:row>
      <xdr:rowOff>0</xdr:rowOff>
    </xdr:from>
    <xdr:to>
      <xdr:col>2</xdr:col>
      <xdr:colOff>0</xdr:colOff>
      <xdr:row>131</xdr:row>
      <xdr:rowOff>15380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A5A0A6-1C2E-49CC-9460-83269DDA9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97458" y="31908750"/>
          <a:ext cx="2484467" cy="10059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lmaholdingsinc.sharepoint.com/sites/CEN-Engineering/Shared%20Documents/General/NPD/Andromeda%20Staff%20Tag/Battery%20Life/BLE%20MM%20Badge%20Battery%20Life%20Estimation_REFERENCE%20MATERIAL.xlsx" TargetMode="External"/><Relationship Id="rId1" Type="http://schemas.openxmlformats.org/officeDocument/2006/relationships/externalLinkPath" Target="BLE%20MM%20Badge%20Battery%20Life%20Estimation_REFERENCE%20MATERI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lmaholdingsinc.sharepoint.com/sites/CEN-Engineering/Shared%20Documents/General/NPD/Andromeda%20Staff%20Tag/Battery%20Life/BLE%20MM%20Badge%20Battery%20Life%20Estimation%20sheet_V41.1.25.xlsx" TargetMode="External"/><Relationship Id="rId1" Type="http://schemas.openxmlformats.org/officeDocument/2006/relationships/externalLinkPath" Target="BLE%20MM%20Badge%20Battery%20Life%20Estimation%20sheet_V41.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Consumption (v23)"/>
      <sheetName val="DC-DC"/>
      <sheetName val="BLE IR Flowchart"/>
      <sheetName val="Markers"/>
      <sheetName val="Paging profile"/>
      <sheetName val="MM Simulation 1"/>
      <sheetName val="BLE IR-Rx"/>
      <sheetName val="IR_SW team comments"/>
      <sheetName val="Simulation (latest)"/>
    </sheetNames>
    <sheetDataSet>
      <sheetData sheetId="0">
        <row r="2495">
          <cell r="B2495">
            <v>0.19392999999999999</v>
          </cell>
        </row>
        <row r="2496">
          <cell r="B2496">
            <v>2898.05</v>
          </cell>
        </row>
        <row r="2706">
          <cell r="B2706">
            <v>0.22917999999999999</v>
          </cell>
        </row>
        <row r="2707">
          <cell r="B2707">
            <v>2882.45</v>
          </cell>
        </row>
        <row r="2755">
          <cell r="B2755">
            <v>0.29237000000000002</v>
          </cell>
        </row>
        <row r="2756">
          <cell r="B2756">
            <v>3254.85</v>
          </cell>
        </row>
        <row r="2804">
          <cell r="B2804">
            <v>0.26521</v>
          </cell>
        </row>
        <row r="2805">
          <cell r="B2805">
            <v>3837.8</v>
          </cell>
        </row>
        <row r="2854">
          <cell r="B2854">
            <v>0.20574000000000001</v>
          </cell>
        </row>
        <row r="2855">
          <cell r="B2855">
            <v>2701.35</v>
          </cell>
        </row>
        <row r="2904">
          <cell r="B2904">
            <v>0.29210999999999998</v>
          </cell>
        </row>
        <row r="2905">
          <cell r="B2905">
            <v>3239.1</v>
          </cell>
        </row>
        <row r="2952">
          <cell r="B2952">
            <v>0.20235</v>
          </cell>
        </row>
        <row r="2953">
          <cell r="B2953">
            <v>2971</v>
          </cell>
        </row>
        <row r="3001">
          <cell r="B3001">
            <v>0.36602000000000001</v>
          </cell>
        </row>
        <row r="3002">
          <cell r="B3002">
            <v>2868.65</v>
          </cell>
        </row>
        <row r="3051">
          <cell r="B3051">
            <v>0.20848</v>
          </cell>
        </row>
        <row r="3052">
          <cell r="B3052">
            <v>2762.3</v>
          </cell>
        </row>
        <row r="3101">
          <cell r="B3101">
            <v>0.44003999999999999</v>
          </cell>
        </row>
        <row r="3102">
          <cell r="B3102">
            <v>3573.25</v>
          </cell>
        </row>
        <row r="3151">
          <cell r="B3151">
            <v>0.32180999999999998</v>
          </cell>
        </row>
        <row r="3152">
          <cell r="B3152">
            <v>2571.35</v>
          </cell>
        </row>
        <row r="3201">
          <cell r="B3201">
            <v>0.31136999999999998</v>
          </cell>
        </row>
        <row r="3202">
          <cell r="B3202">
            <v>3860.3</v>
          </cell>
        </row>
        <row r="3251">
          <cell r="B3251">
            <v>0.30835000000000001</v>
          </cell>
        </row>
        <row r="3252">
          <cell r="B3252">
            <v>2850.5</v>
          </cell>
        </row>
        <row r="3301">
          <cell r="B3301">
            <v>0.19933999999999999</v>
          </cell>
        </row>
        <row r="3302">
          <cell r="B3302">
            <v>4634.5</v>
          </cell>
        </row>
        <row r="3351">
          <cell r="B3351">
            <v>0.24612999999999999</v>
          </cell>
        </row>
        <row r="3352">
          <cell r="B3352">
            <v>2997.65</v>
          </cell>
        </row>
        <row r="3401">
          <cell r="B3401">
            <v>0.29829</v>
          </cell>
        </row>
        <row r="3402">
          <cell r="B3402">
            <v>3823.25</v>
          </cell>
        </row>
        <row r="3451">
          <cell r="B3451">
            <v>0.22255</v>
          </cell>
        </row>
        <row r="3452">
          <cell r="B3452">
            <v>2780.7</v>
          </cell>
        </row>
        <row r="3501">
          <cell r="B3501">
            <v>0.29036000000000001</v>
          </cell>
        </row>
        <row r="3502">
          <cell r="B3502">
            <v>4203.95</v>
          </cell>
        </row>
        <row r="3551">
          <cell r="B3551">
            <v>0.25040000000000001</v>
          </cell>
        </row>
        <row r="3552">
          <cell r="B3552">
            <v>3050.7</v>
          </cell>
        </row>
        <row r="3601">
          <cell r="B3601">
            <v>0.39645999999999998</v>
          </cell>
        </row>
        <row r="3602">
          <cell r="B3602">
            <v>4224.25</v>
          </cell>
        </row>
        <row r="3649">
          <cell r="B3649">
            <v>0.28649999999999998</v>
          </cell>
        </row>
        <row r="3650">
          <cell r="B3650">
            <v>2656.6</v>
          </cell>
        </row>
        <row r="3697">
          <cell r="B3697">
            <v>0.29132999999999998</v>
          </cell>
        </row>
        <row r="3698">
          <cell r="B3698">
            <v>4090.15</v>
          </cell>
        </row>
        <row r="3747">
          <cell r="B3747">
            <v>0.21113000000000001</v>
          </cell>
        </row>
        <row r="3748">
          <cell r="B3748">
            <v>2667.9</v>
          </cell>
        </row>
        <row r="3795">
          <cell r="B3795">
            <v>0.23471</v>
          </cell>
        </row>
        <row r="3796">
          <cell r="B3796">
            <v>3946.9</v>
          </cell>
        </row>
        <row r="3845">
          <cell r="B3845">
            <v>0.25830999999999998</v>
          </cell>
        </row>
        <row r="3846">
          <cell r="B3846">
            <v>3284.85</v>
          </cell>
        </row>
        <row r="3893">
          <cell r="B3893">
            <v>0.19064999999999999</v>
          </cell>
        </row>
        <row r="3894">
          <cell r="B3894">
            <v>4111.1000000000004</v>
          </cell>
        </row>
        <row r="3943">
          <cell r="B3943">
            <v>0.41914000000000001</v>
          </cell>
        </row>
        <row r="3944">
          <cell r="B3944">
            <v>2380.8000000000002</v>
          </cell>
        </row>
        <row r="3991">
          <cell r="B3991">
            <v>0.19708999999999999</v>
          </cell>
        </row>
        <row r="3992">
          <cell r="B3992">
            <v>4044.5</v>
          </cell>
        </row>
        <row r="4041">
          <cell r="B4041">
            <v>0.20746999999999999</v>
          </cell>
        </row>
        <row r="4042">
          <cell r="B4042">
            <v>2831.4</v>
          </cell>
        </row>
        <row r="4089">
          <cell r="B4089">
            <v>0.27545999999999998</v>
          </cell>
        </row>
        <row r="4090">
          <cell r="B4090">
            <v>4079.3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Calculator"/>
      <sheetName val="Current Consumption"/>
      <sheetName val="Current Sims"/>
      <sheetName val="BLE Advertisement"/>
      <sheetName val="DC-DC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AE16">
            <v>0.42659333333333338</v>
          </cell>
          <cell r="AF16">
            <v>444.70499999999998</v>
          </cell>
        </row>
      </sheetData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C8020A-C67C-4A1D-85D1-0E66AE17FE53}" name="Table3691163042157" displayName="Table3691163042157" ref="M511:O513" totalsRowShown="0" headerRowDxfId="328" dataDxfId="327">
  <autoFilter ref="M511:O513" xr:uid="{00000000-0009-0000-0100-00000E000000}"/>
  <tableColumns count="3">
    <tableColumn id="1" xr3:uid="{41980AAA-AB42-43AB-9C34-16F00FCF8A3A}" name="RF Location Tx" dataDxfId="326"/>
    <tableColumn id="2" xr3:uid="{F1F3D9CF-8C67-4106-9FE4-4BA9AE614392}" name="Value" dataDxfId="325"/>
    <tableColumn id="3" xr3:uid="{1C27CE13-D800-4437-9099-999B832446C6}" name="Unit" dataDxfId="3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698836A-204E-4B12-B138-C351375CE24B}" name="Table38121318324316920" displayName="Table38121318324316920" ref="M282:O284" totalsRowShown="0" headerRowDxfId="323" dataDxfId="322">
  <autoFilter ref="M282:O284" xr:uid="{00000000-0009-0000-0100-000008000000}"/>
  <tableColumns count="3">
    <tableColumn id="1" xr3:uid="{348F4C45-49A1-4D38-A340-ACD61C581517}" name="Page Reqest and Response" dataDxfId="321"/>
    <tableColumn id="2" xr3:uid="{77EF5E0F-9497-45A8-AF49-CF175F1912AF}" name="Value" dataDxfId="320"/>
    <tableColumn id="3" xr3:uid="{ED27CE34-7750-4DB2-9985-DB1BD1536577}" name="Unit" dataDxfId="3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F19222A-93E1-4F20-8D61-6E5545A47BC9}" name="Table3671052941143023" displayName="Table3671052941143023" ref="M1003:O1005" totalsRowShown="0" headerRowDxfId="318" dataDxfId="317">
  <autoFilter ref="M1003:O1005" xr:uid="{00000000-0009-0000-0100-00001D000000}"/>
  <tableColumns count="3">
    <tableColumn id="1" xr3:uid="{150DCF98-F0CD-4601-9D44-8688D1F6C391}" name="LF Receive" dataDxfId="316"/>
    <tableColumn id="2" xr3:uid="{3A862A02-6950-4269-9C04-AF7DF2A4D51A}" name="Value" dataDxfId="315"/>
    <tableColumn id="3" xr3:uid="{0445A6BD-C2CA-4E22-B954-0700CA1C313C}" name="Unit" dataDxfId="3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B644C7D-4A79-4B89-B060-5E4D38F0D420}" name="Table38121516233545183424" displayName="Table38121516233545183424" ref="M1678:O1680" totalsRowShown="0" headerRowDxfId="313" dataDxfId="312">
  <autoFilter ref="M1678:O1680" xr:uid="{00000000-0009-0000-0100-000021000000}"/>
  <tableColumns count="3">
    <tableColumn id="1" xr3:uid="{FF43E2A2-DA78-4CE9-8D20-321C7F500684}" name="First Wi-Fi Set" dataDxfId="311"/>
    <tableColumn id="2" xr3:uid="{54A9CE11-1F00-4BC1-9956-996F4847E28F}" name="Value" dataDxfId="310"/>
    <tableColumn id="3" xr3:uid="{ACBDC6D7-FFD0-4638-B286-893E2C7568FA}" name="Unit" dataDxfId="30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23E7304-D56A-4459-9A00-DE67C9262200}" name="Table381215162335451833525" displayName="Table381215162335451833525" ref="M1745:O1747" totalsRowShown="0" headerRowDxfId="308" dataDxfId="307">
  <autoFilter ref="M1745:O1747" xr:uid="{00000000-0009-0000-0100-000022000000}"/>
  <tableColumns count="3">
    <tableColumn id="1" xr3:uid="{3BB35F9F-E7BA-466C-B9F5-7DEE8A9D3980}" name="Wi-Fi Retry" dataDxfId="306"/>
    <tableColumn id="2" xr3:uid="{57FC3CCF-9D9A-4C68-A627-A33DD78303B2}" name="Value" dataDxfId="305"/>
    <tableColumn id="3" xr3:uid="{6084AAB6-0DF0-4722-8683-7FE64A655313}" name="Unit" dataDxfId="30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6D520BD-D453-4EF5-834D-21603C642BC4}" name="Table369116304215113332" displayName="Table369116304215113332" ref="M666:O668" totalsRowShown="0" headerRowDxfId="303" dataDxfId="302">
  <autoFilter ref="M666:O668" xr:uid="{00000000-0009-0000-0100-000020000000}"/>
  <tableColumns count="3">
    <tableColumn id="1" xr3:uid="{9BD5D08D-A217-47C9-89C1-BDE67C2D9FF1}" name="RF Location Tx" dataDxfId="301"/>
    <tableColumn id="2" xr3:uid="{C2C2135A-FB6F-4A23-9BDD-C7E337212319}" name="Value" dataDxfId="300"/>
    <tableColumn id="3" xr3:uid="{27CF80E1-C68B-4AA3-A367-4F7504087021}" name="Unit" dataDxfId="29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EFE480B-B8DA-498F-BC7C-DE7E60AE8C00}" name="Table3812131832431696136" displayName="Table3812131832431696136" ref="M401:O403" totalsRowShown="0" headerRowDxfId="298" dataDxfId="297">
  <autoFilter ref="M401:O403" xr:uid="{00000000-0009-0000-0100-00003C000000}"/>
  <tableColumns count="3">
    <tableColumn id="1" xr3:uid="{4B3C72DF-B321-49BE-80C4-90328C7CE9AF}" name="Page Reqest and Response" dataDxfId="296"/>
    <tableColumn id="2" xr3:uid="{448506A7-5090-4251-AE8F-FB5F9C355E43}" name="Value" dataDxfId="295"/>
    <tableColumn id="3" xr3:uid="{27B3AA0C-AB01-42F8-AB67-53FA59469386}" name="Unit" dataDxfId="29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191E5E7-17AC-4BE6-985D-C068636C6ECD}" name="Table381213183243169616238" displayName="Table381213183243169616238" ref="M456:O458" totalsRowShown="0" headerRowDxfId="293" dataDxfId="292">
  <autoFilter ref="M456:O458" xr:uid="{00000000-0009-0000-0100-00003D000000}"/>
  <tableColumns count="3">
    <tableColumn id="1" xr3:uid="{D19D40FD-4CCC-44E3-ADFB-A075C05A0656}" name="Page Reqest and Response" dataDxfId="291"/>
    <tableColumn id="2" xr3:uid="{7942CAF7-115E-407E-B026-F9BC4A762955}" name="Value" dataDxfId="290"/>
    <tableColumn id="3" xr3:uid="{EE914C30-7175-4311-A735-601A761C14EC}" name="Unit" dataDxfId="28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0060640-09AC-4CAF-9854-47C907F263CD}" name="Table381213183243169616339" displayName="Table381213183243169616339" ref="M340:O342" totalsRowShown="0" headerRowDxfId="288" dataDxfId="287">
  <autoFilter ref="M340:O342" xr:uid="{00000000-0009-0000-0100-00003E000000}"/>
  <tableColumns count="3">
    <tableColumn id="1" xr3:uid="{0AB97708-D3C5-4089-B56F-39834088FBDA}" name="Page Reqest and Response" dataDxfId="286"/>
    <tableColumn id="2" xr3:uid="{EB884CA2-CF4F-4BC8-A706-CE385DD44BBA}" name="Value" dataDxfId="285"/>
    <tableColumn id="3" xr3:uid="{0DDD955D-4964-46E2-AA00-7E59D37E3043}" name="Unit" dataDxfId="28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F8D8134-F6F2-4A9B-91FB-57550A16098F}" name="Table383273912176440" displayName="Table383273912176440" ref="M1630:O1632" totalsRowShown="0" headerRowDxfId="283" dataDxfId="282">
  <autoFilter ref="M1630:O1632" xr:uid="{00000000-0009-0000-0100-00003F000000}"/>
  <tableColumns count="3">
    <tableColumn id="1" xr3:uid="{46DD0C01-22C6-4958-9B89-3542309EFCC8}" name="WiFi CCX ACX Packet Current " dataDxfId="281"/>
    <tableColumn id="2" xr3:uid="{A1A7CBBC-297A-4A67-8FCD-672BD1CAC099}" name="Value" dataDxfId="280"/>
    <tableColumn id="3" xr3:uid="{DE55EBA0-7612-4EFE-BA95-FBF9D6DB9731}" name="Unit" dataDxfId="27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934CF54-0ECD-4ACD-8EF6-FFF751E77DE5}" name="Table381215162335451836366541" displayName="Table381215162335451836366541" ref="M1859:O1861" totalsRowShown="0" headerRowDxfId="278" dataDxfId="277">
  <autoFilter ref="M1859:O1861" xr:uid="{00000000-0009-0000-0100-000040000000}"/>
  <tableColumns count="3">
    <tableColumn id="1" xr3:uid="{389E3D02-4083-45EB-B83D-88D972E28045}" name="Wi-Fi Single Channel Try 1" dataDxfId="276"/>
    <tableColumn id="2" xr3:uid="{354C4D35-F73D-4125-A0BF-1FEC048F8649}" name="Value" dataDxfId="275"/>
    <tableColumn id="3" xr3:uid="{A7F2C54C-C57D-4E88-8E1D-1B5A265DE210}" name="Unit" dataDxfId="27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86040CC-CC60-4097-8F4C-B0308CEDEAEE}" name="Table369428401333354243454649701132742" displayName="Table369428401333354243454649701132742" ref="M1055:O1057" totalsRowShown="0" headerRowDxfId="273" dataDxfId="272">
  <autoFilter ref="M1055:O1057" xr:uid="{00000000-0009-0000-0100-000046000000}"/>
  <tableColumns count="3">
    <tableColumn id="1" xr3:uid="{6222A258-E405-4603-83D3-946B65EEDCD3}" name="LF Rx Interval" dataDxfId="271"/>
    <tableColumn id="2" xr3:uid="{A46B08EF-445B-40D7-9CCE-D7C3B36B5DF0}" name="Value" dataDxfId="270"/>
    <tableColumn id="3" xr3:uid="{B1F641A5-B0C2-4832-AA50-3CF62773D2D2}" name="Unit" dataDxfId="26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2604163-2854-4CCD-8AC6-D895854E359D}" name="Table3694284013333542434546497011327263144" displayName="Table3694284013333542434546497011327263144" ref="M1168:O1170" totalsRowShown="0" headerRowDxfId="268" dataDxfId="267">
  <autoFilter ref="M1168:O1170" xr:uid="{00000000-0009-0000-0100-000049000000}"/>
  <tableColumns count="3">
    <tableColumn id="1" xr3:uid="{FCDEAA6B-27E7-4392-95BE-FD5AAA1C0963}" name="LF Rx Interval" dataDxfId="266"/>
    <tableColumn id="2" xr3:uid="{7EE9010D-A355-48D2-A0D1-49EAB259539B}" name="Value" dataDxfId="265"/>
    <tableColumn id="3" xr3:uid="{AAD897A4-14A5-46DA-85DB-3E526C59595C}" name="Unit" dataDxfId="264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EA187E4-9BE0-40FF-8327-69C73330553D}" name="Table369428401333354243454649701132726314245" displayName="Table369428401333354243454649701132726314245" ref="M1225:O1227" totalsRowShown="0" headerRowDxfId="263" dataDxfId="262">
  <autoFilter ref="M1225:O1227" xr:uid="{00000000-0009-0000-0100-00004A000000}"/>
  <tableColumns count="3">
    <tableColumn id="1" xr3:uid="{3791CEF9-01B7-4991-9D51-4BD04840C7CB}" name="DC WPS packet" dataDxfId="261"/>
    <tableColumn id="2" xr3:uid="{D0C2BA02-7E42-481E-830C-B64CBCB4D191}" name="Value" dataDxfId="260"/>
    <tableColumn id="3" xr3:uid="{92829DA1-6C21-44D7-9CCC-C69FAD1A46A0}" name="Unit" dataDxfId="2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C59898A-C39B-4840-AA5C-C895DBB83AA1}" name="Table3812151623354518363665667646" displayName="Table3812151623354518363665667646" ref="M2003:O2005" totalsRowShown="0" headerRowDxfId="258" dataDxfId="257">
  <autoFilter ref="M2003:O2005" xr:uid="{00000000-0009-0000-0100-00004B000000}"/>
  <tableColumns count="3">
    <tableColumn id="1" xr3:uid="{6BD1DA9D-C050-48FE-800E-B11E73CC2BDB}" name="Wireless Upgrade Timeout" dataDxfId="256"/>
    <tableColumn id="2" xr3:uid="{40953112-0859-41DD-9DAE-1C78849CFE3B}" name="Value" dataDxfId="255"/>
    <tableColumn id="3" xr3:uid="{274E2CA7-E714-45DB-A23A-E880B2F05D1C}" name="Unit" dataDxfId="254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2CCA56-98E8-44CD-8456-BABD434E67E9}" name="Table381215162335451836366566767747" displayName="Table381215162335451836366566767747" ref="M2091:O2093" totalsRowShown="0" headerRowDxfId="253" dataDxfId="252">
  <autoFilter ref="M2091:O2093" xr:uid="{00000000-0009-0000-0100-00004C000000}"/>
  <tableColumns count="3">
    <tableColumn id="1" xr3:uid="{C523F704-BE03-4B88-A942-30D074F22D8F}" name="BLE fast reporting interval" dataDxfId="251"/>
    <tableColumn id="2" xr3:uid="{F127F77C-80F3-413E-9212-E8EF1FE3388F}" name="Value" dataDxfId="250"/>
    <tableColumn id="3" xr3:uid="{F9B939E7-FCD5-40EB-8417-8644700B80E7}" name="Unit" dataDxfId="249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3C80086-BE7C-4E49-839A-92E8E1CD289E}" name="Table38121516233545183636656676777848" displayName="Table38121516233545183636656676777848" ref="M2145:O2147" totalsRowShown="0" headerRowDxfId="248" dataDxfId="247">
  <autoFilter ref="M2145:O2147" xr:uid="{00000000-0009-0000-0100-00004D000000}"/>
  <tableColumns count="3">
    <tableColumn id="1" xr3:uid="{06B6D9EC-1F58-4029-960A-3704A9AC7545}" name="BLE Advertisements" dataDxfId="246"/>
    <tableColumn id="2" xr3:uid="{1BDB4FE6-64A2-4D1B-9799-0BFE5B54333F}" name="Value" dataDxfId="245"/>
    <tableColumn id="3" xr3:uid="{902290AB-CAE5-4B45-8D43-8866D0A0E37D}" name="Unit" dataDxfId="244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516B469-7419-402C-910C-DC14CE46733B}" name="Table3812151623354518363665667677787949" displayName="Table3812151623354518363665667677787949" ref="M2197:O2199" totalsRowShown="0" headerRowDxfId="243" dataDxfId="242">
  <autoFilter ref="M2197:O2199" xr:uid="{00000000-0009-0000-0100-00004E000000}"/>
  <tableColumns count="3">
    <tableColumn id="1" xr3:uid="{83072C34-101D-4C2D-9D5B-3C86A6B6798E}" name="BLE Advertisements Interval" dataDxfId="241"/>
    <tableColumn id="2" xr3:uid="{E3DCDEA6-0F45-4218-AAE4-BFCE6C2F207B}" name="Value" dataDxfId="240"/>
    <tableColumn id="3" xr3:uid="{442C45F3-19D4-4408-9F80-891A4E66090B}" name="Unit" dataDxfId="239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B7219AA-C20B-4309-91CD-BAF42AB3E428}" name="Table381215162335451836366566767778798050" displayName="Table381215162335451836366566767778798050" ref="M2256:O2258" totalsRowShown="0" headerRowDxfId="238" dataDxfId="237">
  <autoFilter ref="M2256:O2258" xr:uid="{00000000-0009-0000-0100-00004F000000}"/>
  <tableColumns count="3">
    <tableColumn id="1" xr3:uid="{78074FDC-97EF-4BA5-954D-EF8DA555E572}" name="BLE Connection" dataDxfId="236"/>
    <tableColumn id="2" xr3:uid="{EEB4421D-6E2F-495A-860D-7B1F4AE93ADB}" name="Value" dataDxfId="235"/>
    <tableColumn id="3" xr3:uid="{D321E8E0-C240-4D6F-BC66-68F4E38A2B5E}" name="Unit" dataDxfId="234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679ED23-49C9-4EAA-A273-B72B90661710}" name="Table3832739128151" displayName="Table3832739128151" ref="M1433:O1435" totalsRowShown="0" headerRowDxfId="233" dataDxfId="232">
  <autoFilter ref="M1433:O1435" xr:uid="{00000000-0009-0000-0100-000050000000}"/>
  <tableColumns count="3">
    <tableColumn id="1" xr3:uid="{23E090F6-8899-4DC5-855A-BE223D930602}" name="Button Press - Button + RF + BLE Transitions+ 1 Blue LED blink" dataDxfId="231"/>
    <tableColumn id="2" xr3:uid="{70965635-B912-47C8-9E5A-B4441976012F}" name="Value" dataDxfId="230"/>
    <tableColumn id="3" xr3:uid="{DAD75044-C732-4A13-902D-5FD6E3D4E08E}" name="Unit" dataDxfId="229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E75E4406-00D8-44D1-8A3F-2078961F977E}" name="Table383273912178259" displayName="Table383273912178259" ref="M1521:O1523" totalsRowShown="0" headerRowDxfId="228" dataDxfId="227">
  <autoFilter ref="M1521:O1523" xr:uid="{00000000-0009-0000-0100-000051000000}"/>
  <tableColumns count="3">
    <tableColumn id="1" xr3:uid="{E3691CAF-B8E8-4DB7-9DA7-28C378B5D49D}" name="Button + RF Location + CCX ACX + 1 green LED Blink" dataDxfId="226"/>
    <tableColumn id="2" xr3:uid="{5798C0FE-2EEC-4C84-9D4F-AE1C265DDA88}" name="Value" dataDxfId="225"/>
    <tableColumn id="3" xr3:uid="{6FF41433-B261-4BE7-9FED-2C75A44803A8}" name="Unit" dataDxfId="224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2E61491-C856-49BF-9DBB-7D88A98AEBAE}" name="Table38327391217828366" displayName="Table38327391217828366" ref="M1577:O1579" totalsRowShown="0" headerRowDxfId="223" dataDxfId="222">
  <autoFilter ref="M1577:O1579" xr:uid="{00000000-0009-0000-0100-000052000000}"/>
  <tableColumns count="3">
    <tableColumn id="1" xr3:uid="{C4EBD4CC-4CC2-474E-969C-0551FCAE54FE}" name="Button + CCX ACX + 1 green LED blink" dataDxfId="221"/>
    <tableColumn id="2" xr3:uid="{22E4D593-BD29-43E7-8773-37E63D69109A}" name="Value" dataDxfId="220"/>
    <tableColumn id="3" xr3:uid="{F8D772CE-9701-4ACB-B73B-DDEF01BB9232}" name="Unit" dataDxfId="219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7F6BCE4-FDEC-42E4-B497-EB3E3EA2C595}" name="Table38121522344442126768708470" displayName="Table38121522344442126768708470" ref="M2474:O2476" totalsRowShown="0" headerRowDxfId="218">
  <autoFilter ref="M2474:O2476" xr:uid="{00000000-0009-0000-0100-000053000000}"/>
  <tableColumns count="3">
    <tableColumn id="1" xr3:uid="{0C7BFBF3-ED14-4BB4-A13A-029ADC9767EE}" name="Column1" dataDxfId="217"/>
    <tableColumn id="2" xr3:uid="{5C31694B-4273-438A-AAF5-E145A5026772}" name="Column2" dataDxfId="216"/>
    <tableColumn id="3" xr3:uid="{F8E19647-6413-462D-99EF-0B9BC3169999}" name="Column3" dataDxfId="215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9C23AD7-68EB-4AB9-B862-3BB6D2FBDD37}" name="Table38121516233545183636656676594" displayName="Table38121516233545183636656676594" ref="M2568:O2570" totalsRowShown="0" headerRowDxfId="214" dataDxfId="213">
  <autoFilter ref="M2568:O2570" xr:uid="{00000000-0009-0000-0100-000004000000}"/>
  <tableColumns count="3">
    <tableColumn id="1" xr3:uid="{659AE855-3E6E-42DD-9BFC-81AC1CBF15FF}" name="Wireless Upgrade Timeout" dataDxfId="212"/>
    <tableColumn id="2" xr3:uid="{882C1415-C2F6-4BDF-880F-7CDA6CC4DEE8}" name="Value" dataDxfId="211"/>
    <tableColumn id="3" xr3:uid="{846FEECC-FAA5-4332-8FA7-0356FC876A2F}" name="Unit" dataDxfId="210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5102F15A-D57B-4ABD-94B2-8F563DBFA0A4}" name="Table381215162335451836366566767895" displayName="Table381215162335451836366566767895" ref="M2595:O2597" totalsRowShown="0" headerRowDxfId="209" dataDxfId="208">
  <autoFilter ref="M2595:O2597" xr:uid="{00000000-0009-0000-0100-000007000000}"/>
  <tableColumns count="3">
    <tableColumn id="1" xr3:uid="{7A8E4A44-0446-4D19-A484-8594EE1B3292}" name="Wireless Upgrade Timeout" dataDxfId="207"/>
    <tableColumn id="2" xr3:uid="{7F68C18B-3F97-4B41-811B-7AAC919384CC}" name="Value" dataDxfId="206"/>
    <tableColumn id="3" xr3:uid="{3EA286B3-3AC3-428B-9149-D38FE7D991A7}" name="Unit" dataDxfId="205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FFBF3C76-8497-48ED-8CCB-A50AE584F157}" name="Table3812152234444212106" displayName="Table3812152234444212106" ref="M2703:O2705" totalsRowShown="0" headerRowDxfId="204" dataDxfId="203">
  <autoFilter ref="M2703:O2705" xr:uid="{47599D1C-17F2-428D-AAFA-05140DE5EE97}"/>
  <tableColumns count="3">
    <tableColumn id="1" xr3:uid="{3DBEF845-71A7-43F3-B556-885F38D36B52}" name="Wi-Fi (TCP)" dataDxfId="202"/>
    <tableColumn id="2" xr3:uid="{F2722EAA-2877-4F4C-A73B-4315235B0A09}" name="Value" dataDxfId="201"/>
    <tableColumn id="3" xr3:uid="{D2F0EFB9-94F7-4DE3-A3B6-70A97B4506B5}" name="Unit" dataDxfId="200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B3E0EA5-D1FF-418A-8B53-76AB90E011CA}" name="Table381215223444421267107" displayName="Table381215223444421267107" ref="M2766:O2768" totalsRowShown="0" headerRowDxfId="199" dataDxfId="198">
  <autoFilter ref="M2766:O2768" xr:uid="{91234A98-9381-4796-A8A0-DD6E48E57F32}"/>
  <tableColumns count="3">
    <tableColumn id="1" xr3:uid="{5F03EC6F-CD7C-4EEF-A65B-EEDB434A7CB0}" name="Wi-Fi (TCP)" dataDxfId="197"/>
    <tableColumn id="2" xr3:uid="{E56E8F87-801E-497F-949D-053671DBEDF7}" name="Value" dataDxfId="196"/>
    <tableColumn id="3" xr3:uid="{46289D2A-CCB5-4123-8F07-7CA788AD72A5}" name="Unit" dataDxfId="195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C7FA650E-C38A-47A9-AA19-2B0CF1466B8E}" name="Table381215223444421237108" displayName="Table381215223444421237108" ref="M2621:O2623" totalsRowShown="0" headerRowDxfId="194" dataDxfId="193">
  <autoFilter ref="M2621:O2623" xr:uid="{EE1C876B-7B74-48D2-A289-81784E9B7147}"/>
  <tableColumns count="3">
    <tableColumn id="1" xr3:uid="{62BA38E7-DD9B-483D-8EC4-1B2408312ECC}" name="Wi-Fi (UDP)" dataDxfId="192"/>
    <tableColumn id="2" xr3:uid="{74163FE9-D51F-4C11-9E24-678392ED6F75}" name="Value" dataDxfId="191"/>
    <tableColumn id="3" xr3:uid="{A6B0F09E-AE37-4DED-B351-8B3823C10242}" name="Unit" dataDxfId="190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919E2EE7-87CC-485F-8290-1DD3DBC16489}" name="Table38327391217109" displayName="Table38327391217109" ref="M1375:O1377" totalsRowShown="0" headerRowDxfId="189" dataDxfId="188">
  <autoFilter ref="M1375:O1377" xr:uid="{00000000-0009-0000-0100-000010000000}"/>
  <tableColumns count="3">
    <tableColumn id="1" xr3:uid="{74E89FA8-7FC2-450D-AFE9-E45DF947E9E0}" name="Proximity Sensor Current " dataDxfId="187"/>
    <tableColumn id="2" xr3:uid="{6183ACDD-A74C-4376-984C-BEA2A405ED8D}" name="Value" dataDxfId="186"/>
    <tableColumn id="3" xr3:uid="{CBBACC2A-7353-4108-AACE-2B59BF22CE84}" name="Unit" dataDxfId="185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C0AC1D80-892D-4F64-AF95-BF509EF2C2CF}" name="Table383273912110" displayName="Table383273912110" ref="M1322:O1324" totalsRowShown="0" headerRowDxfId="184" dataDxfId="183">
  <autoFilter ref="M1322:O1324" xr:uid="{00000000-0009-0000-0100-00000B000000}"/>
  <tableColumns count="3">
    <tableColumn id="1" xr3:uid="{E1C59CD3-C18D-4EBF-8D22-07B346FF22D0}" name="Proximity Sensor Current " dataDxfId="182"/>
    <tableColumn id="2" xr3:uid="{A26C2D29-A151-46DC-AE9F-EE22F50E0EB6}" name="Value" dataDxfId="181"/>
    <tableColumn id="3" xr3:uid="{2E0DE37E-1EB6-49F5-9CA2-15CF80F7551D}" name="Unit" dataDxfId="180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2A508044-C68C-417B-9115-451A0F567479}" name="Table381215162335451836366566767778798067111" displayName="Table381215162335451836366566767778798067111" ref="M2299:O2301" totalsRowShown="0" headerRowDxfId="179" dataDxfId="178">
  <autoFilter ref="M2299:O2301" xr:uid="{CF50BA7E-1198-463D-BA16-D189C7CC0E00}"/>
  <tableColumns count="3">
    <tableColumn id="1" xr3:uid="{72C1F030-F62D-43F1-A34E-89BE4AD8C70A}" name="BLE Duress Event" dataDxfId="177"/>
    <tableColumn id="2" xr3:uid="{4D8F669F-6D18-48E9-BF44-CDDB81FAD5B2}" name="Value" dataDxfId="176"/>
    <tableColumn id="3" xr3:uid="{3A3A1E2F-CC82-4967-899F-CAFB9C05DC30}" name="Unit" dataDxfId="175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9E565E-E7D1-42F8-A267-477B2486D2FC}" name="Table383273912812112" displayName="Table383273912812112" ref="M1471:O1473" totalsRowShown="0" headerRowDxfId="174" dataDxfId="173">
  <autoFilter ref="M1471:O1473" xr:uid="{DC8EB548-4DC0-415E-B6CF-105CC535D434}"/>
  <tableColumns count="3">
    <tableColumn id="1" xr3:uid="{4CA36540-718A-4052-8CD2-507E5CEB61F9}" name="Button Press - Button + RF + BLE Transitions+ 1 Blue LED blink" dataDxfId="172"/>
    <tableColumn id="2" xr3:uid="{4BFEE40F-76FA-48A5-AEAB-C70EEC825CBB}" name="Value" dataDxfId="171"/>
    <tableColumn id="3" xr3:uid="{D4AD8603-F1C2-4895-A1E1-3BADB55B45C0}" name="Unit" dataDxfId="170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4A175209-2B4B-4902-9C53-B41637452672}" name="Table38327391281352113" displayName="Table38327391281352113" ref="A2460:C2462" totalsRowShown="0" headerRowDxfId="169" dataDxfId="168">
  <autoFilter ref="A2460:C2462" xr:uid="{02FAA452-FE9B-41FD-8005-B06400BB95B2}"/>
  <tableColumns count="3">
    <tableColumn id="1" xr3:uid="{68936216-D250-473D-BC9D-2FD9EFF46FDD}" name="BLE Upgrade through Mobile app" dataDxfId="167"/>
    <tableColumn id="2" xr3:uid="{7B0ECA4A-20AD-420D-9B1A-7127313D01BD}" name="Value" dataDxfId="166"/>
    <tableColumn id="3" xr3:uid="{887F5E23-3696-4CE7-A073-55635E2FF78E}" name="Unit" dataDxfId="165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1BBE8557-075A-41DF-8CBF-8AEAE999C816}" name="Table3832739128135254114" displayName="Table3832739128135254114" ref="A2818:C2820" totalsRowShown="0" headerRowDxfId="164" dataDxfId="163">
  <autoFilter ref="A2818:C2820" xr:uid="{128883D2-C3D7-40A5-9468-F9C1E4181391}"/>
  <tableColumns count="3">
    <tableColumn id="1" xr3:uid="{B064D827-7743-45A4-88AC-C588F041DB4D}" name="Short Button Press - Button 1 + RF + IR+ BLE Transitions+Blue LED 1 blink" dataDxfId="162"/>
    <tableColumn id="2" xr3:uid="{C658709B-9174-43DC-BF24-4604A2E11414}" name="Value" dataDxfId="161"/>
    <tableColumn id="3" xr3:uid="{6827412A-2E47-4184-925F-FFC1AF85A064}" name="Unit" dataDxfId="160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C8E70C34-93F9-4CF7-A29A-52EB1AAF549C}" name="Table383273912813525455115" displayName="Table383273912813525455115" ref="A2867:C2869" totalsRowShown="0" headerRowDxfId="159" dataDxfId="158">
  <autoFilter ref="A2867:C2869" xr:uid="{C1C1D376-995A-40D8-ABA7-A21AE7EA5A4C}"/>
  <tableColumns count="3">
    <tableColumn id="1" xr3:uid="{AB1B40D4-649B-4CD7-B558-A34B561BE5CB}" name="Short Button Press - Button 2 + RF +  BLE Transitions+Blue LED 1 blink" dataDxfId="157"/>
    <tableColumn id="2" xr3:uid="{DEF00AE0-F769-497F-8551-8D4D649C19E7}" name="Value" dataDxfId="156"/>
    <tableColumn id="3" xr3:uid="{A8E55486-150B-402C-9EDF-39A6CF862761}" name="Unit" dataDxfId="155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094B474-0A63-44B7-8295-B754524851D9}" name="Table38327391281352545556116" displayName="Table38327391281352545556116" ref="A2966:C2968" totalsRowShown="0" headerRowDxfId="154" dataDxfId="153">
  <autoFilter ref="A2966:C2968" xr:uid="{B4002077-0348-4B0D-AE09-0177C67BDF24}"/>
  <tableColumns count="3">
    <tableColumn id="1" xr3:uid="{4FB9E27B-2998-4382-A3C6-DA472E9C221D}" name="Short Button Press - Button 3 + RF +  BLE Transitions+Blue LED 1 blink" dataDxfId="152"/>
    <tableColumn id="2" xr3:uid="{F8B5CBEC-240B-4E8C-B1F1-3F84DB50902C}" name="Value" dataDxfId="151"/>
    <tableColumn id="3" xr3:uid="{24271495-42BA-4205-A11E-E5090EC6B70E}" name="Unit" dataDxfId="150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DD6B934B-ADF9-465C-8E70-E5DF83E081F0}" name="Table38327391281352545557117" displayName="Table38327391281352545557117" ref="A2916:C2918" totalsRowShown="0" headerRowDxfId="149" dataDxfId="148">
  <autoFilter ref="A2916:C2918" xr:uid="{8DF7F668-BE24-475B-971A-99AB654C8FF9}"/>
  <tableColumns count="3">
    <tableColumn id="1" xr3:uid="{B6F9A454-522E-41F4-B6A2-6C87B38ED2E3}" name="Short Button Press - Button 2 + RF +IR+  BLE Transitions+IR+Blue LED 1 blink" dataDxfId="147"/>
    <tableColumn id="2" xr3:uid="{3DC45687-3FF5-48FF-93C6-AB5F50B4F893}" name="Value" dataDxfId="146"/>
    <tableColumn id="3" xr3:uid="{AA61472F-F963-40F8-BEC1-0233064C7081}" name="Unit" dataDxfId="145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777F249-7384-43B2-AD4F-EEF9ECDE9B8E}" name="Table3832739128135254555637118" displayName="Table3832739128135254555637118" ref="A3113:C3115" totalsRowShown="0" headerRowDxfId="144" dataDxfId="143">
  <autoFilter ref="A3113:C3115" xr:uid="{44CCA5C7-E5AE-49CD-A877-81F5F704C7F4}"/>
  <tableColumns count="3">
    <tableColumn id="1" xr3:uid="{B3E566B2-BD7C-49D5-9772-153BCB874FF7}" name="Short Button Press - Button 1,2 + RF +  BLE Transitions+IR+Blue LED 1 blink" dataDxfId="142"/>
    <tableColumn id="2" xr3:uid="{47ECEA1E-F9F3-4C26-8076-DFCB8AC69DF4}" name="Value" dataDxfId="141"/>
    <tableColumn id="3" xr3:uid="{65AF0D46-B5F7-4676-A3D2-19D92BA924E6}" name="Unit" dataDxfId="140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A7B633AB-FE0F-4D68-8174-97B94E3591C6}" name="Table3832739128135254555753119" displayName="Table3832739128135254555753119" ref="A3064:C3066" totalsRowShown="0" headerRowDxfId="139" dataDxfId="138">
  <autoFilter ref="A3064:C3066" xr:uid="{9BF547D6-0F6B-4F66-A29B-3BCB292CB767}"/>
  <tableColumns count="3">
    <tableColumn id="1" xr3:uid="{5D1B8C51-3309-4228-93A3-1734D100F11E}" name="Short Button Press - Button 1,2 + RF +  BLE Transitions+Blue LED 1 blink" dataDxfId="137"/>
    <tableColumn id="2" xr3:uid="{E1E31A60-0AF3-45E3-9657-20C7091414B9}" name="Value" dataDxfId="136"/>
    <tableColumn id="3" xr3:uid="{22CB7FDD-9CC3-4499-B0D5-45AB1E6D33D4}" name="Unit" dataDxfId="135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2B31FB5-2D31-48A2-9CEB-8FB9EA345911}" name="Table38327391281352545558120" displayName="Table38327391281352545558120" ref="A3016:C3018" totalsRowShown="0" headerRowDxfId="134" dataDxfId="133">
  <autoFilter ref="A3016:C3018" xr:uid="{78E31A57-73C5-4116-9D5A-E64C1DC60C2C}"/>
  <tableColumns count="3">
    <tableColumn id="1" xr3:uid="{A19EA2A0-DE90-4402-8589-00AD3E1994E8}" name="Short Button Press - Button 3 + RF + BLE Transitions+IR+Blue LED 1 blink" dataDxfId="132"/>
    <tableColumn id="2" xr3:uid="{6B7D7760-91AC-457B-A2A2-CD033584197A}" name="Value" dataDxfId="131"/>
    <tableColumn id="3" xr3:uid="{DA6749CE-2EC7-44E6-9344-C0173CD2ECBC}" name="Unit" dataDxfId="130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46CB037C-ACC3-46C8-8615-CF12333DDD2B}" name="Table383273912813525455563760121" displayName="Table383273912813525455563760121" ref="A3163:C3165" totalsRowShown="0" headerRowDxfId="129" dataDxfId="128">
  <autoFilter ref="A3163:C3165" xr:uid="{D4B4CF51-F75F-440C-9E92-601CEDB89B2D}"/>
  <tableColumns count="3">
    <tableColumn id="1" xr3:uid="{8CD5D1CE-EADA-46FA-BA41-F91660458993}" name="Short Button Press - Button 1,3 + RF +  BLE Transitions+Blue LED 1 blink" dataDxfId="127"/>
    <tableColumn id="2" xr3:uid="{1FA53AD4-D8DA-4692-945D-4D1E81BDDF4C}" name="Value" dataDxfId="126"/>
    <tableColumn id="3" xr3:uid="{9336970C-E931-4FCC-BA07-EA5D227BE7FA}" name="Unit" dataDxfId="125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C2495FF-1A03-4074-9BD3-141A8C344817}" name="Table383273912813525455563768122" displayName="Table383273912813525455563768122" ref="A3213:C3215" totalsRowShown="0" headerRowDxfId="124" dataDxfId="123">
  <autoFilter ref="A3213:C3215" xr:uid="{BB802B84-1253-4822-8F9C-8BF40A64F9CC}"/>
  <tableColumns count="3">
    <tableColumn id="1" xr3:uid="{C93FEBFD-A481-44CF-8ED9-EB525FC7AF4A}" name="Short Button Press - Button 1,3 + RF +  BLE Transitions+IR+Blue LED 1 blink" dataDxfId="122"/>
    <tableColumn id="2" xr3:uid="{D2E84701-0D0F-4F70-8A3C-EBAB66DD02CF}" name="Value" dataDxfId="121"/>
    <tableColumn id="3" xr3:uid="{51DFEB2C-650A-4100-AB6A-D48C4714DC87}" name="Unit" dataDxfId="120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B3E9A6-5E19-43B8-83CF-CC8C23496AFF}" name="Table383273912813525455563769123" displayName="Table383273912813525455563769123" ref="A3263:C3265" totalsRowShown="0" headerRowDxfId="119" dataDxfId="118">
  <autoFilter ref="A3263:C3265" xr:uid="{9195C039-97B2-44BB-A30F-DE7440992B3D}"/>
  <tableColumns count="3">
    <tableColumn id="1" xr3:uid="{36E7553B-1494-470B-A685-436303224365}" name="Short Button Press - Button 2,3 + RF +  BLE Transitions+Blue LED 1 blink" dataDxfId="117"/>
    <tableColumn id="2" xr3:uid="{1E0F4D23-0B42-463A-AE06-159D5E8A5151}" name="Value" dataDxfId="116"/>
    <tableColumn id="3" xr3:uid="{986FC834-1CA1-4F35-9AE5-9FA1748299B4}" name="Unit" dataDxfId="115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3A7F8892-0AD3-42EA-9968-CB99B54EBAA8}" name="Table383273912813525455563773124" displayName="Table383273912813525455563773124" ref="A3313:C3315" totalsRowShown="0" headerRowDxfId="114" dataDxfId="113">
  <autoFilter ref="A3313:C3315" xr:uid="{1EC5AE28-C0CC-4E4C-8A5D-882BF8C69BF2}"/>
  <tableColumns count="3">
    <tableColumn id="1" xr3:uid="{20EC2738-39EE-4914-9310-A2EBC09CC4A1}" name="Short Button Press - Button 2,3+ RF +  BLE Transitions+IR+Blue LED 1 blink" dataDxfId="112"/>
    <tableColumn id="2" xr3:uid="{237E0004-B75F-4BE4-83E7-E61D811C6189}" name="Value" dataDxfId="111"/>
    <tableColumn id="3" xr3:uid="{C5B3FF2D-34FB-49B2-8C55-D70FED58D7A7}" name="Unit" dataDxfId="110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77DA14C8-2A38-43C6-AD78-27F24AE468DE}" name="Table383273912813525455563785125" displayName="Table383273912813525455563785125" ref="A3363:C3365" totalsRowShown="0" headerRowDxfId="109" dataDxfId="108">
  <autoFilter ref="A3363:C3365" xr:uid="{BA730C52-6A62-486C-809A-02D69E7741AD}"/>
  <tableColumns count="3">
    <tableColumn id="1" xr3:uid="{C7AA0498-3A76-4DB1-8358-9F217E0A5442}" name="Short Button Press - Button 1,2,3 + RF +  BLE Transitions+Blue LED 1 blink" dataDxfId="107"/>
    <tableColumn id="2" xr3:uid="{E7CEBC3D-0A15-4061-960F-F57833F155D6}" name="Value" dataDxfId="106"/>
    <tableColumn id="3" xr3:uid="{A37F3C24-600E-49FF-9C5D-2BB826EBE6D6}" name="Unit" dataDxfId="105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6E12E0CB-FE5C-4754-B23B-635D3E469EB6}" name="Table383273912813525455563787126" displayName="Table383273912813525455563787126" ref="A3413:C3415" totalsRowShown="0" headerRowDxfId="104" dataDxfId="103">
  <autoFilter ref="A3413:C3415" xr:uid="{7B4411E4-8FDF-4D7C-8B6F-E33BA94AF0BD}"/>
  <tableColumns count="3">
    <tableColumn id="1" xr3:uid="{F36565DA-5F2E-48FD-8F5E-D9CFFF85E16B}" name="Short Button Press - Button 1,2,3 + RF +  BLE Transitions+IR+Blue LED 1 blink" dataDxfId="102"/>
    <tableColumn id="2" xr3:uid="{4AB21DB5-39F5-4868-ADE5-9A788B79A4F3}" name="Value" dataDxfId="101"/>
    <tableColumn id="3" xr3:uid="{F1586E19-501B-4EF6-8D11-ECAEBB45D2CD}" name="Unit" dataDxfId="100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1BF6AF02-A716-473F-8AFF-996607379982}" name="Table38327391281352545556378788127" displayName="Table38327391281352545556378788127" ref="A3463:C3465" totalsRowShown="0" headerRowDxfId="99" dataDxfId="98">
  <autoFilter ref="A3463:C3465" xr:uid="{0DE850DD-FFE5-42A9-A6F2-BC146F01F310}"/>
  <tableColumns count="3">
    <tableColumn id="1" xr3:uid="{ED776DE2-5205-4CC4-9063-F9152B8930B9}" name="Long Button Press - Button 3L+ RF +  BLE Transitions+Blue LED 1 blink" dataDxfId="97"/>
    <tableColumn id="2" xr3:uid="{C57926EF-D19E-444E-9BA2-BE9C00AF1373}" name="Value" dataDxfId="96"/>
    <tableColumn id="3" xr3:uid="{1BCB3E30-4C7B-4711-BABF-6CE018ECAAF0}" name="Unit" dataDxfId="95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6C2AD769-A7B6-4001-9664-7FB24E3879C5}" name="Table3832739128135254555637878889128" displayName="Table3832739128135254555637878889128" ref="A3513:C3515" totalsRowShown="0" headerRowDxfId="94" dataDxfId="93">
  <autoFilter ref="A3513:C3515" xr:uid="{B6745559-3E6B-447B-9E54-00870FB44A6A}"/>
  <tableColumns count="3">
    <tableColumn id="1" xr3:uid="{6E566A7A-E884-46B9-BC71-876BDC84D915}" name="Long Button Press - Button 3L+ RF + BLE Transitions+IR+Blue LED 1 blink" dataDxfId="92"/>
    <tableColumn id="2" xr3:uid="{11FE622D-31E0-4E1F-8415-4E36ACD6A42F}" name="Value" dataDxfId="91"/>
    <tableColumn id="3" xr3:uid="{10FF288C-A96D-4FD6-9CC2-C7D9A1A1FB16}" name="Unit" dataDxfId="90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A0D15824-5F5A-4460-87B0-64073B19566F}" name="Table3832739128135254555637878890129" displayName="Table3832739128135254555637878890129" ref="A3563:C3565" totalsRowShown="0" headerRowDxfId="89" dataDxfId="88">
  <autoFilter ref="A3563:C3565" xr:uid="{6E8BFC48-5236-41DF-B00F-3305A2405503}"/>
  <tableColumns count="3">
    <tableColumn id="1" xr3:uid="{7DFACD18-1165-47CE-B783-DF14CF6DA461}" name="Long Button Press - Button 1L+ RF +  BLE Transitions+Blue LED 1 blink" dataDxfId="87"/>
    <tableColumn id="2" xr3:uid="{989A7D94-1B01-4A0A-AA21-90289F85F023}" name="Value" dataDxfId="86"/>
    <tableColumn id="3" xr3:uid="{F0DAF22E-CBAF-4B47-8B4E-057FC4429924}" name="Unit" dataDxfId="85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2A53429F-4DC9-4189-85DF-603DB847D98B}" name="Table3832739128135254555637878891130" displayName="Table3832739128135254555637878891130" ref="A3613:C3615" totalsRowShown="0" headerRowDxfId="84" dataDxfId="83">
  <autoFilter ref="A3613:C3615" xr:uid="{4A972619-0F23-4094-8D36-936E05832350}"/>
  <tableColumns count="3">
    <tableColumn id="1" xr3:uid="{1029F274-C7C2-48CF-9974-F8839BB6FAE0}" name="Long Button Press - Button 1L+ RF +  BLE Transitions+IR+Blue LED 1 blink" dataDxfId="82"/>
    <tableColumn id="2" xr3:uid="{F3A5F3E0-25CE-4733-B54C-F372E5B6B059}" name="Value" dataDxfId="81"/>
    <tableColumn id="3" xr3:uid="{E498A0B9-438B-4718-8053-40B4D968F5FD}" name="Unit" dataDxfId="80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96A22572-7FFE-4849-BCBD-A779E4105C8F}" name="Table383273912813525455563787889092131" displayName="Table383273912813525455563787889092131" ref="A3663:C3665" totalsRowShown="0" headerRowDxfId="79" dataDxfId="78">
  <autoFilter ref="A3663:C3665" xr:uid="{770BA69C-772C-4F73-A113-75E6D40FF5EC}"/>
  <tableColumns count="3">
    <tableColumn id="1" xr3:uid="{9AF34C5B-96EC-42AF-8C0B-441351F99F08}" name="Long Button Press - Button 2L+ RF +  BLE Transitions+Blue LED 1 blink" dataDxfId="77"/>
    <tableColumn id="2" xr3:uid="{7B859259-E6DD-447D-B541-2E5FFAE6905D}" name="Value" dataDxfId="76"/>
    <tableColumn id="3" xr3:uid="{3F0F8CFA-E356-4854-B2B6-B30B9CC6402A}" name="Unit" dataDxfId="75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F951BA9-B0E0-40D2-8D65-D7BF96324580}" name="Table383273912813525455563787889193132" displayName="Table383273912813525455563787889193132" ref="A3713:C3715" totalsRowShown="0" headerRowDxfId="74" dataDxfId="73">
  <autoFilter ref="A3713:C3715" xr:uid="{A3FBDC9F-9135-4938-A3BD-4F56AD68920E}"/>
  <tableColumns count="3">
    <tableColumn id="1" xr3:uid="{242D4B34-7531-4794-A94B-24E444BC265F}" name="Long Button Press - Button 2L+ RF +  BLE Transitions+IR+Blue LED 1 blink" dataDxfId="72"/>
    <tableColumn id="2" xr3:uid="{7E9B15C5-C3B4-4E41-97B8-FD64F09625B3}" name="Value" dataDxfId="71"/>
    <tableColumn id="3" xr3:uid="{81D7B1ED-4729-4F60-9A65-120E6B9F6591}" name="Unit" dataDxfId="70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3BB4D97A-B780-4498-BA82-1C2E79CA60E8}" name="Table383273912813525455563787889096133" displayName="Table383273912813525455563787889096133" ref="A3761:C3763" totalsRowShown="0" headerRowDxfId="69" dataDxfId="68">
  <autoFilter ref="A3761:C3763" xr:uid="{49F1B31B-FA41-4EDD-8887-8B554D3800DF}"/>
  <tableColumns count="3">
    <tableColumn id="1" xr3:uid="{E2EB9658-35FD-441A-9F57-8AB496A9D181}" name="Long Button Press - Button 1L,2L+ RF +  BLE Transitions+Blue LED 1 blink" dataDxfId="67"/>
    <tableColumn id="2" xr3:uid="{E25E39F1-D8A1-45D8-9D2A-B7C76F37C915}" name="Value" dataDxfId="66"/>
    <tableColumn id="3" xr3:uid="{F0AAF8CD-1AC1-48D2-B53E-777E76EF27CF}" name="Unit" dataDxfId="65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F0F5C0C2-FFAD-466F-8812-AA9491FB6650}" name="Table383273912813525455563787889197134" displayName="Table383273912813525455563787889197134" ref="A3809:C3811" totalsRowShown="0" headerRowDxfId="64" dataDxfId="63">
  <autoFilter ref="A3809:C3811" xr:uid="{52F8DE07-A4C7-4275-BA85-2921EBE7EFAA}"/>
  <tableColumns count="3">
    <tableColumn id="1" xr3:uid="{32D5A3DA-5CA7-4E41-BBB5-26BDD7B91482}" name="Long Button Press - Button 1L,2L+ RF +  BLE Transitions+IR+Blue LED 1 blink" dataDxfId="62"/>
    <tableColumn id="2" xr3:uid="{0728619E-DED0-4261-8DD5-D619534268E5}" name="Value" dataDxfId="61"/>
    <tableColumn id="3" xr3:uid="{EAE47E6F-904E-47EA-BDC2-723BBE6882EF}" name="Unit" dataDxfId="60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F62EE594-78DD-475E-A111-BE8F7A646EE8}" name="Table38327391281352545556378788909698135" displayName="Table38327391281352545556378788909698135" ref="A3859:C3861" totalsRowShown="0" headerRowDxfId="59" dataDxfId="58">
  <autoFilter ref="A3859:C3861" xr:uid="{D34C2133-1437-41A6-A293-436AE269C6A8}"/>
  <tableColumns count="3">
    <tableColumn id="1" xr3:uid="{A18E68AB-64F6-4A14-B330-E2C4FF6C6369}" name="Double Button Press - Button 1D+ RF +  BLE Transitions+Blue LED 1 blink" dataDxfId="57"/>
    <tableColumn id="2" xr3:uid="{DD6364C6-686C-468A-B402-453DE45F9B63}" name="Value" dataDxfId="56"/>
    <tableColumn id="3" xr3:uid="{9918DC1E-AF7E-4E05-8014-71B2290D65D9}" name="Unit" dataDxfId="55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813D0F45-2F7D-438C-87B7-B6941DC4E3E4}" name="Table38327391281352545556378788919799136" displayName="Table38327391281352545556378788919799136" ref="A3907:C3909" totalsRowShown="0" headerRowDxfId="54" dataDxfId="53">
  <autoFilter ref="A3907:C3909" xr:uid="{3FFAF480-6703-4868-B575-0313D32E5E1D}"/>
  <tableColumns count="3">
    <tableColumn id="1" xr3:uid="{C6DDE1E3-2580-44C0-9C2C-C59A8E08590D}" name="Double Button Press - Button 1D+ RF +  BLE Transitions+IR+Blue LED 1 blink" dataDxfId="52"/>
    <tableColumn id="2" xr3:uid="{D040AC58-03F0-4808-918C-27D737E2A3F9}" name="Value" dataDxfId="51"/>
    <tableColumn id="3" xr3:uid="{7EE7B5BA-9E47-4D7F-BB3B-9DDDC54BA18D}" name="Unit" dataDxfId="50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11683C2-2A0F-4751-AD56-E7B870DF9C0F}" name="Table383273912813525455563787889096100137" displayName="Table383273912813525455563787889096100137" ref="A3957:C3959" totalsRowShown="0" headerRowDxfId="49" dataDxfId="48">
  <autoFilter ref="A3957:C3959" xr:uid="{9D8536DB-8BF0-4DDF-BE55-52D5C06C073A}"/>
  <tableColumns count="3">
    <tableColumn id="1" xr3:uid="{35D04C0E-F627-47D8-8433-916269745FD6}" name="Double Button Press - Button 2D+ RF +  BLE Transitions+Blue LED 1 blink" dataDxfId="47"/>
    <tableColumn id="2" xr3:uid="{0462140E-A8DD-4C49-A2B2-0FDAAD2D2C5A}" name="Value" dataDxfId="46"/>
    <tableColumn id="3" xr3:uid="{29FFF20D-3EC4-4414-ACE4-CB08F401FE4E}" name="Unit" dataDxfId="45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95590C0-102C-418E-8C01-5C5F1B099673}" name="Table383273912813525455563787889197101138" displayName="Table383273912813525455563787889197101138" ref="A4005:C4007" totalsRowShown="0" headerRowDxfId="44" dataDxfId="43">
  <autoFilter ref="A4005:C4007" xr:uid="{4A573595-08CC-427D-A4AD-943A486879EF}"/>
  <tableColumns count="3">
    <tableColumn id="1" xr3:uid="{DC713EB6-C9A6-45AB-97E9-680A64656DC3}" name="Double Button Press - Button 2D+ RF +  BLE Transitions+IR+Blue LED 1 blink" dataDxfId="42"/>
    <tableColumn id="2" xr3:uid="{A6808F6D-9DFF-469B-9EA1-707451586D7D}" name="Value" dataDxfId="41"/>
    <tableColumn id="3" xr3:uid="{FEB66FAC-9E2F-4C57-A81C-690AB2F54553}" name="Unit" dataDxfId="40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CA95487-0DC6-4BDB-A900-70C76ECECEC6}" name="Table383273912813525455563787889096102139" displayName="Table383273912813525455563787889096102139" ref="A4055:C4057" totalsRowShown="0" headerRowDxfId="39" dataDxfId="38">
  <autoFilter ref="A4055:C4057" xr:uid="{FBF4B78C-20F1-4950-9EFD-D1EC2C589EDF}"/>
  <tableColumns count="3">
    <tableColumn id="1" xr3:uid="{ABDA7C7F-4625-4C48-963D-07F02D952C57}" name="Double Button Press - Button 1D,2D+ RF +  BLE Transitions+Blue LED 1 blink" dataDxfId="37"/>
    <tableColumn id="2" xr3:uid="{D42C0710-D178-4573-86DA-C04336B29EDA}" name="Value" dataDxfId="36"/>
    <tableColumn id="3" xr3:uid="{D681E204-E51F-4607-AA13-EE606AD8E2AF}" name="Unit" dataDxfId="35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F1B04E42-81CF-47D8-8B25-8395103CBA3B}" name="Table383273912813525455563787889197103140" displayName="Table383273912813525455563787889197103140" ref="A4103:C4105" totalsRowShown="0" headerRowDxfId="34" dataDxfId="33">
  <autoFilter ref="A4103:C4105" xr:uid="{E0EE9C08-113A-46D3-AB3B-8867E52F39CE}"/>
  <tableColumns count="3">
    <tableColumn id="1" xr3:uid="{D1058A4B-53C4-4E2D-B34D-0E3BEDDD3963}" name="Double Button Press - Button 1D,2D+ RF +  BLE Transitions+IR+Blue LED 1 blink" dataDxfId="32"/>
    <tableColumn id="2" xr3:uid="{B5CC8E48-99FF-488B-8013-5F5170EA00C9}" name="Value" dataDxfId="31"/>
    <tableColumn id="3" xr3:uid="{1A8BA687-A212-4CF2-9030-EEDD32DEABE4}" name="Unit" dataDxfId="30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A6127336-6849-40D1-B1CC-CFCB4160BA4B}" name="Table383273912813525455563787889096104141" displayName="Table383273912813525455563787889096104141" ref="A4153:C4155" totalsRowShown="0" headerRowDxfId="29" dataDxfId="28">
  <autoFilter ref="A4153:C4155" xr:uid="{A7EE09B7-5628-4304-8131-3AE74DC528C0}"/>
  <tableColumns count="3">
    <tableColumn id="1" xr3:uid="{2524B513-5D72-4A34-97F0-C9545EC33131}" name="Double Button Press - Button 3D+ RF +  BLE Transitions+Blue LED 1 blink" dataDxfId="27"/>
    <tableColumn id="2" xr3:uid="{FAD71C00-02D7-49F9-BDDE-014BDC3298D2}" name="Value" dataDxfId="26"/>
    <tableColumn id="3" xr3:uid="{097ADDB1-45EF-443C-A26C-24D6804DC5BB}" name="Unit" dataDxfId="25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AF992AE3-56F0-4083-8C93-1D4EE4B7520E}" name="Table383273912813525455563787889197105142" displayName="Table383273912813525455563787889197105142" ref="A4201:C4203" totalsRowShown="0" headerRowDxfId="24" dataDxfId="23">
  <autoFilter ref="A4201:C4203" xr:uid="{C1FB3324-D78A-47B4-960E-348458BFC64D}"/>
  <tableColumns count="3">
    <tableColumn id="1" xr3:uid="{8CC9EC22-8F6B-4AFD-B3B4-16DB0BAB5649}" name="Double Button Press - Button 3D+ RF +  BLE Transitions+IR+Blue LED 1 blink" dataDxfId="22"/>
    <tableColumn id="2" xr3:uid="{68CCF731-DFDF-492C-82C2-AED3544F2EAE}" name="Value" dataDxfId="21"/>
    <tableColumn id="3" xr3:uid="{5AB119F7-E3EC-4888-9F10-278D60475CCC}" name="Unit" dataDxfId="20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7C55DBD9-6057-4050-834A-FFD2E1846D49}" name="Table383273912813523143" displayName="Table383273912813523143" ref="A2607:C2609" totalsRowShown="0" headerRowDxfId="19" dataDxfId="18">
  <autoFilter ref="A2607:C2609" xr:uid="{9190A7EE-C4EA-4D0F-BBDD-5694288F3E5D}"/>
  <tableColumns count="3">
    <tableColumn id="1" xr3:uid="{300AD5D0-E9F8-4159-9DEE-896FB5E75B47}" name="Short Button Press - Button 1 + RF + BLE Transitions+Blue LED 1 blink" dataDxfId="17"/>
    <tableColumn id="2" xr3:uid="{5F6C7F43-B29A-4AF6-A9FF-B65541CB30D3}" name="Value" dataDxfId="16"/>
    <tableColumn id="3" xr3:uid="{1F448C67-5AC1-48AD-BB1B-85E27A8F0F82}" name="Unit" dataDxfId="15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FD552154-CE56-4924-9924-D1B9605116FB}" name="Table38121516233545183636656676776144" displayName="Table38121516233545183636656676776144" ref="M1923:O1925" totalsRowShown="0" headerRowDxfId="14" dataDxfId="13">
  <autoFilter ref="M1923:O1925" xr:uid="{87CE8CEB-D283-457E-AB61-A9E18B311782}"/>
  <tableColumns count="3">
    <tableColumn id="1" xr3:uid="{0D9D36D5-2A3B-4D9D-8DA6-4C8B62793F4C}" name="Wireless Upgrade Timeout Interval" dataDxfId="12"/>
    <tableColumn id="2" xr3:uid="{ACF8096C-2280-4107-940D-0D7E08E759D5}" name="Value" dataDxfId="11"/>
    <tableColumn id="3" xr3:uid="{C5F073C1-DF06-4046-AC90-1E789E20B099}" name="Unit" dataDxfId="10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33FA123-D2CC-4B50-B016-68468E468427}" name="Table381215162335451836366566767719145" displayName="Table381215162335451836366566767719145" ref="M2036:O2038" totalsRowShown="0" headerRowDxfId="9" dataDxfId="8">
  <autoFilter ref="M2036:O2038" xr:uid="{CA11FCDD-94C4-4192-803C-BCAA42C707D5}"/>
  <tableColumns count="3">
    <tableColumn id="1" xr3:uid="{C21A2CF6-4D2A-4690-81EB-1ADAB93CC67D}" name="BLE fast reporting interval" dataDxfId="7"/>
    <tableColumn id="2" xr3:uid="{15580874-E42A-4C01-938E-8F739C515802}" name="Value" dataDxfId="6"/>
    <tableColumn id="3" xr3:uid="{9639BEF6-B8C9-4597-9EA1-8F33CA7335CF}" name="Unit" dataDxfId="5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1D69794-046E-44F4-AA05-D1821543CB64}" name="Table3671052941143888243" displayName="Table3671052941143888243" ref="M1107:O1109" totalsRowShown="0" headerRowDxfId="4" dataDxfId="3">
  <autoFilter ref="M1107:O1109" xr:uid="{00000000-0009-0000-0100-000047000000}"/>
  <tableColumns count="3">
    <tableColumn id="1" xr3:uid="{2E3AF32F-D194-4DF4-8862-969F6DB1A52C}" name="LF Rx (Door Controller)" dataDxfId="2"/>
    <tableColumn id="2" xr3:uid="{D68D5ED1-BE8C-4A22-9968-54DBD4687EDF}" name="Value" dataDxfId="1"/>
    <tableColumn id="3" xr3:uid="{B23FAFCC-23F1-4740-8C66-848BEF5B9A41}" name="Un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entrakinc.atlassian.net/browse/AND-1362" TargetMode="External"/><Relationship Id="rId1" Type="http://schemas.openxmlformats.org/officeDocument/2006/relationships/hyperlink" Target="https://centrakinc.atlassian.net/browse/AND-84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42" Type="http://schemas.openxmlformats.org/officeDocument/2006/relationships/table" Target="../tables/table40.xml"/><Relationship Id="rId47" Type="http://schemas.openxmlformats.org/officeDocument/2006/relationships/table" Target="../tables/table45.xml"/><Relationship Id="rId50" Type="http://schemas.openxmlformats.org/officeDocument/2006/relationships/table" Target="../tables/table48.xml"/><Relationship Id="rId55" Type="http://schemas.openxmlformats.org/officeDocument/2006/relationships/table" Target="../tables/table53.xml"/><Relationship Id="rId63" Type="http://schemas.openxmlformats.org/officeDocument/2006/relationships/table" Target="../tables/table61.xml"/><Relationship Id="rId68" Type="http://schemas.openxmlformats.org/officeDocument/2006/relationships/table" Target="../tables/table66.xml"/><Relationship Id="rId7" Type="http://schemas.openxmlformats.org/officeDocument/2006/relationships/table" Target="../tables/table5.xml"/><Relationship Id="rId2" Type="http://schemas.openxmlformats.org/officeDocument/2006/relationships/drawing" Target="../drawings/drawing3.xml"/><Relationship Id="rId16" Type="http://schemas.openxmlformats.org/officeDocument/2006/relationships/table" Target="../tables/table14.xml"/><Relationship Id="rId29" Type="http://schemas.openxmlformats.org/officeDocument/2006/relationships/table" Target="../tables/table27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45" Type="http://schemas.openxmlformats.org/officeDocument/2006/relationships/table" Target="../tables/table43.xml"/><Relationship Id="rId53" Type="http://schemas.openxmlformats.org/officeDocument/2006/relationships/table" Target="../tables/table51.xml"/><Relationship Id="rId58" Type="http://schemas.openxmlformats.org/officeDocument/2006/relationships/table" Target="../tables/table56.xml"/><Relationship Id="rId66" Type="http://schemas.openxmlformats.org/officeDocument/2006/relationships/table" Target="../tables/table64.xml"/><Relationship Id="rId5" Type="http://schemas.openxmlformats.org/officeDocument/2006/relationships/table" Target="../tables/table3.xml"/><Relationship Id="rId61" Type="http://schemas.openxmlformats.org/officeDocument/2006/relationships/table" Target="../tables/table59.xml"/><Relationship Id="rId19" Type="http://schemas.openxmlformats.org/officeDocument/2006/relationships/table" Target="../tables/table1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43" Type="http://schemas.openxmlformats.org/officeDocument/2006/relationships/table" Target="../tables/table41.xml"/><Relationship Id="rId48" Type="http://schemas.openxmlformats.org/officeDocument/2006/relationships/table" Target="../tables/table46.xml"/><Relationship Id="rId56" Type="http://schemas.openxmlformats.org/officeDocument/2006/relationships/table" Target="../tables/table54.xml"/><Relationship Id="rId64" Type="http://schemas.openxmlformats.org/officeDocument/2006/relationships/table" Target="../tables/table62.xml"/><Relationship Id="rId8" Type="http://schemas.openxmlformats.org/officeDocument/2006/relationships/table" Target="../tables/table6.xml"/><Relationship Id="rId51" Type="http://schemas.openxmlformats.org/officeDocument/2006/relationships/table" Target="../tables/table49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Relationship Id="rId46" Type="http://schemas.openxmlformats.org/officeDocument/2006/relationships/table" Target="../tables/table44.xml"/><Relationship Id="rId59" Type="http://schemas.openxmlformats.org/officeDocument/2006/relationships/table" Target="../tables/table57.xml"/><Relationship Id="rId67" Type="http://schemas.openxmlformats.org/officeDocument/2006/relationships/table" Target="../tables/table65.xml"/><Relationship Id="rId20" Type="http://schemas.openxmlformats.org/officeDocument/2006/relationships/table" Target="../tables/table18.xml"/><Relationship Id="rId41" Type="http://schemas.openxmlformats.org/officeDocument/2006/relationships/table" Target="../tables/table39.xml"/><Relationship Id="rId54" Type="http://schemas.openxmlformats.org/officeDocument/2006/relationships/table" Target="../tables/table52.xml"/><Relationship Id="rId62" Type="http://schemas.openxmlformats.org/officeDocument/2006/relationships/table" Target="../tables/table60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49" Type="http://schemas.openxmlformats.org/officeDocument/2006/relationships/table" Target="../tables/table47.xml"/><Relationship Id="rId57" Type="http://schemas.openxmlformats.org/officeDocument/2006/relationships/table" Target="../tables/table55.xml"/><Relationship Id="rId10" Type="http://schemas.openxmlformats.org/officeDocument/2006/relationships/table" Target="../tables/table8.xml"/><Relationship Id="rId31" Type="http://schemas.openxmlformats.org/officeDocument/2006/relationships/table" Target="../tables/table29.xml"/><Relationship Id="rId44" Type="http://schemas.openxmlformats.org/officeDocument/2006/relationships/table" Target="../tables/table42.xml"/><Relationship Id="rId52" Type="http://schemas.openxmlformats.org/officeDocument/2006/relationships/table" Target="../tables/table50.xml"/><Relationship Id="rId60" Type="http://schemas.openxmlformats.org/officeDocument/2006/relationships/table" Target="../tables/table58.xml"/><Relationship Id="rId65" Type="http://schemas.openxmlformats.org/officeDocument/2006/relationships/table" Target="../tables/table6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9" Type="http://schemas.openxmlformats.org/officeDocument/2006/relationships/table" Target="../tables/table3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9"/>
  <sheetViews>
    <sheetView zoomScale="85" zoomScaleNormal="85" workbookViewId="0">
      <selection activeCell="B2" sqref="B2"/>
    </sheetView>
  </sheetViews>
  <sheetFormatPr defaultRowHeight="14.45"/>
  <cols>
    <col min="1" max="1" width="1.42578125" bestFit="1" customWidth="1"/>
    <col min="2" max="2" width="34.5703125" customWidth="1"/>
    <col min="3" max="3" width="40.5703125" customWidth="1"/>
    <col min="4" max="4" width="17.28515625" customWidth="1"/>
    <col min="5" max="9" width="15.7109375" customWidth="1"/>
  </cols>
  <sheetData>
    <row r="2" spans="1:9" ht="36.6">
      <c r="B2" s="9" t="s">
        <v>0</v>
      </c>
    </row>
    <row r="3" spans="1:9" ht="36.6">
      <c r="B3" s="2"/>
    </row>
    <row r="4" spans="1:9" ht="36.6">
      <c r="B4" s="2"/>
      <c r="C4" s="4" t="s">
        <v>1</v>
      </c>
    </row>
    <row r="5" spans="1:9">
      <c r="B5" s="5" t="s">
        <v>2</v>
      </c>
      <c r="C5" s="5" t="s">
        <v>3</v>
      </c>
      <c r="D5" s="5" t="s">
        <v>4</v>
      </c>
      <c r="E5" s="5" t="s">
        <v>5</v>
      </c>
    </row>
    <row r="6" spans="1:9">
      <c r="A6" t="s">
        <v>6</v>
      </c>
      <c r="B6" s="1" t="s">
        <v>7</v>
      </c>
      <c r="C6" s="1" t="s">
        <v>8</v>
      </c>
      <c r="D6" s="127">
        <v>45175</v>
      </c>
      <c r="E6" s="7" t="s">
        <v>9</v>
      </c>
    </row>
    <row r="7" spans="1:9">
      <c r="B7" s="1" t="s">
        <v>10</v>
      </c>
      <c r="C7" s="1" t="s">
        <v>11</v>
      </c>
      <c r="D7" s="127">
        <v>45446</v>
      </c>
      <c r="E7" s="7" t="s">
        <v>12</v>
      </c>
    </row>
    <row r="8" spans="1:9">
      <c r="B8" s="1"/>
      <c r="C8" s="1"/>
      <c r="D8" s="109"/>
      <c r="E8" s="7"/>
    </row>
    <row r="9" spans="1:9">
      <c r="B9" s="1"/>
      <c r="C9" s="1"/>
      <c r="D9" s="127"/>
      <c r="E9" s="7"/>
    </row>
    <row r="10" spans="1:9">
      <c r="B10" s="1"/>
      <c r="C10" s="1"/>
      <c r="D10" s="127"/>
      <c r="E10" s="7"/>
    </row>
    <row r="11" spans="1:9">
      <c r="B11" s="1"/>
      <c r="C11" s="1"/>
      <c r="D11" s="8"/>
      <c r="E11" s="1"/>
    </row>
    <row r="12" spans="1:9" ht="36.6">
      <c r="B12" s="2"/>
      <c r="D12" s="3"/>
    </row>
    <row r="13" spans="1:9">
      <c r="D13" s="3"/>
    </row>
    <row r="14" spans="1:9" ht="23.45">
      <c r="B14" s="133" t="s">
        <v>13</v>
      </c>
      <c r="C14" s="134"/>
      <c r="D14" s="3"/>
      <c r="E14" s="319" t="s">
        <v>14</v>
      </c>
      <c r="F14" s="320"/>
      <c r="G14" s="320"/>
      <c r="H14" s="320"/>
      <c r="I14" s="321"/>
    </row>
    <row r="15" spans="1:9">
      <c r="B15" s="135" t="s">
        <v>15</v>
      </c>
      <c r="C15" s="136" t="s">
        <v>16</v>
      </c>
      <c r="D15" s="3"/>
      <c r="E15" s="322"/>
      <c r="F15" s="322"/>
      <c r="G15" s="322"/>
      <c r="H15" s="322"/>
      <c r="I15" s="322"/>
    </row>
    <row r="16" spans="1:9">
      <c r="B16" s="128" t="s">
        <v>17</v>
      </c>
      <c r="C16" s="129" t="s">
        <v>18</v>
      </c>
      <c r="D16" s="3"/>
      <c r="E16" s="322"/>
      <c r="F16" s="322"/>
      <c r="G16" s="322"/>
      <c r="H16" s="322"/>
      <c r="I16" s="322"/>
    </row>
    <row r="17" spans="2:9" ht="15.75" customHeight="1">
      <c r="B17" s="128" t="s">
        <v>19</v>
      </c>
      <c r="C17" s="165" t="s">
        <v>20</v>
      </c>
      <c r="E17" s="322"/>
      <c r="F17" s="322"/>
      <c r="G17" s="322"/>
      <c r="H17" s="322"/>
      <c r="I17" s="322"/>
    </row>
    <row r="18" spans="2:9">
      <c r="B18" s="128" t="s">
        <v>21</v>
      </c>
      <c r="C18" s="166" t="s">
        <v>22</v>
      </c>
      <c r="E18" s="322"/>
      <c r="F18" s="322"/>
      <c r="G18" s="322"/>
      <c r="H18" s="322"/>
      <c r="I18" s="322"/>
    </row>
    <row r="19" spans="2:9">
      <c r="B19" s="128" t="s">
        <v>23</v>
      </c>
      <c r="C19" s="130" t="s">
        <v>24</v>
      </c>
      <c r="E19" s="322"/>
      <c r="F19" s="322"/>
      <c r="G19" s="322"/>
      <c r="H19" s="322"/>
      <c r="I19" s="322"/>
    </row>
    <row r="20" spans="2:9">
      <c r="B20" s="128" t="s">
        <v>25</v>
      </c>
      <c r="C20" s="130" t="s">
        <v>26</v>
      </c>
      <c r="E20" s="322"/>
      <c r="F20" s="322"/>
      <c r="G20" s="322"/>
      <c r="H20" s="322"/>
      <c r="I20" s="322"/>
    </row>
    <row r="21" spans="2:9">
      <c r="B21" s="128" t="s">
        <v>27</v>
      </c>
      <c r="C21" s="167" t="s">
        <v>28</v>
      </c>
      <c r="E21" s="322"/>
      <c r="F21" s="322"/>
      <c r="G21" s="322"/>
      <c r="H21" s="322"/>
      <c r="I21" s="322"/>
    </row>
    <row r="22" spans="2:9">
      <c r="B22" s="128" t="s">
        <v>29</v>
      </c>
      <c r="C22" s="131">
        <v>45481</v>
      </c>
      <c r="E22" s="322"/>
      <c r="F22" s="322"/>
      <c r="G22" s="322"/>
      <c r="H22" s="322"/>
      <c r="I22" s="322"/>
    </row>
    <row r="23" spans="2:9">
      <c r="B23" s="128" t="s">
        <v>30</v>
      </c>
      <c r="C23" s="307" t="s">
        <v>31</v>
      </c>
      <c r="E23" s="322"/>
      <c r="F23" s="322"/>
      <c r="G23" s="322"/>
      <c r="H23" s="322"/>
      <c r="I23" s="322"/>
    </row>
    <row r="24" spans="2:9">
      <c r="B24" s="128" t="s">
        <v>32</v>
      </c>
      <c r="C24" s="307" t="s">
        <v>33</v>
      </c>
      <c r="E24" s="322"/>
      <c r="F24" s="322"/>
      <c r="G24" s="322"/>
      <c r="H24" s="322"/>
      <c r="I24" s="322"/>
    </row>
    <row r="25" spans="2:9">
      <c r="B25" s="128" t="s">
        <v>34</v>
      </c>
      <c r="C25" s="132" t="s">
        <v>35</v>
      </c>
      <c r="E25" s="322"/>
      <c r="F25" s="322"/>
      <c r="G25" s="322"/>
      <c r="H25" s="322"/>
      <c r="I25" s="322"/>
    </row>
    <row r="26" spans="2:9">
      <c r="B26" s="128" t="s">
        <v>36</v>
      </c>
      <c r="C26" s="132" t="s">
        <v>37</v>
      </c>
      <c r="E26" s="322"/>
      <c r="F26" s="322"/>
      <c r="G26" s="322"/>
      <c r="H26" s="322"/>
      <c r="I26" s="322"/>
    </row>
    <row r="39" spans="7:7">
      <c r="G39" s="6"/>
    </row>
  </sheetData>
  <mergeCells count="2">
    <mergeCell ref="E14:I14"/>
    <mergeCell ref="E15:I26"/>
  </mergeCells>
  <hyperlinks>
    <hyperlink ref="C24" r:id="rId1" xr:uid="{037984CD-5541-42CE-B5A2-B12B709458F7}"/>
    <hyperlink ref="C23" r:id="rId2" xr:uid="{1B69B811-2302-4486-A765-329B791BEC0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336C-9416-46E9-9136-FE29BFED98D4}">
  <dimension ref="A1:X37"/>
  <sheetViews>
    <sheetView zoomScaleNormal="100" workbookViewId="0">
      <selection activeCell="Q14" sqref="Q14"/>
    </sheetView>
  </sheetViews>
  <sheetFormatPr defaultRowHeight="14.45"/>
  <cols>
    <col min="1" max="1" width="13.7109375" customWidth="1"/>
    <col min="2" max="3" width="17.7109375" customWidth="1"/>
    <col min="4" max="4" width="8.85546875" style="6"/>
    <col min="16" max="22" width="10.7109375" customWidth="1"/>
  </cols>
  <sheetData>
    <row r="1" spans="1:22" ht="24" thickBot="1">
      <c r="A1" s="343" t="s">
        <v>38</v>
      </c>
      <c r="B1" s="344"/>
      <c r="C1" s="344"/>
      <c r="D1" s="344"/>
      <c r="E1" s="344"/>
      <c r="F1" s="345"/>
      <c r="H1" s="343" t="s">
        <v>39</v>
      </c>
      <c r="I1" s="344"/>
      <c r="J1" s="344"/>
      <c r="K1" s="344"/>
      <c r="L1" s="344"/>
      <c r="M1" s="344"/>
      <c r="N1" s="345"/>
      <c r="P1" s="346" t="s">
        <v>40</v>
      </c>
      <c r="Q1" s="347"/>
      <c r="R1" s="347"/>
      <c r="S1" s="347"/>
      <c r="T1" s="347"/>
      <c r="U1" s="348"/>
      <c r="V1" s="301"/>
    </row>
    <row r="2" spans="1:22" ht="26.45" customHeight="1" thickBot="1">
      <c r="A2" s="279" t="s">
        <v>41</v>
      </c>
      <c r="B2" s="325" t="s">
        <v>42</v>
      </c>
      <c r="C2" s="327"/>
      <c r="D2" s="325" t="s">
        <v>43</v>
      </c>
      <c r="E2" s="326"/>
      <c r="F2" s="327"/>
      <c r="H2" s="325" t="s">
        <v>44</v>
      </c>
      <c r="I2" s="326"/>
      <c r="J2" s="326"/>
      <c r="K2" s="326"/>
      <c r="L2" s="326"/>
      <c r="M2" s="326"/>
      <c r="N2" s="327"/>
      <c r="P2" s="349"/>
      <c r="Q2" s="350"/>
      <c r="R2" s="350"/>
      <c r="S2" s="350"/>
      <c r="T2" s="350"/>
      <c r="U2" s="351"/>
      <c r="V2" s="301"/>
    </row>
    <row r="3" spans="1:22" ht="15.6" customHeight="1">
      <c r="A3" s="263" t="s">
        <v>45</v>
      </c>
      <c r="B3" s="356" t="s">
        <v>46</v>
      </c>
      <c r="C3" s="356"/>
      <c r="D3" s="330" t="s">
        <v>47</v>
      </c>
      <c r="E3" s="330"/>
      <c r="F3" s="330"/>
      <c r="P3" s="354" t="s">
        <v>48</v>
      </c>
      <c r="Q3" s="363" t="s">
        <v>49</v>
      </c>
      <c r="R3" s="363" t="s">
        <v>50</v>
      </c>
      <c r="S3" s="361" t="s">
        <v>51</v>
      </c>
      <c r="T3" s="361" t="s">
        <v>52</v>
      </c>
      <c r="U3" s="359" t="s">
        <v>53</v>
      </c>
      <c r="V3" s="272" t="s">
        <v>54</v>
      </c>
    </row>
    <row r="4" spans="1:22" ht="15" thickBot="1">
      <c r="A4" s="297" t="s">
        <v>55</v>
      </c>
      <c r="B4" s="352" t="s">
        <v>56</v>
      </c>
      <c r="C4" s="352"/>
      <c r="D4" s="353" t="s">
        <v>57</v>
      </c>
      <c r="E4" s="353"/>
      <c r="F4" s="353"/>
      <c r="P4" s="355"/>
      <c r="Q4" s="364"/>
      <c r="R4" s="364"/>
      <c r="S4" s="362"/>
      <c r="T4" s="362"/>
      <c r="U4" s="360"/>
    </row>
    <row r="5" spans="1:22" ht="14.45" customHeight="1">
      <c r="A5" s="337" t="s">
        <v>58</v>
      </c>
      <c r="B5" s="358" t="s">
        <v>48</v>
      </c>
      <c r="C5" s="358"/>
      <c r="D5" s="252">
        <v>0.38</v>
      </c>
      <c r="E5" s="257">
        <f>D5*7*24</f>
        <v>63.84</v>
      </c>
      <c r="F5" s="251" t="s">
        <v>59</v>
      </c>
      <c r="P5" s="371">
        <v>0.3</v>
      </c>
      <c r="Q5" s="366">
        <v>1.33</v>
      </c>
      <c r="R5" s="373">
        <v>1.35</v>
      </c>
      <c r="S5" s="366">
        <v>2.0299999999999998</v>
      </c>
      <c r="T5" s="366">
        <v>1.41</v>
      </c>
      <c r="U5" s="365">
        <v>2.0699999999999998</v>
      </c>
    </row>
    <row r="6" spans="1:22" ht="15" customHeight="1">
      <c r="A6" s="337"/>
      <c r="B6" s="358" t="s">
        <v>60</v>
      </c>
      <c r="C6" s="358"/>
      <c r="D6" s="253" t="s">
        <v>61</v>
      </c>
      <c r="E6" s="331"/>
      <c r="F6" s="331"/>
      <c r="P6" s="371"/>
      <c r="Q6" s="366"/>
      <c r="R6" s="366"/>
      <c r="S6" s="366"/>
      <c r="T6" s="366"/>
      <c r="U6" s="365"/>
    </row>
    <row r="7" spans="1:22" ht="14.45" customHeight="1">
      <c r="A7" s="336" t="s">
        <v>62</v>
      </c>
      <c r="B7" s="357" t="s">
        <v>63</v>
      </c>
      <c r="C7" s="357"/>
      <c r="D7" s="262">
        <v>0.4</v>
      </c>
      <c r="E7" s="261">
        <f t="shared" ref="E7:E9" si="0">D7*7*24</f>
        <v>67.2</v>
      </c>
      <c r="F7" s="261" t="s">
        <v>59</v>
      </c>
      <c r="P7" s="369">
        <v>0.38</v>
      </c>
      <c r="Q7" s="370">
        <v>1.1200000000000001</v>
      </c>
      <c r="R7" s="370">
        <v>1.1399999999999999</v>
      </c>
      <c r="S7" s="366">
        <v>1.73</v>
      </c>
      <c r="T7" s="366">
        <v>1.18</v>
      </c>
      <c r="U7" s="365">
        <v>1.76</v>
      </c>
      <c r="V7" s="269"/>
    </row>
    <row r="8" spans="1:22" ht="15.6" customHeight="1">
      <c r="A8" s="336"/>
      <c r="B8" s="357" t="s">
        <v>64</v>
      </c>
      <c r="C8" s="357"/>
      <c r="D8" s="260">
        <v>1.5</v>
      </c>
      <c r="E8" s="332" t="s">
        <v>65</v>
      </c>
      <c r="F8" s="332"/>
      <c r="P8" s="369"/>
      <c r="Q8" s="370"/>
      <c r="R8" s="370"/>
      <c r="S8" s="366"/>
      <c r="T8" s="366"/>
      <c r="U8" s="365"/>
    </row>
    <row r="9" spans="1:22" ht="15.6" customHeight="1">
      <c r="A9" s="335" t="s">
        <v>66</v>
      </c>
      <c r="B9" s="340" t="s">
        <v>67</v>
      </c>
      <c r="C9" s="340"/>
      <c r="D9" s="254">
        <v>0.3</v>
      </c>
      <c r="E9" s="236">
        <f t="shared" si="0"/>
        <v>50.400000000000006</v>
      </c>
      <c r="F9" s="236" t="s">
        <v>59</v>
      </c>
      <c r="P9" s="371">
        <v>0.5</v>
      </c>
      <c r="Q9" s="366">
        <v>0.91</v>
      </c>
      <c r="R9" s="366">
        <v>0.92</v>
      </c>
      <c r="S9" s="366">
        <v>1.41</v>
      </c>
      <c r="T9" s="366">
        <v>0.96</v>
      </c>
      <c r="U9" s="365">
        <v>1.44</v>
      </c>
    </row>
    <row r="10" spans="1:22" ht="15" thickBot="1">
      <c r="A10" s="335"/>
      <c r="B10" s="340" t="s">
        <v>68</v>
      </c>
      <c r="C10" s="340"/>
      <c r="D10" s="255">
        <v>100</v>
      </c>
      <c r="E10" s="329" t="s">
        <v>69</v>
      </c>
      <c r="F10" s="329"/>
      <c r="P10" s="372"/>
      <c r="Q10" s="367"/>
      <c r="R10" s="367"/>
      <c r="S10" s="367"/>
      <c r="T10" s="367"/>
      <c r="U10" s="368"/>
    </row>
    <row r="11" spans="1:22" ht="15.6">
      <c r="A11" s="335"/>
      <c r="B11" s="273" t="s">
        <v>70</v>
      </c>
      <c r="C11" s="273"/>
      <c r="D11" s="254">
        <v>0.03</v>
      </c>
      <c r="E11" s="258">
        <f>D11*7*24</f>
        <v>5.04</v>
      </c>
      <c r="F11" s="236" t="s">
        <v>59</v>
      </c>
      <c r="V11" s="299"/>
    </row>
    <row r="12" spans="1:22">
      <c r="A12" s="335"/>
      <c r="B12" s="340" t="s">
        <v>71</v>
      </c>
      <c r="C12" s="340"/>
      <c r="D12" s="254">
        <v>0</v>
      </c>
      <c r="E12" s="236">
        <f>D12*7*24</f>
        <v>0</v>
      </c>
      <c r="F12" s="236" t="s">
        <v>59</v>
      </c>
      <c r="V12" s="6"/>
    </row>
    <row r="13" spans="1:22" ht="14.45" customHeight="1">
      <c r="A13" s="335"/>
      <c r="B13" s="340" t="s">
        <v>72</v>
      </c>
      <c r="C13" s="340"/>
      <c r="D13" s="254">
        <v>0.02</v>
      </c>
      <c r="E13" s="258">
        <f>D13*7*24</f>
        <v>3.3600000000000003</v>
      </c>
      <c r="F13" s="236" t="s">
        <v>59</v>
      </c>
      <c r="U13" s="298"/>
      <c r="V13" s="281"/>
    </row>
    <row r="14" spans="1:22">
      <c r="A14" s="339" t="s">
        <v>73</v>
      </c>
      <c r="B14" s="341" t="s">
        <v>74</v>
      </c>
      <c r="C14" s="341"/>
      <c r="D14" s="256">
        <v>6</v>
      </c>
      <c r="E14" s="328" t="s">
        <v>69</v>
      </c>
      <c r="F14" s="328"/>
      <c r="U14" s="274"/>
      <c r="V14" s="6"/>
    </row>
    <row r="15" spans="1:22">
      <c r="A15" s="339"/>
      <c r="B15" s="341" t="s">
        <v>75</v>
      </c>
      <c r="C15" s="341"/>
      <c r="D15" s="256">
        <v>2</v>
      </c>
      <c r="E15" s="328" t="s">
        <v>69</v>
      </c>
      <c r="F15" s="328"/>
      <c r="U15" s="274"/>
      <c r="V15" s="6"/>
    </row>
    <row r="16" spans="1:22">
      <c r="A16" s="338" t="s">
        <v>76</v>
      </c>
      <c r="B16" s="334" t="s">
        <v>77</v>
      </c>
      <c r="C16" s="334"/>
      <c r="D16" s="259">
        <v>20</v>
      </c>
      <c r="E16" s="324" t="s">
        <v>78</v>
      </c>
      <c r="F16" s="324"/>
      <c r="U16" s="274"/>
      <c r="V16" s="6"/>
    </row>
    <row r="17" spans="1:24">
      <c r="A17" s="338"/>
      <c r="B17" s="334" t="s">
        <v>79</v>
      </c>
      <c r="C17" s="334"/>
      <c r="D17" s="259" t="s">
        <v>80</v>
      </c>
      <c r="E17" s="324"/>
      <c r="F17" s="324"/>
      <c r="T17" s="300"/>
      <c r="U17" s="274"/>
      <c r="V17" s="6"/>
    </row>
    <row r="18" spans="1:24">
      <c r="A18" s="338"/>
      <c r="B18" s="334" t="s">
        <v>75</v>
      </c>
      <c r="C18" s="334"/>
      <c r="D18" s="259">
        <v>2</v>
      </c>
      <c r="E18" s="324" t="s">
        <v>69</v>
      </c>
      <c r="F18" s="324"/>
      <c r="T18" s="300"/>
      <c r="U18" s="274"/>
      <c r="W18" s="6"/>
      <c r="X18" s="6"/>
    </row>
    <row r="19" spans="1:24">
      <c r="A19" s="338"/>
      <c r="B19" s="334" t="s">
        <v>81</v>
      </c>
      <c r="C19" s="334"/>
      <c r="D19" s="259">
        <f>50/365.25</f>
        <v>0.13689253935660506</v>
      </c>
      <c r="E19" s="324" t="s">
        <v>69</v>
      </c>
      <c r="F19" s="324"/>
      <c r="T19" s="300"/>
      <c r="U19" s="274"/>
      <c r="W19" s="6"/>
      <c r="X19" s="6"/>
    </row>
    <row r="20" spans="1:24">
      <c r="A20" s="338"/>
      <c r="B20" s="334" t="s">
        <v>82</v>
      </c>
      <c r="C20" s="334"/>
      <c r="D20" s="259">
        <v>5</v>
      </c>
      <c r="E20" s="324" t="s">
        <v>78</v>
      </c>
      <c r="F20" s="324"/>
      <c r="W20" s="6"/>
      <c r="X20" s="6"/>
    </row>
    <row r="21" spans="1:24">
      <c r="A21" s="277" t="s">
        <v>83</v>
      </c>
      <c r="B21" s="333" t="s">
        <v>84</v>
      </c>
      <c r="C21" s="333"/>
      <c r="D21" s="278" t="s">
        <v>85</v>
      </c>
      <c r="E21" s="323"/>
      <c r="F21" s="323"/>
    </row>
    <row r="22" spans="1:24" ht="45.6" customHeight="1">
      <c r="A22" s="275" t="s">
        <v>86</v>
      </c>
      <c r="B22" s="276"/>
      <c r="C22" s="276"/>
      <c r="D22" s="342" t="s">
        <v>87</v>
      </c>
      <c r="E22" s="342"/>
      <c r="F22" s="342"/>
    </row>
    <row r="23" spans="1:24">
      <c r="A23" s="138"/>
    </row>
    <row r="27" spans="1:24">
      <c r="D27"/>
      <c r="E27" s="274"/>
      <c r="F27" s="268"/>
    </row>
    <row r="29" spans="1:24" ht="18">
      <c r="O29" s="298"/>
    </row>
    <row r="30" spans="1:24">
      <c r="M30" s="268"/>
      <c r="O30" s="274"/>
    </row>
    <row r="31" spans="1:24" ht="15.6">
      <c r="O31" s="274"/>
      <c r="P31" s="299"/>
      <c r="Q31" s="299"/>
      <c r="R31" s="299"/>
      <c r="S31" s="299"/>
    </row>
    <row r="32" spans="1:24">
      <c r="O32" s="274"/>
      <c r="P32" s="6"/>
      <c r="Q32" s="6"/>
      <c r="R32" s="6"/>
      <c r="S32" s="6"/>
    </row>
    <row r="33" spans="14:19">
      <c r="N33" s="300"/>
      <c r="O33" s="274"/>
      <c r="P33" s="281"/>
      <c r="Q33" s="281"/>
      <c r="R33" s="281"/>
      <c r="S33" s="281"/>
    </row>
    <row r="34" spans="14:19">
      <c r="N34" s="300"/>
      <c r="O34" s="274"/>
      <c r="P34" s="6"/>
      <c r="Q34" s="6"/>
      <c r="R34" s="6"/>
      <c r="S34" s="6"/>
    </row>
    <row r="35" spans="14:19">
      <c r="N35" s="300"/>
      <c r="O35" s="274"/>
      <c r="P35" s="6"/>
      <c r="Q35" s="6"/>
      <c r="R35" s="6"/>
      <c r="S35" s="6"/>
    </row>
    <row r="36" spans="14:19">
      <c r="P36" s="6"/>
      <c r="Q36" s="6"/>
      <c r="R36" s="6"/>
      <c r="S36" s="6"/>
    </row>
    <row r="37" spans="14:19">
      <c r="P37" s="6"/>
      <c r="Q37" s="6"/>
      <c r="R37" s="6"/>
      <c r="S37" s="6"/>
    </row>
  </sheetData>
  <mergeCells count="67">
    <mergeCell ref="T9:T10"/>
    <mergeCell ref="U9:U10"/>
    <mergeCell ref="P7:P8"/>
    <mergeCell ref="Q7:Q8"/>
    <mergeCell ref="P5:P6"/>
    <mergeCell ref="P9:P10"/>
    <mergeCell ref="Q5:Q6"/>
    <mergeCell ref="Q9:Q10"/>
    <mergeCell ref="S5:S6"/>
    <mergeCell ref="S7:S8"/>
    <mergeCell ref="S9:S10"/>
    <mergeCell ref="R7:R8"/>
    <mergeCell ref="R9:R10"/>
    <mergeCell ref="R5:R6"/>
    <mergeCell ref="U3:U4"/>
    <mergeCell ref="T3:T4"/>
    <mergeCell ref="Q3:Q4"/>
    <mergeCell ref="U7:U8"/>
    <mergeCell ref="T7:T8"/>
    <mergeCell ref="T5:T6"/>
    <mergeCell ref="U5:U6"/>
    <mergeCell ref="S3:S4"/>
    <mergeCell ref="R3:R4"/>
    <mergeCell ref="D22:F22"/>
    <mergeCell ref="H2:N2"/>
    <mergeCell ref="A1:F1"/>
    <mergeCell ref="H1:N1"/>
    <mergeCell ref="P1:U2"/>
    <mergeCell ref="B4:C4"/>
    <mergeCell ref="D4:F4"/>
    <mergeCell ref="P3:P4"/>
    <mergeCell ref="B3:C3"/>
    <mergeCell ref="B2:C2"/>
    <mergeCell ref="B9:C9"/>
    <mergeCell ref="B8:C8"/>
    <mergeCell ref="B7:C7"/>
    <mergeCell ref="B5:C5"/>
    <mergeCell ref="B6:C6"/>
    <mergeCell ref="B14:C14"/>
    <mergeCell ref="B21:C21"/>
    <mergeCell ref="B20:C20"/>
    <mergeCell ref="A9:A13"/>
    <mergeCell ref="A7:A8"/>
    <mergeCell ref="A5:A6"/>
    <mergeCell ref="A16:A20"/>
    <mergeCell ref="A14:A15"/>
    <mergeCell ref="B13:C13"/>
    <mergeCell ref="B12:C12"/>
    <mergeCell ref="B10:C10"/>
    <mergeCell ref="B19:C19"/>
    <mergeCell ref="B18:C18"/>
    <mergeCell ref="B17:C17"/>
    <mergeCell ref="B16:C16"/>
    <mergeCell ref="B15:C15"/>
    <mergeCell ref="E16:F16"/>
    <mergeCell ref="D2:F2"/>
    <mergeCell ref="E15:F15"/>
    <mergeCell ref="E14:F14"/>
    <mergeCell ref="E10:F10"/>
    <mergeCell ref="D3:F3"/>
    <mergeCell ref="E6:F6"/>
    <mergeCell ref="E8:F8"/>
    <mergeCell ref="E21:F21"/>
    <mergeCell ref="E17:F17"/>
    <mergeCell ref="E19:F19"/>
    <mergeCell ref="E18:F18"/>
    <mergeCell ref="E20:F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T429"/>
  <sheetViews>
    <sheetView tabSelected="1" zoomScale="70" zoomScaleNormal="70" workbookViewId="0">
      <selection activeCell="E39" sqref="E39"/>
    </sheetView>
  </sheetViews>
  <sheetFormatPr defaultColWidth="8.7109375" defaultRowHeight="14.45"/>
  <cols>
    <col min="1" max="1" width="4.7109375" style="41" customWidth="1"/>
    <col min="2" max="2" width="66.140625" style="41" bestFit="1" customWidth="1"/>
    <col min="3" max="3" width="17.42578125" style="41" bestFit="1" customWidth="1"/>
    <col min="4" max="4" width="13.140625" style="41" bestFit="1" customWidth="1"/>
    <col min="5" max="5" width="32.140625" style="41" bestFit="1" customWidth="1"/>
    <col min="6" max="6" width="21.7109375" style="41" customWidth="1"/>
    <col min="7" max="7" width="25" style="41" customWidth="1"/>
    <col min="8" max="8" width="21.85546875" style="41" bestFit="1" customWidth="1"/>
    <col min="9" max="9" width="24.5703125" style="41" bestFit="1" customWidth="1"/>
    <col min="10" max="10" width="45.85546875" style="41" customWidth="1"/>
    <col min="11" max="11" width="27.42578125" style="41" bestFit="1" customWidth="1"/>
    <col min="12" max="12" width="13.42578125" style="41" bestFit="1" customWidth="1"/>
    <col min="13" max="13" width="30.5703125" style="41" customWidth="1"/>
    <col min="14" max="14" width="13.7109375" style="41" bestFit="1" customWidth="1"/>
    <col min="15" max="15" width="29.42578125" style="41" customWidth="1"/>
    <col min="16" max="16" width="24.42578125" style="41" bestFit="1" customWidth="1"/>
    <col min="17" max="17" width="20.5703125" style="41" bestFit="1" customWidth="1"/>
    <col min="18" max="18" width="9" style="41" bestFit="1" customWidth="1"/>
    <col min="19" max="19" width="7.140625" style="41" customWidth="1"/>
    <col min="20" max="20" width="8.7109375" style="41" bestFit="1" customWidth="1"/>
    <col min="21" max="21" width="14.5703125" style="41" bestFit="1" customWidth="1"/>
    <col min="22" max="16384" width="8.7109375" style="41"/>
  </cols>
  <sheetData>
    <row r="1" spans="2:15" ht="21">
      <c r="B1" s="376" t="s">
        <v>88</v>
      </c>
      <c r="C1" s="376"/>
      <c r="D1" s="376"/>
      <c r="E1" s="376"/>
      <c r="F1" s="376"/>
      <c r="G1" s="376"/>
      <c r="H1" s="376"/>
    </row>
    <row r="2" spans="2:15" ht="15.6">
      <c r="B2" s="193" t="s">
        <v>89</v>
      </c>
      <c r="C2" s="194" t="s">
        <v>49</v>
      </c>
      <c r="D2" s="186"/>
      <c r="E2" s="186"/>
      <c r="F2" s="186"/>
      <c r="G2" s="186"/>
      <c r="H2" s="187"/>
    </row>
    <row r="3" spans="2:15" ht="15.75" customHeight="1">
      <c r="B3" s="44" t="s">
        <v>90</v>
      </c>
      <c r="C3" s="37" t="b">
        <v>0</v>
      </c>
      <c r="H3" s="52"/>
      <c r="J3" s="437" t="s">
        <v>91</v>
      </c>
      <c r="K3" s="437"/>
      <c r="L3" s="438"/>
      <c r="N3" s="145" t="s">
        <v>92</v>
      </c>
      <c r="O3" s="145" t="s">
        <v>93</v>
      </c>
    </row>
    <row r="4" spans="2:15" ht="15.6">
      <c r="B4" s="44" t="s">
        <v>94</v>
      </c>
      <c r="C4" s="37" t="b">
        <v>0</v>
      </c>
      <c r="H4" s="52"/>
      <c r="J4" s="58" t="s">
        <v>95</v>
      </c>
      <c r="K4" s="126" t="s">
        <v>96</v>
      </c>
      <c r="L4" s="82"/>
      <c r="N4" s="49" t="s">
        <v>96</v>
      </c>
      <c r="O4" s="50">
        <v>220</v>
      </c>
    </row>
    <row r="5" spans="2:15" ht="15.6">
      <c r="B5" s="44" t="s">
        <v>97</v>
      </c>
      <c r="C5" s="37">
        <v>48000</v>
      </c>
      <c r="D5" s="189" t="s">
        <v>98</v>
      </c>
      <c r="F5" s="190"/>
      <c r="G5" s="190"/>
      <c r="H5" s="196"/>
      <c r="J5" s="51" t="s">
        <v>99</v>
      </c>
      <c r="K5" s="115">
        <f>IF($K$4=Lists!$A$47,Lists!$B$47,IF($K$4=Lists!$A$48,Lists!$B$48,IF($K$4=Lists!$A$49,Lists!$B$49,IF($K$4=Lists!$A$50,Lists!$B$50,IF($K$4=Lists!$A$51,Lists!$B$51,IF($K$4=Lists!$A$52,Lists!$B$52,IF($K$4=Lists!$A$53,Lists!$B$53,IF($K$4=Lists!$A$54,Lists!$B$54,IF($K$4=Lists!$A$55,Lists!$B$55)))))))))</f>
        <v>220</v>
      </c>
      <c r="L5" s="52" t="s">
        <v>100</v>
      </c>
      <c r="N5" s="49" t="s">
        <v>101</v>
      </c>
      <c r="O5" s="50">
        <v>240</v>
      </c>
    </row>
    <row r="6" spans="2:15" ht="15.6">
      <c r="B6" s="44" t="s">
        <v>102</v>
      </c>
      <c r="C6" s="37">
        <v>24000</v>
      </c>
      <c r="D6" s="189" t="s">
        <v>98</v>
      </c>
      <c r="E6" s="190"/>
      <c r="F6" s="190"/>
      <c r="G6" s="190"/>
      <c r="H6" s="196"/>
      <c r="J6" s="51" t="s">
        <v>103</v>
      </c>
      <c r="K6" s="41">
        <v>3</v>
      </c>
      <c r="L6" s="52"/>
      <c r="N6" s="49" t="s">
        <v>104</v>
      </c>
      <c r="O6" s="50">
        <v>285</v>
      </c>
    </row>
    <row r="7" spans="2:15" ht="15.6">
      <c r="B7" s="44" t="s">
        <v>105</v>
      </c>
      <c r="C7" s="37">
        <v>3</v>
      </c>
      <c r="D7" s="189" t="s">
        <v>106</v>
      </c>
      <c r="E7" s="190"/>
      <c r="F7" s="190"/>
      <c r="G7" s="190"/>
      <c r="H7" s="196"/>
      <c r="J7" s="51" t="s">
        <v>107</v>
      </c>
      <c r="K7" s="41">
        <f>520*1.3</f>
        <v>676</v>
      </c>
      <c r="L7" s="52"/>
      <c r="N7" s="49" t="s">
        <v>108</v>
      </c>
      <c r="O7" s="50">
        <v>540</v>
      </c>
    </row>
    <row r="8" spans="2:15" ht="15.6">
      <c r="B8" s="44" t="s">
        <v>109</v>
      </c>
      <c r="C8" s="37">
        <v>0</v>
      </c>
      <c r="D8" s="190"/>
      <c r="E8" s="190"/>
      <c r="F8" s="190"/>
      <c r="G8" s="190"/>
      <c r="H8" s="196"/>
      <c r="J8" s="51" t="s">
        <v>110</v>
      </c>
      <c r="K8" s="41">
        <f>C50</f>
        <v>4.0147928994082836E-2</v>
      </c>
      <c r="L8" s="52"/>
      <c r="N8" s="49" t="s">
        <v>111</v>
      </c>
      <c r="O8" s="50">
        <v>620</v>
      </c>
    </row>
    <row r="9" spans="2:15" ht="15.6">
      <c r="B9" s="44" t="s">
        <v>112</v>
      </c>
      <c r="C9" s="37">
        <v>24500</v>
      </c>
      <c r="D9" s="189" t="s">
        <v>98</v>
      </c>
      <c r="E9" s="190"/>
      <c r="F9" s="190"/>
      <c r="G9" s="190"/>
      <c r="H9" s="196"/>
      <c r="J9" s="51" t="s">
        <v>113</v>
      </c>
      <c r="K9" s="41">
        <f>K7*(100%-K8)</f>
        <v>648.86</v>
      </c>
      <c r="L9" s="52" t="s">
        <v>100</v>
      </c>
      <c r="N9" s="49" t="s">
        <v>114</v>
      </c>
      <c r="O9" s="50">
        <v>950</v>
      </c>
    </row>
    <row r="10" spans="2:15" ht="15.6">
      <c r="B10" s="44" t="s">
        <v>115</v>
      </c>
      <c r="C10" s="37" t="s">
        <v>116</v>
      </c>
      <c r="D10" s="189" t="s">
        <v>98</v>
      </c>
      <c r="E10" s="190"/>
      <c r="F10" s="190"/>
      <c r="G10" s="190"/>
      <c r="H10" s="196"/>
      <c r="J10" s="87"/>
      <c r="K10" s="88"/>
      <c r="L10" s="89"/>
      <c r="N10" s="49" t="s">
        <v>117</v>
      </c>
      <c r="O10" s="50">
        <v>1000</v>
      </c>
    </row>
    <row r="11" spans="2:15" ht="15.6">
      <c r="B11" s="44" t="s">
        <v>118</v>
      </c>
      <c r="C11" s="37" t="b">
        <v>1</v>
      </c>
      <c r="D11" s="189" t="s">
        <v>119</v>
      </c>
      <c r="E11" s="190"/>
      <c r="F11" s="190"/>
      <c r="G11" s="190"/>
      <c r="H11" s="196"/>
      <c r="J11" s="114" t="s">
        <v>120</v>
      </c>
      <c r="K11" s="41">
        <f>K15*24</f>
        <v>1.5213618743194803</v>
      </c>
      <c r="L11" s="52" t="s">
        <v>100</v>
      </c>
      <c r="N11" s="49" t="s">
        <v>121</v>
      </c>
      <c r="O11" s="50">
        <v>1200</v>
      </c>
    </row>
    <row r="12" spans="2:15" ht="15.6">
      <c r="B12" s="17" t="s">
        <v>122</v>
      </c>
      <c r="C12" s="37">
        <v>1000</v>
      </c>
      <c r="D12" s="189" t="s">
        <v>98</v>
      </c>
      <c r="E12" s="190"/>
      <c r="G12" s="190"/>
      <c r="H12" s="196"/>
      <c r="J12" s="114"/>
      <c r="K12" s="41">
        <f>K11/K9</f>
        <v>2.3446689182866571E-3</v>
      </c>
      <c r="L12" s="52" t="s">
        <v>123</v>
      </c>
      <c r="N12" s="49" t="s">
        <v>124</v>
      </c>
      <c r="O12" s="50">
        <v>1500</v>
      </c>
    </row>
    <row r="13" spans="2:15" ht="15.6">
      <c r="B13" s="44" t="s">
        <v>125</v>
      </c>
      <c r="C13" s="37">
        <v>250</v>
      </c>
      <c r="D13" s="189" t="s">
        <v>98</v>
      </c>
      <c r="E13" s="190"/>
      <c r="F13" s="189"/>
      <c r="G13" s="189"/>
      <c r="H13" s="46"/>
      <c r="J13" s="87"/>
      <c r="K13" s="88"/>
      <c r="L13" s="89"/>
    </row>
    <row r="14" spans="2:15" ht="15.6">
      <c r="B14" s="44" t="s">
        <v>126</v>
      </c>
      <c r="C14" s="37" t="b">
        <v>0</v>
      </c>
      <c r="D14" s="189" t="s">
        <v>119</v>
      </c>
      <c r="E14" s="190"/>
      <c r="F14" s="190"/>
      <c r="G14" s="190"/>
      <c r="H14" s="196"/>
      <c r="J14" s="53" t="s">
        <v>127</v>
      </c>
      <c r="K14" s="41">
        <f>C67+C76+C101+C125+C168+C205+C218+C249+C279+C289+C314+C359+C369+C379+C389+C399+C409+C419+C429</f>
        <v>6.2618916791602808E-2</v>
      </c>
      <c r="L14" s="52" t="s">
        <v>128</v>
      </c>
    </row>
    <row r="15" spans="2:15" ht="15.6">
      <c r="B15" s="45" t="s">
        <v>129</v>
      </c>
      <c r="C15" s="191">
        <v>0.38</v>
      </c>
      <c r="D15" s="218">
        <f>100%-C15</f>
        <v>0.62</v>
      </c>
      <c r="E15" s="192" t="s">
        <v>130</v>
      </c>
      <c r="F15" s="189"/>
      <c r="G15" s="189">
        <f>$C$15*7*24</f>
        <v>63.84</v>
      </c>
      <c r="H15" s="46" t="s">
        <v>131</v>
      </c>
      <c r="J15" s="53" t="s">
        <v>132</v>
      </c>
      <c r="K15" s="41">
        <f>C59+C67+C76+C101+C125+C168+C205+C218+C249+C279+C289+C314+C359+C369+C379+C389+C399+C409+C419+C429</f>
        <v>6.3390078096645014E-2</v>
      </c>
      <c r="L15" s="52" t="s">
        <v>128</v>
      </c>
    </row>
    <row r="16" spans="2:15" ht="15.6">
      <c r="B16" s="45" t="s">
        <v>60</v>
      </c>
      <c r="C16" s="248">
        <v>1000</v>
      </c>
      <c r="D16" s="247" t="s">
        <v>98</v>
      </c>
      <c r="E16" s="189"/>
      <c r="F16" s="189"/>
      <c r="G16" s="189"/>
      <c r="H16" s="46"/>
      <c r="J16" s="53"/>
      <c r="L16" s="52"/>
    </row>
    <row r="17" spans="2:15" ht="15.6">
      <c r="B17" s="45" t="s">
        <v>133</v>
      </c>
      <c r="C17" s="191">
        <v>0.4</v>
      </c>
      <c r="D17" s="218">
        <f>100%-C17</f>
        <v>0.6</v>
      </c>
      <c r="E17" s="192" t="s">
        <v>134</v>
      </c>
      <c r="F17" s="189"/>
      <c r="G17" s="189">
        <f>$C$17*7*24</f>
        <v>67.2</v>
      </c>
      <c r="H17" s="46" t="s">
        <v>131</v>
      </c>
      <c r="J17" s="112"/>
      <c r="K17" s="116"/>
      <c r="L17" s="113"/>
    </row>
    <row r="18" spans="2:15" ht="15.6">
      <c r="B18" s="45" t="s">
        <v>135</v>
      </c>
      <c r="C18" s="37">
        <v>1.5</v>
      </c>
      <c r="D18" s="190"/>
      <c r="E18" s="190"/>
      <c r="F18" s="190"/>
      <c r="G18" s="189"/>
      <c r="H18" s="196"/>
      <c r="J18" s="53" t="s">
        <v>91</v>
      </c>
      <c r="K18" s="41">
        <f>K7/K15/24/365.25</f>
        <v>1.2165331360950367</v>
      </c>
      <c r="L18" s="52" t="s">
        <v>136</v>
      </c>
    </row>
    <row r="19" spans="2:15" ht="15.6">
      <c r="B19" s="45" t="s">
        <v>137</v>
      </c>
      <c r="C19" s="191">
        <v>0.3</v>
      </c>
      <c r="D19" s="189"/>
      <c r="E19" s="189"/>
      <c r="F19" s="189"/>
      <c r="G19" s="189">
        <f>$C$19*7*24</f>
        <v>50.400000000000006</v>
      </c>
      <c r="H19" s="46" t="s">
        <v>131</v>
      </c>
      <c r="J19" s="386" t="s">
        <v>138</v>
      </c>
      <c r="K19" s="54">
        <f>K9/K15/24/365.25</f>
        <v>1.1676918501281444</v>
      </c>
      <c r="L19" s="55" t="s">
        <v>136</v>
      </c>
    </row>
    <row r="20" spans="2:15" ht="15.6">
      <c r="B20" s="45" t="s">
        <v>139</v>
      </c>
      <c r="C20" s="37">
        <v>100</v>
      </c>
      <c r="D20" s="189" t="s">
        <v>123</v>
      </c>
      <c r="E20" s="189"/>
      <c r="F20" s="189"/>
      <c r="G20" s="189"/>
      <c r="H20" s="46"/>
      <c r="J20" s="387"/>
      <c r="K20" s="56">
        <f>K19*12</f>
        <v>14.012302201537732</v>
      </c>
      <c r="L20" s="57" t="s">
        <v>140</v>
      </c>
    </row>
    <row r="21" spans="2:15" ht="15.6">
      <c r="B21" s="45" t="s">
        <v>141</v>
      </c>
      <c r="C21" s="191">
        <v>0.03</v>
      </c>
      <c r="D21" s="190"/>
      <c r="E21" s="190"/>
      <c r="F21" s="189"/>
      <c r="G21" s="189">
        <f>$C$21*7*24</f>
        <v>5.04</v>
      </c>
      <c r="H21" s="46" t="s">
        <v>131</v>
      </c>
      <c r="I21" s="43"/>
    </row>
    <row r="22" spans="2:15" ht="15.6" customHeight="1">
      <c r="B22" s="45" t="s">
        <v>142</v>
      </c>
      <c r="C22" s="191">
        <v>0</v>
      </c>
      <c r="D22" s="190"/>
      <c r="E22" s="190" t="s">
        <v>143</v>
      </c>
      <c r="F22" s="189"/>
      <c r="G22" s="189">
        <f>$C$22*7*24</f>
        <v>0</v>
      </c>
      <c r="H22" s="46" t="s">
        <v>131</v>
      </c>
    </row>
    <row r="23" spans="2:15" ht="15.6">
      <c r="B23" s="45" t="s">
        <v>144</v>
      </c>
      <c r="C23" s="191">
        <v>0.02</v>
      </c>
      <c r="D23" s="190"/>
      <c r="E23" s="190"/>
      <c r="F23" s="189"/>
      <c r="G23" s="189">
        <f>$C$23*7*24</f>
        <v>3.3600000000000003</v>
      </c>
      <c r="H23" s="46" t="s">
        <v>131</v>
      </c>
    </row>
    <row r="24" spans="2:15" ht="15.6">
      <c r="B24" s="45" t="s">
        <v>145</v>
      </c>
      <c r="C24" s="37">
        <v>3</v>
      </c>
      <c r="D24" s="189" t="s">
        <v>123</v>
      </c>
      <c r="E24" s="189"/>
      <c r="F24" s="189"/>
      <c r="G24" s="189"/>
      <c r="H24" s="46"/>
    </row>
    <row r="25" spans="2:15" ht="15.6">
      <c r="B25" s="45" t="s">
        <v>146</v>
      </c>
      <c r="C25" s="37">
        <v>3</v>
      </c>
      <c r="D25" s="189" t="s">
        <v>123</v>
      </c>
      <c r="E25" s="189"/>
      <c r="F25" s="189"/>
      <c r="G25" s="189"/>
      <c r="H25" s="46"/>
    </row>
    <row r="26" spans="2:15" ht="15.6">
      <c r="B26" s="195" t="s">
        <v>147</v>
      </c>
      <c r="C26" s="106">
        <v>2</v>
      </c>
      <c r="D26" s="107" t="s">
        <v>123</v>
      </c>
      <c r="E26" s="107"/>
      <c r="F26" s="107"/>
      <c r="G26" s="107"/>
      <c r="H26" s="108"/>
    </row>
    <row r="27" spans="2:15" ht="18">
      <c r="J27" s="439" t="s">
        <v>148</v>
      </c>
      <c r="K27" s="439"/>
      <c r="M27" s="388" t="s">
        <v>76</v>
      </c>
      <c r="N27" s="389"/>
    </row>
    <row r="28" spans="2:15" ht="15.6" customHeight="1">
      <c r="J28" s="48" t="s">
        <v>76</v>
      </c>
      <c r="K28" s="100">
        <f>$E$314+$E$359+$E$389+$E$399+$E$409+$E$419</f>
        <v>0.33763052226046641</v>
      </c>
      <c r="M28" s="223" t="s">
        <v>149</v>
      </c>
      <c r="N28" s="110">
        <f>C314+C359+C389+C399+C409+C419</f>
        <v>2.140242517390201E-2</v>
      </c>
      <c r="O28" s="41" t="s">
        <v>128</v>
      </c>
    </row>
    <row r="29" spans="2:15" ht="15.6">
      <c r="B29" s="142"/>
      <c r="C29" s="144"/>
      <c r="D29" s="144"/>
      <c r="E29" s="143"/>
      <c r="F29" s="143"/>
      <c r="G29" s="143"/>
      <c r="H29" s="143"/>
      <c r="J29" s="58" t="s">
        <v>150</v>
      </c>
      <c r="K29" s="101">
        <f>$E$168+$E$205</f>
        <v>0.36838172631491928</v>
      </c>
      <c r="M29" s="51"/>
      <c r="N29" s="52"/>
    </row>
    <row r="30" spans="2:15" ht="18.75" customHeight="1">
      <c r="B30" s="377" t="s">
        <v>151</v>
      </c>
      <c r="C30" s="378"/>
      <c r="D30" s="378"/>
      <c r="E30" s="378"/>
      <c r="F30" s="378"/>
      <c r="G30" s="378"/>
      <c r="H30" s="379"/>
      <c r="J30" s="58" t="s">
        <v>130</v>
      </c>
      <c r="K30" s="101">
        <f>$E$67</f>
        <v>0.17615375048088153</v>
      </c>
      <c r="M30" s="51" t="s">
        <v>152</v>
      </c>
      <c r="N30" s="169">
        <f>C314/N28</f>
        <v>0.96852739879604155</v>
      </c>
    </row>
    <row r="31" spans="2:15" ht="15.6">
      <c r="B31" s="193" t="s">
        <v>153</v>
      </c>
      <c r="C31" s="201" t="b">
        <v>1</v>
      </c>
      <c r="D31" s="202"/>
      <c r="E31" s="245" t="s">
        <v>154</v>
      </c>
      <c r="F31" s="202"/>
      <c r="G31" s="202"/>
      <c r="H31" s="203"/>
      <c r="J31" s="58" t="s">
        <v>155</v>
      </c>
      <c r="K31" s="101">
        <f>$E$76</f>
        <v>4.1131739001319348E-2</v>
      </c>
      <c r="M31" s="51" t="s">
        <v>156</v>
      </c>
      <c r="N31" s="169">
        <f>C359/N28</f>
        <v>4.5696758126757813E-3</v>
      </c>
    </row>
    <row r="32" spans="2:15" ht="15.6">
      <c r="B32" s="44" t="s">
        <v>157</v>
      </c>
      <c r="C32" s="38">
        <v>0</v>
      </c>
      <c r="D32" s="144"/>
      <c r="E32" s="144"/>
      <c r="F32" s="144"/>
      <c r="G32" s="144"/>
      <c r="H32" s="204"/>
      <c r="J32" s="58" t="s">
        <v>158</v>
      </c>
      <c r="K32" s="101">
        <f>$E$218</f>
        <v>2.6801038420994103E-2</v>
      </c>
      <c r="M32" s="51" t="s">
        <v>159</v>
      </c>
      <c r="N32" s="169">
        <f>C389/N28</f>
        <v>2.5134465306107416E-4</v>
      </c>
      <c r="O32" s="43"/>
    </row>
    <row r="33" spans="2:14" ht="15.6">
      <c r="B33" s="44" t="s">
        <v>160</v>
      </c>
      <c r="C33" s="38">
        <v>5</v>
      </c>
      <c r="D33" s="144"/>
      <c r="E33" s="144"/>
      <c r="F33" s="144"/>
      <c r="G33" s="144"/>
      <c r="H33" s="204"/>
      <c r="J33" s="51" t="s">
        <v>161</v>
      </c>
      <c r="K33" s="169">
        <f>$E$429</f>
        <v>1.7310001150980924E-2</v>
      </c>
      <c r="M33" s="51" t="s">
        <v>162</v>
      </c>
      <c r="N33" s="169">
        <f>C409/N28</f>
        <v>1.1350168624033551E-3</v>
      </c>
    </row>
    <row r="34" spans="2:14" ht="15.6">
      <c r="B34" s="44" t="s">
        <v>163</v>
      </c>
      <c r="C34" s="38" t="b">
        <v>0</v>
      </c>
      <c r="D34" s="144"/>
      <c r="E34" s="144"/>
      <c r="F34" s="144"/>
      <c r="G34" s="144"/>
      <c r="H34" s="204"/>
      <c r="J34" s="58" t="s">
        <v>164</v>
      </c>
      <c r="K34" s="101">
        <f>$E$125</f>
        <v>1.4977872476674214E-2</v>
      </c>
      <c r="M34" s="51" t="s">
        <v>165</v>
      </c>
      <c r="N34" s="169">
        <f>C399/N28</f>
        <v>7.3769172455430269E-4</v>
      </c>
    </row>
    <row r="35" spans="2:14" ht="15.6">
      <c r="B35" s="44" t="s">
        <v>166</v>
      </c>
      <c r="C35" s="38">
        <v>3000</v>
      </c>
      <c r="D35" s="144" t="s">
        <v>98</v>
      </c>
      <c r="E35" s="144"/>
      <c r="F35" s="144"/>
      <c r="G35" s="144"/>
      <c r="H35" s="204"/>
      <c r="J35" s="58" t="s">
        <v>167</v>
      </c>
      <c r="K35" s="101">
        <f>$E$59</f>
        <v>1.2165331360950367E-2</v>
      </c>
      <c r="M35" s="152" t="s">
        <v>168</v>
      </c>
      <c r="N35" s="153">
        <f>C419/N28</f>
        <v>2.4778872151263953E-2</v>
      </c>
    </row>
    <row r="36" spans="2:14" ht="15.6">
      <c r="B36" s="44" t="s">
        <v>169</v>
      </c>
      <c r="C36" s="38">
        <v>300000</v>
      </c>
      <c r="D36" s="144" t="s">
        <v>98</v>
      </c>
      <c r="F36" s="144"/>
      <c r="G36" s="144"/>
      <c r="H36" s="204"/>
      <c r="J36" s="51" t="s">
        <v>170</v>
      </c>
      <c r="K36" s="169">
        <f>$E$369+$E$379</f>
        <v>4.4518224412862673E-3</v>
      </c>
      <c r="M36" s="152"/>
      <c r="N36" s="170">
        <f>SUM(N30:N35)</f>
        <v>1</v>
      </c>
    </row>
    <row r="37" spans="2:14" ht="15.6">
      <c r="B37" s="44" t="s">
        <v>171</v>
      </c>
      <c r="C37" s="38">
        <v>1000</v>
      </c>
      <c r="D37" s="144" t="s">
        <v>98</v>
      </c>
      <c r="E37" s="246" t="s">
        <v>154</v>
      </c>
      <c r="F37" s="144"/>
      <c r="G37" s="144"/>
      <c r="H37" s="204"/>
      <c r="J37" s="58" t="s">
        <v>172</v>
      </c>
      <c r="K37" s="101">
        <f>$E$279+$E$289</f>
        <v>9.9619609152768298E-4</v>
      </c>
    </row>
    <row r="38" spans="2:14" ht="15.6">
      <c r="B38" s="44" t="s">
        <v>162</v>
      </c>
      <c r="C38" s="38">
        <v>60000</v>
      </c>
      <c r="D38" s="144" t="s">
        <v>98</v>
      </c>
      <c r="E38" s="144"/>
      <c r="F38" s="144"/>
      <c r="G38" s="144"/>
      <c r="H38" s="204"/>
      <c r="J38" s="264" t="s">
        <v>173</v>
      </c>
      <c r="K38" s="265">
        <f>$E$249</f>
        <v>0</v>
      </c>
    </row>
    <row r="39" spans="2:14" ht="15.6">
      <c r="B39" s="44" t="s">
        <v>174</v>
      </c>
      <c r="C39" s="38">
        <v>21600</v>
      </c>
      <c r="D39" s="144" t="s">
        <v>106</v>
      </c>
      <c r="E39" s="144"/>
      <c r="H39" s="52"/>
      <c r="J39" s="266" t="s">
        <v>175</v>
      </c>
      <c r="K39" s="267">
        <f>$E$101</f>
        <v>0</v>
      </c>
    </row>
    <row r="40" spans="2:14" ht="15.6">
      <c r="B40" s="45" t="s">
        <v>176</v>
      </c>
      <c r="C40" s="37">
        <v>20</v>
      </c>
      <c r="D40" s="189" t="s">
        <v>177</v>
      </c>
      <c r="E40" s="144"/>
      <c r="F40" s="200"/>
      <c r="G40" s="200"/>
      <c r="H40" s="205"/>
      <c r="J40" s="249" t="s">
        <v>178</v>
      </c>
      <c r="K40" s="250">
        <f>SUM(K28:K39)</f>
        <v>1.0000000000000002</v>
      </c>
    </row>
    <row r="41" spans="2:14" ht="15.6">
      <c r="B41" s="206" t="s">
        <v>179</v>
      </c>
      <c r="C41" s="38">
        <v>180000</v>
      </c>
      <c r="D41" s="144" t="s">
        <v>98</v>
      </c>
      <c r="E41" s="144"/>
      <c r="F41" s="200"/>
      <c r="G41" s="200"/>
      <c r="H41" s="205"/>
    </row>
    <row r="42" spans="2:14" ht="15.6">
      <c r="B42" s="206" t="s">
        <v>180</v>
      </c>
      <c r="C42" s="38">
        <f>C26</f>
        <v>2</v>
      </c>
      <c r="D42" s="144" t="s">
        <v>123</v>
      </c>
      <c r="E42" s="155"/>
      <c r="F42" s="144" t="s">
        <v>181</v>
      </c>
      <c r="G42" s="144">
        <f>24*60*60*1000/C42</f>
        <v>43200000</v>
      </c>
      <c r="H42" s="204" t="s">
        <v>98</v>
      </c>
    </row>
    <row r="43" spans="2:14" ht="15.6">
      <c r="B43" s="206" t="s">
        <v>182</v>
      </c>
      <c r="C43" s="38">
        <f>50/365.25</f>
        <v>0.13689253935660506</v>
      </c>
      <c r="D43" s="144" t="s">
        <v>123</v>
      </c>
      <c r="E43" s="155"/>
      <c r="F43" s="144" t="s">
        <v>183</v>
      </c>
      <c r="G43" s="144">
        <f>24*60*60*1000/C43</f>
        <v>631152000</v>
      </c>
      <c r="H43" s="204" t="s">
        <v>98</v>
      </c>
    </row>
    <row r="44" spans="2:14" ht="15.6">
      <c r="B44" s="207" t="s">
        <v>184</v>
      </c>
      <c r="C44" s="40">
        <v>5</v>
      </c>
      <c r="D44" s="208" t="s">
        <v>177</v>
      </c>
      <c r="E44" s="111"/>
      <c r="F44" s="208"/>
      <c r="G44" s="208"/>
      <c r="H44" s="209"/>
    </row>
    <row r="45" spans="2:14" ht="15.6">
      <c r="B45" s="199"/>
      <c r="C45" s="39"/>
      <c r="D45" s="144"/>
      <c r="F45" s="144"/>
      <c r="G45" s="144"/>
      <c r="H45" s="144"/>
    </row>
    <row r="47" spans="2:14" ht="15.6">
      <c r="B47" s="199"/>
      <c r="C47" s="39"/>
      <c r="D47" s="144"/>
      <c r="F47" s="144"/>
      <c r="G47" s="144"/>
      <c r="H47" s="144"/>
    </row>
    <row r="48" spans="2:14" ht="18">
      <c r="B48" s="377" t="s">
        <v>83</v>
      </c>
      <c r="C48" s="378"/>
      <c r="D48" s="378"/>
      <c r="E48" s="378"/>
      <c r="F48" s="378"/>
      <c r="G48" s="378"/>
      <c r="H48" s="379"/>
    </row>
    <row r="49" spans="2:8" ht="15.6">
      <c r="B49" s="210" t="s">
        <v>185</v>
      </c>
      <c r="C49" s="211">
        <v>6</v>
      </c>
      <c r="D49" s="212" t="s">
        <v>140</v>
      </c>
      <c r="E49" s="214"/>
      <c r="F49" s="214"/>
      <c r="G49" s="214"/>
      <c r="H49" s="215"/>
    </row>
    <row r="50" spans="2:8" ht="15.6">
      <c r="B50" s="213" t="s">
        <v>186</v>
      </c>
      <c r="C50" s="208">
        <f>(C56/12*C49)+((C57*24*30)/K7*C49)+((C62*24*30)/K7*C49)</f>
        <v>4.0147928994082836E-2</v>
      </c>
      <c r="D50" s="216"/>
      <c r="E50" s="216"/>
      <c r="F50" s="216"/>
      <c r="G50" s="216"/>
      <c r="H50" s="217"/>
    </row>
    <row r="52" spans="2:8">
      <c r="B52" s="43"/>
      <c r="C52" s="149"/>
      <c r="D52" s="149"/>
      <c r="H52" s="155"/>
    </row>
    <row r="53" spans="2:8">
      <c r="B53" s="43"/>
      <c r="C53" s="43"/>
      <c r="D53" s="43"/>
      <c r="H53" s="155"/>
    </row>
    <row r="54" spans="2:8">
      <c r="H54" s="155"/>
    </row>
    <row r="55" spans="2:8" ht="18">
      <c r="B55" s="437" t="s">
        <v>187</v>
      </c>
      <c r="C55" s="440"/>
      <c r="D55" s="441"/>
      <c r="H55" s="155"/>
    </row>
    <row r="56" spans="2:8">
      <c r="B56" s="51" t="s">
        <v>188</v>
      </c>
      <c r="C56" s="41">
        <v>0.01</v>
      </c>
      <c r="D56" s="52" t="s">
        <v>78</v>
      </c>
    </row>
    <row r="57" spans="2:8">
      <c r="B57" s="51" t="s">
        <v>189</v>
      </c>
      <c r="C57" s="41">
        <f>IF(C3,0.006,0)</f>
        <v>0</v>
      </c>
      <c r="D57" s="59" t="s">
        <v>128</v>
      </c>
    </row>
    <row r="58" spans="2:8">
      <c r="B58" s="380"/>
      <c r="C58" s="381"/>
      <c r="D58" s="382"/>
    </row>
    <row r="59" spans="2:8">
      <c r="B59" s="60" t="s">
        <v>190</v>
      </c>
      <c r="C59" s="42">
        <f>(K7*C56/24/365.25)+C57</f>
        <v>7.7116130504220853E-4</v>
      </c>
      <c r="D59" s="61" t="s">
        <v>128</v>
      </c>
      <c r="E59" s="102">
        <f>C59/$K$15</f>
        <v>1.2165331360950367E-2</v>
      </c>
      <c r="F59" s="41" t="s">
        <v>191</v>
      </c>
    </row>
    <row r="61" spans="2:8" ht="18">
      <c r="B61" s="437" t="s">
        <v>130</v>
      </c>
      <c r="C61" s="440"/>
      <c r="D61" s="441"/>
    </row>
    <row r="62" spans="2:8">
      <c r="B62" s="51" t="s">
        <v>192</v>
      </c>
      <c r="C62" s="41">
        <f>'Current Consumption'!N3</f>
        <v>5.4999999999999997E-3</v>
      </c>
      <c r="D62" s="52" t="s">
        <v>128</v>
      </c>
    </row>
    <row r="63" spans="2:8">
      <c r="B63" s="51" t="s">
        <v>193</v>
      </c>
      <c r="C63" s="41">
        <f>'Current Consumption'!N59</f>
        <v>5.3600000000000002E-3</v>
      </c>
      <c r="D63" s="52" t="s">
        <v>128</v>
      </c>
    </row>
    <row r="64" spans="2:8">
      <c r="B64" s="51" t="s">
        <v>194</v>
      </c>
      <c r="C64" s="41">
        <f>'Current Consumption'!G169</f>
        <v>1.7059999999999999E-2</v>
      </c>
      <c r="D64" s="52" t="s">
        <v>128</v>
      </c>
    </row>
    <row r="65" spans="2:9">
      <c r="B65" s="51" t="s">
        <v>195</v>
      </c>
      <c r="C65" s="41">
        <f>'Current Consumption'!G225</f>
        <v>2.0639999999999999E-2</v>
      </c>
      <c r="D65" s="52" t="s">
        <v>128</v>
      </c>
    </row>
    <row r="66" spans="2:9">
      <c r="B66" s="383"/>
      <c r="C66" s="384"/>
      <c r="D66" s="385"/>
    </row>
    <row r="67" spans="2:9">
      <c r="B67" s="60" t="s">
        <v>196</v>
      </c>
      <c r="C67" s="42">
        <f>IF($C$14,($C$65*(1-$C$22))+($C$65*$C$22),IF($C$11,($C$63*(1-$C$15))+($C$65*$C$15),($C$63*(1-$C$15))+($C$64*$C$15)))</f>
        <v>1.11664E-2</v>
      </c>
      <c r="D67" s="61" t="s">
        <v>128</v>
      </c>
      <c r="E67" s="102">
        <f>C67/$K$15</f>
        <v>0.17615375048088153</v>
      </c>
      <c r="F67" s="41" t="s">
        <v>191</v>
      </c>
    </row>
    <row r="68" spans="2:9">
      <c r="B68" s="43"/>
      <c r="C68" s="43"/>
      <c r="D68" s="43"/>
    </row>
    <row r="69" spans="2:9" ht="18">
      <c r="B69" s="437" t="s">
        <v>197</v>
      </c>
      <c r="C69" s="440"/>
      <c r="D69" s="441"/>
    </row>
    <row r="70" spans="2:9">
      <c r="B70" s="51" t="s">
        <v>198</v>
      </c>
      <c r="C70" s="238">
        <f>'Current Consumption'!N283-$C$67</f>
        <v>6.4398936000000004</v>
      </c>
      <c r="D70" s="52" t="s">
        <v>128</v>
      </c>
    </row>
    <row r="71" spans="2:9">
      <c r="B71" s="51" t="s">
        <v>199</v>
      </c>
      <c r="C71" s="41">
        <f>'Current Consumption'!N284</f>
        <v>21.8523</v>
      </c>
      <c r="D71" s="52" t="s">
        <v>98</v>
      </c>
    </row>
    <row r="72" spans="2:9">
      <c r="B72" s="51" t="s">
        <v>200</v>
      </c>
      <c r="C72" s="41">
        <f>($C$9+6000)/2</f>
        <v>15250</v>
      </c>
      <c r="D72" s="52" t="s">
        <v>98</v>
      </c>
    </row>
    <row r="73" spans="2:9">
      <c r="B73" s="51" t="s">
        <v>201</v>
      </c>
      <c r="C73" s="41">
        <f>(300000+2*6000)/3</f>
        <v>104000</v>
      </c>
      <c r="D73" s="52" t="s">
        <v>98</v>
      </c>
    </row>
    <row r="74" spans="2:9">
      <c r="B74" s="380"/>
      <c r="C74" s="381"/>
      <c r="D74" s="382"/>
    </row>
    <row r="75" spans="2:9">
      <c r="B75" s="51" t="s">
        <v>202</v>
      </c>
      <c r="C75" s="41">
        <f>C76/E75</f>
        <v>1.6287787837416667E-6</v>
      </c>
      <c r="D75" s="52" t="s">
        <v>128</v>
      </c>
      <c r="E75" s="104">
        <f>SUM(I80:I91)</f>
        <v>1600.7969735182849</v>
      </c>
      <c r="F75" s="41" t="s">
        <v>203</v>
      </c>
    </row>
    <row r="76" spans="2:9">
      <c r="B76" s="60" t="s">
        <v>196</v>
      </c>
      <c r="C76" s="42">
        <f>SUM(H80:H91)</f>
        <v>2.6073441475444529E-3</v>
      </c>
      <c r="D76" s="61" t="s">
        <v>128</v>
      </c>
      <c r="E76" s="102">
        <f>C76/$K$15</f>
        <v>4.1131739001319348E-2</v>
      </c>
      <c r="F76" s="41" t="s">
        <v>191</v>
      </c>
    </row>
    <row r="77" spans="2:9">
      <c r="B77" s="43"/>
      <c r="C77" s="43"/>
      <c r="D77" s="43"/>
    </row>
    <row r="78" spans="2:9">
      <c r="B78" s="62" t="s">
        <v>89</v>
      </c>
      <c r="C78" s="47" t="s">
        <v>133</v>
      </c>
      <c r="D78" s="47" t="s">
        <v>58</v>
      </c>
      <c r="E78" s="47" t="s">
        <v>204</v>
      </c>
      <c r="F78" s="47" t="s">
        <v>205</v>
      </c>
      <c r="G78" s="63" t="s">
        <v>206</v>
      </c>
      <c r="H78" s="47" t="s">
        <v>207</v>
      </c>
      <c r="I78" s="47" t="s">
        <v>208</v>
      </c>
    </row>
    <row r="79" spans="2:9">
      <c r="B79" s="64" t="str">
        <f>$C$2</f>
        <v>900 MHz and BLE</v>
      </c>
      <c r="C79" s="105">
        <f>$C$17</f>
        <v>0.4</v>
      </c>
      <c r="D79" s="105">
        <f>$C$15</f>
        <v>0.38</v>
      </c>
      <c r="E79" s="65"/>
      <c r="F79" s="66"/>
      <c r="G79" s="67"/>
      <c r="H79" s="66"/>
      <c r="I79" s="66"/>
    </row>
    <row r="80" spans="2:9">
      <c r="B80" s="68" t="s">
        <v>49</v>
      </c>
      <c r="C80" s="69" t="b">
        <v>0</v>
      </c>
      <c r="D80" s="69" t="b">
        <v>0</v>
      </c>
      <c r="E80" s="70" t="b">
        <v>1</v>
      </c>
      <c r="F80" s="68" t="b">
        <f t="shared" ref="F80:F91" si="0">IF(AND(E80,B80=$B$79),TRUE,FALSE)</f>
        <v>1</v>
      </c>
      <c r="G80" s="68">
        <f>$C$73</f>
        <v>104000</v>
      </c>
      <c r="H80" s="68">
        <f t="shared" ref="H80:H91" si="1">IF(F80,    IF(C80,$C$79,(1-$C$79))    *IF(D80,$D$79,(1-$D$79))    *$C$70*$C$71/G80)</f>
        <v>5.033678185815785E-4</v>
      </c>
      <c r="I80" s="103">
        <f t="shared" ref="I80:I91" si="2">IF(F80,IF(C80,$C$79,(1-$C$79))*IF(D80,$D$79,(1-$D$79))*(24*60*60*1000/G80))</f>
        <v>309.0461538461538</v>
      </c>
    </row>
    <row r="81" spans="2:9">
      <c r="B81" s="68" t="s">
        <v>49</v>
      </c>
      <c r="C81" s="69" t="b">
        <v>0</v>
      </c>
      <c r="D81" s="70" t="b">
        <v>1</v>
      </c>
      <c r="E81" s="70" t="b">
        <v>1</v>
      </c>
      <c r="F81" s="68" t="b">
        <f t="shared" si="0"/>
        <v>1</v>
      </c>
      <c r="G81" s="68">
        <f t="shared" ref="G81" si="3">$C$72</f>
        <v>15250</v>
      </c>
      <c r="H81" s="68">
        <f t="shared" si="1"/>
        <v>2.1039763289628743E-3</v>
      </c>
      <c r="I81" s="103">
        <f t="shared" si="2"/>
        <v>1291.750819672131</v>
      </c>
    </row>
    <row r="82" spans="2:9">
      <c r="B82" s="68" t="s">
        <v>49</v>
      </c>
      <c r="C82" s="70" t="b">
        <v>1</v>
      </c>
      <c r="D82" s="69" t="b">
        <v>0</v>
      </c>
      <c r="E82" s="70" t="b">
        <v>0</v>
      </c>
      <c r="F82" s="68" t="b">
        <f t="shared" si="0"/>
        <v>0</v>
      </c>
      <c r="G82" s="68">
        <f>$C$73</f>
        <v>104000</v>
      </c>
      <c r="H82" s="68" t="b">
        <f t="shared" si="1"/>
        <v>0</v>
      </c>
      <c r="I82" s="103" t="b">
        <f t="shared" si="2"/>
        <v>0</v>
      </c>
    </row>
    <row r="83" spans="2:9">
      <c r="B83" s="68" t="s">
        <v>49</v>
      </c>
      <c r="C83" s="70" t="b">
        <v>1</v>
      </c>
      <c r="D83" s="70" t="b">
        <v>1</v>
      </c>
      <c r="E83" s="70" t="b">
        <v>0</v>
      </c>
      <c r="F83" s="68" t="b">
        <f t="shared" si="0"/>
        <v>0</v>
      </c>
      <c r="G83" s="68">
        <f t="shared" ref="G83" si="4">$C$72</f>
        <v>15250</v>
      </c>
      <c r="H83" s="68" t="b">
        <f t="shared" si="1"/>
        <v>0</v>
      </c>
      <c r="I83" s="103" t="b">
        <f t="shared" si="2"/>
        <v>0</v>
      </c>
    </row>
    <row r="84" spans="2:9">
      <c r="B84" s="68" t="s">
        <v>209</v>
      </c>
      <c r="C84" s="69" t="b">
        <v>0</v>
      </c>
      <c r="D84" s="69" t="b">
        <v>0</v>
      </c>
      <c r="E84" s="70" t="b">
        <v>1</v>
      </c>
      <c r="F84" s="68" t="b">
        <f t="shared" si="0"/>
        <v>0</v>
      </c>
      <c r="G84" s="68">
        <f>$C$73</f>
        <v>104000</v>
      </c>
      <c r="H84" s="68" t="b">
        <f t="shared" si="1"/>
        <v>0</v>
      </c>
      <c r="I84" s="103" t="b">
        <f t="shared" si="2"/>
        <v>0</v>
      </c>
    </row>
    <row r="85" spans="2:9">
      <c r="B85" s="68" t="s">
        <v>209</v>
      </c>
      <c r="C85" s="69" t="b">
        <v>0</v>
      </c>
      <c r="D85" s="70" t="b">
        <v>1</v>
      </c>
      <c r="E85" s="70" t="b">
        <v>1</v>
      </c>
      <c r="F85" s="68" t="b">
        <f t="shared" si="0"/>
        <v>0</v>
      </c>
      <c r="G85" s="68">
        <f t="shared" ref="G85" si="5">$C$72</f>
        <v>15250</v>
      </c>
      <c r="H85" s="68" t="b">
        <f t="shared" si="1"/>
        <v>0</v>
      </c>
      <c r="I85" s="103" t="b">
        <f t="shared" si="2"/>
        <v>0</v>
      </c>
    </row>
    <row r="86" spans="2:9">
      <c r="B86" s="68" t="s">
        <v>209</v>
      </c>
      <c r="C86" s="70" t="b">
        <v>1</v>
      </c>
      <c r="D86" s="69" t="b">
        <v>0</v>
      </c>
      <c r="E86" s="70" t="b">
        <v>0</v>
      </c>
      <c r="F86" s="68" t="b">
        <f t="shared" si="0"/>
        <v>0</v>
      </c>
      <c r="G86" s="68">
        <f>$C$73</f>
        <v>104000</v>
      </c>
      <c r="H86" s="68" t="b">
        <f t="shared" si="1"/>
        <v>0</v>
      </c>
      <c r="I86" s="103" t="b">
        <f t="shared" si="2"/>
        <v>0</v>
      </c>
    </row>
    <row r="87" spans="2:9">
      <c r="B87" s="68" t="s">
        <v>209</v>
      </c>
      <c r="C87" s="70" t="b">
        <v>1</v>
      </c>
      <c r="D87" s="70" t="b">
        <v>1</v>
      </c>
      <c r="E87" s="70" t="b">
        <v>0</v>
      </c>
      <c r="F87" s="68" t="b">
        <f t="shared" si="0"/>
        <v>0</v>
      </c>
      <c r="G87" s="68">
        <f t="shared" ref="G87" si="6">$C$72</f>
        <v>15250</v>
      </c>
      <c r="H87" s="68" t="b">
        <f t="shared" si="1"/>
        <v>0</v>
      </c>
      <c r="I87" s="103" t="b">
        <f t="shared" si="2"/>
        <v>0</v>
      </c>
    </row>
    <row r="88" spans="2:9">
      <c r="B88" s="68" t="s">
        <v>210</v>
      </c>
      <c r="C88" s="69" t="b">
        <v>0</v>
      </c>
      <c r="D88" s="69" t="b">
        <v>0</v>
      </c>
      <c r="E88" s="70" t="b">
        <v>0</v>
      </c>
      <c r="F88" s="68" t="b">
        <f t="shared" si="0"/>
        <v>0</v>
      </c>
      <c r="G88" s="68" t="s">
        <v>116</v>
      </c>
      <c r="H88" s="68" t="b">
        <f t="shared" si="1"/>
        <v>0</v>
      </c>
      <c r="I88" s="103" t="b">
        <f t="shared" si="2"/>
        <v>0</v>
      </c>
    </row>
    <row r="89" spans="2:9">
      <c r="B89" s="68" t="s">
        <v>210</v>
      </c>
      <c r="C89" s="69" t="b">
        <v>0</v>
      </c>
      <c r="D89" s="70" t="b">
        <v>1</v>
      </c>
      <c r="E89" s="70" t="b">
        <v>0</v>
      </c>
      <c r="F89" s="68" t="b">
        <f t="shared" si="0"/>
        <v>0</v>
      </c>
      <c r="G89" s="68" t="s">
        <v>116</v>
      </c>
      <c r="H89" s="68" t="b">
        <f t="shared" si="1"/>
        <v>0</v>
      </c>
      <c r="I89" s="103" t="b">
        <f t="shared" si="2"/>
        <v>0</v>
      </c>
    </row>
    <row r="90" spans="2:9">
      <c r="B90" s="68" t="s">
        <v>210</v>
      </c>
      <c r="C90" s="70" t="b">
        <v>1</v>
      </c>
      <c r="D90" s="69" t="b">
        <v>0</v>
      </c>
      <c r="E90" s="70" t="b">
        <v>0</v>
      </c>
      <c r="F90" s="68" t="b">
        <f t="shared" si="0"/>
        <v>0</v>
      </c>
      <c r="G90" s="68" t="s">
        <v>116</v>
      </c>
      <c r="H90" s="68" t="b">
        <f t="shared" si="1"/>
        <v>0</v>
      </c>
      <c r="I90" s="103" t="b">
        <f t="shared" si="2"/>
        <v>0</v>
      </c>
    </row>
    <row r="91" spans="2:9">
      <c r="B91" s="68" t="s">
        <v>210</v>
      </c>
      <c r="C91" s="70" t="b">
        <v>1</v>
      </c>
      <c r="D91" s="70" t="b">
        <v>1</v>
      </c>
      <c r="E91" s="70" t="b">
        <v>0</v>
      </c>
      <c r="F91" s="68" t="b">
        <f t="shared" si="0"/>
        <v>0</v>
      </c>
      <c r="G91" s="68" t="s">
        <v>116</v>
      </c>
      <c r="H91" s="68" t="b">
        <f t="shared" si="1"/>
        <v>0</v>
      </c>
      <c r="I91" s="103" t="b">
        <f t="shared" si="2"/>
        <v>0</v>
      </c>
    </row>
    <row r="92" spans="2:9">
      <c r="B92" s="81"/>
      <c r="C92" s="80"/>
      <c r="D92" s="80"/>
      <c r="E92" s="80"/>
      <c r="F92" s="80"/>
      <c r="G92" s="117"/>
      <c r="H92" s="88"/>
    </row>
    <row r="93" spans="2:9">
      <c r="B93" s="81"/>
      <c r="C93" s="80"/>
      <c r="D93" s="80"/>
      <c r="E93" s="80"/>
      <c r="F93" s="80"/>
      <c r="G93" s="117"/>
      <c r="H93" s="88"/>
    </row>
    <row r="94" spans="2:9">
      <c r="B94" s="43"/>
      <c r="C94" s="43"/>
      <c r="D94" s="43"/>
    </row>
    <row r="95" spans="2:9" ht="18" hidden="1">
      <c r="B95" s="437" t="s">
        <v>211</v>
      </c>
      <c r="C95" s="440"/>
      <c r="D95" s="441"/>
    </row>
    <row r="96" spans="2:9" hidden="1">
      <c r="B96" s="51" t="s">
        <v>198</v>
      </c>
      <c r="D96" s="52" t="s">
        <v>128</v>
      </c>
    </row>
    <row r="97" spans="2:11" hidden="1">
      <c r="B97" s="51" t="s">
        <v>199</v>
      </c>
      <c r="D97" s="52" t="s">
        <v>98</v>
      </c>
    </row>
    <row r="98" spans="2:11" hidden="1">
      <c r="B98" s="51" t="s">
        <v>206</v>
      </c>
      <c r="D98" s="52" t="s">
        <v>98</v>
      </c>
    </row>
    <row r="99" spans="2:11" hidden="1">
      <c r="B99" s="380"/>
      <c r="C99" s="381"/>
      <c r="D99" s="382"/>
    </row>
    <row r="100" spans="2:11" hidden="1">
      <c r="B100" s="51" t="s">
        <v>202</v>
      </c>
      <c r="C100" s="41" t="e">
        <f>C101/E100</f>
        <v>#DIV/0!</v>
      </c>
      <c r="D100" s="52" t="s">
        <v>128</v>
      </c>
      <c r="E100" s="104">
        <f>SUM(I106:I113)</f>
        <v>0</v>
      </c>
      <c r="F100" s="41" t="s">
        <v>203</v>
      </c>
    </row>
    <row r="101" spans="2:11" hidden="1">
      <c r="B101" s="60" t="s">
        <v>196</v>
      </c>
      <c r="C101" s="42">
        <f>IF(C4,SUM(H106:H113),0)</f>
        <v>0</v>
      </c>
      <c r="D101" s="61" t="s">
        <v>128</v>
      </c>
      <c r="E101" s="102">
        <f>C101/$K$15</f>
        <v>0</v>
      </c>
      <c r="F101" s="41" t="s">
        <v>191</v>
      </c>
      <c r="I101" s="81"/>
    </row>
    <row r="102" spans="2:11" hidden="1">
      <c r="B102" s="43"/>
      <c r="C102" s="43"/>
      <c r="D102" s="43"/>
      <c r="J102" s="81"/>
      <c r="K102" s="118"/>
    </row>
    <row r="103" spans="2:11" hidden="1">
      <c r="B103" s="73"/>
      <c r="C103" s="73"/>
      <c r="D103" s="73"/>
      <c r="E103" s="74"/>
      <c r="F103" s="74"/>
      <c r="G103" s="74"/>
      <c r="H103" s="72"/>
    </row>
    <row r="104" spans="2:11" hidden="1">
      <c r="B104" s="62" t="s">
        <v>212</v>
      </c>
      <c r="C104" s="47" t="s">
        <v>133</v>
      </c>
      <c r="D104" s="62" t="s">
        <v>58</v>
      </c>
      <c r="E104" s="62" t="s">
        <v>175</v>
      </c>
      <c r="F104" s="47" t="s">
        <v>205</v>
      </c>
      <c r="G104" s="62" t="s">
        <v>206</v>
      </c>
      <c r="H104" s="62" t="s">
        <v>207</v>
      </c>
      <c r="I104" s="62" t="s">
        <v>208</v>
      </c>
    </row>
    <row r="105" spans="2:11" hidden="1">
      <c r="B105" s="71" t="b">
        <f>$C$14</f>
        <v>0</v>
      </c>
      <c r="C105" s="105">
        <f>$C$17</f>
        <v>0.4</v>
      </c>
      <c r="D105" s="105">
        <f>$C$15</f>
        <v>0.38</v>
      </c>
      <c r="E105" s="71" t="b">
        <f>C4</f>
        <v>0</v>
      </c>
      <c r="F105" s="66"/>
      <c r="G105" s="75"/>
      <c r="H105" s="75"/>
      <c r="I105" s="75"/>
    </row>
    <row r="106" spans="2:11" hidden="1">
      <c r="B106" s="69" t="b">
        <v>0</v>
      </c>
      <c r="C106" s="69" t="b">
        <v>0</v>
      </c>
      <c r="D106" s="69" t="b">
        <v>0</v>
      </c>
      <c r="E106" s="69" t="b">
        <v>0</v>
      </c>
      <c r="F106" s="50" t="b">
        <f t="shared" ref="F106:F113" si="7">IF(AND($E$105,E106,B106=$B$105),TRUE, FALSE)</f>
        <v>0</v>
      </c>
      <c r="G106" s="68"/>
      <c r="H106" s="68" t="b">
        <f t="shared" ref="H106:H113" si="8">IF(F106,IF(C106,$C$105,1-$C$105)*IF(D106,$D$105,1-$D$105)*($C$96*$C$97/G106))</f>
        <v>0</v>
      </c>
      <c r="I106" s="103" t="b">
        <f t="shared" ref="I106:I113" si="9">IF(F106,IF(C106,$C$105,1-$C$105)*IF(D106,$D$105,1-$D$105)*(24*60*60*1000/G106))</f>
        <v>0</v>
      </c>
    </row>
    <row r="107" spans="2:11" hidden="1">
      <c r="B107" s="69" t="b">
        <v>0</v>
      </c>
      <c r="C107" s="69" t="b">
        <v>0</v>
      </c>
      <c r="D107" s="70" t="b">
        <v>1</v>
      </c>
      <c r="E107" s="70" t="b">
        <v>1</v>
      </c>
      <c r="F107" s="50" t="b">
        <f t="shared" si="7"/>
        <v>0</v>
      </c>
      <c r="G107" s="68">
        <f>$C$98</f>
        <v>0</v>
      </c>
      <c r="H107" s="68" t="b">
        <f t="shared" si="8"/>
        <v>0</v>
      </c>
      <c r="I107" s="103" t="b">
        <f t="shared" si="9"/>
        <v>0</v>
      </c>
      <c r="K107" s="72"/>
    </row>
    <row r="108" spans="2:11" hidden="1">
      <c r="B108" s="69" t="b">
        <v>0</v>
      </c>
      <c r="C108" s="70" t="b">
        <v>1</v>
      </c>
      <c r="D108" s="69" t="b">
        <v>0</v>
      </c>
      <c r="E108" s="69" t="b">
        <v>0</v>
      </c>
      <c r="F108" s="50" t="b">
        <f t="shared" si="7"/>
        <v>0</v>
      </c>
      <c r="G108" s="68"/>
      <c r="H108" s="68" t="b">
        <f t="shared" si="8"/>
        <v>0</v>
      </c>
      <c r="I108" s="103" t="b">
        <f t="shared" si="9"/>
        <v>0</v>
      </c>
      <c r="K108" s="72"/>
    </row>
    <row r="109" spans="2:11" hidden="1">
      <c r="B109" s="69" t="b">
        <v>0</v>
      </c>
      <c r="C109" s="70" t="b">
        <v>1</v>
      </c>
      <c r="D109" s="70" t="b">
        <v>1</v>
      </c>
      <c r="E109" s="70" t="b">
        <v>1</v>
      </c>
      <c r="F109" s="50" t="b">
        <f t="shared" si="7"/>
        <v>0</v>
      </c>
      <c r="G109" s="68">
        <f>$C$98</f>
        <v>0</v>
      </c>
      <c r="H109" s="68" t="b">
        <f t="shared" si="8"/>
        <v>0</v>
      </c>
      <c r="I109" s="103" t="b">
        <f t="shared" si="9"/>
        <v>0</v>
      </c>
      <c r="K109" s="72"/>
    </row>
    <row r="110" spans="2:11" hidden="1">
      <c r="B110" s="70" t="b">
        <v>1</v>
      </c>
      <c r="C110" s="69" t="b">
        <v>0</v>
      </c>
      <c r="D110" s="69" t="b">
        <v>0</v>
      </c>
      <c r="E110" s="69" t="b">
        <v>0</v>
      </c>
      <c r="F110" s="50" t="b">
        <f t="shared" si="7"/>
        <v>0</v>
      </c>
      <c r="G110" s="68"/>
      <c r="H110" s="68" t="b">
        <f t="shared" si="8"/>
        <v>0</v>
      </c>
      <c r="I110" s="103" t="b">
        <f t="shared" si="9"/>
        <v>0</v>
      </c>
      <c r="K110" s="72"/>
    </row>
    <row r="111" spans="2:11" hidden="1">
      <c r="B111" s="70" t="b">
        <v>1</v>
      </c>
      <c r="C111" s="69" t="b">
        <v>0</v>
      </c>
      <c r="D111" s="70" t="b">
        <v>1</v>
      </c>
      <c r="E111" s="70" t="b">
        <v>1</v>
      </c>
      <c r="F111" s="50" t="b">
        <f t="shared" si="7"/>
        <v>0</v>
      </c>
      <c r="G111" s="68">
        <f>$C$98</f>
        <v>0</v>
      </c>
      <c r="H111" s="68" t="b">
        <f t="shared" si="8"/>
        <v>0</v>
      </c>
      <c r="I111" s="103" t="b">
        <f t="shared" si="9"/>
        <v>0</v>
      </c>
      <c r="K111" s="72"/>
    </row>
    <row r="112" spans="2:11" hidden="1">
      <c r="B112" s="70" t="b">
        <v>1</v>
      </c>
      <c r="C112" s="70" t="b">
        <v>1</v>
      </c>
      <c r="D112" s="69" t="b">
        <v>0</v>
      </c>
      <c r="E112" s="69" t="b">
        <v>0</v>
      </c>
      <c r="F112" s="50" t="b">
        <f t="shared" si="7"/>
        <v>0</v>
      </c>
      <c r="G112" s="68"/>
      <c r="H112" s="68" t="b">
        <f t="shared" si="8"/>
        <v>0</v>
      </c>
      <c r="I112" s="103" t="b">
        <f t="shared" si="9"/>
        <v>0</v>
      </c>
      <c r="J112" s="72"/>
      <c r="K112" s="72"/>
    </row>
    <row r="113" spans="2:11">
      <c r="B113" s="70" t="b">
        <v>1</v>
      </c>
      <c r="C113" s="70" t="b">
        <v>1</v>
      </c>
      <c r="D113" s="70" t="b">
        <v>1</v>
      </c>
      <c r="E113" s="69" t="b">
        <v>0</v>
      </c>
      <c r="F113" s="50" t="b">
        <f t="shared" si="7"/>
        <v>0</v>
      </c>
      <c r="G113" s="68"/>
      <c r="H113" s="68" t="b">
        <f t="shared" si="8"/>
        <v>0</v>
      </c>
      <c r="I113" s="103" t="b">
        <f t="shared" si="9"/>
        <v>0</v>
      </c>
      <c r="J113" s="72"/>
      <c r="K113" s="72"/>
    </row>
    <row r="114" spans="2:11">
      <c r="B114" s="76"/>
      <c r="C114" s="76"/>
      <c r="D114" s="76"/>
      <c r="E114" s="72"/>
      <c r="F114" s="72"/>
      <c r="G114" s="72"/>
      <c r="H114" s="72"/>
      <c r="I114" s="72"/>
      <c r="J114" s="72"/>
      <c r="K114" s="72"/>
    </row>
    <row r="115" spans="2:11">
      <c r="B115" s="43"/>
      <c r="C115" s="43"/>
      <c r="D115" s="43"/>
      <c r="I115" s="72"/>
      <c r="J115" s="72"/>
      <c r="K115" s="72"/>
    </row>
    <row r="116" spans="2:11">
      <c r="I116" s="72"/>
      <c r="J116" s="72"/>
      <c r="K116" s="72"/>
    </row>
    <row r="117" spans="2:11" ht="18">
      <c r="B117" s="437" t="s">
        <v>213</v>
      </c>
      <c r="C117" s="440"/>
      <c r="D117" s="441"/>
      <c r="I117" s="72"/>
      <c r="J117" s="72"/>
      <c r="K117" s="72"/>
    </row>
    <row r="118" spans="2:11">
      <c r="B118" s="51" t="s">
        <v>198</v>
      </c>
      <c r="C118" s="238">
        <f>'Current Consumption'!N512-$C$67</f>
        <v>6.2906336000000005</v>
      </c>
      <c r="D118" s="52" t="s">
        <v>128</v>
      </c>
      <c r="I118" s="72"/>
      <c r="J118" s="72"/>
      <c r="K118" s="72"/>
    </row>
    <row r="119" spans="2:11">
      <c r="B119" s="51" t="s">
        <v>199</v>
      </c>
      <c r="C119" s="41">
        <f>'Current Consumption'!N513</f>
        <v>16.286000000000001</v>
      </c>
      <c r="D119" s="52" t="s">
        <v>98</v>
      </c>
      <c r="J119" s="72"/>
      <c r="K119" s="72"/>
    </row>
    <row r="120" spans="2:11">
      <c r="B120" s="51" t="s">
        <v>214</v>
      </c>
      <c r="C120" s="124">
        <f>$C$6/$C$18</f>
        <v>16000</v>
      </c>
      <c r="D120" s="52" t="s">
        <v>98</v>
      </c>
      <c r="I120" s="72"/>
      <c r="J120" s="72"/>
      <c r="K120" s="72"/>
    </row>
    <row r="121" spans="2:11">
      <c r="B121" s="51" t="s">
        <v>215</v>
      </c>
      <c r="C121" s="124">
        <f>$C$5/$C$18</f>
        <v>32000</v>
      </c>
      <c r="D121" s="52" t="s">
        <v>98</v>
      </c>
      <c r="J121" s="72"/>
      <c r="K121" s="72"/>
    </row>
    <row r="122" spans="2:11">
      <c r="B122" s="51" t="s">
        <v>201</v>
      </c>
      <c r="C122" s="124">
        <f>300000/$C$18</f>
        <v>200000</v>
      </c>
      <c r="D122" s="52" t="s">
        <v>98</v>
      </c>
      <c r="I122" s="72"/>
      <c r="J122" s="72"/>
      <c r="K122" s="72"/>
    </row>
    <row r="123" spans="2:11">
      <c r="B123" s="380"/>
      <c r="C123" s="381"/>
      <c r="D123" s="382"/>
    </row>
    <row r="124" spans="2:11">
      <c r="B124" s="51" t="s">
        <v>202</v>
      </c>
      <c r="C124" s="41">
        <f>C125/E124</f>
        <v>1.1857553102962964E-6</v>
      </c>
      <c r="D124" s="52" t="s">
        <v>128</v>
      </c>
      <c r="E124" s="104">
        <f>SUM(J129:J152)</f>
        <v>800.71200000000022</v>
      </c>
      <c r="F124" s="41" t="s">
        <v>203</v>
      </c>
    </row>
    <row r="125" spans="2:11">
      <c r="B125" s="60" t="s">
        <v>196</v>
      </c>
      <c r="C125" s="42">
        <f>SUM(I129:I152)</f>
        <v>9.4944850601796828E-4</v>
      </c>
      <c r="D125" s="61" t="s">
        <v>128</v>
      </c>
      <c r="E125" s="102">
        <f>C125/$K$15</f>
        <v>1.4977872476674214E-2</v>
      </c>
      <c r="F125" s="41" t="s">
        <v>191</v>
      </c>
    </row>
    <row r="126" spans="2:11">
      <c r="B126" s="72"/>
      <c r="C126" s="72"/>
      <c r="D126" s="72"/>
      <c r="E126" s="72"/>
      <c r="F126" s="74"/>
      <c r="G126" s="72"/>
      <c r="H126" s="72"/>
    </row>
    <row r="127" spans="2:11">
      <c r="B127" s="62" t="s">
        <v>89</v>
      </c>
      <c r="C127" s="47" t="s">
        <v>133</v>
      </c>
      <c r="D127" s="47" t="s">
        <v>58</v>
      </c>
      <c r="E127" s="47" t="s">
        <v>216</v>
      </c>
      <c r="F127" s="47" t="s">
        <v>217</v>
      </c>
      <c r="G127" s="47" t="s">
        <v>205</v>
      </c>
      <c r="H127" s="62" t="s">
        <v>218</v>
      </c>
      <c r="I127" s="62" t="s">
        <v>207</v>
      </c>
      <c r="J127" s="62" t="s">
        <v>208</v>
      </c>
    </row>
    <row r="128" spans="2:11">
      <c r="B128" s="64" t="str">
        <f>$C$2</f>
        <v>900 MHz and BLE</v>
      </c>
      <c r="C128" s="105">
        <f>$C$17</f>
        <v>0.4</v>
      </c>
      <c r="D128" s="105">
        <f>$C$15</f>
        <v>0.38</v>
      </c>
      <c r="E128" s="105">
        <f>$C$19+$C$21+$C$22-$C$23</f>
        <v>0.30999999999999994</v>
      </c>
      <c r="F128" s="66"/>
      <c r="G128" s="75"/>
      <c r="H128" s="75"/>
      <c r="I128" s="75"/>
      <c r="J128" s="75"/>
    </row>
    <row r="129" spans="2:15">
      <c r="B129" s="68" t="s">
        <v>49</v>
      </c>
      <c r="C129" s="69" t="b">
        <v>0</v>
      </c>
      <c r="D129" s="69" t="b">
        <v>0</v>
      </c>
      <c r="E129" s="69" t="b">
        <v>0</v>
      </c>
      <c r="F129" s="69" t="b">
        <v>0</v>
      </c>
      <c r="G129" s="68" t="b">
        <f t="shared" ref="G129:G152" si="10">IF(AND(F129,B129=$B$128),TRUE,FALSE)</f>
        <v>0</v>
      </c>
      <c r="H129" s="68" t="s">
        <v>116</v>
      </c>
      <c r="I129" s="68" t="b">
        <f t="shared" ref="I129:I152" si="11">IF(G129,IF(C129,$C$128,1-$C$128)*IF(D129,$D$128,1-$D$128)*IF(E129,$E$128,1-$E$128)*($C$118*$C$119/H129))</f>
        <v>0</v>
      </c>
      <c r="J129" s="103" t="b">
        <f t="shared" ref="J129:J152" si="12">IF(G129,IF(C129,$C$128,1-$C$128)*IF(D129,$D$128,1-$D$128)*IF(E129,$E$128,1-$E$128)*(1000*24*60*60/H129))</f>
        <v>0</v>
      </c>
    </row>
    <row r="130" spans="2:15">
      <c r="B130" s="68" t="s">
        <v>49</v>
      </c>
      <c r="C130" s="69" t="b">
        <v>0</v>
      </c>
      <c r="D130" s="69" t="b">
        <v>0</v>
      </c>
      <c r="E130" s="69" t="b">
        <v>1</v>
      </c>
      <c r="F130" s="69" t="b">
        <v>0</v>
      </c>
      <c r="G130" s="68" t="b">
        <f t="shared" si="10"/>
        <v>0</v>
      </c>
      <c r="H130" s="68" t="s">
        <v>116</v>
      </c>
      <c r="I130" s="68" t="b">
        <f t="shared" si="11"/>
        <v>0</v>
      </c>
      <c r="J130" s="103" t="b">
        <f t="shared" si="12"/>
        <v>0</v>
      </c>
    </row>
    <row r="131" spans="2:15">
      <c r="B131" s="68" t="s">
        <v>49</v>
      </c>
      <c r="C131" s="69" t="b">
        <v>0</v>
      </c>
      <c r="D131" s="69" t="b">
        <v>1</v>
      </c>
      <c r="E131" s="69" t="b">
        <v>0</v>
      </c>
      <c r="F131" s="69" t="b">
        <v>0</v>
      </c>
      <c r="G131" s="68" t="b">
        <f t="shared" si="10"/>
        <v>0</v>
      </c>
      <c r="H131" s="68" t="s">
        <v>116</v>
      </c>
      <c r="I131" s="68" t="b">
        <f t="shared" si="11"/>
        <v>0</v>
      </c>
      <c r="J131" s="103" t="b">
        <f t="shared" si="12"/>
        <v>0</v>
      </c>
    </row>
    <row r="132" spans="2:15">
      <c r="B132" s="68" t="s">
        <v>49</v>
      </c>
      <c r="C132" s="69" t="b">
        <v>0</v>
      </c>
      <c r="D132" s="69" t="b">
        <v>1</v>
      </c>
      <c r="E132" s="69" t="b">
        <v>1</v>
      </c>
      <c r="F132" s="69" t="b">
        <v>0</v>
      </c>
      <c r="G132" s="68" t="b">
        <f t="shared" si="10"/>
        <v>0</v>
      </c>
      <c r="H132" s="68" t="s">
        <v>116</v>
      </c>
      <c r="I132" s="68" t="b">
        <f t="shared" si="11"/>
        <v>0</v>
      </c>
      <c r="J132" s="103" t="b">
        <f t="shared" si="12"/>
        <v>0</v>
      </c>
    </row>
    <row r="133" spans="2:15">
      <c r="B133" s="68" t="s">
        <v>49</v>
      </c>
      <c r="C133" s="69" t="b">
        <v>1</v>
      </c>
      <c r="D133" s="69" t="b">
        <v>0</v>
      </c>
      <c r="E133" s="69" t="b">
        <v>0</v>
      </c>
      <c r="F133" s="69" t="b">
        <v>1</v>
      </c>
      <c r="G133" s="68" t="b">
        <f t="shared" si="10"/>
        <v>1</v>
      </c>
      <c r="H133" s="68">
        <f>$C$122</f>
        <v>200000</v>
      </c>
      <c r="I133" s="68">
        <f t="shared" si="11"/>
        <v>8.7655585837493791E-5</v>
      </c>
      <c r="J133" s="103">
        <f t="shared" si="12"/>
        <v>73.923840000000013</v>
      </c>
    </row>
    <row r="134" spans="2:15">
      <c r="B134" s="68" t="s">
        <v>49</v>
      </c>
      <c r="C134" s="69" t="b">
        <v>1</v>
      </c>
      <c r="D134" s="69" t="b">
        <v>0</v>
      </c>
      <c r="E134" s="69" t="b">
        <v>1</v>
      </c>
      <c r="F134" s="69" t="b">
        <v>1</v>
      </c>
      <c r="G134" s="68" t="b">
        <f t="shared" si="10"/>
        <v>1</v>
      </c>
      <c r="H134" s="68">
        <f>$C$122</f>
        <v>200000</v>
      </c>
      <c r="I134" s="68">
        <f t="shared" si="11"/>
        <v>3.9381495086410244E-5</v>
      </c>
      <c r="J134" s="103">
        <f t="shared" si="12"/>
        <v>33.212159999999997</v>
      </c>
    </row>
    <row r="135" spans="2:15">
      <c r="B135" s="68" t="s">
        <v>49</v>
      </c>
      <c r="C135" s="69" t="b">
        <v>1</v>
      </c>
      <c r="D135" s="69" t="b">
        <v>1</v>
      </c>
      <c r="E135" s="69" t="b">
        <v>0</v>
      </c>
      <c r="F135" s="69" t="b">
        <v>1</v>
      </c>
      <c r="G135" s="68" t="b">
        <f t="shared" si="10"/>
        <v>1</v>
      </c>
      <c r="H135" s="68">
        <f>$C$120</f>
        <v>16000</v>
      </c>
      <c r="I135" s="68">
        <f t="shared" si="11"/>
        <v>6.7155489149692824E-4</v>
      </c>
      <c r="J135" s="103">
        <f t="shared" si="12"/>
        <v>566.3520000000002</v>
      </c>
    </row>
    <row r="136" spans="2:15">
      <c r="B136" s="68" t="s">
        <v>49</v>
      </c>
      <c r="C136" s="69" t="b">
        <v>1</v>
      </c>
      <c r="D136" s="69" t="b">
        <v>1</v>
      </c>
      <c r="E136" s="69" t="b">
        <v>1</v>
      </c>
      <c r="F136" s="69" t="b">
        <v>1</v>
      </c>
      <c r="G136" s="68" t="b">
        <f t="shared" si="10"/>
        <v>1</v>
      </c>
      <c r="H136" s="68">
        <f>$C$121</f>
        <v>32000</v>
      </c>
      <c r="I136" s="68">
        <f t="shared" si="11"/>
        <v>1.5085653359713601E-4</v>
      </c>
      <c r="J136" s="103">
        <f t="shared" si="12"/>
        <v>127.22399999999999</v>
      </c>
    </row>
    <row r="137" spans="2:15">
      <c r="B137" s="68" t="s">
        <v>209</v>
      </c>
      <c r="C137" s="69" t="b">
        <v>0</v>
      </c>
      <c r="D137" s="69" t="b">
        <v>0</v>
      </c>
      <c r="E137" s="69" t="b">
        <v>0</v>
      </c>
      <c r="F137" s="69" t="b">
        <v>0</v>
      </c>
      <c r="G137" s="68" t="b">
        <f t="shared" si="10"/>
        <v>0</v>
      </c>
      <c r="H137" s="68" t="s">
        <v>116</v>
      </c>
      <c r="I137" s="68" t="b">
        <f t="shared" si="11"/>
        <v>0</v>
      </c>
      <c r="J137" s="103" t="b">
        <f t="shared" si="12"/>
        <v>0</v>
      </c>
    </row>
    <row r="138" spans="2:15">
      <c r="B138" s="68" t="s">
        <v>209</v>
      </c>
      <c r="C138" s="69" t="b">
        <v>0</v>
      </c>
      <c r="D138" s="69" t="b">
        <v>0</v>
      </c>
      <c r="E138" s="69" t="b">
        <v>1</v>
      </c>
      <c r="F138" s="69" t="b">
        <v>0</v>
      </c>
      <c r="G138" s="68" t="b">
        <f t="shared" si="10"/>
        <v>0</v>
      </c>
      <c r="H138" s="68" t="s">
        <v>116</v>
      </c>
      <c r="I138" s="68" t="b">
        <f t="shared" si="11"/>
        <v>0</v>
      </c>
      <c r="J138" s="103" t="b">
        <f t="shared" si="12"/>
        <v>0</v>
      </c>
    </row>
    <row r="139" spans="2:15">
      <c r="B139" s="68" t="s">
        <v>209</v>
      </c>
      <c r="C139" s="69" t="b">
        <v>0</v>
      </c>
      <c r="D139" s="69" t="b">
        <v>1</v>
      </c>
      <c r="E139" s="69" t="b">
        <v>0</v>
      </c>
      <c r="F139" s="69" t="b">
        <v>0</v>
      </c>
      <c r="G139" s="68" t="b">
        <f t="shared" si="10"/>
        <v>0</v>
      </c>
      <c r="H139" s="68" t="s">
        <v>116</v>
      </c>
      <c r="I139" s="68" t="b">
        <f t="shared" si="11"/>
        <v>0</v>
      </c>
      <c r="J139" s="103" t="b">
        <f t="shared" si="12"/>
        <v>0</v>
      </c>
      <c r="K139" s="72"/>
    </row>
    <row r="140" spans="2:15">
      <c r="B140" s="68" t="s">
        <v>209</v>
      </c>
      <c r="C140" s="69" t="b">
        <v>0</v>
      </c>
      <c r="D140" s="69" t="b">
        <v>1</v>
      </c>
      <c r="E140" s="69" t="b">
        <v>1</v>
      </c>
      <c r="F140" s="69" t="b">
        <v>0</v>
      </c>
      <c r="G140" s="68" t="b">
        <f t="shared" si="10"/>
        <v>0</v>
      </c>
      <c r="H140" s="68" t="s">
        <v>116</v>
      </c>
      <c r="I140" s="68" t="b">
        <f t="shared" si="11"/>
        <v>0</v>
      </c>
      <c r="J140" s="103" t="b">
        <f t="shared" si="12"/>
        <v>0</v>
      </c>
      <c r="K140" s="72"/>
      <c r="L140" s="72"/>
    </row>
    <row r="141" spans="2:15">
      <c r="B141" s="68" t="s">
        <v>209</v>
      </c>
      <c r="C141" s="69" t="b">
        <v>1</v>
      </c>
      <c r="D141" s="69" t="b">
        <v>0</v>
      </c>
      <c r="E141" s="69" t="b">
        <v>0</v>
      </c>
      <c r="F141" s="70" t="b">
        <v>1</v>
      </c>
      <c r="G141" s="68" t="b">
        <f t="shared" si="10"/>
        <v>0</v>
      </c>
      <c r="H141" s="68">
        <f>$C$122</f>
        <v>200000</v>
      </c>
      <c r="I141" s="68" t="b">
        <f t="shared" si="11"/>
        <v>0</v>
      </c>
      <c r="J141" s="103" t="b">
        <f t="shared" si="12"/>
        <v>0</v>
      </c>
      <c r="K141" s="72"/>
      <c r="L141" s="72"/>
    </row>
    <row r="142" spans="2:15">
      <c r="B142" s="68" t="s">
        <v>209</v>
      </c>
      <c r="C142" s="69" t="b">
        <v>1</v>
      </c>
      <c r="D142" s="69" t="b">
        <v>0</v>
      </c>
      <c r="E142" s="69" t="b">
        <v>1</v>
      </c>
      <c r="F142" s="70" t="b">
        <v>1</v>
      </c>
      <c r="G142" s="68" t="b">
        <f t="shared" si="10"/>
        <v>0</v>
      </c>
      <c r="H142" s="68">
        <f>$C$122</f>
        <v>200000</v>
      </c>
      <c r="I142" s="68" t="b">
        <f t="shared" si="11"/>
        <v>0</v>
      </c>
      <c r="J142" s="103" t="b">
        <f t="shared" si="12"/>
        <v>0</v>
      </c>
      <c r="K142" s="72"/>
      <c r="L142" s="72"/>
    </row>
    <row r="143" spans="2:15">
      <c r="B143" s="68" t="s">
        <v>209</v>
      </c>
      <c r="C143" s="69" t="b">
        <v>1</v>
      </c>
      <c r="D143" s="69" t="b">
        <v>1</v>
      </c>
      <c r="E143" s="69" t="b">
        <v>0</v>
      </c>
      <c r="F143" s="70" t="b">
        <v>1</v>
      </c>
      <c r="G143" s="68" t="b">
        <f t="shared" si="10"/>
        <v>0</v>
      </c>
      <c r="H143" s="68">
        <f>$C$120</f>
        <v>16000</v>
      </c>
      <c r="I143" s="68" t="b">
        <f t="shared" si="11"/>
        <v>0</v>
      </c>
      <c r="J143" s="103" t="b">
        <f t="shared" si="12"/>
        <v>0</v>
      </c>
      <c r="K143" s="72"/>
      <c r="L143" s="72"/>
    </row>
    <row r="144" spans="2:15">
      <c r="B144" s="68" t="s">
        <v>209</v>
      </c>
      <c r="C144" s="69" t="b">
        <v>1</v>
      </c>
      <c r="D144" s="69" t="b">
        <v>1</v>
      </c>
      <c r="E144" s="69" t="b">
        <v>1</v>
      </c>
      <c r="F144" s="70" t="b">
        <v>1</v>
      </c>
      <c r="G144" s="68" t="b">
        <f t="shared" si="10"/>
        <v>0</v>
      </c>
      <c r="H144" s="68">
        <f>$C$121</f>
        <v>32000</v>
      </c>
      <c r="I144" s="68" t="b">
        <f t="shared" si="11"/>
        <v>0</v>
      </c>
      <c r="J144" s="103" t="b">
        <f t="shared" si="12"/>
        <v>0</v>
      </c>
      <c r="K144" s="72"/>
      <c r="L144" s="72"/>
      <c r="N144" s="72"/>
      <c r="O144" s="72"/>
    </row>
    <row r="145" spans="1:15">
      <c r="B145" s="68" t="s">
        <v>210</v>
      </c>
      <c r="C145" s="69" t="b">
        <v>0</v>
      </c>
      <c r="D145" s="69" t="b">
        <v>0</v>
      </c>
      <c r="E145" s="69" t="b">
        <v>0</v>
      </c>
      <c r="F145" s="70" t="b">
        <v>0</v>
      </c>
      <c r="G145" s="68" t="b">
        <f t="shared" si="10"/>
        <v>0</v>
      </c>
      <c r="H145" s="68" t="s">
        <v>116</v>
      </c>
      <c r="I145" s="68" t="b">
        <f t="shared" si="11"/>
        <v>0</v>
      </c>
      <c r="J145" s="103" t="b">
        <f t="shared" si="12"/>
        <v>0</v>
      </c>
      <c r="K145" s="72"/>
      <c r="L145" s="72"/>
      <c r="M145" s="72"/>
      <c r="N145" s="72"/>
      <c r="O145" s="72"/>
    </row>
    <row r="146" spans="1:15">
      <c r="A146" s="72"/>
      <c r="B146" s="68" t="s">
        <v>210</v>
      </c>
      <c r="C146" s="69" t="b">
        <v>0</v>
      </c>
      <c r="D146" s="69" t="b">
        <v>0</v>
      </c>
      <c r="E146" s="69" t="b">
        <v>1</v>
      </c>
      <c r="F146" s="70" t="b">
        <v>0</v>
      </c>
      <c r="G146" s="68" t="b">
        <f t="shared" si="10"/>
        <v>0</v>
      </c>
      <c r="H146" s="68" t="s">
        <v>116</v>
      </c>
      <c r="I146" s="68" t="b">
        <f t="shared" si="11"/>
        <v>0</v>
      </c>
      <c r="J146" s="103" t="b">
        <f t="shared" si="12"/>
        <v>0</v>
      </c>
      <c r="K146" s="72"/>
      <c r="L146" s="72"/>
      <c r="M146" s="72"/>
      <c r="N146" s="72"/>
      <c r="O146" s="72"/>
    </row>
    <row r="147" spans="1:15">
      <c r="A147" s="72"/>
      <c r="B147" s="68" t="s">
        <v>210</v>
      </c>
      <c r="C147" s="69" t="b">
        <v>0</v>
      </c>
      <c r="D147" s="69" t="b">
        <v>1</v>
      </c>
      <c r="E147" s="69" t="b">
        <v>0</v>
      </c>
      <c r="F147" s="70" t="b">
        <v>0</v>
      </c>
      <c r="G147" s="68" t="b">
        <f t="shared" si="10"/>
        <v>0</v>
      </c>
      <c r="H147" s="68" t="s">
        <v>116</v>
      </c>
      <c r="I147" s="68" t="b">
        <f t="shared" si="11"/>
        <v>0</v>
      </c>
      <c r="J147" s="103" t="b">
        <f t="shared" si="12"/>
        <v>0</v>
      </c>
      <c r="K147" s="72"/>
      <c r="L147" s="72"/>
      <c r="M147" s="72"/>
      <c r="N147" s="72"/>
      <c r="O147" s="72"/>
    </row>
    <row r="148" spans="1:15" s="72" customFormat="1">
      <c r="B148" s="68" t="s">
        <v>210</v>
      </c>
      <c r="C148" s="69" t="b">
        <v>0</v>
      </c>
      <c r="D148" s="69" t="b">
        <v>1</v>
      </c>
      <c r="E148" s="69" t="b">
        <v>1</v>
      </c>
      <c r="F148" s="70" t="b">
        <v>0</v>
      </c>
      <c r="G148" s="68" t="b">
        <f t="shared" si="10"/>
        <v>0</v>
      </c>
      <c r="H148" s="68" t="s">
        <v>116</v>
      </c>
      <c r="I148" s="68" t="b">
        <f t="shared" si="11"/>
        <v>0</v>
      </c>
      <c r="J148" s="103" t="b">
        <f t="shared" si="12"/>
        <v>0</v>
      </c>
    </row>
    <row r="149" spans="1:15" s="72" customFormat="1">
      <c r="B149" s="68" t="s">
        <v>210</v>
      </c>
      <c r="C149" s="69" t="b">
        <v>1</v>
      </c>
      <c r="D149" s="69" t="b">
        <v>0</v>
      </c>
      <c r="E149" s="69" t="b">
        <v>0</v>
      </c>
      <c r="F149" s="70" t="b">
        <v>0</v>
      </c>
      <c r="G149" s="68" t="b">
        <f t="shared" si="10"/>
        <v>0</v>
      </c>
      <c r="H149" s="68" t="s">
        <v>116</v>
      </c>
      <c r="I149" s="68" t="b">
        <f t="shared" si="11"/>
        <v>0</v>
      </c>
      <c r="J149" s="103" t="b">
        <f t="shared" si="12"/>
        <v>0</v>
      </c>
    </row>
    <row r="150" spans="1:15" s="72" customFormat="1">
      <c r="B150" s="68" t="s">
        <v>210</v>
      </c>
      <c r="C150" s="69" t="b">
        <v>1</v>
      </c>
      <c r="D150" s="69" t="b">
        <v>0</v>
      </c>
      <c r="E150" s="69" t="b">
        <v>1</v>
      </c>
      <c r="F150" s="70" t="b">
        <v>0</v>
      </c>
      <c r="G150" s="68" t="b">
        <f t="shared" si="10"/>
        <v>0</v>
      </c>
      <c r="H150" s="68" t="s">
        <v>116</v>
      </c>
      <c r="I150" s="68" t="b">
        <f t="shared" si="11"/>
        <v>0</v>
      </c>
      <c r="J150" s="103" t="b">
        <f t="shared" si="12"/>
        <v>0</v>
      </c>
    </row>
    <row r="151" spans="1:15" s="72" customFormat="1">
      <c r="B151" s="68" t="s">
        <v>210</v>
      </c>
      <c r="C151" s="69" t="b">
        <v>1</v>
      </c>
      <c r="D151" s="69" t="b">
        <v>1</v>
      </c>
      <c r="E151" s="69" t="b">
        <v>0</v>
      </c>
      <c r="F151" s="70" t="b">
        <v>0</v>
      </c>
      <c r="G151" s="68" t="b">
        <f t="shared" si="10"/>
        <v>0</v>
      </c>
      <c r="H151" s="68" t="s">
        <v>116</v>
      </c>
      <c r="I151" s="68" t="b">
        <f t="shared" si="11"/>
        <v>0</v>
      </c>
      <c r="J151" s="103" t="b">
        <f t="shared" si="12"/>
        <v>0</v>
      </c>
      <c r="K151" s="41"/>
    </row>
    <row r="152" spans="1:15" s="72" customFormat="1">
      <c r="B152" s="68" t="s">
        <v>210</v>
      </c>
      <c r="C152" s="69" t="b">
        <v>1</v>
      </c>
      <c r="D152" s="69" t="b">
        <v>1</v>
      </c>
      <c r="E152" s="69" t="b">
        <v>1</v>
      </c>
      <c r="F152" s="70" t="b">
        <v>0</v>
      </c>
      <c r="G152" s="68" t="b">
        <f t="shared" si="10"/>
        <v>0</v>
      </c>
      <c r="H152" s="68" t="s">
        <v>116</v>
      </c>
      <c r="I152" s="68" t="b">
        <f t="shared" si="11"/>
        <v>0</v>
      </c>
      <c r="J152" s="103" t="b">
        <f t="shared" si="12"/>
        <v>0</v>
      </c>
    </row>
    <row r="153" spans="1:15" s="72" customFormat="1">
      <c r="B153" s="77"/>
      <c r="C153" s="77"/>
      <c r="D153" s="77"/>
      <c r="E153" s="77"/>
      <c r="F153" s="78"/>
      <c r="G153" s="77"/>
      <c r="H153" s="77"/>
    </row>
    <row r="154" spans="1:15" s="72" customFormat="1">
      <c r="B154" s="43"/>
      <c r="C154" s="43"/>
      <c r="D154" s="43"/>
      <c r="E154" s="41"/>
      <c r="F154" s="41"/>
      <c r="G154" s="41"/>
      <c r="H154" s="41"/>
    </row>
    <row r="155" spans="1:15" s="72" customFormat="1">
      <c r="B155" s="43"/>
      <c r="C155" s="43"/>
      <c r="D155" s="43"/>
      <c r="E155" s="41"/>
      <c r="F155" s="41"/>
      <c r="G155" s="41"/>
      <c r="H155" s="41"/>
    </row>
    <row r="156" spans="1:15" s="72" customFormat="1" ht="18">
      <c r="B156" s="437" t="s">
        <v>219</v>
      </c>
      <c r="C156" s="440"/>
      <c r="D156" s="441"/>
      <c r="E156" s="41"/>
      <c r="F156" s="41"/>
      <c r="G156" s="41"/>
      <c r="H156" s="41"/>
    </row>
    <row r="157" spans="1:15" s="72" customFormat="1">
      <c r="B157" s="51" t="s">
        <v>220</v>
      </c>
      <c r="C157" s="220">
        <f>'Current Consumption'!E764-$C$67</f>
        <v>0.36960026666666668</v>
      </c>
      <c r="D157" s="52" t="s">
        <v>128</v>
      </c>
      <c r="E157" s="41"/>
      <c r="F157" s="41"/>
      <c r="G157" s="41"/>
      <c r="H157" s="41"/>
      <c r="L157" s="41"/>
    </row>
    <row r="158" spans="1:15" s="72" customFormat="1">
      <c r="B158" s="51" t="s">
        <v>221</v>
      </c>
      <c r="C158" s="238">
        <f>'Current Consumption'!E765</f>
        <v>319.86833333333334</v>
      </c>
      <c r="D158" s="52" t="s">
        <v>98</v>
      </c>
      <c r="E158" s="41"/>
      <c r="F158" s="41"/>
      <c r="G158" s="41"/>
      <c r="H158" s="41"/>
      <c r="I158" s="41"/>
      <c r="J158" s="41"/>
      <c r="K158" s="41"/>
      <c r="L158" s="41"/>
    </row>
    <row r="159" spans="1:15" s="72" customFormat="1">
      <c r="B159" s="51" t="s">
        <v>222</v>
      </c>
      <c r="C159" s="220">
        <f>'Current Consumption'!E811-$C$67</f>
        <v>0.35036026666666659</v>
      </c>
      <c r="D159" s="52" t="s">
        <v>128</v>
      </c>
      <c r="E159" s="41"/>
      <c r="F159" s="41"/>
      <c r="G159" s="41"/>
      <c r="H159" s="41"/>
      <c r="I159" s="41"/>
      <c r="J159" s="41"/>
      <c r="K159" s="41"/>
      <c r="L159" s="41"/>
    </row>
    <row r="160" spans="1:15" s="72" customFormat="1">
      <c r="B160" s="51" t="s">
        <v>223</v>
      </c>
      <c r="C160" s="238">
        <f>'Current Consumption'!E812</f>
        <v>324.58499999999998</v>
      </c>
      <c r="D160" s="52" t="s">
        <v>98</v>
      </c>
      <c r="E160" s="41"/>
      <c r="F160" s="41"/>
      <c r="G160" s="41"/>
      <c r="H160" s="41"/>
      <c r="I160" s="41"/>
      <c r="J160" s="41"/>
      <c r="K160" s="41"/>
      <c r="L160" s="41"/>
    </row>
    <row r="161" spans="2:12" s="72" customFormat="1">
      <c r="B161" s="51" t="s">
        <v>224</v>
      </c>
      <c r="C161" s="220">
        <f>'Current Consumption'!E857-$C$67</f>
        <v>0.59591359999999993</v>
      </c>
      <c r="D161" s="52" t="s">
        <v>128</v>
      </c>
      <c r="E161" s="41"/>
      <c r="F161" s="41"/>
      <c r="I161" s="41"/>
      <c r="J161" s="41"/>
      <c r="K161" s="41"/>
      <c r="L161" s="41"/>
    </row>
    <row r="162" spans="2:12" s="72" customFormat="1">
      <c r="B162" s="51" t="s">
        <v>225</v>
      </c>
      <c r="C162" s="238">
        <f>'Current Consumption'!E858</f>
        <v>330.53899999999999</v>
      </c>
      <c r="D162" s="52" t="s">
        <v>98</v>
      </c>
      <c r="E162" s="41"/>
      <c r="F162" s="41"/>
      <c r="G162" s="41"/>
      <c r="H162" s="41"/>
      <c r="I162" s="41"/>
      <c r="J162" s="41"/>
      <c r="K162" s="41"/>
      <c r="L162" s="41"/>
    </row>
    <row r="163" spans="2:12" s="72" customFormat="1">
      <c r="B163" s="51" t="s">
        <v>226</v>
      </c>
      <c r="C163" s="41">
        <f>($C$7*1000)+($C$7*1000*$C$8)</f>
        <v>3000</v>
      </c>
      <c r="D163" s="52" t="s">
        <v>98</v>
      </c>
      <c r="E163" s="41"/>
      <c r="F163" s="41"/>
      <c r="G163" s="41"/>
      <c r="H163" s="41"/>
      <c r="I163" s="41"/>
      <c r="J163" s="41"/>
      <c r="K163" s="41"/>
      <c r="L163" s="41"/>
    </row>
    <row r="164" spans="2:12" s="72" customFormat="1">
      <c r="B164" s="51" t="s">
        <v>227</v>
      </c>
      <c r="C164" s="41">
        <f>5*60*1000</f>
        <v>300000</v>
      </c>
      <c r="D164" s="52" t="s">
        <v>98</v>
      </c>
      <c r="E164" s="41"/>
      <c r="F164" s="41"/>
      <c r="G164" s="41"/>
      <c r="H164" s="41"/>
      <c r="I164" s="41"/>
      <c r="J164" s="41"/>
      <c r="K164" s="41"/>
      <c r="L164" s="79"/>
    </row>
    <row r="165" spans="2:12" s="72" customFormat="1">
      <c r="B165" s="51" t="s">
        <v>228</v>
      </c>
      <c r="C165" s="41">
        <f>($C$7*1000)+($C$7*1000*$C$32)</f>
        <v>3000</v>
      </c>
      <c r="D165" s="52" t="s">
        <v>98</v>
      </c>
      <c r="E165" s="41"/>
      <c r="F165" s="41"/>
      <c r="G165" s="41"/>
      <c r="H165" s="41"/>
      <c r="I165" s="77"/>
      <c r="J165" s="77"/>
      <c r="K165" s="79"/>
      <c r="L165" s="41"/>
    </row>
    <row r="166" spans="2:12" s="72" customFormat="1">
      <c r="B166" s="380"/>
      <c r="C166" s="381"/>
      <c r="D166" s="382"/>
      <c r="E166" s="41"/>
      <c r="F166" s="41"/>
      <c r="G166" s="41"/>
      <c r="H166" s="41"/>
      <c r="I166" s="41"/>
      <c r="J166" s="41"/>
      <c r="K166" s="41"/>
      <c r="L166" s="41"/>
    </row>
    <row r="167" spans="2:12" s="72" customFormat="1">
      <c r="B167" s="51" t="s">
        <v>202</v>
      </c>
      <c r="C167" s="41">
        <f>C168/E167</f>
        <v>1.908944116672016E-6</v>
      </c>
      <c r="D167" s="52" t="s">
        <v>128</v>
      </c>
      <c r="E167" s="104">
        <f>SUM(J172:J195)</f>
        <v>11122.56</v>
      </c>
      <c r="F167" s="41" t="s">
        <v>203</v>
      </c>
      <c r="G167" s="41"/>
      <c r="H167" s="41"/>
      <c r="I167" s="41"/>
      <c r="J167" s="41"/>
      <c r="K167" s="41"/>
      <c r="L167" s="41"/>
    </row>
    <row r="168" spans="2:12" s="72" customFormat="1">
      <c r="B168" s="60" t="s">
        <v>196</v>
      </c>
      <c r="C168" s="42">
        <f>SUM(I172:I195)</f>
        <v>2.1232345474331497E-2</v>
      </c>
      <c r="D168" s="61" t="s">
        <v>128</v>
      </c>
      <c r="E168" s="102">
        <f>C168/$K$15</f>
        <v>0.33494745726548081</v>
      </c>
      <c r="F168" s="41" t="s">
        <v>191</v>
      </c>
      <c r="G168" s="41"/>
      <c r="H168" s="41"/>
      <c r="I168" s="41"/>
      <c r="J168" s="41"/>
      <c r="K168" s="41"/>
      <c r="L168" s="41"/>
    </row>
    <row r="169" spans="2:12" s="72" customFormat="1">
      <c r="B169" s="43"/>
      <c r="C169" s="43"/>
      <c r="D169" s="43"/>
      <c r="E169" s="41"/>
      <c r="F169" s="41"/>
      <c r="G169" s="41"/>
      <c r="H169" s="41"/>
      <c r="I169" s="41"/>
      <c r="J169" s="41"/>
      <c r="K169" s="41"/>
    </row>
    <row r="170" spans="2:12" s="72" customFormat="1">
      <c r="B170" s="62" t="s">
        <v>89</v>
      </c>
      <c r="C170" s="62" t="s">
        <v>133</v>
      </c>
      <c r="D170" s="47" t="s">
        <v>58</v>
      </c>
      <c r="E170" s="47" t="s">
        <v>137</v>
      </c>
      <c r="F170" s="47" t="s">
        <v>229</v>
      </c>
      <c r="G170" s="47" t="s">
        <v>205</v>
      </c>
      <c r="H170" s="62" t="s">
        <v>218</v>
      </c>
      <c r="I170" s="62" t="s">
        <v>207</v>
      </c>
      <c r="J170" s="62" t="s">
        <v>208</v>
      </c>
      <c r="K170" s="41"/>
    </row>
    <row r="171" spans="2:12" s="72" customFormat="1">
      <c r="B171" s="64" t="str">
        <f>$C$2</f>
        <v>900 MHz and BLE</v>
      </c>
      <c r="C171" s="105">
        <f>$C$17</f>
        <v>0.4</v>
      </c>
      <c r="D171" s="105">
        <f>$C15</f>
        <v>0.38</v>
      </c>
      <c r="E171" s="105">
        <f>$C$19</f>
        <v>0.3</v>
      </c>
      <c r="F171" s="66"/>
      <c r="G171" s="75"/>
      <c r="H171" s="75"/>
      <c r="I171" s="75"/>
      <c r="J171" s="75"/>
      <c r="K171" s="41"/>
    </row>
    <row r="172" spans="2:12" s="72" customFormat="1">
      <c r="B172" s="68" t="s">
        <v>49</v>
      </c>
      <c r="C172" s="69" t="b">
        <v>0</v>
      </c>
      <c r="D172" s="69" t="b">
        <v>0</v>
      </c>
      <c r="E172" s="69" t="b">
        <v>0</v>
      </c>
      <c r="F172" s="69" t="b">
        <v>1</v>
      </c>
      <c r="G172" s="68" t="b">
        <f t="shared" ref="G172:G195" si="13">IF(AND(F172,B172=$B$171),TRUE,FALSE)</f>
        <v>1</v>
      </c>
      <c r="H172" s="68">
        <f>$C$164</f>
        <v>300000</v>
      </c>
      <c r="I172" s="68">
        <f t="shared" ref="I172:I195" si="14">IF(G172,IF(C172,$C$171,1-$C$171)*IF(D172,$D$171,1-$D$171)*IF(E172,$E$171,1-$E$171)*IF(C172,IF(E172,$C$159*$C$160/H172,$C$157*$C$158/H172),$C$161*$C$162/H172))</f>
        <v>1.7097229095358715E-4</v>
      </c>
      <c r="J172" s="103">
        <f t="shared" ref="J172:J195" si="15">IF(G172,IF(C172,$C$171,1-$C$171)*IF(D172,$D$171,1-$D$171)*IF(E172,$E$171,1-$E$171)*(24*60*60*1000/H172))</f>
        <v>74.995199999999983</v>
      </c>
      <c r="K172" s="74"/>
    </row>
    <row r="173" spans="2:12" s="72" customFormat="1">
      <c r="B173" s="68" t="s">
        <v>49</v>
      </c>
      <c r="C173" s="69" t="b">
        <v>0</v>
      </c>
      <c r="D173" s="70" t="b">
        <v>0</v>
      </c>
      <c r="E173" s="70" t="b">
        <v>1</v>
      </c>
      <c r="F173" s="69" t="b">
        <v>1</v>
      </c>
      <c r="G173" s="68" t="b">
        <f t="shared" si="13"/>
        <v>1</v>
      </c>
      <c r="H173" s="68">
        <f>$C$164</f>
        <v>300000</v>
      </c>
      <c r="I173" s="68">
        <f t="shared" si="14"/>
        <v>7.3273838980108776E-5</v>
      </c>
      <c r="J173" s="103">
        <f t="shared" si="15"/>
        <v>32.140799999999999</v>
      </c>
      <c r="K173" s="74"/>
    </row>
    <row r="174" spans="2:12" s="72" customFormat="1">
      <c r="B174" s="68" t="s">
        <v>49</v>
      </c>
      <c r="C174" s="69" t="b">
        <v>0</v>
      </c>
      <c r="D174" s="70" t="b">
        <v>1</v>
      </c>
      <c r="E174" s="70" t="b">
        <v>0</v>
      </c>
      <c r="F174" s="69" t="b">
        <v>1</v>
      </c>
      <c r="G174" s="68" t="b">
        <f t="shared" si="13"/>
        <v>1</v>
      </c>
      <c r="H174" s="68">
        <f>$C$163</f>
        <v>3000</v>
      </c>
      <c r="I174" s="68">
        <f t="shared" si="14"/>
        <v>1.0478946864897276E-2</v>
      </c>
      <c r="J174" s="103">
        <f t="shared" si="15"/>
        <v>4596.4799999999987</v>
      </c>
      <c r="K174" s="74"/>
    </row>
    <row r="175" spans="2:12" s="72" customFormat="1">
      <c r="B175" s="68" t="s">
        <v>49</v>
      </c>
      <c r="C175" s="69" t="b">
        <v>0</v>
      </c>
      <c r="D175" s="70" t="b">
        <v>1</v>
      </c>
      <c r="E175" s="70" t="b">
        <v>1</v>
      </c>
      <c r="F175" s="69" t="b">
        <v>1</v>
      </c>
      <c r="G175" s="68" t="b">
        <f t="shared" si="13"/>
        <v>1</v>
      </c>
      <c r="H175" s="68">
        <f>$C$163</f>
        <v>3000</v>
      </c>
      <c r="I175" s="68">
        <f t="shared" si="14"/>
        <v>4.4909772278131184E-3</v>
      </c>
      <c r="J175" s="103">
        <f t="shared" si="15"/>
        <v>1969.9199999999996</v>
      </c>
      <c r="K175" s="74"/>
    </row>
    <row r="176" spans="2:12" s="72" customFormat="1">
      <c r="B176" s="68" t="s">
        <v>49</v>
      </c>
      <c r="C176" s="244" t="b">
        <v>1</v>
      </c>
      <c r="D176" s="244" t="b">
        <v>0</v>
      </c>
      <c r="E176" s="244" t="b">
        <v>0</v>
      </c>
      <c r="F176" s="69" t="b">
        <v>1</v>
      </c>
      <c r="G176" s="68" t="b">
        <f t="shared" si="13"/>
        <v>1</v>
      </c>
      <c r="H176" s="68">
        <f>$C$164</f>
        <v>300000</v>
      </c>
      <c r="I176" s="68">
        <f t="shared" si="14"/>
        <v>6.8411953124571258E-5</v>
      </c>
      <c r="J176" s="103">
        <f t="shared" si="15"/>
        <v>49.996799999999993</v>
      </c>
      <c r="K176" s="74"/>
    </row>
    <row r="177" spans="2:11" s="72" customFormat="1">
      <c r="B177" s="68" t="s">
        <v>49</v>
      </c>
      <c r="C177" s="69" t="b">
        <v>1</v>
      </c>
      <c r="D177" s="69" t="b">
        <v>0</v>
      </c>
      <c r="E177" s="69" t="b">
        <v>1</v>
      </c>
      <c r="F177" s="69" t="b">
        <v>1</v>
      </c>
      <c r="G177" s="68" t="b">
        <f t="shared" si="13"/>
        <v>1</v>
      </c>
      <c r="H177" s="68">
        <f>$C$164</f>
        <v>300000</v>
      </c>
      <c r="I177" s="68">
        <f t="shared" si="14"/>
        <v>2.8202978414687992E-5</v>
      </c>
      <c r="J177" s="103">
        <f t="shared" si="15"/>
        <v>21.427199999999999</v>
      </c>
      <c r="K177" s="74"/>
    </row>
    <row r="178" spans="2:11" s="72" customFormat="1">
      <c r="B178" s="68" t="s">
        <v>49</v>
      </c>
      <c r="C178" s="244" t="b">
        <v>1</v>
      </c>
      <c r="D178" s="244" t="b">
        <v>1</v>
      </c>
      <c r="E178" s="244" t="b">
        <v>0</v>
      </c>
      <c r="F178" s="69" t="b">
        <v>1</v>
      </c>
      <c r="G178" s="68" t="b">
        <f t="shared" si="13"/>
        <v>1</v>
      </c>
      <c r="H178" s="68">
        <f>$C$163</f>
        <v>3000</v>
      </c>
      <c r="I178" s="68">
        <f t="shared" si="14"/>
        <v>4.1929906753769485E-3</v>
      </c>
      <c r="J178" s="103">
        <f t="shared" si="15"/>
        <v>3064.32</v>
      </c>
      <c r="K178" s="74"/>
    </row>
    <row r="179" spans="2:11" s="72" customFormat="1">
      <c r="B179" s="68" t="s">
        <v>49</v>
      </c>
      <c r="C179" s="69" t="b">
        <v>1</v>
      </c>
      <c r="D179" s="69" t="b">
        <v>1</v>
      </c>
      <c r="E179" s="69" t="b">
        <v>1</v>
      </c>
      <c r="F179" s="69" t="b">
        <v>1</v>
      </c>
      <c r="G179" s="68" t="b">
        <f t="shared" si="13"/>
        <v>1</v>
      </c>
      <c r="H179" s="68">
        <f>$C$163</f>
        <v>3000</v>
      </c>
      <c r="I179" s="68">
        <f t="shared" si="14"/>
        <v>1.7285696447711999E-3</v>
      </c>
      <c r="J179" s="103">
        <f t="shared" si="15"/>
        <v>1313.2800000000002</v>
      </c>
      <c r="K179" s="74"/>
    </row>
    <row r="180" spans="2:11" s="72" customFormat="1">
      <c r="B180" s="68" t="s">
        <v>209</v>
      </c>
      <c r="C180" s="69" t="b">
        <v>0</v>
      </c>
      <c r="D180" s="69" t="b">
        <v>0</v>
      </c>
      <c r="E180" s="69" t="b">
        <v>0</v>
      </c>
      <c r="F180" s="69" t="b">
        <v>1</v>
      </c>
      <c r="G180" s="68" t="b">
        <f t="shared" si="13"/>
        <v>0</v>
      </c>
      <c r="H180" s="68">
        <f>$C$164</f>
        <v>300000</v>
      </c>
      <c r="I180" s="68" t="b">
        <f t="shared" si="14"/>
        <v>0</v>
      </c>
      <c r="J180" s="103" t="b">
        <f t="shared" si="15"/>
        <v>0</v>
      </c>
      <c r="K180" s="74"/>
    </row>
    <row r="181" spans="2:11" s="72" customFormat="1">
      <c r="B181" s="68" t="s">
        <v>209</v>
      </c>
      <c r="C181" s="69" t="b">
        <v>0</v>
      </c>
      <c r="D181" s="70" t="b">
        <v>0</v>
      </c>
      <c r="E181" s="70" t="b">
        <v>1</v>
      </c>
      <c r="F181" s="69" t="b">
        <v>1</v>
      </c>
      <c r="G181" s="68" t="b">
        <f t="shared" si="13"/>
        <v>0</v>
      </c>
      <c r="H181" s="68">
        <f>$C$164</f>
        <v>300000</v>
      </c>
      <c r="I181" s="68" t="b">
        <f t="shared" si="14"/>
        <v>0</v>
      </c>
      <c r="J181" s="103" t="b">
        <f t="shared" si="15"/>
        <v>0</v>
      </c>
      <c r="K181" s="74"/>
    </row>
    <row r="182" spans="2:11" s="72" customFormat="1">
      <c r="B182" s="68" t="s">
        <v>209</v>
      </c>
      <c r="C182" s="69" t="b">
        <v>0</v>
      </c>
      <c r="D182" s="70" t="b">
        <v>1</v>
      </c>
      <c r="E182" s="70" t="b">
        <v>0</v>
      </c>
      <c r="F182" s="69" t="b">
        <v>1</v>
      </c>
      <c r="G182" s="68" t="b">
        <f t="shared" si="13"/>
        <v>0</v>
      </c>
      <c r="H182" s="68">
        <f>$C$163</f>
        <v>3000</v>
      </c>
      <c r="I182" s="68" t="b">
        <f t="shared" si="14"/>
        <v>0</v>
      </c>
      <c r="J182" s="103" t="b">
        <f t="shared" si="15"/>
        <v>0</v>
      </c>
      <c r="K182" s="74"/>
    </row>
    <row r="183" spans="2:11" s="72" customFormat="1">
      <c r="B183" s="68" t="s">
        <v>209</v>
      </c>
      <c r="C183" s="69" t="b">
        <v>0</v>
      </c>
      <c r="D183" s="70" t="b">
        <v>1</v>
      </c>
      <c r="E183" s="70" t="b">
        <v>1</v>
      </c>
      <c r="F183" s="69" t="b">
        <v>1</v>
      </c>
      <c r="G183" s="68" t="b">
        <f t="shared" si="13"/>
        <v>0</v>
      </c>
      <c r="H183" s="68">
        <f>$C$163</f>
        <v>3000</v>
      </c>
      <c r="I183" s="68" t="b">
        <f t="shared" si="14"/>
        <v>0</v>
      </c>
      <c r="J183" s="103" t="b">
        <f t="shared" si="15"/>
        <v>0</v>
      </c>
      <c r="K183" s="74"/>
    </row>
    <row r="184" spans="2:11" s="72" customFormat="1">
      <c r="B184" s="68" t="s">
        <v>209</v>
      </c>
      <c r="C184" s="244" t="b">
        <v>1</v>
      </c>
      <c r="D184" s="244" t="b">
        <v>0</v>
      </c>
      <c r="E184" s="244" t="b">
        <v>0</v>
      </c>
      <c r="F184" s="69" t="b">
        <v>1</v>
      </c>
      <c r="G184" s="68" t="b">
        <f t="shared" si="13"/>
        <v>0</v>
      </c>
      <c r="H184" s="68">
        <f>$C$164</f>
        <v>300000</v>
      </c>
      <c r="I184" s="68" t="b">
        <f t="shared" si="14"/>
        <v>0</v>
      </c>
      <c r="J184" s="103" t="b">
        <f t="shared" si="15"/>
        <v>0</v>
      </c>
      <c r="K184" s="74"/>
    </row>
    <row r="185" spans="2:11" s="72" customFormat="1">
      <c r="B185" s="68" t="s">
        <v>209</v>
      </c>
      <c r="C185" s="69" t="b">
        <v>1</v>
      </c>
      <c r="D185" s="69" t="b">
        <v>0</v>
      </c>
      <c r="E185" s="69" t="b">
        <v>1</v>
      </c>
      <c r="F185" s="69" t="b">
        <v>1</v>
      </c>
      <c r="G185" s="68" t="b">
        <f t="shared" si="13"/>
        <v>0</v>
      </c>
      <c r="H185" s="68">
        <f>$C$164</f>
        <v>300000</v>
      </c>
      <c r="I185" s="68" t="b">
        <f t="shared" si="14"/>
        <v>0</v>
      </c>
      <c r="J185" s="103" t="b">
        <f t="shared" si="15"/>
        <v>0</v>
      </c>
      <c r="K185" s="74"/>
    </row>
    <row r="186" spans="2:11" s="72" customFormat="1">
      <c r="B186" s="68" t="s">
        <v>209</v>
      </c>
      <c r="C186" s="244" t="b">
        <v>1</v>
      </c>
      <c r="D186" s="244" t="b">
        <v>1</v>
      </c>
      <c r="E186" s="244" t="b">
        <v>0</v>
      </c>
      <c r="F186" s="69" t="b">
        <v>1</v>
      </c>
      <c r="G186" s="68" t="b">
        <f t="shared" si="13"/>
        <v>0</v>
      </c>
      <c r="H186" s="68">
        <f>$C$163</f>
        <v>3000</v>
      </c>
      <c r="I186" s="68" t="b">
        <f t="shared" si="14"/>
        <v>0</v>
      </c>
      <c r="J186" s="103" t="b">
        <f t="shared" si="15"/>
        <v>0</v>
      </c>
      <c r="K186" s="74"/>
    </row>
    <row r="187" spans="2:11" s="72" customFormat="1">
      <c r="B187" s="68" t="s">
        <v>209</v>
      </c>
      <c r="C187" s="69" t="b">
        <v>1</v>
      </c>
      <c r="D187" s="69" t="b">
        <v>1</v>
      </c>
      <c r="E187" s="69" t="b">
        <v>1</v>
      </c>
      <c r="F187" s="69" t="b">
        <v>1</v>
      </c>
      <c r="G187" s="68" t="b">
        <f t="shared" si="13"/>
        <v>0</v>
      </c>
      <c r="H187" s="68">
        <f>$C$163</f>
        <v>3000</v>
      </c>
      <c r="I187" s="68" t="b">
        <f t="shared" si="14"/>
        <v>0</v>
      </c>
      <c r="J187" s="103" t="b">
        <f t="shared" si="15"/>
        <v>0</v>
      </c>
      <c r="K187" s="74"/>
    </row>
    <row r="188" spans="2:11" s="72" customFormat="1">
      <c r="B188" s="68" t="s">
        <v>210</v>
      </c>
      <c r="C188" s="69" t="b">
        <v>0</v>
      </c>
      <c r="D188" s="69" t="b">
        <v>0</v>
      </c>
      <c r="E188" s="69" t="b">
        <v>0</v>
      </c>
      <c r="F188" s="69" t="b">
        <v>1</v>
      </c>
      <c r="G188" s="68" t="b">
        <f t="shared" si="13"/>
        <v>0</v>
      </c>
      <c r="H188" s="68">
        <f>$C$164</f>
        <v>300000</v>
      </c>
      <c r="I188" s="68" t="b">
        <f t="shared" si="14"/>
        <v>0</v>
      </c>
      <c r="J188" s="103" t="b">
        <f t="shared" si="15"/>
        <v>0</v>
      </c>
      <c r="K188" s="74"/>
    </row>
    <row r="189" spans="2:11" s="72" customFormat="1">
      <c r="B189" s="68" t="s">
        <v>210</v>
      </c>
      <c r="C189" s="69" t="b">
        <v>0</v>
      </c>
      <c r="D189" s="70" t="b">
        <v>0</v>
      </c>
      <c r="E189" s="70" t="b">
        <v>1</v>
      </c>
      <c r="F189" s="69" t="b">
        <v>1</v>
      </c>
      <c r="G189" s="68" t="b">
        <f t="shared" si="13"/>
        <v>0</v>
      </c>
      <c r="H189" s="68">
        <f>$C$164</f>
        <v>300000</v>
      </c>
      <c r="I189" s="68" t="b">
        <f t="shared" si="14"/>
        <v>0</v>
      </c>
      <c r="J189" s="103" t="b">
        <f t="shared" si="15"/>
        <v>0</v>
      </c>
      <c r="K189" s="74"/>
    </row>
    <row r="190" spans="2:11" s="72" customFormat="1">
      <c r="B190" s="68" t="s">
        <v>210</v>
      </c>
      <c r="C190" s="69" t="b">
        <v>0</v>
      </c>
      <c r="D190" s="70" t="b">
        <v>1</v>
      </c>
      <c r="E190" s="70" t="b">
        <v>0</v>
      </c>
      <c r="F190" s="69" t="b">
        <v>1</v>
      </c>
      <c r="G190" s="68" t="b">
        <f t="shared" si="13"/>
        <v>0</v>
      </c>
      <c r="H190" s="68">
        <f>$C$163</f>
        <v>3000</v>
      </c>
      <c r="I190" s="68" t="b">
        <f t="shared" si="14"/>
        <v>0</v>
      </c>
      <c r="J190" s="103" t="b">
        <f t="shared" si="15"/>
        <v>0</v>
      </c>
      <c r="K190" s="74"/>
    </row>
    <row r="191" spans="2:11" s="72" customFormat="1">
      <c r="B191" s="68" t="s">
        <v>210</v>
      </c>
      <c r="C191" s="69" t="b">
        <v>0</v>
      </c>
      <c r="D191" s="70" t="b">
        <v>1</v>
      </c>
      <c r="E191" s="70" t="b">
        <v>1</v>
      </c>
      <c r="F191" s="69" t="b">
        <v>1</v>
      </c>
      <c r="G191" s="68" t="b">
        <f t="shared" si="13"/>
        <v>0</v>
      </c>
      <c r="H191" s="68">
        <f>$C$163</f>
        <v>3000</v>
      </c>
      <c r="I191" s="68" t="b">
        <f t="shared" si="14"/>
        <v>0</v>
      </c>
      <c r="J191" s="103" t="b">
        <f t="shared" si="15"/>
        <v>0</v>
      </c>
      <c r="K191" s="74"/>
    </row>
    <row r="192" spans="2:11" s="72" customFormat="1">
      <c r="B192" s="68" t="s">
        <v>210</v>
      </c>
      <c r="C192" s="244" t="b">
        <v>1</v>
      </c>
      <c r="D192" s="244" t="b">
        <v>0</v>
      </c>
      <c r="E192" s="244" t="b">
        <v>0</v>
      </c>
      <c r="F192" s="69" t="b">
        <v>1</v>
      </c>
      <c r="G192" s="68" t="b">
        <f t="shared" si="13"/>
        <v>0</v>
      </c>
      <c r="H192" s="68">
        <f>$C$164</f>
        <v>300000</v>
      </c>
      <c r="I192" s="68" t="b">
        <f t="shared" si="14"/>
        <v>0</v>
      </c>
      <c r="J192" s="103" t="b">
        <f t="shared" si="15"/>
        <v>0</v>
      </c>
      <c r="K192" s="74"/>
    </row>
    <row r="193" spans="1:20" s="72" customFormat="1">
      <c r="B193" s="68" t="s">
        <v>210</v>
      </c>
      <c r="C193" s="69" t="b">
        <v>1</v>
      </c>
      <c r="D193" s="69" t="b">
        <v>0</v>
      </c>
      <c r="E193" s="69" t="b">
        <v>1</v>
      </c>
      <c r="F193" s="69" t="b">
        <v>1</v>
      </c>
      <c r="G193" s="68" t="b">
        <f t="shared" si="13"/>
        <v>0</v>
      </c>
      <c r="H193" s="68">
        <f>$C$164</f>
        <v>300000</v>
      </c>
      <c r="I193" s="68" t="b">
        <f t="shared" si="14"/>
        <v>0</v>
      </c>
      <c r="J193" s="103" t="b">
        <f t="shared" si="15"/>
        <v>0</v>
      </c>
      <c r="K193" s="74"/>
    </row>
    <row r="194" spans="1:20" s="72" customFormat="1">
      <c r="B194" s="68" t="s">
        <v>210</v>
      </c>
      <c r="C194" s="244" t="b">
        <v>1</v>
      </c>
      <c r="D194" s="244" t="b">
        <v>1</v>
      </c>
      <c r="E194" s="244" t="b">
        <v>0</v>
      </c>
      <c r="F194" s="69" t="b">
        <v>1</v>
      </c>
      <c r="G194" s="68" t="b">
        <f t="shared" si="13"/>
        <v>0</v>
      </c>
      <c r="H194" s="68">
        <f>$C$163</f>
        <v>3000</v>
      </c>
      <c r="I194" s="68" t="b">
        <f t="shared" si="14"/>
        <v>0</v>
      </c>
      <c r="J194" s="103" t="b">
        <f t="shared" si="15"/>
        <v>0</v>
      </c>
      <c r="K194" s="74"/>
    </row>
    <row r="195" spans="1:20" s="72" customFormat="1">
      <c r="B195" s="68" t="s">
        <v>210</v>
      </c>
      <c r="C195" s="69" t="b">
        <v>1</v>
      </c>
      <c r="D195" s="69" t="b">
        <v>1</v>
      </c>
      <c r="E195" s="69" t="b">
        <v>1</v>
      </c>
      <c r="F195" s="69" t="b">
        <v>1</v>
      </c>
      <c r="G195" s="68" t="b">
        <f t="shared" si="13"/>
        <v>0</v>
      </c>
      <c r="H195" s="68">
        <f>$C$163</f>
        <v>3000</v>
      </c>
      <c r="I195" s="68" t="b">
        <f t="shared" si="14"/>
        <v>0</v>
      </c>
      <c r="J195" s="103" t="b">
        <f t="shared" si="15"/>
        <v>0</v>
      </c>
      <c r="K195" s="74"/>
      <c r="M195" s="41"/>
      <c r="T195" s="41"/>
    </row>
    <row r="196" spans="1:20">
      <c r="B196" s="80"/>
      <c r="C196" s="80"/>
      <c r="D196" s="80"/>
      <c r="E196" s="80"/>
      <c r="F196" s="80"/>
      <c r="G196" s="80"/>
      <c r="H196" s="81"/>
      <c r="I196" s="72"/>
      <c r="J196" s="72"/>
      <c r="K196" s="72"/>
      <c r="L196" s="72"/>
      <c r="M196" s="72"/>
      <c r="Q196" s="72"/>
    </row>
    <row r="197" spans="1:20">
      <c r="B197" s="80"/>
      <c r="C197" s="80"/>
      <c r="D197" s="80"/>
      <c r="E197" s="80"/>
      <c r="F197" s="80"/>
      <c r="G197" s="80"/>
      <c r="H197" s="81"/>
      <c r="I197" s="72"/>
      <c r="J197" s="72"/>
      <c r="K197" s="72"/>
      <c r="L197" s="72"/>
      <c r="M197" s="72"/>
      <c r="N197" s="72"/>
    </row>
    <row r="198" spans="1:20">
      <c r="B198" s="77"/>
      <c r="C198" s="77"/>
      <c r="D198" s="77"/>
      <c r="E198" s="77"/>
      <c r="F198" s="78"/>
      <c r="G198" s="77"/>
      <c r="H198" s="77"/>
      <c r="I198" s="72"/>
      <c r="J198" s="72"/>
      <c r="K198" s="72"/>
      <c r="L198" s="72"/>
      <c r="M198" s="72"/>
      <c r="N198" s="72"/>
    </row>
    <row r="199" spans="1:20" ht="14.45" customHeight="1">
      <c r="B199" s="442" t="s">
        <v>230</v>
      </c>
      <c r="C199" s="443"/>
      <c r="D199" s="444"/>
      <c r="E199" s="72"/>
      <c r="F199" s="72"/>
      <c r="G199" s="72"/>
      <c r="H199" s="72"/>
      <c r="I199" s="72"/>
      <c r="J199" s="72"/>
      <c r="K199" s="72"/>
      <c r="L199" s="72"/>
      <c r="M199" s="72"/>
      <c r="N199" s="72"/>
    </row>
    <row r="200" spans="1:20" ht="14.45" customHeight="1">
      <c r="B200" s="58" t="s">
        <v>231</v>
      </c>
      <c r="C200" s="221">
        <f>'Current Consumption'!B909-$C$67</f>
        <v>0.67199359999999997</v>
      </c>
      <c r="D200" s="82" t="s">
        <v>128</v>
      </c>
      <c r="E200" s="72"/>
      <c r="F200" s="72"/>
      <c r="G200" s="83"/>
      <c r="H200" s="72"/>
      <c r="L200" s="72"/>
      <c r="M200" s="72"/>
      <c r="N200" s="72"/>
      <c r="P200" s="72"/>
      <c r="Q200" s="72"/>
    </row>
    <row r="201" spans="1:20" ht="19.899999999999999">
      <c r="B201" s="58" t="s">
        <v>232</v>
      </c>
      <c r="C201" s="74">
        <f>'Current Consumption'!B910</f>
        <v>2724.97</v>
      </c>
      <c r="D201" s="82" t="s">
        <v>98</v>
      </c>
      <c r="E201" s="72"/>
      <c r="F201" s="72"/>
      <c r="G201" s="83"/>
      <c r="H201" s="72"/>
      <c r="I201" s="72"/>
      <c r="J201" s="72"/>
      <c r="K201" s="72"/>
      <c r="L201" s="72"/>
      <c r="M201" s="72"/>
      <c r="N201" s="72"/>
      <c r="P201" s="72"/>
      <c r="Q201" s="72"/>
    </row>
    <row r="202" spans="1:20">
      <c r="A202" s="72"/>
      <c r="B202" s="58" t="s">
        <v>206</v>
      </c>
      <c r="C202" s="74">
        <f>24*60*60*1000/$C$20</f>
        <v>864000</v>
      </c>
      <c r="D202" s="82" t="s">
        <v>98</v>
      </c>
      <c r="E202" s="72"/>
      <c r="F202" s="72"/>
      <c r="G202" s="72"/>
      <c r="H202" s="72"/>
      <c r="I202" s="81"/>
      <c r="J202" s="81"/>
      <c r="K202" s="81"/>
      <c r="L202" s="72"/>
      <c r="M202" s="72"/>
      <c r="N202" s="72"/>
      <c r="O202" s="72"/>
      <c r="P202" s="72"/>
      <c r="Q202" s="72"/>
    </row>
    <row r="203" spans="1:20">
      <c r="A203" s="72"/>
      <c r="B203" s="58"/>
      <c r="C203" s="74"/>
      <c r="D203" s="82"/>
      <c r="E203" s="72"/>
      <c r="F203" s="72"/>
      <c r="G203" s="72"/>
      <c r="H203" s="72"/>
      <c r="I203" s="81"/>
      <c r="J203" s="81"/>
      <c r="K203" s="81"/>
      <c r="M203" s="72"/>
      <c r="N203" s="72"/>
      <c r="O203" s="72"/>
      <c r="P203" s="72"/>
      <c r="Q203" s="72"/>
    </row>
    <row r="204" spans="1:20" s="72" customFormat="1">
      <c r="B204" s="58" t="s">
        <v>202</v>
      </c>
      <c r="C204" s="74">
        <f>C205/E204</f>
        <v>2.1194009261481478E-5</v>
      </c>
      <c r="D204" s="82" t="s">
        <v>128</v>
      </c>
      <c r="E204" s="104">
        <f>IF(($C$20&gt;0),(24*60*60*1000/C202),0)</f>
        <v>100</v>
      </c>
      <c r="F204" s="74" t="s">
        <v>203</v>
      </c>
      <c r="I204" s="41"/>
      <c r="J204" s="41"/>
      <c r="K204" s="41"/>
    </row>
    <row r="205" spans="1:20" s="72" customFormat="1">
      <c r="B205" s="84" t="s">
        <v>196</v>
      </c>
      <c r="C205" s="85">
        <f>IF(C20&gt;0,C200*C201/C202,0)</f>
        <v>2.1194009261481478E-3</v>
      </c>
      <c r="D205" s="86" t="s">
        <v>128</v>
      </c>
      <c r="E205" s="102">
        <f>C205/$K$15</f>
        <v>3.3434269049438498E-2</v>
      </c>
      <c r="F205" s="74" t="s">
        <v>191</v>
      </c>
      <c r="I205" s="81"/>
      <c r="J205" s="81"/>
      <c r="K205" s="81"/>
      <c r="L205" s="79"/>
    </row>
    <row r="206" spans="1:20" s="72" customFormat="1">
      <c r="I206" s="77"/>
      <c r="J206" s="79"/>
      <c r="K206" s="79"/>
    </row>
    <row r="207" spans="1:20" s="72" customFormat="1"/>
    <row r="208" spans="1:20" s="72" customFormat="1"/>
    <row r="209" spans="2:12" s="72" customFormat="1" ht="18">
      <c r="B209" s="437" t="s">
        <v>233</v>
      </c>
      <c r="C209" s="440"/>
      <c r="D209" s="441"/>
      <c r="E209" s="41"/>
      <c r="F209" s="41"/>
      <c r="G209" s="41"/>
      <c r="H209" s="41"/>
    </row>
    <row r="210" spans="2:12" s="72" customFormat="1">
      <c r="B210" s="51" t="s">
        <v>234</v>
      </c>
      <c r="C210" s="220"/>
      <c r="D210" s="52" t="s">
        <v>128</v>
      </c>
      <c r="E210" s="41"/>
      <c r="F210" s="41"/>
      <c r="G210" s="41"/>
      <c r="H210" s="41"/>
    </row>
    <row r="211" spans="2:12" s="72" customFormat="1">
      <c r="B211" s="51" t="s">
        <v>235</v>
      </c>
      <c r="C211" s="41"/>
      <c r="D211" s="52" t="s">
        <v>98</v>
      </c>
      <c r="E211" s="41"/>
      <c r="F211" s="41"/>
      <c r="G211" s="41"/>
      <c r="H211" s="41"/>
    </row>
    <row r="212" spans="2:12" s="72" customFormat="1">
      <c r="B212" s="51" t="s">
        <v>236</v>
      </c>
      <c r="C212" s="41">
        <f>$C$13</f>
        <v>250</v>
      </c>
      <c r="D212" s="52" t="s">
        <v>98</v>
      </c>
      <c r="E212" s="41"/>
      <c r="F212" s="41"/>
      <c r="G212" s="41"/>
      <c r="H212" s="41"/>
    </row>
    <row r="213" spans="2:12" s="72" customFormat="1">
      <c r="B213" s="51" t="s">
        <v>237</v>
      </c>
      <c r="C213" s="41">
        <f>'Current Consumption'!N1004-$C$67</f>
        <v>2.8560235999999999</v>
      </c>
      <c r="D213" s="52" t="s">
        <v>128</v>
      </c>
      <c r="E213" s="41"/>
      <c r="F213" s="41"/>
      <c r="G213" s="41"/>
      <c r="H213" s="41"/>
    </row>
    <row r="214" spans="2:12" s="72" customFormat="1">
      <c r="B214" s="51" t="s">
        <v>238</v>
      </c>
      <c r="C214" s="41">
        <f>'Current Consumption'!N1005</f>
        <v>19.828499999999998</v>
      </c>
      <c r="D214" s="52" t="s">
        <v>98</v>
      </c>
      <c r="E214" s="41"/>
      <c r="F214" s="41"/>
      <c r="G214" s="41"/>
      <c r="H214" s="41"/>
    </row>
    <row r="215" spans="2:12" s="72" customFormat="1">
      <c r="B215" s="51" t="s">
        <v>239</v>
      </c>
      <c r="C215" s="41">
        <f>$C$12</f>
        <v>1000</v>
      </c>
      <c r="D215" s="52" t="s">
        <v>98</v>
      </c>
      <c r="E215" s="41"/>
      <c r="F215" s="41"/>
      <c r="G215" s="41"/>
      <c r="H215" s="41"/>
    </row>
    <row r="216" spans="2:12" s="72" customFormat="1">
      <c r="B216" s="87"/>
      <c r="C216" s="88"/>
      <c r="D216" s="89"/>
      <c r="E216" s="41"/>
      <c r="F216" s="41"/>
      <c r="G216" s="41"/>
      <c r="H216" s="41"/>
      <c r="L216" s="41"/>
    </row>
    <row r="217" spans="2:12" s="72" customFormat="1">
      <c r="B217" s="51" t="s">
        <v>202</v>
      </c>
      <c r="C217" s="41">
        <f>C218/E217</f>
        <v>6.5544749945138898E-7</v>
      </c>
      <c r="D217" s="52" t="s">
        <v>128</v>
      </c>
      <c r="E217" s="104">
        <f>SUM(K222:K239)</f>
        <v>2591.9999999999995</v>
      </c>
      <c r="F217" s="41" t="s">
        <v>203</v>
      </c>
      <c r="G217" s="41"/>
      <c r="H217" s="41"/>
      <c r="I217" s="41"/>
      <c r="J217" s="41"/>
      <c r="K217" s="41"/>
      <c r="L217" s="41"/>
    </row>
    <row r="218" spans="2:12" s="72" customFormat="1">
      <c r="B218" s="60" t="s">
        <v>196</v>
      </c>
      <c r="C218" s="42">
        <f>SUM(J222:J239)</f>
        <v>1.6989199185779998E-3</v>
      </c>
      <c r="D218" s="61" t="s">
        <v>128</v>
      </c>
      <c r="E218" s="102">
        <f>C218/$K$15</f>
        <v>2.6801038420994103E-2</v>
      </c>
      <c r="F218" s="41" t="s">
        <v>191</v>
      </c>
      <c r="G218" s="41"/>
      <c r="H218" s="41"/>
      <c r="I218" s="41"/>
      <c r="J218" s="41"/>
      <c r="K218" s="41"/>
      <c r="L218" s="41"/>
    </row>
    <row r="219" spans="2:12" s="72" customFormat="1">
      <c r="B219" s="43"/>
      <c r="C219" s="43"/>
      <c r="D219" s="43"/>
      <c r="E219" s="41"/>
      <c r="F219" s="41"/>
      <c r="G219" s="41"/>
      <c r="H219" s="41"/>
      <c r="I219" s="41"/>
      <c r="J219" s="41"/>
      <c r="K219" s="41"/>
    </row>
    <row r="220" spans="2:12" s="72" customFormat="1">
      <c r="B220" s="62" t="s">
        <v>89</v>
      </c>
      <c r="C220" s="47" t="s">
        <v>58</v>
      </c>
      <c r="D220" s="47" t="s">
        <v>240</v>
      </c>
      <c r="E220" s="47" t="s">
        <v>241</v>
      </c>
      <c r="F220" s="47" t="s">
        <v>242</v>
      </c>
      <c r="G220" s="47" t="s">
        <v>243</v>
      </c>
      <c r="H220" s="47" t="s">
        <v>205</v>
      </c>
      <c r="I220" s="62" t="s">
        <v>218</v>
      </c>
      <c r="J220" s="62" t="s">
        <v>207</v>
      </c>
      <c r="K220" s="62" t="s">
        <v>208</v>
      </c>
    </row>
    <row r="221" spans="2:12" s="72" customFormat="1">
      <c r="B221" s="64" t="str">
        <f>$C$2</f>
        <v>900 MHz and BLE</v>
      </c>
      <c r="C221" s="105">
        <f>$C$15</f>
        <v>0.38</v>
      </c>
      <c r="D221" s="105">
        <f>IF($C$11,$C$22,0%)</f>
        <v>0</v>
      </c>
      <c r="E221" s="105">
        <f>IF($C$11,$C$21,0%)</f>
        <v>0.03</v>
      </c>
      <c r="F221" s="64" t="b">
        <f>$C$11</f>
        <v>1</v>
      </c>
      <c r="G221" s="66"/>
      <c r="H221" s="75"/>
      <c r="I221" s="75"/>
      <c r="J221" s="75"/>
      <c r="K221" s="75"/>
    </row>
    <row r="222" spans="2:12" s="72" customFormat="1">
      <c r="B222" s="68" t="s">
        <v>49</v>
      </c>
      <c r="C222" s="69" t="b">
        <v>0</v>
      </c>
      <c r="D222" s="69" t="b">
        <v>0</v>
      </c>
      <c r="E222" s="69" t="b">
        <v>0</v>
      </c>
      <c r="F222" s="70" t="b">
        <f>$F$221</f>
        <v>1</v>
      </c>
      <c r="G222" s="69" t="b">
        <v>0</v>
      </c>
      <c r="H222" s="68" t="b">
        <f t="shared" ref="H222:H239" si="16">IF(AND(G222,F222=$F$221,B222=$B$221),TRUE,FALSE)</f>
        <v>0</v>
      </c>
      <c r="I222" s="68"/>
      <c r="J222" s="68" t="b">
        <f t="shared" ref="J222:J239" si="17">IF(H222,IF(C222,$C$221,1-$C$221)*IF(D222,$D$221*$C$210*$C$211/I222,1)*IF(E222,$E$221*$C$213*$C$214/I222,1))</f>
        <v>0</v>
      </c>
      <c r="K222" s="103" t="b">
        <f t="shared" ref="K222:K239" si="18">IF(H222,IF(C222,$C$221,1-$C$221)*IF(D222,$D$221*24*60*60*1000/I222,1)*IF(E222,$E$221*24*60*60*1000/I222,1))</f>
        <v>0</v>
      </c>
    </row>
    <row r="223" spans="2:12" s="72" customFormat="1">
      <c r="B223" s="68" t="s">
        <v>49</v>
      </c>
      <c r="C223" s="69" t="b">
        <v>0</v>
      </c>
      <c r="D223" s="69" t="b">
        <v>0</v>
      </c>
      <c r="E223" s="70" t="b">
        <v>1</v>
      </c>
      <c r="F223" s="70" t="b">
        <f t="shared" ref="F223:F239" si="19">$F$221</f>
        <v>1</v>
      </c>
      <c r="G223" s="69" t="b">
        <v>1</v>
      </c>
      <c r="H223" s="68" t="b">
        <f t="shared" si="16"/>
        <v>1</v>
      </c>
      <c r="I223" s="68">
        <f>$C$215</f>
        <v>1000</v>
      </c>
      <c r="J223" s="68">
        <f t="shared" si="17"/>
        <v>1.0533303495183599E-3</v>
      </c>
      <c r="K223" s="103">
        <f t="shared" si="18"/>
        <v>1607.0399999999997</v>
      </c>
    </row>
    <row r="224" spans="2:12" s="72" customFormat="1">
      <c r="B224" s="68" t="s">
        <v>49</v>
      </c>
      <c r="C224" s="69" t="b">
        <v>0</v>
      </c>
      <c r="D224" s="70" t="b">
        <v>1</v>
      </c>
      <c r="E224" s="69" t="b">
        <v>0</v>
      </c>
      <c r="F224" s="70" t="b">
        <f t="shared" si="19"/>
        <v>1</v>
      </c>
      <c r="G224" s="69" t="b">
        <v>1</v>
      </c>
      <c r="H224" s="68" t="b">
        <f t="shared" si="16"/>
        <v>1</v>
      </c>
      <c r="I224" s="68">
        <f>$C$212</f>
        <v>250</v>
      </c>
      <c r="J224" s="68">
        <f t="shared" si="17"/>
        <v>0</v>
      </c>
      <c r="K224" s="103">
        <f t="shared" si="18"/>
        <v>0</v>
      </c>
    </row>
    <row r="225" spans="1:16" s="72" customFormat="1">
      <c r="B225" s="68" t="s">
        <v>49</v>
      </c>
      <c r="C225" s="70" t="b">
        <v>1</v>
      </c>
      <c r="D225" s="69" t="b">
        <v>0</v>
      </c>
      <c r="E225" s="69" t="b">
        <v>0</v>
      </c>
      <c r="F225" s="70" t="b">
        <f t="shared" si="19"/>
        <v>1</v>
      </c>
      <c r="G225" s="69" t="b">
        <v>0</v>
      </c>
      <c r="H225" s="68" t="b">
        <f t="shared" si="16"/>
        <v>0</v>
      </c>
      <c r="I225" s="68"/>
      <c r="J225" s="68" t="b">
        <f t="shared" si="17"/>
        <v>0</v>
      </c>
      <c r="K225" s="103" t="b">
        <f t="shared" si="18"/>
        <v>0</v>
      </c>
    </row>
    <row r="226" spans="1:16" s="72" customFormat="1">
      <c r="B226" s="68" t="s">
        <v>49</v>
      </c>
      <c r="C226" s="70" t="b">
        <v>1</v>
      </c>
      <c r="D226" s="69" t="b">
        <v>0</v>
      </c>
      <c r="E226" s="70" t="b">
        <v>1</v>
      </c>
      <c r="F226" s="70" t="b">
        <f t="shared" si="19"/>
        <v>1</v>
      </c>
      <c r="G226" s="69" t="b">
        <v>1</v>
      </c>
      <c r="H226" s="68" t="b">
        <f t="shared" si="16"/>
        <v>1</v>
      </c>
      <c r="I226" s="68">
        <f>$C$215</f>
        <v>1000</v>
      </c>
      <c r="J226" s="68">
        <f t="shared" si="17"/>
        <v>6.4558956905963992E-4</v>
      </c>
      <c r="K226" s="103">
        <f t="shared" si="18"/>
        <v>984.95999999999981</v>
      </c>
    </row>
    <row r="227" spans="1:16" s="72" customFormat="1">
      <c r="B227" s="68" t="s">
        <v>49</v>
      </c>
      <c r="C227" s="69" t="b">
        <v>1</v>
      </c>
      <c r="D227" s="70" t="b">
        <v>1</v>
      </c>
      <c r="E227" s="69" t="b">
        <v>0</v>
      </c>
      <c r="F227" s="70" t="b">
        <f t="shared" si="19"/>
        <v>1</v>
      </c>
      <c r="G227" s="69" t="b">
        <v>1</v>
      </c>
      <c r="H227" s="68" t="b">
        <f t="shared" si="16"/>
        <v>1</v>
      </c>
      <c r="I227" s="68">
        <f>$C$212</f>
        <v>250</v>
      </c>
      <c r="J227" s="68">
        <f t="shared" si="17"/>
        <v>0</v>
      </c>
      <c r="K227" s="103">
        <f t="shared" si="18"/>
        <v>0</v>
      </c>
      <c r="L227" s="41"/>
    </row>
    <row r="228" spans="1:16" s="72" customFormat="1">
      <c r="B228" s="68" t="s">
        <v>209</v>
      </c>
      <c r="C228" s="69" t="b">
        <v>0</v>
      </c>
      <c r="D228" s="69" t="b">
        <v>0</v>
      </c>
      <c r="E228" s="69" t="b">
        <v>0</v>
      </c>
      <c r="F228" s="70" t="b">
        <f t="shared" si="19"/>
        <v>1</v>
      </c>
      <c r="G228" s="69" t="b">
        <v>0</v>
      </c>
      <c r="H228" s="68" t="b">
        <f t="shared" si="16"/>
        <v>0</v>
      </c>
      <c r="I228" s="68"/>
      <c r="J228" s="68" t="b">
        <f t="shared" si="17"/>
        <v>0</v>
      </c>
      <c r="K228" s="103" t="b">
        <f t="shared" si="18"/>
        <v>0</v>
      </c>
    </row>
    <row r="229" spans="1:16" s="72" customFormat="1">
      <c r="B229" s="68" t="s">
        <v>209</v>
      </c>
      <c r="C229" s="69" t="b">
        <v>0</v>
      </c>
      <c r="D229" s="69" t="b">
        <v>0</v>
      </c>
      <c r="E229" s="70" t="b">
        <v>1</v>
      </c>
      <c r="F229" s="70" t="b">
        <f t="shared" si="19"/>
        <v>1</v>
      </c>
      <c r="G229" s="69" t="b">
        <v>1</v>
      </c>
      <c r="H229" s="68" t="b">
        <f t="shared" si="16"/>
        <v>0</v>
      </c>
      <c r="I229" s="68">
        <f>$C$215</f>
        <v>1000</v>
      </c>
      <c r="J229" s="68" t="b">
        <f t="shared" si="17"/>
        <v>0</v>
      </c>
      <c r="K229" s="103" t="b">
        <f t="shared" si="18"/>
        <v>0</v>
      </c>
      <c r="M229" s="41"/>
    </row>
    <row r="230" spans="1:16" s="72" customFormat="1">
      <c r="B230" s="68" t="s">
        <v>209</v>
      </c>
      <c r="C230" s="69" t="b">
        <v>0</v>
      </c>
      <c r="D230" s="70" t="b">
        <v>1</v>
      </c>
      <c r="E230" s="69" t="b">
        <v>0</v>
      </c>
      <c r="F230" s="70" t="b">
        <f t="shared" si="19"/>
        <v>1</v>
      </c>
      <c r="G230" s="69" t="b">
        <v>1</v>
      </c>
      <c r="H230" s="68" t="b">
        <f t="shared" si="16"/>
        <v>0</v>
      </c>
      <c r="I230" s="68">
        <f>$C$212</f>
        <v>250</v>
      </c>
      <c r="J230" s="68" t="b">
        <f t="shared" si="17"/>
        <v>0</v>
      </c>
      <c r="K230" s="103" t="b">
        <f t="shared" si="18"/>
        <v>0</v>
      </c>
    </row>
    <row r="231" spans="1:16" s="72" customFormat="1">
      <c r="B231" s="68" t="s">
        <v>209</v>
      </c>
      <c r="C231" s="70" t="b">
        <v>1</v>
      </c>
      <c r="D231" s="69" t="b">
        <v>0</v>
      </c>
      <c r="E231" s="69" t="b">
        <v>0</v>
      </c>
      <c r="F231" s="70" t="b">
        <f t="shared" si="19"/>
        <v>1</v>
      </c>
      <c r="G231" s="69" t="b">
        <v>0</v>
      </c>
      <c r="H231" s="68" t="b">
        <f t="shared" si="16"/>
        <v>0</v>
      </c>
      <c r="I231" s="68"/>
      <c r="J231" s="68" t="b">
        <f t="shared" si="17"/>
        <v>0</v>
      </c>
      <c r="K231" s="103" t="b">
        <f t="shared" si="18"/>
        <v>0</v>
      </c>
    </row>
    <row r="232" spans="1:16" s="72" customFormat="1">
      <c r="B232" s="68" t="s">
        <v>209</v>
      </c>
      <c r="C232" s="70" t="b">
        <v>1</v>
      </c>
      <c r="D232" s="69" t="b">
        <v>0</v>
      </c>
      <c r="E232" s="70" t="b">
        <v>1</v>
      </c>
      <c r="F232" s="70" t="b">
        <f t="shared" si="19"/>
        <v>1</v>
      </c>
      <c r="G232" s="69" t="b">
        <v>1</v>
      </c>
      <c r="H232" s="68" t="b">
        <f t="shared" si="16"/>
        <v>0</v>
      </c>
      <c r="I232" s="68">
        <f>$C$215</f>
        <v>1000</v>
      </c>
      <c r="J232" s="68" t="b">
        <f t="shared" si="17"/>
        <v>0</v>
      </c>
      <c r="K232" s="103" t="b">
        <f t="shared" si="18"/>
        <v>0</v>
      </c>
      <c r="O232" s="41"/>
      <c r="P232" s="41"/>
    </row>
    <row r="233" spans="1:16" s="72" customFormat="1">
      <c r="B233" s="68" t="s">
        <v>209</v>
      </c>
      <c r="C233" s="69" t="b">
        <v>1</v>
      </c>
      <c r="D233" s="70" t="b">
        <v>1</v>
      </c>
      <c r="E233" s="69" t="b">
        <v>0</v>
      </c>
      <c r="F233" s="70" t="b">
        <f t="shared" si="19"/>
        <v>1</v>
      </c>
      <c r="G233" s="69" t="b">
        <v>1</v>
      </c>
      <c r="H233" s="68" t="b">
        <f t="shared" si="16"/>
        <v>0</v>
      </c>
      <c r="I233" s="68">
        <f>$C$212</f>
        <v>250</v>
      </c>
      <c r="J233" s="68" t="b">
        <f t="shared" si="17"/>
        <v>0</v>
      </c>
      <c r="K233" s="103" t="b">
        <f t="shared" si="18"/>
        <v>0</v>
      </c>
    </row>
    <row r="234" spans="1:16" s="72" customFormat="1">
      <c r="B234" s="68" t="s">
        <v>210</v>
      </c>
      <c r="C234" s="69" t="b">
        <v>0</v>
      </c>
      <c r="D234" s="69" t="b">
        <v>0</v>
      </c>
      <c r="E234" s="69" t="b">
        <v>0</v>
      </c>
      <c r="F234" s="70" t="b">
        <f t="shared" si="19"/>
        <v>1</v>
      </c>
      <c r="G234" s="69" t="b">
        <v>0</v>
      </c>
      <c r="H234" s="68" t="b">
        <f t="shared" si="16"/>
        <v>0</v>
      </c>
      <c r="I234" s="68"/>
      <c r="J234" s="68" t="b">
        <f t="shared" si="17"/>
        <v>0</v>
      </c>
      <c r="K234" s="103" t="b">
        <f t="shared" si="18"/>
        <v>0</v>
      </c>
    </row>
    <row r="235" spans="1:16">
      <c r="A235" s="72"/>
      <c r="B235" s="68" t="s">
        <v>210</v>
      </c>
      <c r="C235" s="69" t="b">
        <v>0</v>
      </c>
      <c r="D235" s="69" t="b">
        <v>0</v>
      </c>
      <c r="E235" s="70" t="b">
        <v>1</v>
      </c>
      <c r="F235" s="70" t="b">
        <f t="shared" si="19"/>
        <v>1</v>
      </c>
      <c r="G235" s="69" t="b">
        <v>1</v>
      </c>
      <c r="H235" s="68" t="b">
        <f t="shared" si="16"/>
        <v>0</v>
      </c>
      <c r="I235" s="68">
        <f>$C$215</f>
        <v>1000</v>
      </c>
      <c r="J235" s="68" t="b">
        <f t="shared" si="17"/>
        <v>0</v>
      </c>
      <c r="K235" s="103" t="b">
        <f t="shared" si="18"/>
        <v>0</v>
      </c>
      <c r="L235" s="72"/>
      <c r="M235" s="72"/>
      <c r="N235" s="72"/>
      <c r="O235" s="72"/>
      <c r="P235" s="72"/>
    </row>
    <row r="236" spans="1:16" s="72" customFormat="1">
      <c r="B236" s="68" t="s">
        <v>210</v>
      </c>
      <c r="C236" s="69" t="b">
        <v>0</v>
      </c>
      <c r="D236" s="70" t="b">
        <v>1</v>
      </c>
      <c r="E236" s="69" t="b">
        <v>0</v>
      </c>
      <c r="F236" s="70" t="b">
        <f t="shared" si="19"/>
        <v>1</v>
      </c>
      <c r="G236" s="69" t="b">
        <v>1</v>
      </c>
      <c r="H236" s="68" t="b">
        <f t="shared" si="16"/>
        <v>0</v>
      </c>
      <c r="I236" s="68">
        <f>$C$212</f>
        <v>250</v>
      </c>
      <c r="J236" s="68" t="b">
        <f t="shared" si="17"/>
        <v>0</v>
      </c>
      <c r="K236" s="103" t="b">
        <f t="shared" si="18"/>
        <v>0</v>
      </c>
    </row>
    <row r="237" spans="1:16" s="72" customFormat="1">
      <c r="B237" s="68" t="s">
        <v>210</v>
      </c>
      <c r="C237" s="70" t="b">
        <v>1</v>
      </c>
      <c r="D237" s="69" t="b">
        <v>0</v>
      </c>
      <c r="E237" s="69" t="b">
        <v>0</v>
      </c>
      <c r="F237" s="70" t="b">
        <f t="shared" si="19"/>
        <v>1</v>
      </c>
      <c r="G237" s="69" t="b">
        <v>0</v>
      </c>
      <c r="H237" s="68" t="b">
        <f t="shared" si="16"/>
        <v>0</v>
      </c>
      <c r="I237" s="68"/>
      <c r="J237" s="68" t="b">
        <f t="shared" si="17"/>
        <v>0</v>
      </c>
      <c r="K237" s="103" t="b">
        <f t="shared" si="18"/>
        <v>0</v>
      </c>
    </row>
    <row r="238" spans="1:16" s="72" customFormat="1">
      <c r="B238" s="68" t="s">
        <v>210</v>
      </c>
      <c r="C238" s="70" t="b">
        <v>1</v>
      </c>
      <c r="D238" s="69" t="b">
        <v>0</v>
      </c>
      <c r="E238" s="70" t="b">
        <v>1</v>
      </c>
      <c r="F238" s="70" t="b">
        <f t="shared" si="19"/>
        <v>1</v>
      </c>
      <c r="G238" s="69" t="b">
        <v>1</v>
      </c>
      <c r="H238" s="68" t="b">
        <f t="shared" si="16"/>
        <v>0</v>
      </c>
      <c r="I238" s="68">
        <f>$C$215</f>
        <v>1000</v>
      </c>
      <c r="J238" s="68" t="b">
        <f t="shared" si="17"/>
        <v>0</v>
      </c>
      <c r="K238" s="103" t="b">
        <f t="shared" si="18"/>
        <v>0</v>
      </c>
    </row>
    <row r="239" spans="1:16" s="72" customFormat="1">
      <c r="B239" s="68" t="s">
        <v>210</v>
      </c>
      <c r="C239" s="69" t="b">
        <v>1</v>
      </c>
      <c r="D239" s="70" t="b">
        <v>1</v>
      </c>
      <c r="E239" s="69" t="b">
        <v>0</v>
      </c>
      <c r="F239" s="70" t="b">
        <f t="shared" si="19"/>
        <v>1</v>
      </c>
      <c r="G239" s="69" t="b">
        <v>1</v>
      </c>
      <c r="H239" s="68" t="b">
        <f t="shared" si="16"/>
        <v>0</v>
      </c>
      <c r="I239" s="68">
        <f>$C$212</f>
        <v>250</v>
      </c>
      <c r="J239" s="68" t="b">
        <f t="shared" si="17"/>
        <v>0</v>
      </c>
      <c r="K239" s="103" t="b">
        <f t="shared" si="18"/>
        <v>0</v>
      </c>
      <c r="M239" s="41"/>
    </row>
    <row r="240" spans="1:16" s="72" customFormat="1">
      <c r="B240" s="77"/>
      <c r="C240" s="77"/>
      <c r="D240" s="77"/>
      <c r="E240" s="77"/>
      <c r="F240" s="78"/>
      <c r="G240" s="77"/>
      <c r="H240" s="77"/>
      <c r="M240" s="41"/>
    </row>
    <row r="241" spans="2:17" s="72" customFormat="1">
      <c r="B241" s="77"/>
      <c r="C241" s="77"/>
      <c r="D241" s="77"/>
      <c r="E241" s="77"/>
      <c r="F241" s="78"/>
      <c r="G241" s="77"/>
      <c r="H241" s="77"/>
      <c r="M241" s="41"/>
    </row>
    <row r="242" spans="2:17" s="72" customFormat="1">
      <c r="B242" s="43"/>
      <c r="C242" s="43"/>
      <c r="D242" s="43"/>
      <c r="E242" s="41"/>
      <c r="F242" s="41"/>
      <c r="G242" s="41"/>
      <c r="H242" s="41"/>
      <c r="M242" s="41"/>
      <c r="N242" s="41"/>
    </row>
    <row r="243" spans="2:17" s="72" customFormat="1" ht="18" hidden="1">
      <c r="B243" s="395" t="s">
        <v>244</v>
      </c>
      <c r="C243" s="396"/>
      <c r="D243" s="397"/>
      <c r="E243" s="41"/>
      <c r="F243" s="41"/>
      <c r="G243" s="41"/>
      <c r="H243" s="41"/>
      <c r="M243" s="41"/>
      <c r="N243" s="41"/>
    </row>
    <row r="244" spans="2:17" s="72" customFormat="1" ht="20.100000000000001" hidden="1" customHeight="1">
      <c r="B244" s="51" t="s">
        <v>198</v>
      </c>
      <c r="C244" s="41">
        <f>'Current Consumption'!N1226-$C$67</f>
        <v>6.0488336</v>
      </c>
      <c r="D244" s="52" t="s">
        <v>128</v>
      </c>
      <c r="E244" s="41"/>
      <c r="F244" s="41"/>
      <c r="G244" s="41"/>
      <c r="H244" s="41"/>
      <c r="M244" s="41"/>
      <c r="N244" s="41"/>
    </row>
    <row r="245" spans="2:17" s="72" customFormat="1" hidden="1">
      <c r="B245" s="51" t="s">
        <v>199</v>
      </c>
      <c r="C245" s="41">
        <f>'Current Consumption'!N1227</f>
        <v>16.197500000000002</v>
      </c>
      <c r="D245" s="52" t="s">
        <v>98</v>
      </c>
      <c r="E245" s="41"/>
      <c r="F245" s="41"/>
      <c r="G245" s="41"/>
      <c r="H245" s="41"/>
      <c r="L245" s="41"/>
      <c r="M245" s="41"/>
      <c r="N245" s="41"/>
    </row>
    <row r="246" spans="2:17" s="72" customFormat="1" hidden="1">
      <c r="B246" s="51" t="s">
        <v>206</v>
      </c>
      <c r="C246" s="41">
        <f>3000/$C$18</f>
        <v>2000</v>
      </c>
      <c r="D246" s="52" t="s">
        <v>98</v>
      </c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P246" s="41"/>
      <c r="Q246" s="41"/>
    </row>
    <row r="247" spans="2:17" s="72" customFormat="1" hidden="1">
      <c r="B247" s="87"/>
      <c r="C247" s="88"/>
      <c r="D247" s="89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2:17" s="72" customFormat="1" hidden="1">
      <c r="B248" s="51" t="s">
        <v>202</v>
      </c>
      <c r="C248" s="41">
        <f>F244</f>
        <v>0</v>
      </c>
      <c r="D248" s="52" t="s">
        <v>128</v>
      </c>
      <c r="E248" s="104">
        <f>SUM(J254:J269)</f>
        <v>0</v>
      </c>
      <c r="F248" s="41" t="s">
        <v>203</v>
      </c>
      <c r="G248" s="41"/>
      <c r="H248" s="41"/>
      <c r="I248" s="41"/>
      <c r="J248" s="41"/>
      <c r="K248" s="41"/>
      <c r="L248" s="79"/>
      <c r="M248" s="41"/>
      <c r="N248" s="41"/>
      <c r="O248" s="41"/>
      <c r="P248" s="41"/>
      <c r="Q248" s="41"/>
    </row>
    <row r="249" spans="2:17" s="72" customFormat="1" hidden="1">
      <c r="B249" s="60" t="s">
        <v>245</v>
      </c>
      <c r="C249" s="42">
        <f>SUM(I254:I269)</f>
        <v>0</v>
      </c>
      <c r="D249" s="61" t="s">
        <v>128</v>
      </c>
      <c r="E249" s="102">
        <f>C249/$K$15</f>
        <v>0</v>
      </c>
      <c r="F249" s="41" t="s">
        <v>191</v>
      </c>
      <c r="G249" s="41"/>
      <c r="H249" s="41"/>
      <c r="I249" s="77"/>
      <c r="J249" s="79"/>
      <c r="K249" s="79"/>
      <c r="L249" s="41"/>
      <c r="N249" s="41"/>
      <c r="O249" s="41"/>
      <c r="P249" s="41"/>
      <c r="Q249" s="41"/>
    </row>
    <row r="250" spans="2:17" hidden="1">
      <c r="M250" s="72"/>
    </row>
    <row r="251" spans="2:17" hidden="1">
      <c r="B251" s="76"/>
      <c r="C251" s="76"/>
      <c r="D251" s="76"/>
      <c r="E251" s="72"/>
      <c r="F251" s="72"/>
      <c r="G251" s="72"/>
      <c r="H251" s="72"/>
      <c r="M251" s="72"/>
    </row>
    <row r="252" spans="2:17" hidden="1">
      <c r="B252" s="62" t="s">
        <v>212</v>
      </c>
      <c r="C252" s="47" t="s">
        <v>246</v>
      </c>
      <c r="D252" s="47" t="s">
        <v>133</v>
      </c>
      <c r="E252" s="47" t="s">
        <v>58</v>
      </c>
      <c r="F252" s="47" t="s">
        <v>247</v>
      </c>
      <c r="G252" s="47" t="s">
        <v>205</v>
      </c>
      <c r="H252" s="93" t="s">
        <v>206</v>
      </c>
      <c r="I252" s="62" t="s">
        <v>207</v>
      </c>
      <c r="J252" s="62" t="s">
        <v>208</v>
      </c>
      <c r="M252" s="72"/>
      <c r="N252" s="72"/>
    </row>
    <row r="253" spans="2:17" hidden="1">
      <c r="B253" s="64" t="b">
        <f>$C$14</f>
        <v>0</v>
      </c>
      <c r="C253" s="105">
        <f>IF($C$11,$C$22,0%)</f>
        <v>0</v>
      </c>
      <c r="D253" s="105">
        <f>$C$17</f>
        <v>0.4</v>
      </c>
      <c r="E253" s="105">
        <f>$C$15</f>
        <v>0.38</v>
      </c>
      <c r="F253" s="66"/>
      <c r="G253" s="66"/>
      <c r="H253" s="94"/>
      <c r="I253" s="75"/>
      <c r="J253" s="75"/>
      <c r="M253" s="72"/>
      <c r="N253" s="72"/>
    </row>
    <row r="254" spans="2:17" hidden="1">
      <c r="B254" s="69" t="b">
        <v>0</v>
      </c>
      <c r="C254" s="69" t="b">
        <v>0</v>
      </c>
      <c r="D254" s="69" t="b">
        <v>0</v>
      </c>
      <c r="E254" s="69" t="b">
        <v>0</v>
      </c>
      <c r="F254" s="69" t="b">
        <v>0</v>
      </c>
      <c r="G254" s="50" t="b">
        <f t="shared" ref="G254:G269" si="20">IF(AND(F254,B254=$B$253),TRUE, FALSE)</f>
        <v>0</v>
      </c>
      <c r="H254" s="156"/>
      <c r="I254" s="68" t="b">
        <f t="shared" ref="I254:I269" si="21">IF(G254,IF(C254,$C$253,1-$C$253)*IF(D254,$D$253,1-$D$253)*IF(E254,$E$253,1-$E$253)*($C$244*$C$245/H254))</f>
        <v>0</v>
      </c>
      <c r="J254" s="103" t="b">
        <f t="shared" ref="J254:J269" si="22">IF(G254,IF(C254,$C$253,1-$C$253)*IF(D254,$D$253,1-$D$253)*IF(E254,$E$253,1-$E$253)*(24*60*60*1000/H254))</f>
        <v>0</v>
      </c>
      <c r="M254" s="72"/>
      <c r="N254" s="72"/>
    </row>
    <row r="255" spans="2:17" hidden="1">
      <c r="B255" s="69" t="b">
        <v>0</v>
      </c>
      <c r="C255" s="69" t="b">
        <v>0</v>
      </c>
      <c r="D255" s="69" t="b">
        <v>0</v>
      </c>
      <c r="E255" s="70" t="b">
        <v>1</v>
      </c>
      <c r="F255" s="69" t="b">
        <v>0</v>
      </c>
      <c r="G255" s="50" t="b">
        <f t="shared" si="20"/>
        <v>0</v>
      </c>
      <c r="H255" s="95"/>
      <c r="I255" s="68" t="b">
        <f t="shared" si="21"/>
        <v>0</v>
      </c>
      <c r="J255" s="103" t="b">
        <f t="shared" si="22"/>
        <v>0</v>
      </c>
      <c r="M255" s="72"/>
      <c r="N255" s="72"/>
      <c r="P255" s="72"/>
      <c r="Q255" s="72"/>
    </row>
    <row r="256" spans="2:17" hidden="1">
      <c r="B256" s="69" t="b">
        <v>0</v>
      </c>
      <c r="C256" s="69" t="b">
        <v>0</v>
      </c>
      <c r="D256" s="70" t="b">
        <v>1</v>
      </c>
      <c r="E256" s="69" t="b">
        <v>0</v>
      </c>
      <c r="F256" s="69" t="b">
        <v>0</v>
      </c>
      <c r="G256" s="50" t="b">
        <f t="shared" si="20"/>
        <v>0</v>
      </c>
      <c r="H256" s="95"/>
      <c r="I256" s="68" t="b">
        <f t="shared" si="21"/>
        <v>0</v>
      </c>
      <c r="J256" s="103" t="b">
        <f t="shared" si="22"/>
        <v>0</v>
      </c>
      <c r="M256" s="72"/>
      <c r="N256" s="72"/>
      <c r="P256" s="72"/>
      <c r="Q256" s="72"/>
    </row>
    <row r="257" spans="1:17" hidden="1">
      <c r="A257" s="72"/>
      <c r="B257" s="69" t="b">
        <v>0</v>
      </c>
      <c r="C257" s="69" t="b">
        <v>0</v>
      </c>
      <c r="D257" s="70" t="b">
        <v>1</v>
      </c>
      <c r="E257" s="70" t="b">
        <v>1</v>
      </c>
      <c r="F257" s="69" t="b">
        <v>0</v>
      </c>
      <c r="G257" s="50" t="b">
        <f t="shared" si="20"/>
        <v>0</v>
      </c>
      <c r="H257" s="95"/>
      <c r="I257" s="68" t="b">
        <f t="shared" si="21"/>
        <v>0</v>
      </c>
      <c r="J257" s="103" t="b">
        <f t="shared" si="22"/>
        <v>0</v>
      </c>
      <c r="M257" s="72"/>
      <c r="N257" s="72"/>
      <c r="O257" s="72"/>
      <c r="P257" s="72"/>
      <c r="Q257" s="72"/>
    </row>
    <row r="258" spans="1:17" hidden="1">
      <c r="A258" s="72"/>
      <c r="B258" s="69" t="b">
        <v>0</v>
      </c>
      <c r="C258" s="70" t="b">
        <v>1</v>
      </c>
      <c r="D258" s="69" t="b">
        <v>0</v>
      </c>
      <c r="E258" s="69" t="b">
        <v>0</v>
      </c>
      <c r="F258" s="69" t="b">
        <v>0</v>
      </c>
      <c r="G258" s="50" t="b">
        <f t="shared" si="20"/>
        <v>0</v>
      </c>
      <c r="H258" s="95"/>
      <c r="I258" s="68" t="b">
        <f t="shared" si="21"/>
        <v>0</v>
      </c>
      <c r="J258" s="103" t="b">
        <f t="shared" si="22"/>
        <v>0</v>
      </c>
      <c r="L258" s="72"/>
      <c r="M258" s="72"/>
      <c r="N258" s="72"/>
      <c r="O258" s="72"/>
      <c r="P258" s="72"/>
      <c r="Q258" s="72"/>
    </row>
    <row r="259" spans="1:17" s="72" customFormat="1" hidden="1">
      <c r="B259" s="69" t="b">
        <v>0</v>
      </c>
      <c r="C259" s="70" t="b">
        <v>1</v>
      </c>
      <c r="D259" s="69" t="b">
        <v>0</v>
      </c>
      <c r="E259" s="70" t="b">
        <v>1</v>
      </c>
      <c r="F259" s="69" t="b">
        <v>0</v>
      </c>
      <c r="G259" s="50" t="b">
        <f t="shared" si="20"/>
        <v>0</v>
      </c>
      <c r="H259" s="95"/>
      <c r="I259" s="68" t="b">
        <f t="shared" si="21"/>
        <v>0</v>
      </c>
      <c r="J259" s="103" t="b">
        <f t="shared" si="22"/>
        <v>0</v>
      </c>
    </row>
    <row r="260" spans="1:17" s="72" customFormat="1" hidden="1">
      <c r="B260" s="69" t="b">
        <v>0</v>
      </c>
      <c r="C260" s="70" t="b">
        <v>1</v>
      </c>
      <c r="D260" s="70" t="b">
        <v>1</v>
      </c>
      <c r="E260" s="69" t="b">
        <v>0</v>
      </c>
      <c r="F260" s="69" t="b">
        <v>0</v>
      </c>
      <c r="G260" s="50" t="b">
        <f t="shared" si="20"/>
        <v>0</v>
      </c>
      <c r="H260" s="95"/>
      <c r="I260" s="68" t="b">
        <f t="shared" si="21"/>
        <v>0</v>
      </c>
      <c r="J260" s="103" t="b">
        <f t="shared" si="22"/>
        <v>0</v>
      </c>
    </row>
    <row r="261" spans="1:17" s="72" customFormat="1" hidden="1">
      <c r="B261" s="69" t="b">
        <v>0</v>
      </c>
      <c r="C261" s="70" t="b">
        <v>1</v>
      </c>
      <c r="D261" s="70" t="b">
        <v>1</v>
      </c>
      <c r="E261" s="70" t="b">
        <v>1</v>
      </c>
      <c r="F261" s="69" t="b">
        <v>0</v>
      </c>
      <c r="G261" s="50" t="b">
        <f t="shared" si="20"/>
        <v>0</v>
      </c>
      <c r="H261" s="95"/>
      <c r="I261" s="68" t="b">
        <f t="shared" si="21"/>
        <v>0</v>
      </c>
      <c r="J261" s="103" t="b">
        <f t="shared" si="22"/>
        <v>0</v>
      </c>
    </row>
    <row r="262" spans="1:17" s="72" customFormat="1" hidden="1">
      <c r="B262" s="70" t="b">
        <v>1</v>
      </c>
      <c r="C262" s="69" t="b">
        <v>0</v>
      </c>
      <c r="D262" s="69" t="b">
        <v>0</v>
      </c>
      <c r="E262" s="69" t="b">
        <v>0</v>
      </c>
      <c r="F262" s="69" t="b">
        <v>0</v>
      </c>
      <c r="G262" s="50" t="b">
        <f t="shared" si="20"/>
        <v>0</v>
      </c>
      <c r="H262" s="95"/>
      <c r="I262" s="68" t="b">
        <f t="shared" si="21"/>
        <v>0</v>
      </c>
      <c r="J262" s="103" t="b">
        <f t="shared" si="22"/>
        <v>0</v>
      </c>
    </row>
    <row r="263" spans="1:17" s="72" customFormat="1" hidden="1">
      <c r="B263" s="70" t="b">
        <v>1</v>
      </c>
      <c r="C263" s="69" t="b">
        <v>0</v>
      </c>
      <c r="D263" s="69" t="b">
        <v>0</v>
      </c>
      <c r="E263" s="70" t="b">
        <v>1</v>
      </c>
      <c r="F263" s="69" t="b">
        <v>0</v>
      </c>
      <c r="G263" s="50" t="b">
        <f t="shared" si="20"/>
        <v>0</v>
      </c>
      <c r="H263" s="95"/>
      <c r="I263" s="68" t="b">
        <f t="shared" si="21"/>
        <v>0</v>
      </c>
      <c r="J263" s="103" t="b">
        <f t="shared" si="22"/>
        <v>0</v>
      </c>
    </row>
    <row r="264" spans="1:17" s="72" customFormat="1" hidden="1">
      <c r="B264" s="70" t="b">
        <v>1</v>
      </c>
      <c r="C264" s="69" t="b">
        <v>0</v>
      </c>
      <c r="D264" s="70" t="b">
        <v>1</v>
      </c>
      <c r="E264" s="69" t="b">
        <v>0</v>
      </c>
      <c r="F264" s="69" t="b">
        <v>0</v>
      </c>
      <c r="G264" s="50" t="b">
        <f t="shared" si="20"/>
        <v>0</v>
      </c>
      <c r="H264" s="95"/>
      <c r="I264" s="68" t="b">
        <f t="shared" si="21"/>
        <v>0</v>
      </c>
      <c r="J264" s="103" t="b">
        <f t="shared" si="22"/>
        <v>0</v>
      </c>
    </row>
    <row r="265" spans="1:17" s="72" customFormat="1" hidden="1">
      <c r="B265" s="70" t="b">
        <v>1</v>
      </c>
      <c r="C265" s="69" t="b">
        <v>0</v>
      </c>
      <c r="D265" s="70" t="b">
        <v>1</v>
      </c>
      <c r="E265" s="70" t="b">
        <v>1</v>
      </c>
      <c r="F265" s="69" t="b">
        <v>0</v>
      </c>
      <c r="G265" s="50" t="b">
        <f t="shared" si="20"/>
        <v>0</v>
      </c>
      <c r="H265" s="95"/>
      <c r="I265" s="68" t="b">
        <f t="shared" si="21"/>
        <v>0</v>
      </c>
      <c r="J265" s="103" t="b">
        <f t="shared" si="22"/>
        <v>0</v>
      </c>
    </row>
    <row r="266" spans="1:17" s="72" customFormat="1" hidden="1">
      <c r="B266" s="70" t="b">
        <v>1</v>
      </c>
      <c r="C266" s="70" t="b">
        <v>1</v>
      </c>
      <c r="D266" s="69" t="b">
        <v>0</v>
      </c>
      <c r="E266" s="69" t="b">
        <v>0</v>
      </c>
      <c r="F266" s="70" t="b">
        <v>1</v>
      </c>
      <c r="G266" s="50" t="b">
        <f t="shared" si="20"/>
        <v>0</v>
      </c>
      <c r="H266" s="95">
        <f>$C$246</f>
        <v>2000</v>
      </c>
      <c r="I266" s="68" t="b">
        <f t="shared" si="21"/>
        <v>0</v>
      </c>
      <c r="J266" s="103" t="b">
        <f t="shared" si="22"/>
        <v>0</v>
      </c>
    </row>
    <row r="267" spans="1:17" s="72" customFormat="1" hidden="1">
      <c r="B267" s="70" t="b">
        <v>1</v>
      </c>
      <c r="C267" s="70" t="b">
        <v>1</v>
      </c>
      <c r="D267" s="69" t="b">
        <v>0</v>
      </c>
      <c r="E267" s="70" t="b">
        <v>1</v>
      </c>
      <c r="F267" s="70" t="b">
        <v>1</v>
      </c>
      <c r="G267" s="50" t="b">
        <f t="shared" si="20"/>
        <v>0</v>
      </c>
      <c r="H267" s="95">
        <f>$C$246</f>
        <v>2000</v>
      </c>
      <c r="I267" s="68" t="b">
        <f t="shared" si="21"/>
        <v>0</v>
      </c>
      <c r="J267" s="103" t="b">
        <f t="shared" si="22"/>
        <v>0</v>
      </c>
    </row>
    <row r="268" spans="1:17" s="72" customFormat="1" hidden="1">
      <c r="B268" s="70" t="b">
        <v>1</v>
      </c>
      <c r="C268" s="70" t="b">
        <v>1</v>
      </c>
      <c r="D268" s="70" t="b">
        <v>1</v>
      </c>
      <c r="E268" s="69" t="b">
        <v>0</v>
      </c>
      <c r="F268" s="70" t="b">
        <v>1</v>
      </c>
      <c r="G268" s="50" t="b">
        <f t="shared" si="20"/>
        <v>0</v>
      </c>
      <c r="H268" s="95">
        <f>$C$246</f>
        <v>2000</v>
      </c>
      <c r="I268" s="68" t="b">
        <f t="shared" si="21"/>
        <v>0</v>
      </c>
      <c r="J268" s="103" t="b">
        <f t="shared" si="22"/>
        <v>0</v>
      </c>
    </row>
    <row r="269" spans="1:17" s="72" customFormat="1">
      <c r="B269" s="70" t="b">
        <v>1</v>
      </c>
      <c r="C269" s="70" t="b">
        <v>1</v>
      </c>
      <c r="D269" s="70" t="b">
        <v>1</v>
      </c>
      <c r="E269" s="70" t="b">
        <v>1</v>
      </c>
      <c r="F269" s="70" t="b">
        <v>1</v>
      </c>
      <c r="G269" s="50" t="b">
        <f t="shared" si="20"/>
        <v>0</v>
      </c>
      <c r="H269" s="95">
        <f>$C$246</f>
        <v>2000</v>
      </c>
      <c r="I269" s="68" t="b">
        <f t="shared" si="21"/>
        <v>0</v>
      </c>
      <c r="J269" s="103" t="b">
        <f t="shared" si="22"/>
        <v>0</v>
      </c>
    </row>
    <row r="270" spans="1:17" s="72" customFormat="1">
      <c r="B270" s="80"/>
      <c r="C270" s="80"/>
      <c r="D270" s="80"/>
      <c r="E270" s="80"/>
      <c r="F270" s="80"/>
      <c r="G270" s="88"/>
      <c r="H270" s="81"/>
      <c r="I270" s="81"/>
      <c r="J270" s="118"/>
    </row>
    <row r="271" spans="1:17" s="72" customFormat="1">
      <c r="B271" s="80"/>
      <c r="C271" s="80"/>
      <c r="D271" s="80"/>
      <c r="E271" s="80"/>
      <c r="F271" s="80"/>
      <c r="G271" s="88"/>
      <c r="H271" s="81"/>
      <c r="I271" s="81"/>
      <c r="J271" s="118"/>
    </row>
    <row r="272" spans="1:17" s="72" customFormat="1">
      <c r="B272" s="76"/>
      <c r="C272" s="76"/>
      <c r="D272" s="76"/>
      <c r="J272" s="96"/>
    </row>
    <row r="273" spans="1:17" s="72" customFormat="1" ht="18">
      <c r="B273" s="90" t="s">
        <v>248</v>
      </c>
      <c r="C273" s="97"/>
      <c r="D273" s="98"/>
      <c r="E273" s="41"/>
      <c r="F273" s="41"/>
      <c r="G273" s="41"/>
      <c r="H273" s="41"/>
    </row>
    <row r="274" spans="1:17" s="72" customFormat="1">
      <c r="B274" s="51" t="s">
        <v>198</v>
      </c>
      <c r="C274" s="220">
        <f>AVERAGE('[1]Current Consumption (v23)'!B2495,'[1]Current Consumption (v23)'!B2755,'[1]Current Consumption (v23)'!B2854,'[1]Current Consumption (v23)'!B2952,'[1]Current Consumption (v23)'!B3051,'[1]Current Consumption (v23)'!B3151,'[1]Current Consumption (v23)'!B3251,'[1]Current Consumption (v23)'!B3351,'[1]Current Consumption (v23)'!B3451,'[1]Current Consumption (v23)'!B3551,'[1]Current Consumption (v23)'!B3649,'[1]Current Consumption (v23)'!B3747,'[1]Current Consumption (v23)'!B3845,'[1]Current Consumption (v23)'!B3943,'[1]Current Consumption (v23)'!B4041)</f>
        <v>0.25564399999999993</v>
      </c>
      <c r="D274" s="52" t="s">
        <v>128</v>
      </c>
      <c r="E274" s="41"/>
      <c r="F274" s="41"/>
      <c r="G274" s="41"/>
      <c r="H274" s="41"/>
    </row>
    <row r="275" spans="1:17" s="72" customFormat="1">
      <c r="B275" s="51" t="s">
        <v>199</v>
      </c>
      <c r="C275" s="41">
        <f>AVERAGE('[1]Current Consumption (v23)'!B2496,'[1]Current Consumption (v23)'!B2756,'[1]Current Consumption (v23)'!B2855,'[1]Current Consumption (v23)'!B2953,'[1]Current Consumption (v23)'!B3052,'[1]Current Consumption (v23)'!B3152,'[1]Current Consumption (v23)'!B3252,'[1]Current Consumption (v23)'!B3352,'[1]Current Consumption (v23)'!B3452,'[1]Current Consumption (v23)'!B3552,'[1]Current Consumption (v23)'!B3650,'[1]Current Consumption (v23)'!B3748,'[1]Current Consumption (v23)'!B3846,'[1]Current Consumption (v23)'!B3944,'[1]Current Consumption (v23)'!B4042)</f>
        <v>2844</v>
      </c>
      <c r="D275" s="52" t="s">
        <v>98</v>
      </c>
      <c r="E275" s="41"/>
      <c r="F275" s="41"/>
      <c r="G275" s="41"/>
      <c r="H275" s="41"/>
    </row>
    <row r="276" spans="1:17" s="72" customFormat="1">
      <c r="B276" s="51" t="s">
        <v>206</v>
      </c>
      <c r="C276" s="41">
        <f>24*60*60*1000/$C$24</f>
        <v>28800000</v>
      </c>
      <c r="D276" s="52" t="s">
        <v>98</v>
      </c>
      <c r="E276" s="41"/>
      <c r="F276" s="41"/>
      <c r="G276" s="41"/>
      <c r="H276" s="41"/>
    </row>
    <row r="277" spans="1:17" s="72" customFormat="1">
      <c r="B277" s="87"/>
      <c r="C277" s="88"/>
      <c r="D277" s="89"/>
      <c r="E277" s="41"/>
      <c r="F277" s="41"/>
      <c r="G277" s="41"/>
      <c r="H277" s="41"/>
      <c r="I277" s="41"/>
      <c r="J277" s="41"/>
    </row>
    <row r="278" spans="1:17" s="72" customFormat="1">
      <c r="B278" s="51" t="s">
        <v>202</v>
      </c>
      <c r="C278" s="41">
        <f>C279/E278</f>
        <v>8.4149483333333324E-6</v>
      </c>
      <c r="D278" s="52" t="s">
        <v>128</v>
      </c>
      <c r="E278" s="104">
        <f>IF(($C$24&gt;0),(24*60*60*1000/C276),0)</f>
        <v>3</v>
      </c>
      <c r="F278" s="41" t="s">
        <v>203</v>
      </c>
      <c r="G278" s="41"/>
      <c r="H278" s="41"/>
      <c r="I278" s="41"/>
      <c r="J278" s="41"/>
    </row>
    <row r="279" spans="1:17" s="72" customFormat="1">
      <c r="B279" s="60" t="s">
        <v>245</v>
      </c>
      <c r="C279" s="42">
        <f>IF($C$24&gt;0,C274*C275/C276,0)</f>
        <v>2.5244844999999996E-5</v>
      </c>
      <c r="D279" s="61" t="s">
        <v>128</v>
      </c>
      <c r="E279" s="102">
        <f>C279/$K$15</f>
        <v>3.9824599934253915E-4</v>
      </c>
      <c r="F279" s="41" t="s">
        <v>191</v>
      </c>
      <c r="G279" s="41"/>
      <c r="H279" s="41"/>
      <c r="I279" s="41"/>
      <c r="J279" s="41"/>
      <c r="M279" s="41"/>
    </row>
    <row r="280" spans="1:17" s="72" customFormat="1">
      <c r="B280" s="43"/>
      <c r="C280" s="43"/>
      <c r="D280" s="43"/>
      <c r="E280" s="41"/>
      <c r="F280" s="41"/>
      <c r="G280" s="41"/>
      <c r="H280" s="41"/>
      <c r="I280" s="41"/>
      <c r="J280" s="41"/>
      <c r="L280" s="41"/>
      <c r="M280" s="41"/>
    </row>
    <row r="281" spans="1:17" s="72" customFormat="1">
      <c r="F281" s="74"/>
      <c r="I281" s="41"/>
      <c r="J281" s="41"/>
      <c r="K281" s="41"/>
      <c r="L281" s="41"/>
      <c r="M281" s="41"/>
      <c r="N281" s="41"/>
    </row>
    <row r="282" spans="1:17" s="72" customFormat="1">
      <c r="B282" s="77"/>
      <c r="C282" s="77"/>
      <c r="D282" s="77"/>
      <c r="E282" s="77"/>
      <c r="F282" s="78"/>
      <c r="G282" s="77"/>
      <c r="H282" s="77"/>
      <c r="I282" s="41"/>
      <c r="J282" s="41"/>
      <c r="K282" s="41"/>
      <c r="L282" s="41"/>
      <c r="M282" s="41"/>
      <c r="N282" s="41"/>
    </row>
    <row r="283" spans="1:17" s="72" customFormat="1" ht="18">
      <c r="B283" s="90" t="s">
        <v>249</v>
      </c>
      <c r="C283" s="97"/>
      <c r="D283" s="98"/>
      <c r="E283" s="41"/>
      <c r="F283" s="41"/>
      <c r="G283" s="41"/>
      <c r="H283" s="41"/>
      <c r="I283" s="41"/>
      <c r="J283" s="41"/>
      <c r="K283" s="41"/>
      <c r="L283" s="41"/>
      <c r="M283" s="41"/>
      <c r="N283" s="41"/>
    </row>
    <row r="284" spans="1:17" s="72" customFormat="1">
      <c r="B284" s="51" t="s">
        <v>198</v>
      </c>
      <c r="C284" s="220">
        <f>AVERAGE('[1]Current Consumption (v23)'!B2706,'[1]Current Consumption (v23)'!B2804,'[1]Current Consumption (v23)'!B2904,'[1]Current Consumption (v23)'!B3001,'[1]Current Consumption (v23)'!B3101,'[1]Current Consumption (v23)'!B3201,'[1]Current Consumption (v23)'!B3301,'[1]Current Consumption (v23)'!B3401,'[1]Current Consumption (v23)'!B3501,'[1]Current Consumption (v23)'!B3601,'[1]Current Consumption (v23)'!B3697,'[1]Current Consumption (v23)'!B3795,'[1]Current Consumption (v23)'!B3893,'[1]Current Consumption (v23)'!B3991,'[1]Current Consumption (v23)'!B4089)</f>
        <v>0.28517466666666663</v>
      </c>
      <c r="D284" s="52" t="s">
        <v>128</v>
      </c>
      <c r="E284" s="41"/>
      <c r="F284" s="41"/>
      <c r="G284" s="41"/>
      <c r="H284" s="41"/>
      <c r="I284" s="41"/>
      <c r="J284" s="41"/>
      <c r="K284" s="41"/>
      <c r="L284" s="41"/>
      <c r="M284" s="41"/>
      <c r="N284" s="41"/>
    </row>
    <row r="285" spans="1:17" s="72" customFormat="1">
      <c r="B285" s="51" t="s">
        <v>199</v>
      </c>
      <c r="C285" s="41">
        <f>AVERAGE('[1]Current Consumption (v23)'!B2707,'[1]Current Consumption (v23)'!B2805,'[1]Current Consumption (v23)'!B2905,'[1]Current Consumption (v23)'!B3002,'[1]Current Consumption (v23)'!B3102,'[1]Current Consumption (v23)'!B3202,'[1]Current Consumption (v23)'!B3302,'[1]Current Consumption (v23)'!B3402,'[1]Current Consumption (v23)'!B3502,'[1]Current Consumption (v23)'!B3602,'[1]Current Consumption (v23)'!B3698,'[1]Current Consumption (v23)'!B3796,'[1]Current Consumption (v23)'!B3894,'[1]Current Consumption (v23)'!B3992,'[1]Current Consumption (v23)'!B4090)</f>
        <v>3827.9633333333336</v>
      </c>
      <c r="D285" s="52" t="s">
        <v>98</v>
      </c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P285" s="41"/>
      <c r="Q285" s="41"/>
    </row>
    <row r="286" spans="1:17" s="72" customFormat="1">
      <c r="B286" s="51" t="s">
        <v>206</v>
      </c>
      <c r="C286" s="41">
        <f>24*60*60*1000/$C$25</f>
        <v>28800000</v>
      </c>
      <c r="D286" s="52" t="s">
        <v>98</v>
      </c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P286" s="41"/>
      <c r="Q286" s="41"/>
    </row>
    <row r="287" spans="1:17" s="72" customFormat="1">
      <c r="A287" s="41"/>
      <c r="B287" s="87"/>
      <c r="C287" s="88"/>
      <c r="D287" s="89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 s="72" customFormat="1">
      <c r="A288" s="41"/>
      <c r="B288" s="51" t="s">
        <v>202</v>
      </c>
      <c r="C288" s="41">
        <f>C289/E288</f>
        <v>1.2634701013837448E-5</v>
      </c>
      <c r="D288" s="52" t="s">
        <v>128</v>
      </c>
      <c r="E288" s="104">
        <f>IF(($C$25&gt;0),(24*60*60*1000/C286),0)</f>
        <v>3</v>
      </c>
      <c r="F288" s="41" t="s">
        <v>203</v>
      </c>
      <c r="G288" s="41"/>
      <c r="H288" s="41"/>
      <c r="I288" s="41"/>
      <c r="J288" s="41"/>
      <c r="K288" s="41"/>
      <c r="N288" s="41"/>
      <c r="O288" s="41"/>
      <c r="P288" s="41"/>
      <c r="Q288" s="41"/>
    </row>
    <row r="289" spans="1:18">
      <c r="B289" s="60" t="s">
        <v>245</v>
      </c>
      <c r="C289" s="42">
        <f>IF($C$25&gt;0,C284*C285/C286,0)</f>
        <v>3.7904103041512343E-5</v>
      </c>
      <c r="D289" s="61" t="s">
        <v>128</v>
      </c>
      <c r="E289" s="102">
        <f>C289/$K$15</f>
        <v>5.9795009218514372E-4</v>
      </c>
      <c r="F289" s="41" t="s">
        <v>191</v>
      </c>
      <c r="I289" s="72"/>
      <c r="J289" s="72"/>
      <c r="K289" s="72"/>
      <c r="L289" s="79"/>
      <c r="M289" s="72"/>
    </row>
    <row r="290" spans="1:18">
      <c r="I290" s="77"/>
      <c r="J290" s="77"/>
      <c r="K290" s="79"/>
      <c r="M290" s="72"/>
      <c r="N290" s="72"/>
    </row>
    <row r="291" spans="1:18">
      <c r="B291" s="72"/>
      <c r="C291" s="72"/>
      <c r="D291" s="72"/>
      <c r="E291" s="72"/>
      <c r="F291" s="72"/>
      <c r="G291" s="72"/>
      <c r="H291" s="72"/>
      <c r="M291" s="72"/>
      <c r="N291" s="72"/>
    </row>
    <row r="292" spans="1:18">
      <c r="B292" s="72"/>
      <c r="C292" s="72"/>
      <c r="D292" s="72"/>
      <c r="E292" s="72"/>
      <c r="F292" s="72"/>
      <c r="G292" s="72"/>
      <c r="H292" s="72"/>
      <c r="M292" s="43"/>
      <c r="N292" s="72"/>
    </row>
    <row r="293" spans="1:18" ht="18">
      <c r="B293" s="90" t="s">
        <v>250</v>
      </c>
      <c r="C293" s="91"/>
      <c r="D293" s="92"/>
      <c r="G293" s="43"/>
      <c r="I293" s="43"/>
      <c r="J293" s="43"/>
      <c r="K293" s="43"/>
      <c r="N293" s="72"/>
      <c r="O293" s="72"/>
      <c r="P293" s="72"/>
      <c r="Q293" s="72"/>
      <c r="R293" s="72"/>
    </row>
    <row r="294" spans="1:18">
      <c r="B294" s="51" t="s">
        <v>198</v>
      </c>
      <c r="C294" s="219">
        <f>'BLE Advertisement'!$AE$16-$C$67</f>
        <v>0.41542693333333336</v>
      </c>
      <c r="D294" s="52" t="s">
        <v>128</v>
      </c>
      <c r="E294" s="394" t="s">
        <v>251</v>
      </c>
      <c r="F294" s="43"/>
      <c r="N294" s="72"/>
      <c r="O294" s="72"/>
      <c r="R294" s="72"/>
    </row>
    <row r="295" spans="1:18">
      <c r="A295" s="72"/>
      <c r="B295" s="51" t="s">
        <v>199</v>
      </c>
      <c r="C295" s="219">
        <f>'BLE Advertisement'!$AF$16</f>
        <v>444.70499999999998</v>
      </c>
      <c r="D295" s="52" t="s">
        <v>98</v>
      </c>
      <c r="E295" s="394"/>
      <c r="F295" s="43"/>
      <c r="M295" s="74"/>
      <c r="N295" s="72"/>
      <c r="R295" s="72"/>
    </row>
    <row r="296" spans="1:18">
      <c r="A296" s="72"/>
      <c r="B296" s="51" t="s">
        <v>198</v>
      </c>
      <c r="C296" s="220">
        <f>'BLE Advertisement'!$EZ$6 - $C$67</f>
        <v>0.45995026666666666</v>
      </c>
      <c r="D296" s="52" t="s">
        <v>128</v>
      </c>
      <c r="E296" s="394" t="s">
        <v>252</v>
      </c>
      <c r="F296" s="43"/>
      <c r="G296" s="163"/>
      <c r="M296" s="74"/>
      <c r="N296" s="72"/>
      <c r="R296" s="72"/>
    </row>
    <row r="297" spans="1:18" s="72" customFormat="1">
      <c r="B297" s="51" t="s">
        <v>199</v>
      </c>
      <c r="C297" s="220">
        <f>'BLE Advertisement'!$FA$6</f>
        <v>333.54433333333333</v>
      </c>
      <c r="D297" s="52" t="s">
        <v>98</v>
      </c>
      <c r="E297" s="394"/>
      <c r="F297" s="43"/>
      <c r="G297" s="41"/>
      <c r="H297" s="41"/>
      <c r="I297" s="41"/>
      <c r="J297" s="41"/>
      <c r="K297" s="41"/>
      <c r="L297" s="41"/>
      <c r="M297" s="74"/>
      <c r="O297" s="41"/>
      <c r="P297" s="41"/>
      <c r="Q297" s="41"/>
    </row>
    <row r="298" spans="1:18" s="72" customFormat="1">
      <c r="B298" s="51" t="s">
        <v>198</v>
      </c>
      <c r="C298" s="220">
        <f>'BLE Advertisement'!$DU$6 - $C$67</f>
        <v>0.51334693333333326</v>
      </c>
      <c r="D298" s="52" t="s">
        <v>128</v>
      </c>
      <c r="E298" s="394" t="s">
        <v>253</v>
      </c>
      <c r="F298" s="43"/>
      <c r="G298" s="163"/>
      <c r="H298" s="41"/>
      <c r="I298" s="41"/>
      <c r="J298" s="41"/>
      <c r="K298" s="41"/>
      <c r="L298" s="41"/>
      <c r="M298" s="74"/>
      <c r="O298" s="41"/>
      <c r="P298" s="41"/>
      <c r="Q298" s="41"/>
      <c r="R298" s="41"/>
    </row>
    <row r="299" spans="1:18" s="72" customFormat="1">
      <c r="B299" s="51" t="s">
        <v>199</v>
      </c>
      <c r="C299" s="220">
        <f>'BLE Advertisement'!$DV$6</f>
        <v>228.43466666666669</v>
      </c>
      <c r="D299" s="52" t="s">
        <v>98</v>
      </c>
      <c r="E299" s="394"/>
      <c r="F299" s="43"/>
      <c r="G299" s="163"/>
      <c r="H299" s="41"/>
      <c r="I299" s="41"/>
      <c r="J299" s="41"/>
      <c r="K299" s="41"/>
      <c r="L299" s="41"/>
      <c r="M299" s="74"/>
      <c r="O299" s="41"/>
      <c r="P299" s="41"/>
      <c r="Q299" s="41"/>
      <c r="R299" s="41"/>
    </row>
    <row r="300" spans="1:18" s="72" customFormat="1">
      <c r="B300" s="51" t="s">
        <v>198</v>
      </c>
      <c r="C300" s="220">
        <f>'BLE Advertisement'!$CP$6 - $C$67</f>
        <v>0.6749202666666666</v>
      </c>
      <c r="D300" s="52" t="s">
        <v>128</v>
      </c>
      <c r="E300" s="394" t="s">
        <v>254</v>
      </c>
      <c r="F300" s="43"/>
      <c r="G300" s="163"/>
      <c r="H300" s="41"/>
      <c r="I300" s="41"/>
      <c r="J300" s="41"/>
      <c r="K300" s="41"/>
      <c r="L300" s="41"/>
      <c r="M300" s="74"/>
      <c r="O300" s="41"/>
      <c r="P300" s="41"/>
      <c r="Q300" s="41"/>
      <c r="R300" s="41"/>
    </row>
    <row r="301" spans="1:18" s="72" customFormat="1">
      <c r="B301" s="51" t="s">
        <v>199</v>
      </c>
      <c r="C301" s="220">
        <f>'BLE Advertisement'!$CQ$6</f>
        <v>127.75933333333334</v>
      </c>
      <c r="D301" s="52" t="s">
        <v>98</v>
      </c>
      <c r="E301" s="394"/>
      <c r="F301" s="43"/>
      <c r="G301" s="163"/>
      <c r="H301" s="41"/>
      <c r="I301" s="41"/>
      <c r="J301" s="41"/>
      <c r="K301" s="41"/>
      <c r="L301" s="41"/>
      <c r="M301" s="74"/>
      <c r="O301" s="41"/>
      <c r="P301" s="41"/>
      <c r="Q301" s="41"/>
    </row>
    <row r="302" spans="1:18" s="72" customFormat="1">
      <c r="B302" s="51" t="s">
        <v>198</v>
      </c>
      <c r="C302" s="221">
        <f>'BLE Advertisement'!$GD$6 - $C$67</f>
        <v>3.9584902666666668</v>
      </c>
      <c r="D302" s="52" t="s">
        <v>128</v>
      </c>
      <c r="E302" s="394" t="s">
        <v>255</v>
      </c>
      <c r="F302" s="43"/>
      <c r="G302" s="163"/>
      <c r="H302" s="41"/>
      <c r="I302" s="41"/>
      <c r="J302" s="41"/>
      <c r="K302" s="41"/>
      <c r="L302" s="41"/>
      <c r="M302" s="74"/>
      <c r="O302" s="41"/>
      <c r="P302" s="41"/>
      <c r="Q302" s="41"/>
    </row>
    <row r="303" spans="1:18" s="72" customFormat="1">
      <c r="B303" s="51" t="s">
        <v>199</v>
      </c>
      <c r="C303" s="221">
        <f>'BLE Advertisement'!$GE$6</f>
        <v>14.233033333333333</v>
      </c>
      <c r="D303" s="52" t="s">
        <v>98</v>
      </c>
      <c r="E303" s="394"/>
      <c r="F303" s="43"/>
      <c r="G303" s="163"/>
      <c r="H303" s="41"/>
      <c r="I303" s="41"/>
      <c r="J303" s="41"/>
      <c r="K303" s="41"/>
      <c r="L303" s="41"/>
      <c r="M303" s="74"/>
      <c r="O303" s="41"/>
      <c r="P303" s="41"/>
      <c r="Q303" s="41"/>
    </row>
    <row r="304" spans="1:18" s="72" customFormat="1">
      <c r="B304" s="51" t="s">
        <v>198</v>
      </c>
      <c r="C304" s="221">
        <f>'BLE Advertisement'!HI6 - $C$67</f>
        <v>3.8961769333333334</v>
      </c>
      <c r="D304" s="52" t="s">
        <v>128</v>
      </c>
      <c r="E304" s="394" t="s">
        <v>256</v>
      </c>
      <c r="F304" s="43"/>
      <c r="G304" s="163"/>
      <c r="H304" s="41"/>
      <c r="I304" s="41"/>
      <c r="J304" s="41"/>
      <c r="K304" s="41"/>
      <c r="L304" s="41"/>
      <c r="M304" s="74"/>
      <c r="O304" s="41"/>
      <c r="P304" s="41"/>
      <c r="Q304" s="41"/>
    </row>
    <row r="305" spans="1:18" s="72" customFormat="1">
      <c r="B305" s="51" t="s">
        <v>199</v>
      </c>
      <c r="C305" s="221">
        <f>'BLE Advertisement'!HJ6</f>
        <v>11.825266666666666</v>
      </c>
      <c r="D305" s="52" t="s">
        <v>98</v>
      </c>
      <c r="E305" s="394"/>
      <c r="F305" s="43"/>
      <c r="G305" s="163"/>
      <c r="H305" s="41"/>
      <c r="I305" s="41"/>
      <c r="J305" s="41"/>
      <c r="K305" s="41"/>
      <c r="L305" s="41"/>
      <c r="M305" s="74"/>
      <c r="O305" s="41"/>
      <c r="P305" s="41"/>
      <c r="Q305" s="41"/>
    </row>
    <row r="306" spans="1:18" s="72" customFormat="1">
      <c r="B306" s="51" t="s">
        <v>198</v>
      </c>
      <c r="C306" s="221">
        <f>'BF1'!Q9-$C$67</f>
        <v>0.39324561362339439</v>
      </c>
      <c r="D306" s="52" t="s">
        <v>128</v>
      </c>
      <c r="E306" s="394" t="s">
        <v>257</v>
      </c>
      <c r="F306" s="43"/>
      <c r="G306" s="163"/>
      <c r="H306" s="41"/>
      <c r="I306" s="41"/>
      <c r="J306" s="41"/>
      <c r="K306" s="41"/>
      <c r="L306" s="41"/>
      <c r="M306" s="74"/>
      <c r="O306" s="41"/>
      <c r="P306" s="41"/>
      <c r="Q306" s="41"/>
    </row>
    <row r="307" spans="1:18" s="72" customFormat="1">
      <c r="B307" s="51" t="s">
        <v>199</v>
      </c>
      <c r="C307" s="221">
        <f>'BF1'!R9</f>
        <v>443.35499999999996</v>
      </c>
      <c r="D307" s="52" t="s">
        <v>98</v>
      </c>
      <c r="E307" s="394"/>
      <c r="F307" s="43"/>
      <c r="G307" s="163"/>
      <c r="H307" s="41"/>
      <c r="I307" s="41"/>
      <c r="J307" s="41"/>
      <c r="K307" s="41"/>
      <c r="L307" s="41"/>
      <c r="M307" s="74"/>
      <c r="O307" s="41"/>
      <c r="P307" s="41"/>
      <c r="Q307" s="41"/>
    </row>
    <row r="308" spans="1:18" s="72" customFormat="1">
      <c r="B308" s="51" t="s">
        <v>258</v>
      </c>
      <c r="C308" s="220">
        <f>IF($C$34,$C$306,IF($C$33=5,$C$294,IF($C$33=4,$C$296,IF($C$33=3,$C$298,IF($C$33=2,$C$300,IF($C$33=1,$C$302,"N/A"))))))</f>
        <v>0.41542693333333336</v>
      </c>
      <c r="D308" s="52" t="s">
        <v>128</v>
      </c>
      <c r="E308" s="41"/>
      <c r="F308" s="43"/>
      <c r="G308" s="163"/>
      <c r="H308" s="41"/>
      <c r="I308" s="41"/>
      <c r="J308" s="41"/>
      <c r="K308" s="41"/>
      <c r="L308" s="41"/>
      <c r="M308" s="74"/>
      <c r="O308" s="41"/>
      <c r="P308" s="41"/>
      <c r="Q308" s="41"/>
    </row>
    <row r="309" spans="1:18" s="72" customFormat="1">
      <c r="B309" s="51" t="s">
        <v>259</v>
      </c>
      <c r="C309" s="220">
        <f>IF($C$34,C307,IF($C$33=5,$C$295,IF($C$33=4,$C$297,IF($C$33=3,$C$299,IF($C$33=2,$C$301,IF($C$33=1,$C$303,"N/A"))))))</f>
        <v>444.70499999999998</v>
      </c>
      <c r="D309" s="52" t="s">
        <v>98</v>
      </c>
      <c r="F309" s="43"/>
      <c r="G309" s="163"/>
      <c r="H309" s="41"/>
      <c r="I309" s="41"/>
      <c r="J309" s="41"/>
      <c r="K309" s="41"/>
      <c r="O309" s="41"/>
      <c r="P309" s="41"/>
      <c r="Q309" s="41"/>
    </row>
    <row r="310" spans="1:18" s="72" customFormat="1">
      <c r="B310" s="51" t="s">
        <v>260</v>
      </c>
      <c r="C310" s="41">
        <f>C35</f>
        <v>3000</v>
      </c>
      <c r="D310" s="52" t="s">
        <v>98</v>
      </c>
      <c r="F310" s="41"/>
      <c r="G310" s="41"/>
      <c r="H310" s="41"/>
      <c r="L310" s="79"/>
      <c r="M310" s="41"/>
      <c r="O310" s="41"/>
      <c r="P310" s="41"/>
      <c r="Q310" s="41"/>
      <c r="R310" s="41"/>
    </row>
    <row r="311" spans="1:18" s="72" customFormat="1">
      <c r="B311" s="140" t="s">
        <v>261</v>
      </c>
      <c r="C311" s="141">
        <f>C36</f>
        <v>300000</v>
      </c>
      <c r="D311" s="52" t="s">
        <v>98</v>
      </c>
      <c r="E311" s="41"/>
      <c r="F311" s="41"/>
      <c r="G311" s="41"/>
      <c r="H311" s="41"/>
      <c r="I311" s="77"/>
      <c r="J311" s="77"/>
      <c r="K311" s="79"/>
      <c r="L311" s="79"/>
      <c r="M311" s="41"/>
      <c r="N311" s="41"/>
      <c r="O311" s="41"/>
      <c r="R311" s="41"/>
    </row>
    <row r="312" spans="1:18" s="72" customFormat="1">
      <c r="B312" s="140"/>
      <c r="C312" s="88"/>
      <c r="D312" s="89"/>
      <c r="E312" s="41"/>
      <c r="F312" s="41"/>
      <c r="G312" s="41"/>
      <c r="H312" s="41"/>
      <c r="I312" s="77"/>
      <c r="J312" s="77"/>
      <c r="K312" s="79"/>
      <c r="L312" s="41"/>
      <c r="M312" s="41"/>
      <c r="N312" s="41"/>
      <c r="O312" s="41"/>
      <c r="R312" s="41"/>
    </row>
    <row r="313" spans="1:18" s="72" customFormat="1">
      <c r="B313" s="51" t="s">
        <v>202</v>
      </c>
      <c r="C313" s="41">
        <f>C314/E313</f>
        <v>2.138222620231481E-6</v>
      </c>
      <c r="D313" s="52" t="s">
        <v>128</v>
      </c>
      <c r="E313" s="124">
        <f>SUM(K318:K348)</f>
        <v>9694.4232960000008</v>
      </c>
      <c r="F313" s="41" t="s">
        <v>203</v>
      </c>
      <c r="G313" s="41"/>
      <c r="H313" s="41"/>
      <c r="I313" s="41"/>
      <c r="J313" s="41"/>
      <c r="K313" s="41"/>
      <c r="N313" s="41"/>
      <c r="R313" s="41"/>
    </row>
    <row r="314" spans="1:18" s="72" customFormat="1">
      <c r="B314" s="60" t="s">
        <v>245</v>
      </c>
      <c r="C314" s="42">
        <f>SUM(J318:J349)</f>
        <v>2.0728835181606231E-2</v>
      </c>
      <c r="D314" s="61" t="s">
        <v>128</v>
      </c>
      <c r="E314" s="102">
        <f>C314/$K$15</f>
        <v>0.32700441147907855</v>
      </c>
      <c r="F314" s="41" t="s">
        <v>191</v>
      </c>
      <c r="G314" s="41"/>
      <c r="H314" s="41"/>
    </row>
    <row r="315" spans="1:18" s="72" customFormat="1">
      <c r="B315" s="43"/>
      <c r="C315" s="43"/>
      <c r="D315" s="43"/>
      <c r="E315" s="102"/>
      <c r="F315" s="41"/>
      <c r="G315" s="41"/>
      <c r="H315" s="41"/>
      <c r="M315" s="41"/>
    </row>
    <row r="316" spans="1:18" s="72" customFormat="1">
      <c r="B316" s="99" t="s">
        <v>262</v>
      </c>
      <c r="C316" s="47" t="s">
        <v>133</v>
      </c>
      <c r="D316" s="47" t="s">
        <v>58</v>
      </c>
      <c r="E316" s="47" t="s">
        <v>137</v>
      </c>
      <c r="F316" s="47" t="s">
        <v>241</v>
      </c>
      <c r="G316" s="99" t="s">
        <v>263</v>
      </c>
      <c r="H316" s="99" t="s">
        <v>264</v>
      </c>
      <c r="I316" s="62" t="s">
        <v>218</v>
      </c>
      <c r="J316" s="62" t="s">
        <v>207</v>
      </c>
      <c r="K316" s="62" t="s">
        <v>208</v>
      </c>
      <c r="L316" s="41"/>
      <c r="M316" s="41"/>
      <c r="N316" s="41"/>
      <c r="O316" s="41"/>
    </row>
    <row r="317" spans="1:18" s="72" customFormat="1">
      <c r="B317" s="64" t="b">
        <f>IF(ISNUMBER(SEARCH("BLE",$C$2)), TRUE, FALSE)</f>
        <v>1</v>
      </c>
      <c r="C317" s="105">
        <f>$C$17</f>
        <v>0.4</v>
      </c>
      <c r="D317" s="105">
        <f>$C$15</f>
        <v>0.38</v>
      </c>
      <c r="E317" s="105">
        <f>$C$19</f>
        <v>0.3</v>
      </c>
      <c r="F317" s="105">
        <f>IF($C$11,$C$21,0%)</f>
        <v>0.03</v>
      </c>
      <c r="G317" s="66"/>
      <c r="H317" s="66"/>
      <c r="I317" s="75"/>
      <c r="J317" s="75"/>
      <c r="K317" s="75"/>
      <c r="L317" s="41"/>
      <c r="M317" s="41"/>
      <c r="N317" s="41"/>
      <c r="O317" s="41"/>
    </row>
    <row r="318" spans="1:18" s="72" customFormat="1">
      <c r="B318" s="69" t="b">
        <v>0</v>
      </c>
      <c r="C318" s="69" t="b">
        <v>0</v>
      </c>
      <c r="D318" s="69" t="b">
        <v>0</v>
      </c>
      <c r="E318" s="69" t="b">
        <v>0</v>
      </c>
      <c r="F318" s="69" t="b">
        <v>0</v>
      </c>
      <c r="G318" s="69" t="b">
        <f>AND(IF(B318,TRUE,FALSE),IF(C318,AND(IF(E318,FALSE,TRUE),IF(F318,FALSE,TRUE)),TRUE))</f>
        <v>0</v>
      </c>
      <c r="H318" s="69" t="b">
        <f>AND($B$317,G318)</f>
        <v>0</v>
      </c>
      <c r="I318" s="68">
        <f>$C$311</f>
        <v>300000</v>
      </c>
      <c r="J318" s="68" t="b">
        <f t="shared" ref="J318:J349" si="23">IF(H318,IF(C318,$C$317,1-$C$317)*IF(D318,$D$317,1-$D$317)*IF(E318,$E$317,1-$E$317)*IF(F318,$F$317,1-$F$317)*$C$308*$C$309/I318, FALSE)</f>
        <v>0</v>
      </c>
      <c r="K318" s="103" t="b">
        <f t="shared" ref="K318:K349" si="24">IF(H318,IF(C318,$C$317,1-$C$317)*IF(D318,$D$317,1-$D$317)*IF(E318,$E$317,1-$E$317)*IF(F318,$F$317,1-$F$317)*1000*24*60*60/I318, FALSE)</f>
        <v>0</v>
      </c>
      <c r="L318" s="41"/>
      <c r="N318" s="41"/>
      <c r="O318" s="41"/>
    </row>
    <row r="319" spans="1:18" s="72" customFormat="1">
      <c r="A319" s="41"/>
      <c r="B319" s="69" t="b">
        <v>0</v>
      </c>
      <c r="C319" s="69" t="b">
        <v>0</v>
      </c>
      <c r="D319" s="69" t="b">
        <v>0</v>
      </c>
      <c r="E319" s="69" t="b">
        <v>0</v>
      </c>
      <c r="F319" s="70" t="b">
        <v>1</v>
      </c>
      <c r="G319" s="69" t="b">
        <f t="shared" ref="G319:G349" si="25">AND(IF(B319,TRUE,FALSE),IF(C319,AND(IF(E319,FALSE,TRUE),IF(F319,FALSE,TRUE)),TRUE))</f>
        <v>0</v>
      </c>
      <c r="H319" s="69" t="b">
        <f t="shared" ref="H319:H349" si="26">AND($B$317,G319)</f>
        <v>0</v>
      </c>
      <c r="I319" s="68">
        <f>$C$311</f>
        <v>300000</v>
      </c>
      <c r="J319" s="68" t="b">
        <f t="shared" si="23"/>
        <v>0</v>
      </c>
      <c r="K319" s="103" t="b">
        <f t="shared" si="24"/>
        <v>0</v>
      </c>
      <c r="L319" s="41"/>
      <c r="M319" s="41"/>
      <c r="O319" s="41"/>
    </row>
    <row r="320" spans="1:18">
      <c r="B320" s="69" t="b">
        <v>0</v>
      </c>
      <c r="C320" s="69" t="b">
        <v>0</v>
      </c>
      <c r="D320" s="69" t="b">
        <v>0</v>
      </c>
      <c r="E320" s="70" t="b">
        <v>1</v>
      </c>
      <c r="F320" s="69" t="b">
        <v>0</v>
      </c>
      <c r="G320" s="69" t="b">
        <f t="shared" si="25"/>
        <v>0</v>
      </c>
      <c r="H320" s="69" t="b">
        <f t="shared" si="26"/>
        <v>0</v>
      </c>
      <c r="I320" s="68">
        <f>$C$311</f>
        <v>300000</v>
      </c>
      <c r="J320" s="68" t="b">
        <f t="shared" si="23"/>
        <v>0</v>
      </c>
      <c r="K320" s="103" t="b">
        <f t="shared" si="24"/>
        <v>0</v>
      </c>
    </row>
    <row r="321" spans="1:15">
      <c r="B321" s="69" t="b">
        <v>0</v>
      </c>
      <c r="C321" s="69" t="b">
        <v>0</v>
      </c>
      <c r="D321" s="69" t="b">
        <v>0</v>
      </c>
      <c r="E321" s="70" t="b">
        <v>1</v>
      </c>
      <c r="F321" s="70" t="b">
        <v>1</v>
      </c>
      <c r="G321" s="69" t="b">
        <f t="shared" si="25"/>
        <v>0</v>
      </c>
      <c r="H321" s="69" t="b">
        <f t="shared" si="26"/>
        <v>0</v>
      </c>
      <c r="I321" s="68">
        <f>$C$311</f>
        <v>300000</v>
      </c>
      <c r="J321" s="68" t="b">
        <f t="shared" si="23"/>
        <v>0</v>
      </c>
      <c r="K321" s="103" t="b">
        <f t="shared" si="24"/>
        <v>0</v>
      </c>
    </row>
    <row r="322" spans="1:15">
      <c r="B322" s="69" t="b">
        <v>0</v>
      </c>
      <c r="C322" s="69" t="b">
        <v>0</v>
      </c>
      <c r="D322" s="70" t="b">
        <v>1</v>
      </c>
      <c r="E322" s="69" t="b">
        <v>0</v>
      </c>
      <c r="F322" s="69" t="b">
        <v>0</v>
      </c>
      <c r="G322" s="69" t="b">
        <f t="shared" si="25"/>
        <v>0</v>
      </c>
      <c r="H322" s="69" t="b">
        <f t="shared" si="26"/>
        <v>0</v>
      </c>
      <c r="I322" s="68">
        <f>$C$310</f>
        <v>3000</v>
      </c>
      <c r="J322" s="68" t="b">
        <f t="shared" si="23"/>
        <v>0</v>
      </c>
      <c r="K322" s="103" t="b">
        <f t="shared" si="24"/>
        <v>0</v>
      </c>
    </row>
    <row r="323" spans="1:15">
      <c r="A323" s="72"/>
      <c r="B323" s="69" t="b">
        <v>0</v>
      </c>
      <c r="C323" s="69" t="b">
        <v>0</v>
      </c>
      <c r="D323" s="70" t="b">
        <v>1</v>
      </c>
      <c r="E323" s="69" t="b">
        <v>0</v>
      </c>
      <c r="F323" s="70" t="b">
        <v>1</v>
      </c>
      <c r="G323" s="69" t="b">
        <f t="shared" si="25"/>
        <v>0</v>
      </c>
      <c r="H323" s="69" t="b">
        <f t="shared" si="26"/>
        <v>0</v>
      </c>
      <c r="I323" s="68">
        <f>$C$310</f>
        <v>3000</v>
      </c>
      <c r="J323" s="68" t="b">
        <f t="shared" si="23"/>
        <v>0</v>
      </c>
      <c r="K323" s="103" t="b">
        <f t="shared" si="24"/>
        <v>0</v>
      </c>
    </row>
    <row r="324" spans="1:15" s="72" customFormat="1">
      <c r="B324" s="69" t="b">
        <v>0</v>
      </c>
      <c r="C324" s="69" t="b">
        <v>0</v>
      </c>
      <c r="D324" s="70" t="b">
        <v>1</v>
      </c>
      <c r="E324" s="70" t="b">
        <v>1</v>
      </c>
      <c r="F324" s="69" t="b">
        <v>0</v>
      </c>
      <c r="G324" s="69" t="b">
        <f t="shared" si="25"/>
        <v>0</v>
      </c>
      <c r="H324" s="69" t="b">
        <f t="shared" si="26"/>
        <v>0</v>
      </c>
      <c r="I324" s="68">
        <f>$C$310</f>
        <v>3000</v>
      </c>
      <c r="J324" s="68" t="b">
        <f t="shared" si="23"/>
        <v>0</v>
      </c>
      <c r="K324" s="103" t="b">
        <f t="shared" si="24"/>
        <v>0</v>
      </c>
      <c r="L324" s="41"/>
      <c r="M324" s="41"/>
      <c r="N324" s="41"/>
      <c r="O324" s="41"/>
    </row>
    <row r="325" spans="1:15" s="72" customFormat="1">
      <c r="B325" s="69" t="b">
        <v>0</v>
      </c>
      <c r="C325" s="69" t="b">
        <v>0</v>
      </c>
      <c r="D325" s="70" t="b">
        <v>1</v>
      </c>
      <c r="E325" s="70" t="b">
        <v>1</v>
      </c>
      <c r="F325" s="70" t="b">
        <v>1</v>
      </c>
      <c r="G325" s="69" t="b">
        <f t="shared" si="25"/>
        <v>0</v>
      </c>
      <c r="H325" s="69" t="b">
        <f t="shared" si="26"/>
        <v>0</v>
      </c>
      <c r="I325" s="68">
        <f>$C$310</f>
        <v>3000</v>
      </c>
      <c r="J325" s="68" t="b">
        <f t="shared" si="23"/>
        <v>0</v>
      </c>
      <c r="K325" s="103" t="b">
        <f t="shared" si="24"/>
        <v>0</v>
      </c>
      <c r="L325" s="41"/>
      <c r="M325" s="41"/>
      <c r="N325" s="41"/>
      <c r="O325" s="41"/>
    </row>
    <row r="326" spans="1:15">
      <c r="B326" s="69" t="b">
        <v>0</v>
      </c>
      <c r="C326" s="70" t="b">
        <v>1</v>
      </c>
      <c r="D326" s="69" t="b">
        <v>0</v>
      </c>
      <c r="E326" s="69" t="b">
        <v>0</v>
      </c>
      <c r="F326" s="69" t="b">
        <v>0</v>
      </c>
      <c r="G326" s="69" t="b">
        <f t="shared" si="25"/>
        <v>0</v>
      </c>
      <c r="H326" s="69" t="b">
        <f t="shared" si="26"/>
        <v>0</v>
      </c>
      <c r="I326" s="68">
        <f>$C$311</f>
        <v>300000</v>
      </c>
      <c r="J326" s="68" t="b">
        <f t="shared" si="23"/>
        <v>0</v>
      </c>
      <c r="K326" s="103" t="b">
        <f t="shared" si="24"/>
        <v>0</v>
      </c>
    </row>
    <row r="327" spans="1:15">
      <c r="A327" s="72"/>
      <c r="B327" s="69" t="b">
        <v>0</v>
      </c>
      <c r="C327" s="70" t="b">
        <v>1</v>
      </c>
      <c r="D327" s="69" t="b">
        <v>0</v>
      </c>
      <c r="E327" s="69" t="b">
        <v>0</v>
      </c>
      <c r="F327" s="70" t="b">
        <v>1</v>
      </c>
      <c r="G327" s="69" t="b">
        <f t="shared" si="25"/>
        <v>0</v>
      </c>
      <c r="H327" s="69" t="b">
        <f t="shared" si="26"/>
        <v>0</v>
      </c>
      <c r="I327" s="68">
        <f>$C$311</f>
        <v>300000</v>
      </c>
      <c r="J327" s="68" t="b">
        <f t="shared" si="23"/>
        <v>0</v>
      </c>
      <c r="K327" s="103" t="b">
        <f t="shared" si="24"/>
        <v>0</v>
      </c>
    </row>
    <row r="328" spans="1:15" s="72" customFormat="1">
      <c r="B328" s="69" t="b">
        <v>0</v>
      </c>
      <c r="C328" s="70" t="b">
        <v>1</v>
      </c>
      <c r="D328" s="69" t="b">
        <v>0</v>
      </c>
      <c r="E328" s="70" t="b">
        <v>1</v>
      </c>
      <c r="F328" s="69" t="b">
        <v>0</v>
      </c>
      <c r="G328" s="69" t="b">
        <f t="shared" si="25"/>
        <v>0</v>
      </c>
      <c r="H328" s="69" t="b">
        <f t="shared" si="26"/>
        <v>0</v>
      </c>
      <c r="I328" s="68">
        <f>$C$311</f>
        <v>300000</v>
      </c>
      <c r="J328" s="68" t="b">
        <f t="shared" si="23"/>
        <v>0</v>
      </c>
      <c r="K328" s="103" t="b">
        <f t="shared" si="24"/>
        <v>0</v>
      </c>
      <c r="L328" s="41"/>
      <c r="M328" s="41"/>
      <c r="N328" s="41"/>
      <c r="O328" s="41"/>
    </row>
    <row r="329" spans="1:15" s="72" customFormat="1">
      <c r="B329" s="69" t="b">
        <v>0</v>
      </c>
      <c r="C329" s="70" t="b">
        <v>1</v>
      </c>
      <c r="D329" s="69" t="b">
        <v>0</v>
      </c>
      <c r="E329" s="70" t="b">
        <v>1</v>
      </c>
      <c r="F329" s="70" t="b">
        <v>1</v>
      </c>
      <c r="G329" s="69" t="b">
        <f t="shared" si="25"/>
        <v>0</v>
      </c>
      <c r="H329" s="69" t="b">
        <f t="shared" si="26"/>
        <v>0</v>
      </c>
      <c r="I329" s="68">
        <f>$C$311</f>
        <v>300000</v>
      </c>
      <c r="J329" s="68" t="b">
        <f t="shared" si="23"/>
        <v>0</v>
      </c>
      <c r="K329" s="103" t="b">
        <f t="shared" si="24"/>
        <v>0</v>
      </c>
      <c r="L329" s="41"/>
      <c r="M329" s="41"/>
      <c r="N329" s="41"/>
      <c r="O329" s="41"/>
    </row>
    <row r="330" spans="1:15">
      <c r="B330" s="69" t="b">
        <v>0</v>
      </c>
      <c r="C330" s="70" t="b">
        <v>1</v>
      </c>
      <c r="D330" s="70" t="b">
        <v>1</v>
      </c>
      <c r="E330" s="69" t="b">
        <v>0</v>
      </c>
      <c r="F330" s="69" t="b">
        <v>0</v>
      </c>
      <c r="G330" s="69" t="b">
        <f t="shared" si="25"/>
        <v>0</v>
      </c>
      <c r="H330" s="69" t="b">
        <f t="shared" si="26"/>
        <v>0</v>
      </c>
      <c r="I330" s="68">
        <f>$C$310</f>
        <v>3000</v>
      </c>
      <c r="J330" s="68" t="b">
        <f t="shared" si="23"/>
        <v>0</v>
      </c>
      <c r="K330" s="103" t="b">
        <f t="shared" si="24"/>
        <v>0</v>
      </c>
    </row>
    <row r="331" spans="1:15">
      <c r="A331" s="72"/>
      <c r="B331" s="69" t="b">
        <v>0</v>
      </c>
      <c r="C331" s="70" t="b">
        <v>1</v>
      </c>
      <c r="D331" s="70" t="b">
        <v>1</v>
      </c>
      <c r="E331" s="69" t="b">
        <v>0</v>
      </c>
      <c r="F331" s="70" t="b">
        <v>1</v>
      </c>
      <c r="G331" s="69" t="b">
        <f t="shared" si="25"/>
        <v>0</v>
      </c>
      <c r="H331" s="69" t="b">
        <f>AND($B$317,G331)</f>
        <v>0</v>
      </c>
      <c r="I331" s="68">
        <f>$C$310</f>
        <v>3000</v>
      </c>
      <c r="J331" s="68" t="b">
        <f t="shared" si="23"/>
        <v>0</v>
      </c>
      <c r="K331" s="103" t="b">
        <f t="shared" si="24"/>
        <v>0</v>
      </c>
    </row>
    <row r="332" spans="1:15" s="72" customFormat="1">
      <c r="A332" s="41"/>
      <c r="B332" s="69" t="b">
        <v>0</v>
      </c>
      <c r="C332" s="70" t="b">
        <v>1</v>
      </c>
      <c r="D332" s="70" t="b">
        <v>1</v>
      </c>
      <c r="E332" s="70" t="b">
        <v>1</v>
      </c>
      <c r="F332" s="69" t="b">
        <v>0</v>
      </c>
      <c r="G332" s="69" t="b">
        <f t="shared" si="25"/>
        <v>0</v>
      </c>
      <c r="H332" s="69" t="b">
        <f t="shared" si="26"/>
        <v>0</v>
      </c>
      <c r="I332" s="68">
        <f>$C$310</f>
        <v>3000</v>
      </c>
      <c r="J332" s="68" t="b">
        <f t="shared" si="23"/>
        <v>0</v>
      </c>
      <c r="K332" s="103" t="b">
        <f t="shared" si="24"/>
        <v>0</v>
      </c>
      <c r="L332" s="41"/>
      <c r="M332" s="41"/>
      <c r="N332" s="41"/>
      <c r="O332" s="41"/>
    </row>
    <row r="333" spans="1:15">
      <c r="B333" s="69" t="b">
        <v>0</v>
      </c>
      <c r="C333" s="70" t="b">
        <v>1</v>
      </c>
      <c r="D333" s="70" t="b">
        <v>1</v>
      </c>
      <c r="E333" s="70" t="b">
        <v>1</v>
      </c>
      <c r="F333" s="70" t="b">
        <v>1</v>
      </c>
      <c r="G333" s="69" t="b">
        <f t="shared" si="25"/>
        <v>0</v>
      </c>
      <c r="H333" s="69" t="b">
        <f t="shared" si="26"/>
        <v>0</v>
      </c>
      <c r="I333" s="68">
        <f>$C$310</f>
        <v>3000</v>
      </c>
      <c r="J333" s="68" t="b">
        <f t="shared" si="23"/>
        <v>0</v>
      </c>
      <c r="K333" s="103" t="b">
        <f t="shared" si="24"/>
        <v>0</v>
      </c>
      <c r="M333" s="124"/>
    </row>
    <row r="334" spans="1:15">
      <c r="B334" s="70" t="b">
        <v>1</v>
      </c>
      <c r="C334" s="69" t="b">
        <v>0</v>
      </c>
      <c r="D334" s="69" t="b">
        <v>0</v>
      </c>
      <c r="E334" s="69" t="b">
        <v>0</v>
      </c>
      <c r="F334" s="69" t="b">
        <v>0</v>
      </c>
      <c r="G334" s="69" t="b">
        <f t="shared" si="25"/>
        <v>1</v>
      </c>
      <c r="H334" s="69" t="b">
        <f t="shared" si="26"/>
        <v>1</v>
      </c>
      <c r="I334" s="68">
        <f>$C$311</f>
        <v>300000</v>
      </c>
      <c r="J334" s="68">
        <f t="shared" si="23"/>
        <v>1.5554574005732048E-4</v>
      </c>
      <c r="K334" s="103">
        <f t="shared" si="24"/>
        <v>72.745344000000003</v>
      </c>
      <c r="M334" s="124"/>
    </row>
    <row r="335" spans="1:15">
      <c r="B335" s="70" t="b">
        <v>1</v>
      </c>
      <c r="C335" s="69" t="b">
        <v>0</v>
      </c>
      <c r="D335" s="69" t="b">
        <v>0</v>
      </c>
      <c r="E335" s="69" t="b">
        <v>0</v>
      </c>
      <c r="F335" s="70" t="b">
        <v>1</v>
      </c>
      <c r="G335" s="69" t="b">
        <f t="shared" si="25"/>
        <v>1</v>
      </c>
      <c r="H335" s="69" t="b">
        <f>AND($B$317,G335)</f>
        <v>1</v>
      </c>
      <c r="I335" s="68">
        <f>$C$311</f>
        <v>300000</v>
      </c>
      <c r="J335" s="68">
        <f t="shared" si="23"/>
        <v>4.8106929914635193E-6</v>
      </c>
      <c r="K335" s="103">
        <f t="shared" si="24"/>
        <v>2.2498559999999999</v>
      </c>
      <c r="M335" s="124"/>
    </row>
    <row r="336" spans="1:15">
      <c r="B336" s="70" t="b">
        <v>1</v>
      </c>
      <c r="C336" s="69" t="b">
        <v>0</v>
      </c>
      <c r="D336" s="69" t="b">
        <v>0</v>
      </c>
      <c r="E336" s="70" t="b">
        <v>1</v>
      </c>
      <c r="F336" s="69" t="b">
        <v>0</v>
      </c>
      <c r="G336" s="69" t="b">
        <f t="shared" si="25"/>
        <v>1</v>
      </c>
      <c r="H336" s="69" t="b">
        <f t="shared" si="26"/>
        <v>1</v>
      </c>
      <c r="I336" s="68">
        <f>$C$311</f>
        <v>300000</v>
      </c>
      <c r="J336" s="68">
        <f t="shared" si="23"/>
        <v>6.6662460024565919E-5</v>
      </c>
      <c r="K336" s="103">
        <f t="shared" si="24"/>
        <v>31.176575999999997</v>
      </c>
    </row>
    <row r="337" spans="2:14">
      <c r="B337" s="70" t="b">
        <v>1</v>
      </c>
      <c r="C337" s="69" t="b">
        <v>0</v>
      </c>
      <c r="D337" s="69" t="b">
        <v>0</v>
      </c>
      <c r="E337" s="70" t="b">
        <v>1</v>
      </c>
      <c r="F337" s="70" t="b">
        <v>1</v>
      </c>
      <c r="G337" s="69" t="b">
        <f t="shared" si="25"/>
        <v>1</v>
      </c>
      <c r="H337" s="69" t="b">
        <f t="shared" si="26"/>
        <v>1</v>
      </c>
      <c r="I337" s="68">
        <f>$C$311</f>
        <v>300000</v>
      </c>
      <c r="J337" s="68">
        <f t="shared" si="23"/>
        <v>2.0617255677700798E-6</v>
      </c>
      <c r="K337" s="103">
        <f t="shared" si="24"/>
        <v>0.96422399999999986</v>
      </c>
    </row>
    <row r="338" spans="2:14">
      <c r="B338" s="70" t="b">
        <v>1</v>
      </c>
      <c r="C338" s="69" t="b">
        <v>0</v>
      </c>
      <c r="D338" s="70" t="b">
        <v>1</v>
      </c>
      <c r="E338" s="69" t="b">
        <v>0</v>
      </c>
      <c r="F338" s="69" t="b">
        <v>0</v>
      </c>
      <c r="G338" s="69" t="b">
        <f t="shared" si="25"/>
        <v>1</v>
      </c>
      <c r="H338" s="69" t="b">
        <f t="shared" si="26"/>
        <v>1</v>
      </c>
      <c r="I338" s="68">
        <f>$C$310</f>
        <v>3000</v>
      </c>
      <c r="J338" s="68">
        <f t="shared" si="23"/>
        <v>9.5334485841583484E-3</v>
      </c>
      <c r="K338" s="103">
        <f t="shared" si="24"/>
        <v>4458.5855999999994</v>
      </c>
    </row>
    <row r="339" spans="2:14">
      <c r="B339" s="70" t="b">
        <v>1</v>
      </c>
      <c r="C339" s="69" t="b">
        <v>0</v>
      </c>
      <c r="D339" s="70" t="b">
        <v>1</v>
      </c>
      <c r="E339" s="69" t="b">
        <v>0</v>
      </c>
      <c r="F339" s="70" t="b">
        <v>1</v>
      </c>
      <c r="G339" s="69" t="b">
        <f t="shared" si="25"/>
        <v>1</v>
      </c>
      <c r="H339" s="69" t="b">
        <f t="shared" si="26"/>
        <v>1</v>
      </c>
      <c r="I339" s="68">
        <f>$C$310</f>
        <v>3000</v>
      </c>
      <c r="J339" s="68">
        <f t="shared" si="23"/>
        <v>2.9484892528324792E-4</v>
      </c>
      <c r="K339" s="103">
        <f t="shared" si="24"/>
        <v>137.89439999999993</v>
      </c>
    </row>
    <row r="340" spans="2:14">
      <c r="B340" s="70" t="b">
        <v>1</v>
      </c>
      <c r="C340" s="69" t="b">
        <v>0</v>
      </c>
      <c r="D340" s="70" t="b">
        <v>1</v>
      </c>
      <c r="E340" s="70" t="b">
        <v>1</v>
      </c>
      <c r="F340" s="69" t="b">
        <v>0</v>
      </c>
      <c r="G340" s="69" t="b">
        <f t="shared" si="25"/>
        <v>1</v>
      </c>
      <c r="H340" s="69" t="b">
        <f t="shared" si="26"/>
        <v>1</v>
      </c>
      <c r="I340" s="68">
        <f>$C$310</f>
        <v>3000</v>
      </c>
      <c r="J340" s="68">
        <f t="shared" si="23"/>
        <v>4.0857636789250074E-3</v>
      </c>
      <c r="K340" s="103">
        <f t="shared" si="24"/>
        <v>1910.8223999999998</v>
      </c>
    </row>
    <row r="341" spans="2:14">
      <c r="B341" s="70" t="b">
        <v>1</v>
      </c>
      <c r="C341" s="69" t="b">
        <v>0</v>
      </c>
      <c r="D341" s="70" t="b">
        <v>1</v>
      </c>
      <c r="E341" s="70" t="b">
        <v>1</v>
      </c>
      <c r="F341" s="70" t="b">
        <v>1</v>
      </c>
      <c r="G341" s="69" t="b">
        <f t="shared" si="25"/>
        <v>1</v>
      </c>
      <c r="H341" s="69" t="b">
        <f t="shared" si="26"/>
        <v>1</v>
      </c>
      <c r="I341" s="68">
        <f>$C$310</f>
        <v>3000</v>
      </c>
      <c r="J341" s="68">
        <f t="shared" si="23"/>
        <v>1.2636382512139197E-4</v>
      </c>
      <c r="K341" s="103">
        <f t="shared" si="24"/>
        <v>59.097599999999986</v>
      </c>
    </row>
    <row r="342" spans="2:14">
      <c r="B342" s="70" t="b">
        <v>1</v>
      </c>
      <c r="C342" s="70" t="b">
        <v>1</v>
      </c>
      <c r="D342" s="69" t="b">
        <v>0</v>
      </c>
      <c r="E342" s="69" t="b">
        <v>0</v>
      </c>
      <c r="F342" s="69" t="b">
        <v>0</v>
      </c>
      <c r="G342" s="69" t="b">
        <f t="shared" si="25"/>
        <v>1</v>
      </c>
      <c r="H342" s="69" t="b">
        <f t="shared" si="26"/>
        <v>1</v>
      </c>
      <c r="I342" s="68">
        <f>$C$311</f>
        <v>300000</v>
      </c>
      <c r="J342" s="68">
        <f t="shared" si="23"/>
        <v>1.0369716003821366E-4</v>
      </c>
      <c r="K342" s="103">
        <f t="shared" si="24"/>
        <v>48.496896</v>
      </c>
    </row>
    <row r="343" spans="2:14">
      <c r="B343" s="70" t="b">
        <v>1</v>
      </c>
      <c r="C343" s="70" t="b">
        <v>1</v>
      </c>
      <c r="D343" s="69" t="b">
        <v>0</v>
      </c>
      <c r="E343" s="69" t="b">
        <v>0</v>
      </c>
      <c r="F343" s="70" t="b">
        <v>1</v>
      </c>
      <c r="G343" s="69" t="b">
        <f t="shared" si="25"/>
        <v>0</v>
      </c>
      <c r="H343" s="69" t="b">
        <f t="shared" si="26"/>
        <v>0</v>
      </c>
      <c r="I343" s="68">
        <f>$C$311</f>
        <v>300000</v>
      </c>
      <c r="J343" s="68" t="b">
        <f t="shared" si="23"/>
        <v>0</v>
      </c>
      <c r="K343" s="103" t="b">
        <f t="shared" si="24"/>
        <v>0</v>
      </c>
    </row>
    <row r="344" spans="2:14">
      <c r="B344" s="70" t="b">
        <v>1</v>
      </c>
      <c r="C344" s="70" t="b">
        <v>1</v>
      </c>
      <c r="D344" s="69" t="b">
        <v>0</v>
      </c>
      <c r="E344" s="70" t="b">
        <v>1</v>
      </c>
      <c r="F344" s="69" t="b">
        <v>0</v>
      </c>
      <c r="G344" s="69" t="b">
        <f t="shared" si="25"/>
        <v>0</v>
      </c>
      <c r="H344" s="69" t="b">
        <f t="shared" si="26"/>
        <v>0</v>
      </c>
      <c r="I344" s="68">
        <f>$C$311</f>
        <v>300000</v>
      </c>
      <c r="J344" s="68" t="b">
        <f t="shared" si="23"/>
        <v>0</v>
      </c>
      <c r="K344" s="103" t="b">
        <f t="shared" si="24"/>
        <v>0</v>
      </c>
    </row>
    <row r="345" spans="2:14">
      <c r="B345" s="70" t="b">
        <v>1</v>
      </c>
      <c r="C345" s="70" t="b">
        <v>1</v>
      </c>
      <c r="D345" s="69" t="b">
        <v>0</v>
      </c>
      <c r="E345" s="70" t="b">
        <v>1</v>
      </c>
      <c r="F345" s="70" t="b">
        <v>1</v>
      </c>
      <c r="G345" s="69" t="b">
        <f t="shared" si="25"/>
        <v>0</v>
      </c>
      <c r="H345" s="69" t="b">
        <f t="shared" si="26"/>
        <v>0</v>
      </c>
      <c r="I345" s="68">
        <f>$C$311</f>
        <v>300000</v>
      </c>
      <c r="J345" s="68" t="b">
        <f t="shared" si="23"/>
        <v>0</v>
      </c>
      <c r="K345" s="103" t="b">
        <f t="shared" si="24"/>
        <v>0</v>
      </c>
    </row>
    <row r="346" spans="2:14">
      <c r="B346" s="70" t="b">
        <v>1</v>
      </c>
      <c r="C346" s="70" t="b">
        <v>1</v>
      </c>
      <c r="D346" s="70" t="b">
        <v>1</v>
      </c>
      <c r="E346" s="69" t="b">
        <v>0</v>
      </c>
      <c r="F346" s="69" t="b">
        <v>0</v>
      </c>
      <c r="G346" s="69" t="b">
        <f t="shared" si="25"/>
        <v>1</v>
      </c>
      <c r="H346" s="69" t="b">
        <f t="shared" si="26"/>
        <v>1</v>
      </c>
      <c r="I346" s="68">
        <f>$C$310</f>
        <v>3000</v>
      </c>
      <c r="J346" s="68">
        <f t="shared" si="23"/>
        <v>6.3556323894389021E-3</v>
      </c>
      <c r="K346" s="103">
        <f t="shared" si="24"/>
        <v>2972.3904000000002</v>
      </c>
    </row>
    <row r="347" spans="2:14">
      <c r="B347" s="70" t="b">
        <v>1</v>
      </c>
      <c r="C347" s="70" t="b">
        <v>1</v>
      </c>
      <c r="D347" s="70" t="b">
        <v>1</v>
      </c>
      <c r="E347" s="69" t="b">
        <v>0</v>
      </c>
      <c r="F347" s="70" t="b">
        <v>1</v>
      </c>
      <c r="G347" s="69" t="b">
        <f t="shared" si="25"/>
        <v>0</v>
      </c>
      <c r="H347" s="69" t="b">
        <f t="shared" si="26"/>
        <v>0</v>
      </c>
      <c r="I347" s="68">
        <f>$C$310</f>
        <v>3000</v>
      </c>
      <c r="J347" s="68" t="b">
        <f t="shared" si="23"/>
        <v>0</v>
      </c>
      <c r="K347" s="103" t="b">
        <f t="shared" si="24"/>
        <v>0</v>
      </c>
    </row>
    <row r="348" spans="2:14">
      <c r="B348" s="70" t="b">
        <v>1</v>
      </c>
      <c r="C348" s="70" t="b">
        <v>1</v>
      </c>
      <c r="D348" s="70" t="b">
        <v>1</v>
      </c>
      <c r="E348" s="70" t="b">
        <v>1</v>
      </c>
      <c r="F348" s="69" t="b">
        <v>0</v>
      </c>
      <c r="G348" s="69" t="b">
        <f t="shared" si="25"/>
        <v>0</v>
      </c>
      <c r="H348" s="69" t="b">
        <f t="shared" si="26"/>
        <v>0</v>
      </c>
      <c r="I348" s="68">
        <f>$C$310</f>
        <v>3000</v>
      </c>
      <c r="J348" s="68" t="b">
        <f t="shared" si="23"/>
        <v>0</v>
      </c>
      <c r="K348" s="103" t="b">
        <f t="shared" si="24"/>
        <v>0</v>
      </c>
      <c r="L348" s="118"/>
    </row>
    <row r="349" spans="2:14">
      <c r="B349" s="70" t="b">
        <v>1</v>
      </c>
      <c r="C349" s="70" t="b">
        <v>1</v>
      </c>
      <c r="D349" s="70" t="b">
        <v>1</v>
      </c>
      <c r="E349" s="70" t="b">
        <v>1</v>
      </c>
      <c r="F349" s="70" t="b">
        <v>1</v>
      </c>
      <c r="G349" s="69" t="b">
        <f t="shared" si="25"/>
        <v>0</v>
      </c>
      <c r="H349" s="69" t="b">
        <f t="shared" si="26"/>
        <v>0</v>
      </c>
      <c r="I349" s="68">
        <f>$C$310</f>
        <v>3000</v>
      </c>
      <c r="J349" s="68" t="b">
        <f t="shared" si="23"/>
        <v>0</v>
      </c>
      <c r="K349" s="103" t="b">
        <f t="shared" si="24"/>
        <v>0</v>
      </c>
      <c r="L349" s="81"/>
      <c r="M349" s="81"/>
    </row>
    <row r="350" spans="2:14">
      <c r="B350" s="80"/>
      <c r="C350" s="80"/>
      <c r="D350" s="80"/>
      <c r="E350" s="80"/>
      <c r="F350" s="80"/>
      <c r="G350" s="117"/>
      <c r="H350" s="80"/>
      <c r="I350" s="81"/>
      <c r="J350" s="80"/>
      <c r="K350" s="81"/>
      <c r="L350" s="81"/>
      <c r="M350" s="81"/>
      <c r="N350" s="118"/>
    </row>
    <row r="351" spans="2:14">
      <c r="B351" s="80"/>
      <c r="C351" s="80"/>
      <c r="D351" s="80"/>
      <c r="E351" s="80"/>
      <c r="F351" s="80"/>
      <c r="G351" s="117"/>
      <c r="H351" s="80"/>
      <c r="I351" s="81"/>
      <c r="J351" s="80"/>
      <c r="K351" s="81"/>
      <c r="L351" s="81"/>
      <c r="M351" s="81"/>
      <c r="N351" s="118"/>
    </row>
    <row r="352" spans="2:14">
      <c r="B352" s="80"/>
      <c r="C352" s="80"/>
      <c r="D352" s="80"/>
      <c r="E352" s="80"/>
      <c r="F352" s="80"/>
      <c r="G352" s="117"/>
      <c r="H352" s="80"/>
      <c r="I352" s="81"/>
      <c r="J352" s="80"/>
      <c r="K352" s="81"/>
      <c r="L352" s="81"/>
      <c r="M352" s="81"/>
      <c r="N352" s="118"/>
    </row>
    <row r="353" spans="2:14" ht="18">
      <c r="B353" s="154" t="s">
        <v>265</v>
      </c>
      <c r="C353" s="392"/>
      <c r="D353" s="393"/>
      <c r="E353" s="80"/>
      <c r="F353" s="80"/>
      <c r="G353" s="117"/>
      <c r="H353" s="80"/>
      <c r="I353" s="81"/>
      <c r="J353" s="80"/>
      <c r="K353" s="81"/>
      <c r="L353" s="81"/>
      <c r="M353" s="81"/>
      <c r="N353" s="118"/>
    </row>
    <row r="354" spans="2:14">
      <c r="B354" s="51" t="s">
        <v>198</v>
      </c>
      <c r="C354" s="41">
        <f>'Current Consumption'!N2257-C67</f>
        <v>0.85733360000000003</v>
      </c>
      <c r="D354" s="52" t="s">
        <v>128</v>
      </c>
      <c r="G354" s="117"/>
      <c r="H354" s="80"/>
      <c r="I354" s="81"/>
      <c r="J354" s="80"/>
      <c r="K354" s="81"/>
      <c r="L354" s="81"/>
      <c r="M354" s="81"/>
      <c r="N354" s="118"/>
    </row>
    <row r="355" spans="2:14">
      <c r="B355" s="51" t="s">
        <v>266</v>
      </c>
      <c r="C355" s="41">
        <f>C41</f>
        <v>180000</v>
      </c>
      <c r="D355" s="52" t="s">
        <v>98</v>
      </c>
      <c r="G355" s="117"/>
      <c r="H355" s="80"/>
      <c r="I355" s="81"/>
      <c r="J355" s="80"/>
      <c r="K355" s="81"/>
      <c r="L355" s="81"/>
      <c r="M355" s="81"/>
      <c r="N355" s="118"/>
    </row>
    <row r="356" spans="2:14">
      <c r="B356" s="51" t="s">
        <v>206</v>
      </c>
      <c r="C356" s="41">
        <f>(24*60*60*1000)/(C40/365.25)</f>
        <v>1577880000</v>
      </c>
      <c r="D356" s="52" t="s">
        <v>98</v>
      </c>
      <c r="G356" s="117"/>
      <c r="H356" s="80"/>
      <c r="I356" s="81"/>
      <c r="J356" s="80"/>
      <c r="K356" s="81"/>
      <c r="L356" s="81"/>
      <c r="M356" s="81"/>
      <c r="N356" s="118"/>
    </row>
    <row r="357" spans="2:14">
      <c r="B357" s="87"/>
      <c r="C357" s="88"/>
      <c r="D357" s="89"/>
      <c r="G357" s="117"/>
      <c r="H357" s="80"/>
      <c r="I357" s="81"/>
      <c r="J357" s="80"/>
      <c r="K357" s="81"/>
      <c r="L357" s="81"/>
      <c r="M357" s="81"/>
      <c r="N357" s="118"/>
    </row>
    <row r="358" spans="2:14">
      <c r="B358" s="51" t="s">
        <v>202</v>
      </c>
      <c r="C358" s="41">
        <f>C359/E358</f>
        <v>1.7861116666666669E-3</v>
      </c>
      <c r="D358" s="52" t="s">
        <v>128</v>
      </c>
      <c r="E358" s="41">
        <f>IF($C$40&gt;0,(24*60*60*1000/C356),0)</f>
        <v>5.4757015742642023E-2</v>
      </c>
      <c r="F358" s="41" t="s">
        <v>203</v>
      </c>
      <c r="G358" s="117"/>
      <c r="H358" s="80"/>
      <c r="I358" s="81"/>
      <c r="J358" s="80"/>
      <c r="K358" s="81"/>
      <c r="L358" s="81"/>
      <c r="M358" s="81"/>
      <c r="N358" s="118"/>
    </row>
    <row r="359" spans="2:14">
      <c r="B359" s="60" t="s">
        <v>245</v>
      </c>
      <c r="C359" s="42">
        <f>IF($C$40&gt;0,C354*C355/C356,0)</f>
        <v>9.7802144649783264E-5</v>
      </c>
      <c r="D359" s="61" t="s">
        <v>128</v>
      </c>
      <c r="E359" s="102">
        <f>C359/$K$15</f>
        <v>1.5428620311947455E-3</v>
      </c>
      <c r="F359" s="41" t="s">
        <v>191</v>
      </c>
      <c r="G359" s="117"/>
      <c r="H359" s="80"/>
      <c r="I359" s="81"/>
      <c r="J359" s="80"/>
      <c r="K359" s="81"/>
      <c r="L359" s="81"/>
      <c r="M359" s="81"/>
      <c r="N359" s="118"/>
    </row>
    <row r="360" spans="2:14">
      <c r="G360" s="117"/>
      <c r="H360" s="80"/>
      <c r="I360" s="81"/>
      <c r="J360" s="80"/>
      <c r="K360" s="81"/>
      <c r="L360" s="81"/>
      <c r="M360" s="81"/>
      <c r="N360" s="118"/>
    </row>
    <row r="361" spans="2:14">
      <c r="G361" s="117"/>
      <c r="H361" s="80"/>
      <c r="I361" s="81"/>
      <c r="J361" s="80"/>
      <c r="K361" s="81"/>
      <c r="L361" s="81"/>
      <c r="M361" s="81"/>
      <c r="N361" s="118"/>
    </row>
    <row r="362" spans="2:14">
      <c r="G362" s="117"/>
      <c r="H362" s="80"/>
      <c r="I362" s="81"/>
      <c r="J362" s="80"/>
      <c r="K362" s="81"/>
      <c r="L362" s="81"/>
      <c r="M362" s="81"/>
      <c r="N362" s="118"/>
    </row>
    <row r="363" spans="2:14" ht="18">
      <c r="B363" s="90" t="s">
        <v>267</v>
      </c>
      <c r="C363" s="390"/>
      <c r="D363" s="391"/>
      <c r="E363" s="119" t="s">
        <v>268</v>
      </c>
      <c r="F363" s="120"/>
      <c r="G363" s="117"/>
      <c r="H363" s="80"/>
      <c r="I363" s="81"/>
      <c r="J363" s="80"/>
      <c r="K363" s="81"/>
      <c r="N363" s="118"/>
    </row>
    <row r="364" spans="2:14">
      <c r="B364" s="51" t="s">
        <v>198</v>
      </c>
      <c r="C364" s="41">
        <f>'Current Consumption'!N2346-$C$67</f>
        <v>4.9623336</v>
      </c>
      <c r="D364" s="52" t="s">
        <v>128</v>
      </c>
    </row>
    <row r="365" spans="2:14">
      <c r="B365" s="51" t="s">
        <v>199</v>
      </c>
      <c r="C365" s="41">
        <f>'Current Consumption'!N2347</f>
        <v>65.779899999999998</v>
      </c>
      <c r="D365" s="52" t="s">
        <v>98</v>
      </c>
    </row>
    <row r="366" spans="2:14">
      <c r="B366" s="51" t="s">
        <v>206</v>
      </c>
      <c r="C366" s="41">
        <f>1*60*60*1000</f>
        <v>3600000</v>
      </c>
      <c r="D366" s="52" t="s">
        <v>98</v>
      </c>
    </row>
    <row r="367" spans="2:14">
      <c r="B367" s="87"/>
      <c r="C367" s="88"/>
      <c r="D367" s="89"/>
    </row>
    <row r="368" spans="2:14">
      <c r="B368" s="51" t="s">
        <v>202</v>
      </c>
      <c r="C368" s="41">
        <f>C369/E368</f>
        <v>3.7780301848916668E-6</v>
      </c>
      <c r="D368" s="52" t="s">
        <v>128</v>
      </c>
      <c r="E368" s="41">
        <f>24*60*60*1000/C366</f>
        <v>24</v>
      </c>
      <c r="F368" s="41" t="s">
        <v>203</v>
      </c>
    </row>
    <row r="369" spans="2:8">
      <c r="B369" s="60" t="s">
        <v>196</v>
      </c>
      <c r="C369" s="42">
        <f>C364*C365/C366</f>
        <v>9.0672724437400003E-5</v>
      </c>
      <c r="D369" s="61" t="s">
        <v>128</v>
      </c>
      <c r="E369" s="102">
        <f>C369/$K$15</f>
        <v>1.4303930072330823E-3</v>
      </c>
      <c r="F369" s="41" t="s">
        <v>191</v>
      </c>
    </row>
    <row r="370" spans="2:8">
      <c r="B370" s="43"/>
      <c r="C370" s="43"/>
      <c r="D370" s="43"/>
      <c r="E370" s="102"/>
    </row>
    <row r="371" spans="2:8">
      <c r="B371" s="120"/>
      <c r="C371" s="120"/>
      <c r="D371" s="120"/>
      <c r="E371" s="120"/>
      <c r="F371" s="120"/>
    </row>
    <row r="372" spans="2:8">
      <c r="B372" s="120"/>
      <c r="C372" s="120"/>
      <c r="D372" s="120"/>
      <c r="E372" s="120"/>
      <c r="F372" s="120"/>
    </row>
    <row r="373" spans="2:8" ht="18">
      <c r="B373" s="90" t="s">
        <v>269</v>
      </c>
      <c r="C373" s="390"/>
      <c r="D373" s="391"/>
      <c r="E373" s="119" t="s">
        <v>270</v>
      </c>
      <c r="F373" s="120"/>
    </row>
    <row r="374" spans="2:8">
      <c r="B374" s="51" t="s">
        <v>198</v>
      </c>
      <c r="C374" s="41">
        <f>'Current Consumption'!N2386-C67</f>
        <v>3.4589335999999999</v>
      </c>
      <c r="D374" s="52" t="s">
        <v>128</v>
      </c>
    </row>
    <row r="375" spans="2:8">
      <c r="B375" s="51" t="s">
        <v>199</v>
      </c>
      <c r="C375" s="41">
        <f>'Current Consumption'!N2387</f>
        <v>3.32233</v>
      </c>
      <c r="D375" s="52" t="s">
        <v>98</v>
      </c>
    </row>
    <row r="376" spans="2:8">
      <c r="B376" s="51" t="s">
        <v>206</v>
      </c>
      <c r="C376" s="41">
        <f>60*1000</f>
        <v>60000</v>
      </c>
      <c r="D376" s="52" t="s">
        <v>98</v>
      </c>
    </row>
    <row r="377" spans="2:8">
      <c r="B377" s="87"/>
      <c r="C377" s="88"/>
      <c r="D377" s="89"/>
    </row>
    <row r="378" spans="2:8">
      <c r="B378" s="51" t="s">
        <v>202</v>
      </c>
      <c r="C378" s="41">
        <f>C379/E378</f>
        <v>1.3300600540842593E-7</v>
      </c>
      <c r="D378" s="52" t="s">
        <v>128</v>
      </c>
      <c r="E378" s="41">
        <f>24*60*60*1000/C376</f>
        <v>1440</v>
      </c>
      <c r="F378" s="41" t="s">
        <v>203</v>
      </c>
    </row>
    <row r="379" spans="2:8">
      <c r="B379" s="60" t="s">
        <v>196</v>
      </c>
      <c r="C379" s="42">
        <f>C374*C375/C376</f>
        <v>1.9152864778813333E-4</v>
      </c>
      <c r="D379" s="61" t="s">
        <v>128</v>
      </c>
      <c r="E379" s="102">
        <f>C379/$K$15</f>
        <v>3.0214294340531848E-3</v>
      </c>
      <c r="F379" s="41" t="s">
        <v>191</v>
      </c>
    </row>
    <row r="380" spans="2:8">
      <c r="B380" s="43"/>
      <c r="C380" s="43"/>
      <c r="D380" s="43"/>
      <c r="E380" s="102"/>
    </row>
    <row r="383" spans="2:8" ht="18">
      <c r="B383" s="137" t="s">
        <v>271</v>
      </c>
      <c r="C383" s="374"/>
      <c r="D383" s="375"/>
    </row>
    <row r="384" spans="2:8">
      <c r="B384" s="51" t="s">
        <v>198</v>
      </c>
      <c r="C384" s="41">
        <f>'Current Consumption'!N2300-$C$67</f>
        <v>0.23243360000000002</v>
      </c>
      <c r="D384" s="52" t="s">
        <v>128</v>
      </c>
      <c r="H384" s="164"/>
    </row>
    <row r="385" spans="2:8">
      <c r="B385" s="51" t="s">
        <v>199</v>
      </c>
      <c r="C385" s="41">
        <f>'Current Consumption'!N2301</f>
        <v>999.81</v>
      </c>
      <c r="D385" s="52" t="s">
        <v>98</v>
      </c>
    </row>
    <row r="386" spans="2:8">
      <c r="B386" s="51" t="s">
        <v>206</v>
      </c>
      <c r="C386" s="41">
        <f>$G$42</f>
        <v>43200000</v>
      </c>
      <c r="D386" s="52" t="s">
        <v>98</v>
      </c>
      <c r="H386" s="164"/>
    </row>
    <row r="387" spans="2:8">
      <c r="B387" s="51"/>
      <c r="D387" s="52"/>
    </row>
    <row r="388" spans="2:8">
      <c r="B388" s="51" t="s">
        <v>202</v>
      </c>
      <c r="C388" s="41">
        <f>C389/E388</f>
        <v>2.6896925650000003E-6</v>
      </c>
      <c r="D388" s="52" t="s">
        <v>128</v>
      </c>
      <c r="E388" s="124">
        <f>24*60*60*1000/C386</f>
        <v>2</v>
      </c>
      <c r="F388" s="41" t="s">
        <v>203</v>
      </c>
    </row>
    <row r="389" spans="2:8">
      <c r="B389" s="60" t="s">
        <v>196</v>
      </c>
      <c r="C389" s="42">
        <f>IF(ISNUMBER(SEARCH("BLE",C2)),C384*C385/C386,0)</f>
        <v>5.3793851300000006E-6</v>
      </c>
      <c r="D389" s="61" t="s">
        <v>128</v>
      </c>
      <c r="E389" s="168">
        <f>C389/$K$15</f>
        <v>8.4861626480386217E-5</v>
      </c>
      <c r="F389" s="41" t="s">
        <v>191</v>
      </c>
    </row>
    <row r="390" spans="2:8">
      <c r="B390" s="43"/>
      <c r="C390" s="43"/>
      <c r="D390" s="43"/>
      <c r="E390" s="168"/>
    </row>
    <row r="393" spans="2:8" ht="18">
      <c r="B393" s="137" t="s">
        <v>272</v>
      </c>
      <c r="C393" s="374"/>
      <c r="D393" s="375"/>
    </row>
    <row r="394" spans="2:8">
      <c r="B394" s="51" t="s">
        <v>198</v>
      </c>
      <c r="C394" s="41">
        <f>'Current Consumption'!B2461-$C$67</f>
        <v>4.7652836000000001</v>
      </c>
      <c r="D394" s="52" t="s">
        <v>128</v>
      </c>
    </row>
    <row r="395" spans="2:8">
      <c r="B395" s="51" t="s">
        <v>199</v>
      </c>
      <c r="C395" s="41">
        <f>'Current Consumption'!B2462</f>
        <v>20911.400000000001</v>
      </c>
      <c r="D395" s="52" t="s">
        <v>98</v>
      </c>
    </row>
    <row r="396" spans="2:8">
      <c r="B396" s="51" t="s">
        <v>206</v>
      </c>
      <c r="C396" s="41">
        <f>(24*60*60*1000)/($C$44/365.25)</f>
        <v>6311520000</v>
      </c>
      <c r="D396" s="52" t="s">
        <v>98</v>
      </c>
    </row>
    <row r="397" spans="2:8">
      <c r="B397" s="51"/>
      <c r="D397" s="52"/>
    </row>
    <row r="398" spans="2:8">
      <c r="B398" s="51" t="s">
        <v>202</v>
      </c>
      <c r="C398" s="41">
        <f>C399/E398</f>
        <v>1.1533420309379633E-3</v>
      </c>
      <c r="D398" s="52" t="s">
        <v>128</v>
      </c>
      <c r="E398" s="234">
        <f>24*60*60*1000/C396</f>
        <v>1.3689253935660506E-2</v>
      </c>
      <c r="F398" s="41" t="s">
        <v>203</v>
      </c>
    </row>
    <row r="399" spans="2:8">
      <c r="B399" s="60" t="s">
        <v>196</v>
      </c>
      <c r="C399" s="42">
        <f>IF($C$44&gt;0, (C394*C395/C396), 0)</f>
        <v>1.5788391936180195E-5</v>
      </c>
      <c r="D399" s="61" t="s">
        <v>128</v>
      </c>
      <c r="E399" s="102">
        <f>C399/$K$15</f>
        <v>2.4906724222849335E-4</v>
      </c>
      <c r="F399" s="41" t="s">
        <v>191</v>
      </c>
    </row>
    <row r="400" spans="2:8">
      <c r="B400" s="43"/>
      <c r="C400" s="43"/>
      <c r="D400" s="43"/>
      <c r="E400" s="102"/>
    </row>
    <row r="403" spans="2:6" ht="18">
      <c r="B403" s="137" t="s">
        <v>273</v>
      </c>
      <c r="C403" s="374"/>
      <c r="D403" s="375"/>
    </row>
    <row r="404" spans="2:6">
      <c r="B404" s="51" t="s">
        <v>198</v>
      </c>
      <c r="C404" s="41">
        <f>'Current Consumption'!N2294-$C$67</f>
        <v>0.25553359999999997</v>
      </c>
      <c r="D404" s="52" t="s">
        <v>128</v>
      </c>
    </row>
    <row r="405" spans="2:6">
      <c r="B405" s="51" t="s">
        <v>199</v>
      </c>
      <c r="C405" s="41">
        <f>$C$38</f>
        <v>60000</v>
      </c>
      <c r="D405" s="52" t="s">
        <v>98</v>
      </c>
    </row>
    <row r="406" spans="2:6">
      <c r="B406" s="51" t="s">
        <v>206</v>
      </c>
      <c r="C406" s="41">
        <f>$G$43</f>
        <v>631152000</v>
      </c>
      <c r="D406" s="52" t="s">
        <v>98</v>
      </c>
    </row>
    <row r="407" spans="2:6">
      <c r="B407" s="51"/>
      <c r="D407" s="52"/>
    </row>
    <row r="408" spans="2:6">
      <c r="B408" s="51" t="s">
        <v>202</v>
      </c>
      <c r="C408" s="41">
        <f>C409/E408</f>
        <v>1.7745388888888887E-4</v>
      </c>
      <c r="D408" s="52" t="s">
        <v>128</v>
      </c>
      <c r="E408" s="234">
        <f>24*60*60*1000/C406</f>
        <v>0.13689253935660506</v>
      </c>
      <c r="F408" s="41" t="s">
        <v>203</v>
      </c>
    </row>
    <row r="409" spans="2:6">
      <c r="B409" s="60" t="s">
        <v>196</v>
      </c>
      <c r="C409" s="42">
        <f>IF(ISNUMBER(SEARCH("BLE",C2)),C404*C405/C406,0)</f>
        <v>2.4292113468704841E-5</v>
      </c>
      <c r="D409" s="61" t="s">
        <v>128</v>
      </c>
      <c r="E409" s="151">
        <f>C409/$K$15</f>
        <v>3.8321633602768075E-4</v>
      </c>
      <c r="F409" s="41" t="s">
        <v>191</v>
      </c>
    </row>
    <row r="410" spans="2:6">
      <c r="B410" s="43"/>
      <c r="C410" s="43"/>
      <c r="D410" s="43"/>
      <c r="E410" s="151"/>
    </row>
    <row r="413" spans="2:6" ht="18">
      <c r="B413" s="137" t="s">
        <v>274</v>
      </c>
      <c r="C413" s="374"/>
      <c r="D413" s="375"/>
    </row>
    <row r="414" spans="2:6">
      <c r="B414" s="51" t="s">
        <v>198</v>
      </c>
      <c r="C414" s="41">
        <f>'Current Consumption'!N2037-$C$67</f>
        <v>0.1912336</v>
      </c>
      <c r="D414" s="52" t="s">
        <v>128</v>
      </c>
    </row>
    <row r="415" spans="2:6">
      <c r="B415" s="51" t="s">
        <v>199</v>
      </c>
      <c r="C415" s="41">
        <f>'Current Consumption'!N2038</f>
        <v>59901</v>
      </c>
      <c r="D415" s="52" t="s">
        <v>98</v>
      </c>
    </row>
    <row r="416" spans="2:6">
      <c r="B416" s="51" t="s">
        <v>206</v>
      </c>
      <c r="C416" s="41">
        <f>C39*1000</f>
        <v>21600000</v>
      </c>
      <c r="D416" s="52" t="s">
        <v>98</v>
      </c>
    </row>
    <row r="417" spans="2:6">
      <c r="B417" s="51"/>
      <c r="D417" s="52"/>
    </row>
    <row r="418" spans="2:6">
      <c r="B418" s="51" t="s">
        <v>202</v>
      </c>
      <c r="C418" s="41">
        <f>C419/E418</f>
        <v>1.3258198927777778E-4</v>
      </c>
      <c r="D418" s="52" t="s">
        <v>128</v>
      </c>
      <c r="E418" s="124">
        <f>24*60*60*1000/C416</f>
        <v>4</v>
      </c>
      <c r="F418" s="41" t="s">
        <v>203</v>
      </c>
    </row>
    <row r="419" spans="2:6">
      <c r="B419" s="60" t="s">
        <v>196</v>
      </c>
      <c r="C419" s="42">
        <f>IF(ISNUMBER(SEARCH("BLE",C2)),C414*C415/C416,0)</f>
        <v>5.303279571111111E-4</v>
      </c>
      <c r="D419" s="61" t="s">
        <v>128</v>
      </c>
      <c r="E419" s="151">
        <f>C419/$K$15</f>
        <v>8.3661035454565755E-3</v>
      </c>
      <c r="F419" s="41" t="s">
        <v>191</v>
      </c>
    </row>
    <row r="420" spans="2:6">
      <c r="B420" s="43"/>
      <c r="C420" s="43"/>
      <c r="D420" s="43"/>
      <c r="E420" s="151"/>
    </row>
    <row r="423" spans="2:6" ht="18">
      <c r="B423" s="137" t="s">
        <v>275</v>
      </c>
      <c r="C423" s="374"/>
      <c r="D423" s="375"/>
    </row>
    <row r="424" spans="2:6">
      <c r="B424" s="51" t="s">
        <v>198</v>
      </c>
      <c r="C424" s="41">
        <f>'Current Consumption'!E717-$C$67</f>
        <v>3.1401402666666667</v>
      </c>
      <c r="D424" s="52" t="s">
        <v>128</v>
      </c>
    </row>
    <row r="425" spans="2:6">
      <c r="B425" s="51" t="s">
        <v>199</v>
      </c>
      <c r="C425" s="41">
        <f>'Current Consumption'!E718</f>
        <v>0.91957199999999994</v>
      </c>
      <c r="D425" s="52" t="s">
        <v>98</v>
      </c>
    </row>
    <row r="426" spans="2:6">
      <c r="B426" s="51" t="s">
        <v>206</v>
      </c>
      <c r="C426" s="41">
        <f>$C$16</f>
        <v>1000</v>
      </c>
      <c r="D426" s="52" t="s">
        <v>98</v>
      </c>
    </row>
    <row r="427" spans="2:6">
      <c r="B427" s="51"/>
      <c r="D427" s="52"/>
    </row>
    <row r="428" spans="2:6">
      <c r="B428" s="51" t="s">
        <v>202</v>
      </c>
      <c r="C428" s="41">
        <f>C429/E428</f>
        <v>3.3421123440962958E-8</v>
      </c>
      <c r="D428" s="52" t="s">
        <v>128</v>
      </c>
      <c r="E428" s="124">
        <f>24*60*60*1000/C426*$C$15</f>
        <v>32832</v>
      </c>
      <c r="F428" s="41" t="s">
        <v>203</v>
      </c>
    </row>
    <row r="429" spans="2:6">
      <c r="B429" s="60" t="s">
        <v>196</v>
      </c>
      <c r="C429" s="42">
        <f>$C$15*C424*C425/C426</f>
        <v>1.0972823248136959E-3</v>
      </c>
      <c r="D429" s="61" t="s">
        <v>128</v>
      </c>
      <c r="E429" s="151">
        <f>C429/K15</f>
        <v>1.7310001150980924E-2</v>
      </c>
      <c r="F429" s="41" t="s">
        <v>191</v>
      </c>
    </row>
  </sheetData>
  <sortState xmlns:xlrd2="http://schemas.microsoft.com/office/spreadsheetml/2017/richdata2" ref="J28:K39">
    <sortCondition descending="1" ref="K28:K39"/>
  </sortState>
  <mergeCells count="37">
    <mergeCell ref="C393:D393"/>
    <mergeCell ref="B55:D55"/>
    <mergeCell ref="B209:D209"/>
    <mergeCell ref="B95:D95"/>
    <mergeCell ref="B123:D123"/>
    <mergeCell ref="B156:D156"/>
    <mergeCell ref="B199:D199"/>
    <mergeCell ref="B58:D58"/>
    <mergeCell ref="B243:D243"/>
    <mergeCell ref="M27:N27"/>
    <mergeCell ref="C363:D363"/>
    <mergeCell ref="C353:D353"/>
    <mergeCell ref="C383:D383"/>
    <mergeCell ref="C373:D373"/>
    <mergeCell ref="E304:E305"/>
    <mergeCell ref="E294:E295"/>
    <mergeCell ref="E296:E297"/>
    <mergeCell ref="E298:E299"/>
    <mergeCell ref="E300:E301"/>
    <mergeCell ref="E302:E303"/>
    <mergeCell ref="E306:E307"/>
    <mergeCell ref="C423:D423"/>
    <mergeCell ref="B1:H1"/>
    <mergeCell ref="J27:K27"/>
    <mergeCell ref="B48:H48"/>
    <mergeCell ref="J3:L3"/>
    <mergeCell ref="B30:H30"/>
    <mergeCell ref="B166:D166"/>
    <mergeCell ref="B99:D99"/>
    <mergeCell ref="B66:D66"/>
    <mergeCell ref="B74:D74"/>
    <mergeCell ref="B61:D61"/>
    <mergeCell ref="B117:D117"/>
    <mergeCell ref="B69:D69"/>
    <mergeCell ref="C413:D413"/>
    <mergeCell ref="C403:D403"/>
    <mergeCell ref="J19:J20"/>
  </mergeCells>
  <phoneticPr fontId="47" type="noConversion"/>
  <conditionalFormatting sqref="A1:N3 A4:E4 G4:N4 A5:N11 A12:E12 G12:N12 A13:N31 I32:N38 B32:H157 A32:A1048576 L39:N122 J39:K172 I39:I295 L123:M125 N123:N126 L126:L151 L152:M1048576 N153:N169 G158:H160 B158:F161 B162:H242 J173 J174:K179 K180 J180:J195 K182:K188 K190:K195 N196:N219 J196:K1048576 N240:N1048576 B243 E243:H243 B244:H296 B297:F301 G298:H301 I298:I1048576 B302:H304 B305:D307 F305:H307 B308:H308 B309:D309 F309:H309 B310:H1048576">
    <cfRule type="cellIs" dxfId="330" priority="1" operator="equal">
      <formula>TRUE</formula>
    </cfRule>
    <cfRule type="cellIs" dxfId="329" priority="2" operator="equal">
      <formula>FALSE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100-000000000000}">
          <x14:formula1>
            <xm:f>Lists!$B$34:$B$35</xm:f>
          </x14:formula1>
          <xm:sqref>C14 C11 C3:C4</xm:sqref>
        </x14:dataValidation>
        <x14:dataValidation type="list" allowBlank="1" showInputMessage="1" showErrorMessage="1" xr:uid="{00000000-0002-0000-0100-000001000000}">
          <x14:formula1>
            <xm:f>Lists!$A$2:$A$5</xm:f>
          </x14:formula1>
          <xm:sqref>C9</xm:sqref>
        </x14:dataValidation>
        <x14:dataValidation type="list" allowBlank="1" showInputMessage="1" showErrorMessage="1" xr:uid="{00000000-0002-0000-0100-000004000000}">
          <x14:formula1>
            <xm:f>Lists!$A$106:$A$126</xm:f>
          </x14:formula1>
          <xm:sqref>C8 C32</xm:sqref>
        </x14:dataValidation>
        <x14:dataValidation type="list" allowBlank="1" showInputMessage="1" showErrorMessage="1" xr:uid="{00000000-0002-0000-0100-000007000000}">
          <x14:formula1>
            <xm:f>Lists!$A$20:$A$22</xm:f>
          </x14:formula1>
          <xm:sqref>C7</xm:sqref>
        </x14:dataValidation>
        <x14:dataValidation type="list" allowBlank="1" showInputMessage="1" showErrorMessage="1" xr:uid="{00000000-0002-0000-0100-000009000000}">
          <x14:formula1>
            <xm:f>Lists!$A$48:$A$56</xm:f>
          </x14:formula1>
          <xm:sqref>K4</xm:sqref>
        </x14:dataValidation>
        <x14:dataValidation type="list" allowBlank="1" showInputMessage="1" showErrorMessage="1" xr:uid="{00000000-0002-0000-0100-00000A000000}">
          <x14:formula1>
            <xm:f>Lists!$A$38:$A$45</xm:f>
          </x14:formula1>
          <xm:sqref>C10</xm:sqref>
        </x14:dataValidation>
        <x14:dataValidation type="list" allowBlank="1" showInputMessage="1" showErrorMessage="1" xr:uid="{9126E2F5-371A-4BBA-8D7E-91E4C742EC13}">
          <x14:formula1>
            <xm:f>Lists!$A$88:$A$93</xm:f>
          </x14:formula1>
          <xm:sqref>C35</xm:sqref>
        </x14:dataValidation>
        <x14:dataValidation type="list" allowBlank="1" showInputMessage="1" showErrorMessage="1" xr:uid="{64782133-0F19-4B7B-8256-2F5BCF71C168}">
          <x14:formula1>
            <xm:f>Lists!$B$88:$B$93</xm:f>
          </x14:formula1>
          <xm:sqref>C36</xm:sqref>
        </x14:dataValidation>
        <x14:dataValidation type="list" allowBlank="1" showInputMessage="1" showErrorMessage="1" xr:uid="{8F245A44-5DBF-4BB7-B4DC-120B12681C30}">
          <x14:formula1>
            <xm:f>Lists!$A$96:$A$99</xm:f>
          </x14:formula1>
          <xm:sqref>C38</xm:sqref>
        </x14:dataValidation>
        <x14:dataValidation type="list" allowBlank="1" showInputMessage="1" showErrorMessage="1" xr:uid="{00000000-0002-0000-0100-000008000000}">
          <x14:formula1>
            <xm:f>Lists!$A$67:$A$69</xm:f>
          </x14:formula1>
          <xm:sqref>C2</xm:sqref>
        </x14:dataValidation>
        <x14:dataValidation type="list" allowBlank="1" showInputMessage="1" showErrorMessage="1" xr:uid="{9C4FB51F-4D78-45AB-9EDB-5933E53A1F30}">
          <x14:formula1>
            <xm:f>Lists!$B$96:$B$99</xm:f>
          </x14:formula1>
          <xm:sqref>C37</xm:sqref>
        </x14:dataValidation>
        <x14:dataValidation type="list" allowBlank="1" showInputMessage="1" showErrorMessage="1" xr:uid="{044BB3DE-20D8-4BB0-B106-55E4EAB9B2C5}">
          <x14:formula1>
            <xm:f>Lists!$A$129:$A$133</xm:f>
          </x14:formula1>
          <xm:sqref>C39</xm:sqref>
        </x14:dataValidation>
        <x14:dataValidation type="list" allowBlank="1" showInputMessage="1" showErrorMessage="1" xr:uid="{18576B18-E06A-4008-B620-56A495208745}">
          <x14:formula1>
            <xm:f>Lists!$A$102:$A$103</xm:f>
          </x14:formula1>
          <xm:sqref>C31 C39 C34</xm:sqref>
        </x14:dataValidation>
        <x14:dataValidation type="list" allowBlank="1" showInputMessage="1" showErrorMessage="1" xr:uid="{3AFCD9FB-12CF-4301-8214-3DCA682B4E2F}">
          <x14:formula1>
            <xm:f>Lists!$A$136:$A$140</xm:f>
          </x14:formula1>
          <xm:sqref>C33</xm:sqref>
        </x14:dataValidation>
        <x14:dataValidation type="list" allowBlank="1" showInputMessage="1" showErrorMessage="1" xr:uid="{00000000-0002-0000-0100-000003000000}">
          <x14:formula1>
            <xm:f>Lists!$A$14:$A$17</xm:f>
          </x14:formula1>
          <xm:sqref>C6</xm:sqref>
        </x14:dataValidation>
        <x14:dataValidation type="list" allowBlank="1" showInputMessage="1" showErrorMessage="1" xr:uid="{00000000-0002-0000-0100-000005000000}">
          <x14:formula1>
            <xm:f>Lists!#REF!</xm:f>
          </x14:formula1>
          <xm:sqref>C29</xm:sqref>
        </x14:dataValidation>
        <x14:dataValidation type="list" allowBlank="1" showInputMessage="1" showErrorMessage="1" xr:uid="{50A5666B-D6D8-4200-9FF2-79858D8816E4}">
          <x14:formula1>
            <xm:f>Lists!$A$8:$A$11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35B5-2ACF-4BA5-9D66-E7CC4628E855}">
  <sheetPr codeName="Sheet8"/>
  <dimension ref="A1:BN4248"/>
  <sheetViews>
    <sheetView topLeftCell="A2338" zoomScale="55" zoomScaleNormal="55" workbookViewId="0">
      <selection activeCell="H2344" sqref="H2344"/>
    </sheetView>
  </sheetViews>
  <sheetFormatPr defaultColWidth="8.7109375" defaultRowHeight="15.6"/>
  <cols>
    <col min="1" max="1" width="130.42578125" style="15" bestFit="1" customWidth="1"/>
    <col min="2" max="5" width="12.140625" style="15" customWidth="1"/>
    <col min="6" max="8" width="21.140625" style="15" customWidth="1"/>
    <col min="9" max="11" width="11.5703125" style="15" customWidth="1"/>
    <col min="12" max="12" width="22.5703125" style="15" customWidth="1"/>
    <col min="13" max="13" width="71.85546875" style="15" bestFit="1" customWidth="1"/>
    <col min="14" max="14" width="15.140625" style="21" customWidth="1"/>
    <col min="15" max="15" width="12.42578125" style="15" customWidth="1"/>
    <col min="16" max="16384" width="8.7109375" style="15"/>
  </cols>
  <sheetData>
    <row r="1" spans="1:16" ht="24.6">
      <c r="A1" s="197" t="s">
        <v>276</v>
      </c>
      <c r="L1" s="19"/>
      <c r="M1" s="19"/>
      <c r="N1" s="23"/>
      <c r="O1" s="19"/>
      <c r="P1" s="19"/>
    </row>
    <row r="2" spans="1:16" ht="16.149999999999999" thickBot="1">
      <c r="L2" s="19"/>
      <c r="M2" s="24" t="s">
        <v>277</v>
      </c>
      <c r="N2" s="25" t="s">
        <v>278</v>
      </c>
      <c r="O2" s="26" t="s">
        <v>279</v>
      </c>
      <c r="P2" s="19"/>
    </row>
    <row r="3" spans="1:16" ht="16.149999999999999" thickTop="1">
      <c r="A3" s="36"/>
      <c r="L3" s="19"/>
      <c r="M3" s="27" t="s">
        <v>196</v>
      </c>
      <c r="N3" s="29">
        <v>5.4999999999999997E-3</v>
      </c>
      <c r="O3" s="28" t="s">
        <v>128</v>
      </c>
      <c r="P3" s="19"/>
    </row>
    <row r="4" spans="1:16">
      <c r="L4" s="19"/>
      <c r="M4" s="19"/>
      <c r="N4" s="23"/>
      <c r="O4" s="19"/>
      <c r="P4" s="19"/>
    </row>
    <row r="5" spans="1:16">
      <c r="L5" s="19"/>
      <c r="M5" s="19"/>
      <c r="N5" s="23"/>
      <c r="O5" s="19"/>
      <c r="P5" s="19"/>
    </row>
    <row r="6" spans="1:16" ht="18" customHeight="1">
      <c r="A6" s="188" t="s">
        <v>280</v>
      </c>
      <c r="J6" s="400" t="s">
        <v>281</v>
      </c>
      <c r="K6" s="400"/>
      <c r="L6" s="19"/>
      <c r="M6" s="19"/>
      <c r="N6" s="23"/>
      <c r="O6" s="19"/>
      <c r="P6" s="19"/>
    </row>
    <row r="7" spans="1:16">
      <c r="L7" s="19"/>
      <c r="M7" s="19"/>
      <c r="N7" s="23"/>
      <c r="O7" s="19"/>
      <c r="P7" s="19"/>
    </row>
    <row r="8" spans="1:16" ht="15.6" customHeight="1">
      <c r="A8" s="398"/>
      <c r="B8" s="398"/>
      <c r="C8" s="398"/>
      <c r="D8" s="398"/>
      <c r="E8" s="398"/>
      <c r="F8" s="398"/>
      <c r="G8" s="398"/>
      <c r="H8" s="398"/>
      <c r="L8" s="19"/>
      <c r="M8" s="19"/>
      <c r="N8" s="23"/>
      <c r="O8" s="19"/>
      <c r="P8" s="19"/>
    </row>
    <row r="9" spans="1:16" ht="15.6" customHeight="1">
      <c r="A9" s="398"/>
      <c r="B9" s="398"/>
      <c r="C9" s="398"/>
      <c r="D9" s="398"/>
      <c r="E9" s="398"/>
      <c r="F9" s="398"/>
      <c r="G9" s="398"/>
      <c r="H9" s="398"/>
      <c r="L9" s="19"/>
      <c r="M9" s="19"/>
      <c r="N9" s="23"/>
      <c r="O9" s="19"/>
      <c r="P9" s="19"/>
    </row>
    <row r="10" spans="1:16" ht="15.6" customHeight="1">
      <c r="A10" s="398"/>
      <c r="B10" s="398"/>
      <c r="C10" s="398"/>
      <c r="D10" s="398"/>
      <c r="E10" s="398"/>
      <c r="F10" s="398"/>
      <c r="G10" s="398"/>
      <c r="H10" s="398"/>
      <c r="L10" s="19"/>
      <c r="M10" s="19"/>
      <c r="N10" s="23"/>
      <c r="O10" s="19"/>
      <c r="P10" s="19"/>
    </row>
    <row r="11" spans="1:16" ht="15.6" customHeight="1">
      <c r="A11" s="398"/>
      <c r="B11" s="398"/>
      <c r="C11" s="398"/>
      <c r="D11" s="398"/>
      <c r="E11" s="398"/>
      <c r="F11" s="398"/>
      <c r="G11" s="398"/>
      <c r="H11" s="398"/>
      <c r="L11" s="19"/>
      <c r="M11" s="19"/>
      <c r="N11" s="23"/>
      <c r="O11" s="19"/>
      <c r="P11" s="19"/>
    </row>
    <row r="12" spans="1:16" ht="15.6" customHeight="1">
      <c r="A12" s="398"/>
      <c r="B12" s="398"/>
      <c r="C12" s="398"/>
      <c r="D12" s="398"/>
      <c r="E12" s="398"/>
      <c r="F12" s="398"/>
      <c r="G12" s="398"/>
      <c r="H12" s="398"/>
      <c r="L12" s="19"/>
      <c r="M12" s="19"/>
      <c r="N12" s="23"/>
      <c r="O12" s="19"/>
      <c r="P12" s="19"/>
    </row>
    <row r="13" spans="1:16" ht="15.6" customHeight="1">
      <c r="A13" s="398"/>
      <c r="B13" s="398"/>
      <c r="C13" s="398"/>
      <c r="D13" s="398"/>
      <c r="E13" s="398"/>
      <c r="F13" s="398"/>
      <c r="G13" s="398"/>
      <c r="H13" s="398"/>
    </row>
    <row r="14" spans="1:16" ht="15.6" customHeight="1">
      <c r="A14" s="398"/>
      <c r="B14" s="398"/>
      <c r="C14" s="398"/>
      <c r="D14" s="398"/>
      <c r="E14" s="398"/>
      <c r="F14" s="398"/>
      <c r="G14" s="398"/>
      <c r="H14" s="398"/>
    </row>
    <row r="15" spans="1:16" ht="15.6" customHeight="1">
      <c r="A15" s="398"/>
      <c r="B15" s="398"/>
      <c r="C15" s="398"/>
      <c r="D15" s="398"/>
      <c r="E15" s="398"/>
      <c r="F15" s="398"/>
      <c r="G15" s="398"/>
      <c r="H15" s="398"/>
    </row>
    <row r="16" spans="1:16" ht="15.6" customHeight="1">
      <c r="A16" s="398"/>
      <c r="B16" s="398"/>
      <c r="C16" s="398"/>
      <c r="D16" s="398"/>
      <c r="E16" s="398"/>
      <c r="F16" s="398"/>
      <c r="G16" s="398"/>
      <c r="H16" s="398"/>
    </row>
    <row r="17" spans="1:8" ht="15.6" customHeight="1">
      <c r="A17" s="398"/>
      <c r="B17" s="398"/>
      <c r="C17" s="398"/>
      <c r="D17" s="398"/>
      <c r="E17" s="398"/>
      <c r="F17" s="398"/>
      <c r="G17" s="398"/>
      <c r="H17" s="398"/>
    </row>
    <row r="18" spans="1:8" ht="15.6" customHeight="1">
      <c r="A18" s="398"/>
      <c r="B18" s="398"/>
      <c r="C18" s="398"/>
      <c r="D18" s="398"/>
      <c r="E18" s="398"/>
      <c r="F18" s="398"/>
      <c r="G18" s="398"/>
      <c r="H18" s="398"/>
    </row>
    <row r="19" spans="1:8" ht="15.6" customHeight="1">
      <c r="A19" s="398"/>
      <c r="B19" s="398"/>
      <c r="C19" s="398"/>
      <c r="D19" s="398"/>
      <c r="E19" s="398"/>
      <c r="F19" s="398"/>
      <c r="G19" s="398"/>
      <c r="H19" s="398"/>
    </row>
    <row r="20" spans="1:8" ht="15.6" customHeight="1">
      <c r="A20" s="398"/>
      <c r="B20" s="398"/>
      <c r="C20" s="398"/>
      <c r="D20" s="398"/>
      <c r="E20" s="398"/>
      <c r="F20" s="398"/>
      <c r="G20" s="398"/>
      <c r="H20" s="398"/>
    </row>
    <row r="21" spans="1:8" ht="15.6" customHeight="1">
      <c r="A21" s="398"/>
      <c r="B21" s="398"/>
      <c r="C21" s="398"/>
      <c r="D21" s="398"/>
      <c r="E21" s="398"/>
      <c r="F21" s="398"/>
      <c r="G21" s="398"/>
      <c r="H21" s="398"/>
    </row>
    <row r="22" spans="1:8" ht="15.6" customHeight="1">
      <c r="A22" s="398"/>
      <c r="B22" s="398"/>
      <c r="C22" s="398"/>
      <c r="D22" s="398"/>
      <c r="E22" s="398"/>
      <c r="F22" s="398"/>
      <c r="G22" s="398"/>
      <c r="H22" s="398"/>
    </row>
    <row r="23" spans="1:8" ht="15.6" customHeight="1">
      <c r="A23" s="398"/>
      <c r="B23" s="398"/>
      <c r="C23" s="398"/>
      <c r="D23" s="398"/>
      <c r="E23" s="398"/>
      <c r="F23" s="398"/>
      <c r="G23" s="398"/>
      <c r="H23" s="398"/>
    </row>
    <row r="24" spans="1:8" ht="15.6" customHeight="1">
      <c r="A24" s="398"/>
      <c r="B24" s="398"/>
      <c r="C24" s="398"/>
      <c r="D24" s="398"/>
      <c r="E24" s="398"/>
      <c r="F24" s="398"/>
      <c r="G24" s="398"/>
      <c r="H24" s="398"/>
    </row>
    <row r="25" spans="1:8" ht="15.6" customHeight="1">
      <c r="A25" s="398"/>
      <c r="B25" s="398"/>
      <c r="C25" s="398"/>
      <c r="D25" s="398"/>
      <c r="E25" s="398"/>
      <c r="F25" s="398"/>
      <c r="G25" s="398"/>
      <c r="H25" s="398"/>
    </row>
    <row r="26" spans="1:8" ht="15.6" customHeight="1">
      <c r="A26" s="398"/>
      <c r="B26" s="398"/>
      <c r="C26" s="398"/>
      <c r="D26" s="398"/>
      <c r="E26" s="398"/>
      <c r="F26" s="398"/>
      <c r="G26" s="398"/>
      <c r="H26" s="398"/>
    </row>
    <row r="27" spans="1:8" ht="15.6" customHeight="1">
      <c r="A27" s="398"/>
      <c r="B27" s="398"/>
      <c r="C27" s="398"/>
      <c r="D27" s="398"/>
      <c r="E27" s="398"/>
      <c r="F27" s="398"/>
      <c r="G27" s="398"/>
      <c r="H27" s="398"/>
    </row>
    <row r="28" spans="1:8" ht="15.6" customHeight="1">
      <c r="A28" s="398"/>
      <c r="B28" s="398"/>
      <c r="C28" s="398"/>
      <c r="D28" s="398"/>
      <c r="E28" s="398"/>
      <c r="F28" s="398"/>
      <c r="G28" s="398"/>
      <c r="H28" s="398"/>
    </row>
    <row r="29" spans="1:8" ht="15.6" customHeight="1">
      <c r="A29" s="398"/>
      <c r="B29" s="398"/>
      <c r="C29" s="398"/>
      <c r="D29" s="398"/>
      <c r="E29" s="398"/>
      <c r="F29" s="398"/>
      <c r="G29" s="398"/>
      <c r="H29" s="398"/>
    </row>
    <row r="30" spans="1:8" ht="15.6" customHeight="1">
      <c r="A30" s="398"/>
      <c r="B30" s="398"/>
      <c r="C30" s="398"/>
      <c r="D30" s="398"/>
      <c r="E30" s="398"/>
      <c r="F30" s="398"/>
      <c r="G30" s="398"/>
      <c r="H30" s="398"/>
    </row>
    <row r="31" spans="1:8" ht="15.6" customHeight="1">
      <c r="A31" s="398"/>
      <c r="B31" s="398"/>
      <c r="C31" s="398"/>
      <c r="D31" s="398"/>
      <c r="E31" s="398"/>
      <c r="F31" s="398"/>
      <c r="G31" s="398"/>
      <c r="H31" s="398"/>
    </row>
    <row r="32" spans="1:8" ht="15.6" customHeight="1">
      <c r="A32" s="398"/>
      <c r="B32" s="398"/>
      <c r="C32" s="398"/>
      <c r="D32" s="398"/>
      <c r="E32" s="398"/>
      <c r="F32" s="398"/>
      <c r="G32" s="398"/>
      <c r="H32" s="398"/>
    </row>
    <row r="33" spans="1:8" ht="15.6" customHeight="1">
      <c r="A33" s="398"/>
      <c r="B33" s="398"/>
      <c r="C33" s="398"/>
      <c r="D33" s="398"/>
      <c r="E33" s="398"/>
      <c r="F33" s="398"/>
      <c r="G33" s="398"/>
      <c r="H33" s="398"/>
    </row>
    <row r="34" spans="1:8" ht="15.6" customHeight="1">
      <c r="A34" s="398"/>
      <c r="B34" s="398"/>
      <c r="C34" s="398"/>
      <c r="D34" s="398"/>
      <c r="E34" s="398"/>
      <c r="F34" s="398"/>
      <c r="G34" s="398"/>
      <c r="H34" s="398"/>
    </row>
    <row r="35" spans="1:8" ht="15.6" customHeight="1">
      <c r="A35" s="398"/>
      <c r="B35" s="398"/>
      <c r="C35" s="398"/>
      <c r="D35" s="398"/>
      <c r="E35" s="398"/>
      <c r="F35" s="398"/>
      <c r="G35" s="398"/>
      <c r="H35" s="398"/>
    </row>
    <row r="36" spans="1:8" ht="15.6" customHeight="1">
      <c r="A36" s="398"/>
      <c r="B36" s="398"/>
      <c r="C36" s="398"/>
      <c r="D36" s="398"/>
      <c r="E36" s="398"/>
      <c r="F36" s="398"/>
      <c r="G36" s="398"/>
      <c r="H36" s="398"/>
    </row>
    <row r="37" spans="1:8" ht="15.6" customHeight="1">
      <c r="A37" s="398"/>
      <c r="B37" s="398"/>
      <c r="C37" s="398"/>
      <c r="D37" s="398"/>
      <c r="E37" s="398"/>
      <c r="F37" s="398"/>
      <c r="G37" s="398"/>
      <c r="H37" s="398"/>
    </row>
    <row r="38" spans="1:8" ht="15.6" customHeight="1">
      <c r="A38" s="398"/>
      <c r="B38" s="398"/>
      <c r="C38" s="398"/>
      <c r="D38" s="398"/>
      <c r="E38" s="398"/>
      <c r="F38" s="398"/>
      <c r="G38" s="398"/>
      <c r="H38" s="398"/>
    </row>
    <row r="39" spans="1:8" ht="15.6" customHeight="1">
      <c r="A39" s="398"/>
      <c r="B39" s="398"/>
      <c r="C39" s="398"/>
      <c r="D39" s="398"/>
      <c r="E39" s="398"/>
      <c r="F39" s="398"/>
      <c r="G39" s="398"/>
      <c r="H39" s="398"/>
    </row>
    <row r="40" spans="1:8" ht="15.6" customHeight="1">
      <c r="A40" s="398"/>
      <c r="B40" s="398"/>
      <c r="C40" s="398"/>
      <c r="D40" s="398"/>
      <c r="E40" s="398"/>
      <c r="F40" s="398"/>
      <c r="G40" s="398"/>
      <c r="H40" s="398"/>
    </row>
    <row r="41" spans="1:8" ht="15.6" customHeight="1">
      <c r="A41" s="398"/>
      <c r="B41" s="398"/>
      <c r="C41" s="398"/>
      <c r="D41" s="398"/>
      <c r="E41" s="398"/>
      <c r="F41" s="398"/>
      <c r="G41" s="398"/>
      <c r="H41" s="398"/>
    </row>
    <row r="42" spans="1:8" ht="15.6" customHeight="1">
      <c r="A42" s="398"/>
      <c r="B42" s="398"/>
      <c r="C42" s="398"/>
      <c r="D42" s="398"/>
      <c r="E42" s="398"/>
      <c r="F42" s="398"/>
      <c r="G42" s="398"/>
      <c r="H42" s="398"/>
    </row>
    <row r="43" spans="1:8" ht="15.6" customHeight="1">
      <c r="A43" s="398"/>
      <c r="B43" s="398"/>
      <c r="C43" s="398"/>
      <c r="D43" s="398"/>
      <c r="E43" s="398"/>
      <c r="F43" s="398"/>
      <c r="G43" s="398"/>
      <c r="H43" s="398"/>
    </row>
    <row r="44" spans="1:8" ht="15.6" customHeight="1">
      <c r="A44" s="398"/>
      <c r="B44" s="398"/>
      <c r="C44" s="398"/>
      <c r="D44" s="398"/>
      <c r="E44" s="398"/>
      <c r="F44" s="398"/>
      <c r="G44" s="398"/>
      <c r="H44" s="398"/>
    </row>
    <row r="45" spans="1:8" ht="15.6" customHeight="1">
      <c r="A45" s="398"/>
      <c r="B45" s="398"/>
      <c r="C45" s="398"/>
      <c r="D45" s="398"/>
      <c r="E45" s="398"/>
      <c r="F45" s="398"/>
      <c r="G45" s="398"/>
      <c r="H45" s="398"/>
    </row>
    <row r="46" spans="1:8" ht="15.6" customHeight="1">
      <c r="A46" s="398"/>
      <c r="B46" s="398"/>
      <c r="C46" s="398"/>
      <c r="D46" s="398"/>
      <c r="E46" s="398"/>
      <c r="F46" s="398"/>
      <c r="G46" s="398"/>
      <c r="H46" s="398"/>
    </row>
    <row r="47" spans="1:8" ht="15.6" customHeight="1">
      <c r="A47" s="398"/>
      <c r="B47" s="398"/>
      <c r="C47" s="398"/>
      <c r="D47" s="398"/>
      <c r="E47" s="398"/>
      <c r="F47" s="398"/>
      <c r="G47" s="398"/>
      <c r="H47" s="398"/>
    </row>
    <row r="48" spans="1:8" ht="15.6" customHeight="1">
      <c r="A48" s="398"/>
      <c r="B48" s="398"/>
      <c r="C48" s="398"/>
      <c r="D48" s="398"/>
      <c r="E48" s="398"/>
      <c r="F48" s="398"/>
      <c r="G48" s="398"/>
      <c r="H48" s="398"/>
    </row>
    <row r="49" spans="1:16" ht="15.6" customHeight="1">
      <c r="A49" s="398"/>
      <c r="B49" s="398"/>
      <c r="C49" s="398"/>
      <c r="D49" s="398"/>
      <c r="E49" s="398"/>
      <c r="F49" s="398"/>
      <c r="G49" s="398"/>
      <c r="H49" s="398"/>
    </row>
    <row r="50" spans="1:16" ht="15.6" customHeight="1">
      <c r="A50" s="398"/>
      <c r="B50" s="398"/>
      <c r="C50" s="398"/>
      <c r="D50" s="398"/>
      <c r="E50" s="398"/>
      <c r="F50" s="398"/>
      <c r="G50" s="398"/>
      <c r="H50" s="398"/>
    </row>
    <row r="51" spans="1:16" ht="15.6" customHeight="1">
      <c r="A51" s="398"/>
      <c r="B51" s="398"/>
      <c r="C51" s="398"/>
      <c r="D51" s="398"/>
      <c r="E51" s="398"/>
      <c r="F51" s="398"/>
      <c r="G51" s="398"/>
      <c r="H51" s="398"/>
    </row>
    <row r="52" spans="1:16" ht="15.6" customHeight="1">
      <c r="A52" s="398"/>
      <c r="B52" s="398"/>
      <c r="C52" s="398"/>
      <c r="D52" s="398"/>
      <c r="E52" s="398"/>
      <c r="F52" s="398"/>
      <c r="G52" s="398"/>
      <c r="H52" s="398"/>
    </row>
    <row r="53" spans="1:16">
      <c r="A53" s="398"/>
      <c r="B53" s="398"/>
      <c r="C53" s="398"/>
      <c r="D53" s="398"/>
      <c r="E53" s="398"/>
      <c r="F53" s="398"/>
      <c r="G53" s="398"/>
      <c r="H53" s="398"/>
    </row>
    <row r="54" spans="1:16">
      <c r="A54" s="398"/>
      <c r="B54" s="398"/>
      <c r="C54" s="398"/>
      <c r="D54" s="398"/>
      <c r="E54" s="398"/>
      <c r="F54" s="398"/>
      <c r="G54" s="398"/>
      <c r="H54" s="398"/>
    </row>
    <row r="55" spans="1:16">
      <c r="A55" s="398"/>
      <c r="B55" s="398"/>
      <c r="C55" s="398"/>
      <c r="D55" s="398"/>
      <c r="E55" s="398"/>
      <c r="F55" s="398"/>
      <c r="G55" s="398"/>
      <c r="H55" s="398"/>
    </row>
    <row r="56" spans="1:16" ht="24.6">
      <c r="A56" s="197" t="s">
        <v>282</v>
      </c>
    </row>
    <row r="57" spans="1:16">
      <c r="M57" s="19"/>
      <c r="N57" s="23"/>
      <c r="O57" s="19"/>
      <c r="P57" s="19"/>
    </row>
    <row r="58" spans="1:16" ht="16.149999999999999" thickBot="1">
      <c r="M58" s="24" t="s">
        <v>193</v>
      </c>
      <c r="N58" s="25" t="s">
        <v>278</v>
      </c>
      <c r="O58" s="26" t="s">
        <v>279</v>
      </c>
      <c r="P58" s="19"/>
    </row>
    <row r="59" spans="1:16" ht="16.149999999999999" thickTop="1">
      <c r="M59" s="27" t="s">
        <v>198</v>
      </c>
      <c r="N59" s="29">
        <v>5.3600000000000002E-3</v>
      </c>
      <c r="O59" s="28" t="s">
        <v>128</v>
      </c>
      <c r="P59" s="19"/>
    </row>
    <row r="60" spans="1:16">
      <c r="M60" s="19"/>
      <c r="N60" s="23"/>
      <c r="O60" s="19"/>
      <c r="P60" s="19"/>
    </row>
    <row r="61" spans="1:16">
      <c r="M61" s="19"/>
      <c r="N61" s="23"/>
      <c r="O61" s="19"/>
      <c r="P61" s="19"/>
    </row>
    <row r="112" spans="1:16" ht="24.6">
      <c r="A112" s="197" t="s">
        <v>283</v>
      </c>
      <c r="L112" s="19"/>
      <c r="M112" s="19"/>
      <c r="N112" s="23"/>
      <c r="O112" s="19"/>
      <c r="P112" s="19"/>
    </row>
    <row r="113" spans="1:16" ht="17.45">
      <c r="A113" s="171"/>
      <c r="L113" s="19"/>
      <c r="M113" s="19"/>
      <c r="N113" s="23"/>
      <c r="O113" s="19"/>
      <c r="P113" s="19"/>
    </row>
    <row r="114" spans="1:16" ht="16.149999999999999" thickBot="1">
      <c r="L114" s="19"/>
      <c r="M114" s="24" t="s">
        <v>193</v>
      </c>
      <c r="N114" s="25" t="s">
        <v>278</v>
      </c>
      <c r="O114" s="26" t="s">
        <v>279</v>
      </c>
      <c r="P114" s="19"/>
    </row>
    <row r="115" spans="1:16" ht="16.149999999999999" thickTop="1">
      <c r="L115" s="19"/>
      <c r="M115" s="27" t="s">
        <v>198</v>
      </c>
      <c r="N115" s="29">
        <v>5.4000000000000003E-3</v>
      </c>
      <c r="O115" s="28" t="s">
        <v>128</v>
      </c>
      <c r="P115" s="19"/>
    </row>
    <row r="116" spans="1:16">
      <c r="L116" s="19"/>
      <c r="M116" s="19"/>
      <c r="N116" s="23"/>
      <c r="O116" s="19"/>
      <c r="P116" s="19"/>
    </row>
    <row r="117" spans="1:16">
      <c r="L117" s="19"/>
      <c r="M117" s="19"/>
      <c r="N117" s="23"/>
      <c r="O117" s="19"/>
      <c r="P117" s="19"/>
    </row>
    <row r="118" spans="1:16">
      <c r="L118" s="19"/>
      <c r="M118" s="19"/>
      <c r="N118" s="23"/>
      <c r="O118" s="19"/>
      <c r="P118" s="19"/>
    </row>
    <row r="119" spans="1:16">
      <c r="L119" s="19"/>
      <c r="M119" s="19"/>
      <c r="N119" s="23"/>
      <c r="O119" s="19"/>
      <c r="P119" s="19"/>
    </row>
    <row r="120" spans="1:16">
      <c r="L120" s="19"/>
      <c r="M120" s="19"/>
      <c r="N120" s="23"/>
      <c r="O120" s="19"/>
      <c r="P120" s="19"/>
    </row>
    <row r="121" spans="1:16">
      <c r="L121" s="19"/>
      <c r="M121" s="19"/>
      <c r="N121" s="23"/>
      <c r="O121" s="19"/>
      <c r="P121" s="19"/>
    </row>
    <row r="122" spans="1:16">
      <c r="L122" s="19"/>
      <c r="M122" s="19"/>
      <c r="N122" s="23"/>
      <c r="O122" s="19"/>
      <c r="P122" s="19"/>
    </row>
    <row r="123" spans="1:16">
      <c r="L123" s="19"/>
      <c r="M123" s="19"/>
      <c r="N123" s="23"/>
      <c r="O123" s="19"/>
      <c r="P123" s="19"/>
    </row>
    <row r="124" spans="1:16">
      <c r="L124" s="19"/>
      <c r="M124" s="19"/>
      <c r="N124" s="23"/>
      <c r="O124" s="19"/>
      <c r="P124" s="19"/>
    </row>
    <row r="125" spans="1:16">
      <c r="L125" s="19"/>
      <c r="M125" s="19"/>
      <c r="N125" s="23"/>
      <c r="O125" s="19"/>
      <c r="P125" s="19"/>
    </row>
    <row r="126" spans="1:16">
      <c r="L126" s="19"/>
      <c r="M126" s="19"/>
      <c r="N126" s="23"/>
      <c r="O126" s="19"/>
      <c r="P126" s="19"/>
    </row>
    <row r="167" spans="1:17" ht="24.6">
      <c r="A167" s="197" t="s">
        <v>284</v>
      </c>
      <c r="L167" s="19"/>
      <c r="M167" s="19"/>
      <c r="N167" s="23"/>
      <c r="O167" s="19"/>
      <c r="P167" s="19"/>
      <c r="Q167" s="19"/>
    </row>
    <row r="168" spans="1:17" ht="33">
      <c r="A168" s="235"/>
      <c r="B168" s="240">
        <v>1</v>
      </c>
      <c r="C168" s="240">
        <v>2</v>
      </c>
      <c r="D168" s="240">
        <v>3</v>
      </c>
      <c r="E168" s="240">
        <v>4</v>
      </c>
      <c r="F168" s="240">
        <v>5</v>
      </c>
      <c r="G168" s="240" t="s">
        <v>285</v>
      </c>
      <c r="L168" s="19"/>
      <c r="M168" s="19"/>
      <c r="N168" s="23"/>
      <c r="O168" s="19"/>
      <c r="P168" s="19"/>
      <c r="Q168" s="19"/>
    </row>
    <row r="169" spans="1:17" ht="17.45">
      <c r="A169" s="239" t="s">
        <v>207</v>
      </c>
      <c r="B169" s="241">
        <v>1.7950000000000001E-2</v>
      </c>
      <c r="C169" s="241">
        <v>1.9130000000000001E-2</v>
      </c>
      <c r="D169" s="241">
        <v>1.536E-2</v>
      </c>
      <c r="E169" s="241">
        <v>1.753E-2</v>
      </c>
      <c r="F169" s="241">
        <v>1.533E-2</v>
      </c>
      <c r="G169" s="241">
        <f>AVERAGE(B169:F169)</f>
        <v>1.7059999999999999E-2</v>
      </c>
      <c r="L169" s="19"/>
      <c r="M169" s="302"/>
      <c r="N169" s="302"/>
      <c r="O169" s="302"/>
      <c r="P169" s="19"/>
      <c r="Q169" s="19"/>
    </row>
    <row r="170" spans="1:17" ht="17.45">
      <c r="A170" s="239"/>
      <c r="B170" s="241"/>
      <c r="C170" s="241"/>
      <c r="D170" s="241"/>
      <c r="E170" s="241"/>
      <c r="F170" s="241"/>
      <c r="G170" s="241"/>
      <c r="L170" s="19"/>
      <c r="M170" s="23"/>
      <c r="N170" s="23"/>
      <c r="O170" s="23"/>
      <c r="P170" s="19"/>
      <c r="Q170" s="19"/>
    </row>
    <row r="171" spans="1:17">
      <c r="A171"/>
      <c r="L171" s="19"/>
      <c r="M171" s="19"/>
      <c r="N171" s="23"/>
      <c r="O171" s="19"/>
      <c r="P171" s="19"/>
      <c r="Q171" s="19"/>
    </row>
    <row r="172" spans="1:17">
      <c r="L172" s="19"/>
      <c r="M172" s="19"/>
      <c r="N172" s="23"/>
      <c r="O172" s="19"/>
      <c r="P172" s="19"/>
      <c r="Q172" s="19"/>
    </row>
    <row r="173" spans="1:17">
      <c r="L173" s="19"/>
      <c r="M173" s="19"/>
      <c r="N173" s="23"/>
      <c r="O173" s="19"/>
      <c r="P173" s="19"/>
      <c r="Q173" s="19"/>
    </row>
    <row r="174" spans="1:17">
      <c r="L174" s="19"/>
      <c r="M174" s="19"/>
      <c r="N174" s="23"/>
      <c r="O174" s="19"/>
      <c r="P174" s="19"/>
      <c r="Q174" s="19"/>
    </row>
    <row r="175" spans="1:17">
      <c r="L175" s="19"/>
      <c r="M175" s="19"/>
      <c r="N175" s="23"/>
      <c r="O175" s="19"/>
      <c r="P175" s="19"/>
      <c r="Q175" s="19"/>
    </row>
    <row r="176" spans="1:17">
      <c r="L176" s="19"/>
      <c r="M176" s="19"/>
      <c r="N176" s="23"/>
      <c r="O176" s="19"/>
      <c r="P176" s="19"/>
      <c r="Q176" s="19"/>
    </row>
    <row r="177" spans="12:17">
      <c r="L177" s="19"/>
      <c r="M177" s="19"/>
      <c r="N177" s="23"/>
      <c r="O177" s="19"/>
      <c r="P177" s="19"/>
      <c r="Q177" s="19"/>
    </row>
    <row r="178" spans="12:17">
      <c r="L178" s="19"/>
      <c r="M178" s="19"/>
      <c r="N178" s="23"/>
      <c r="O178" s="19"/>
      <c r="P178" s="19"/>
      <c r="Q178" s="19"/>
    </row>
    <row r="179" spans="12:17">
      <c r="L179" s="19"/>
      <c r="M179" s="19"/>
      <c r="N179" s="23"/>
      <c r="O179" s="19"/>
      <c r="P179" s="19"/>
      <c r="Q179" s="19"/>
    </row>
    <row r="223" spans="1:17" ht="24.6">
      <c r="A223" s="197" t="s">
        <v>286</v>
      </c>
      <c r="L223" s="19"/>
      <c r="M223" s="19"/>
      <c r="N223" s="23"/>
      <c r="O223" s="19"/>
      <c r="P223" s="19"/>
      <c r="Q223" s="19"/>
    </row>
    <row r="224" spans="1:17" ht="33">
      <c r="A224" s="235"/>
      <c r="B224" s="240">
        <v>1</v>
      </c>
      <c r="C224" s="240">
        <v>2</v>
      </c>
      <c r="D224" s="240">
        <v>3</v>
      </c>
      <c r="E224" s="240">
        <v>4</v>
      </c>
      <c r="F224" s="240">
        <v>5</v>
      </c>
      <c r="G224" s="240" t="s">
        <v>285</v>
      </c>
      <c r="L224" s="19"/>
      <c r="M224" s="19"/>
      <c r="N224" s="23"/>
      <c r="O224" s="19"/>
      <c r="P224" s="19"/>
      <c r="Q224" s="19"/>
    </row>
    <row r="225" spans="1:17" ht="17.45">
      <c r="A225" s="239" t="s">
        <v>207</v>
      </c>
      <c r="B225" s="241">
        <v>2.283E-2</v>
      </c>
      <c r="C225" s="241">
        <v>1.9009999999999999E-2</v>
      </c>
      <c r="D225" s="241">
        <v>2.1229999999999999E-2</v>
      </c>
      <c r="E225" s="241">
        <v>1.9120000000000002E-2</v>
      </c>
      <c r="F225" s="241">
        <v>2.1010000000000001E-2</v>
      </c>
      <c r="G225" s="241">
        <f>AVERAGE(B225:F225)</f>
        <v>2.0639999999999999E-2</v>
      </c>
      <c r="L225" s="19"/>
      <c r="M225" s="302"/>
      <c r="N225" s="302"/>
      <c r="O225" s="302"/>
      <c r="P225" s="19"/>
      <c r="Q225" s="19"/>
    </row>
    <row r="226" spans="1:17" ht="17.45">
      <c r="A226" s="239"/>
      <c r="B226" s="241"/>
      <c r="C226" s="241"/>
      <c r="D226" s="241"/>
      <c r="E226" s="241"/>
      <c r="F226" s="241"/>
      <c r="G226" s="241"/>
      <c r="L226" s="19"/>
      <c r="M226" s="23"/>
      <c r="N226" s="23"/>
      <c r="O226" s="23"/>
      <c r="P226" s="19"/>
      <c r="Q226" s="19"/>
    </row>
    <row r="227" spans="1:17" ht="17.45">
      <c r="A227" s="239"/>
      <c r="B227" s="241"/>
      <c r="C227" s="241"/>
      <c r="D227" s="241"/>
      <c r="E227" s="241"/>
      <c r="F227" s="241"/>
      <c r="G227" s="241"/>
      <c r="L227" s="19"/>
      <c r="M227" s="23"/>
      <c r="N227" s="23"/>
      <c r="O227" s="23"/>
      <c r="P227" s="19"/>
      <c r="Q227" s="19"/>
    </row>
    <row r="228" spans="1:17">
      <c r="L228" s="19"/>
      <c r="M228" s="19"/>
      <c r="N228" s="23"/>
      <c r="O228" s="19"/>
      <c r="P228" s="19"/>
      <c r="Q228" s="19"/>
    </row>
    <row r="229" spans="1:17">
      <c r="A229"/>
      <c r="L229" s="19"/>
      <c r="M229" s="19"/>
      <c r="N229" s="23"/>
      <c r="O229" s="19"/>
      <c r="P229" s="19"/>
      <c r="Q229" s="19"/>
    </row>
    <row r="230" spans="1:17">
      <c r="L230" s="19"/>
      <c r="M230" s="19"/>
      <c r="N230" s="23"/>
      <c r="O230" s="19"/>
      <c r="P230" s="19"/>
      <c r="Q230" s="19"/>
    </row>
    <row r="231" spans="1:17">
      <c r="L231" s="19"/>
      <c r="M231" s="23"/>
      <c r="N231" s="23"/>
      <c r="O231" s="19"/>
      <c r="P231" s="19"/>
      <c r="Q231" s="19"/>
    </row>
    <row r="232" spans="1:17">
      <c r="L232" s="19"/>
      <c r="M232" s="19"/>
      <c r="N232" s="23"/>
      <c r="O232" s="19"/>
      <c r="P232" s="19"/>
      <c r="Q232" s="19"/>
    </row>
    <row r="233" spans="1:17">
      <c r="L233" s="19"/>
      <c r="M233" s="19"/>
      <c r="N233" s="23"/>
      <c r="O233" s="19"/>
      <c r="P233" s="19"/>
      <c r="Q233" s="19"/>
    </row>
    <row r="234" spans="1:17">
      <c r="L234" s="19"/>
      <c r="M234" s="19"/>
      <c r="N234" s="23"/>
      <c r="O234" s="19"/>
      <c r="P234" s="19"/>
      <c r="Q234" s="19"/>
    </row>
    <row r="235" spans="1:17">
      <c r="L235" s="19"/>
      <c r="M235" s="19"/>
      <c r="N235" s="23"/>
      <c r="O235" s="19"/>
      <c r="P235" s="19"/>
      <c r="Q235" s="19"/>
    </row>
    <row r="236" spans="1:17">
      <c r="L236" s="19"/>
      <c r="M236" s="19"/>
      <c r="N236" s="23"/>
      <c r="O236" s="19"/>
      <c r="P236" s="19"/>
      <c r="Q236" s="19"/>
    </row>
    <row r="279" spans="1:18" ht="30">
      <c r="A279" s="227" t="s">
        <v>287</v>
      </c>
    </row>
    <row r="280" spans="1:18">
      <c r="L280" s="19"/>
      <c r="M280" s="19"/>
      <c r="N280" s="23"/>
      <c r="O280" s="19"/>
      <c r="P280" s="19"/>
      <c r="Q280" s="19"/>
      <c r="R280" s="19"/>
    </row>
    <row r="281" spans="1:18" ht="20.45">
      <c r="L281" s="19"/>
      <c r="M281" s="31"/>
      <c r="N281" s="23"/>
      <c r="O281" s="31"/>
      <c r="P281" s="19"/>
      <c r="Q281" s="19"/>
      <c r="R281" s="19"/>
    </row>
    <row r="282" spans="1:18">
      <c r="L282" s="19"/>
      <c r="M282" s="23" t="s">
        <v>288</v>
      </c>
      <c r="N282" s="23" t="s">
        <v>278</v>
      </c>
      <c r="O282" s="23" t="s">
        <v>279</v>
      </c>
      <c r="P282" s="19"/>
      <c r="Q282" s="19"/>
      <c r="R282" s="19"/>
    </row>
    <row r="283" spans="1:18">
      <c r="L283" s="19"/>
      <c r="M283" s="23" t="s">
        <v>289</v>
      </c>
      <c r="N283" s="23">
        <v>6.45106</v>
      </c>
      <c r="O283" s="23" t="s">
        <v>128</v>
      </c>
      <c r="P283" s="19"/>
      <c r="Q283" s="19"/>
      <c r="R283" s="19"/>
    </row>
    <row r="284" spans="1:18">
      <c r="L284" s="19"/>
      <c r="M284" s="23" t="s">
        <v>290</v>
      </c>
      <c r="N284" s="23">
        <v>21.8523</v>
      </c>
      <c r="O284" s="23" t="s">
        <v>98</v>
      </c>
      <c r="P284" s="19"/>
      <c r="Q284" s="19"/>
      <c r="R284" s="19"/>
    </row>
    <row r="285" spans="1:18">
      <c r="L285" s="19"/>
      <c r="M285" s="23"/>
      <c r="N285" s="23"/>
      <c r="O285" s="23"/>
      <c r="P285" s="19"/>
      <c r="Q285" s="19"/>
      <c r="R285" s="19"/>
    </row>
    <row r="286" spans="1:18">
      <c r="L286" s="19"/>
      <c r="M286" s="23"/>
      <c r="N286" s="23"/>
      <c r="O286" s="23"/>
      <c r="P286" s="19"/>
      <c r="Q286" s="19"/>
      <c r="R286" s="19"/>
    </row>
    <row r="287" spans="1:18">
      <c r="L287" s="19"/>
      <c r="M287" s="23"/>
      <c r="N287" s="23"/>
      <c r="O287" s="23"/>
      <c r="P287" s="19"/>
      <c r="Q287" s="19"/>
      <c r="R287" s="19"/>
    </row>
    <row r="288" spans="1:18">
      <c r="L288" s="19"/>
      <c r="M288" s="23"/>
      <c r="N288" s="23"/>
      <c r="O288" s="23"/>
      <c r="P288" s="19"/>
      <c r="Q288" s="19"/>
      <c r="R288" s="19"/>
    </row>
    <row r="289" spans="12:18">
      <c r="L289" s="19"/>
      <c r="M289" s="23"/>
      <c r="N289" s="23"/>
      <c r="O289" s="23"/>
      <c r="P289" s="19"/>
      <c r="Q289" s="19"/>
      <c r="R289" s="19"/>
    </row>
    <row r="290" spans="12:18">
      <c r="M290" s="21"/>
      <c r="O290" s="21"/>
    </row>
    <row r="291" spans="12:18">
      <c r="M291" s="21"/>
      <c r="O291" s="21"/>
    </row>
    <row r="292" spans="12:18">
      <c r="M292" s="21"/>
      <c r="O292" s="21"/>
    </row>
    <row r="293" spans="12:18">
      <c r="M293" s="21"/>
      <c r="O293" s="21"/>
    </row>
    <row r="294" spans="12:18">
      <c r="M294" s="21"/>
      <c r="O294" s="21"/>
    </row>
    <row r="295" spans="12:18">
      <c r="M295" s="21"/>
      <c r="O295" s="21"/>
    </row>
    <row r="332" spans="1:15">
      <c r="M332" s="21"/>
      <c r="O332" s="21"/>
    </row>
    <row r="333" spans="1:15">
      <c r="M333" s="21"/>
      <c r="O333" s="21"/>
    </row>
    <row r="334" spans="1:15">
      <c r="M334" s="21"/>
      <c r="O334" s="21"/>
    </row>
    <row r="336" spans="1:15" ht="30">
      <c r="A336" s="227" t="s">
        <v>291</v>
      </c>
    </row>
    <row r="337" spans="1:16" ht="30">
      <c r="A337" s="172" t="s">
        <v>292</v>
      </c>
    </row>
    <row r="339" spans="1:16" ht="20.45">
      <c r="L339" s="19"/>
      <c r="M339" s="31"/>
      <c r="N339" s="23"/>
      <c r="O339" s="31"/>
      <c r="P339" s="19"/>
    </row>
    <row r="340" spans="1:16">
      <c r="L340" s="19"/>
      <c r="M340" s="23" t="s">
        <v>288</v>
      </c>
      <c r="N340" s="23" t="s">
        <v>278</v>
      </c>
      <c r="O340" s="23" t="s">
        <v>279</v>
      </c>
      <c r="P340" s="19"/>
    </row>
    <row r="341" spans="1:16">
      <c r="L341" s="19"/>
      <c r="M341" s="23" t="s">
        <v>289</v>
      </c>
      <c r="N341" s="23">
        <v>7.8039999999999998E-2</v>
      </c>
      <c r="O341" s="23" t="s">
        <v>128</v>
      </c>
      <c r="P341" s="19"/>
    </row>
    <row r="342" spans="1:16">
      <c r="L342" s="19"/>
      <c r="M342" s="23" t="s">
        <v>290</v>
      </c>
      <c r="N342" s="23">
        <v>6085.96</v>
      </c>
      <c r="O342" s="23" t="s">
        <v>98</v>
      </c>
      <c r="P342" s="19"/>
    </row>
    <row r="343" spans="1:16">
      <c r="L343" s="19"/>
      <c r="M343" s="23"/>
      <c r="N343" s="23"/>
      <c r="O343" s="23"/>
      <c r="P343" s="19"/>
    </row>
    <row r="344" spans="1:16">
      <c r="L344" s="19"/>
      <c r="M344" s="23"/>
      <c r="N344" s="23"/>
      <c r="O344" s="23"/>
      <c r="P344" s="19"/>
    </row>
    <row r="345" spans="1:16">
      <c r="L345" s="19"/>
      <c r="M345" s="23"/>
      <c r="N345" s="23"/>
      <c r="O345" s="23"/>
      <c r="P345" s="19"/>
    </row>
    <row r="346" spans="1:16">
      <c r="L346" s="19"/>
      <c r="M346" s="23"/>
      <c r="N346" s="23"/>
      <c r="O346" s="23"/>
      <c r="P346" s="19"/>
    </row>
    <row r="347" spans="1:16">
      <c r="L347" s="19"/>
      <c r="M347" s="23"/>
      <c r="N347" s="23"/>
      <c r="O347" s="23"/>
      <c r="P347" s="19"/>
    </row>
    <row r="348" spans="1:16">
      <c r="L348" s="19"/>
      <c r="M348" s="23"/>
      <c r="N348" s="23"/>
      <c r="O348" s="23"/>
      <c r="P348" s="19"/>
    </row>
    <row r="349" spans="1:16">
      <c r="L349" s="19"/>
      <c r="M349" s="23"/>
      <c r="N349" s="23"/>
      <c r="O349" s="23"/>
      <c r="P349" s="19"/>
    </row>
    <row r="350" spans="1:16">
      <c r="L350" s="19"/>
      <c r="M350" s="23"/>
      <c r="N350" s="23"/>
      <c r="O350" s="23"/>
      <c r="P350" s="19"/>
    </row>
    <row r="351" spans="1:16">
      <c r="L351" s="19"/>
      <c r="M351" s="23"/>
      <c r="N351" s="23"/>
      <c r="O351" s="23"/>
      <c r="P351" s="19"/>
    </row>
    <row r="352" spans="1:16">
      <c r="L352" s="19"/>
      <c r="M352" s="23"/>
      <c r="N352" s="23"/>
      <c r="O352" s="23"/>
      <c r="P352" s="19"/>
    </row>
    <row r="353" spans="12:16">
      <c r="L353" s="19"/>
      <c r="M353" s="23"/>
      <c r="N353" s="23"/>
      <c r="O353" s="23"/>
      <c r="P353" s="19"/>
    </row>
    <row r="354" spans="12:16">
      <c r="L354" s="19"/>
      <c r="M354" s="23"/>
      <c r="N354" s="23"/>
      <c r="O354" s="23"/>
      <c r="P354" s="19"/>
    </row>
    <row r="355" spans="12:16">
      <c r="L355" s="19"/>
      <c r="M355" s="23"/>
      <c r="N355" s="23"/>
      <c r="O355" s="23"/>
      <c r="P355" s="19"/>
    </row>
    <row r="356" spans="12:16">
      <c r="L356" s="19"/>
      <c r="M356" s="23"/>
      <c r="N356" s="23"/>
      <c r="O356" s="23"/>
      <c r="P356" s="19"/>
    </row>
    <row r="357" spans="12:16">
      <c r="M357" s="21"/>
      <c r="O357" s="21"/>
    </row>
    <row r="398" spans="1:16" ht="30">
      <c r="A398" s="227" t="s">
        <v>293</v>
      </c>
    </row>
    <row r="399" spans="1:16">
      <c r="L399" s="19"/>
      <c r="M399" s="19"/>
      <c r="N399" s="23"/>
      <c r="O399" s="19"/>
      <c r="P399" s="19"/>
    </row>
    <row r="400" spans="1:16" ht="20.45">
      <c r="L400" s="19"/>
      <c r="M400" s="31"/>
      <c r="N400" s="23"/>
      <c r="O400" s="31"/>
      <c r="P400" s="19"/>
    </row>
    <row r="401" spans="12:16">
      <c r="L401" s="19"/>
      <c r="M401" s="23" t="s">
        <v>288</v>
      </c>
      <c r="N401" s="23" t="s">
        <v>278</v>
      </c>
      <c r="O401" s="23" t="s">
        <v>279</v>
      </c>
      <c r="P401" s="19"/>
    </row>
    <row r="402" spans="12:16">
      <c r="L402" s="19"/>
      <c r="M402" s="23" t="s">
        <v>289</v>
      </c>
      <c r="N402" s="23">
        <v>6.0000000000000001E-3</v>
      </c>
      <c r="O402" s="23" t="s">
        <v>128</v>
      </c>
      <c r="P402" s="19"/>
    </row>
    <row r="403" spans="12:16">
      <c r="L403" s="19"/>
      <c r="M403" s="23" t="s">
        <v>290</v>
      </c>
      <c r="N403" s="23">
        <v>300727</v>
      </c>
      <c r="O403" s="23" t="s">
        <v>98</v>
      </c>
      <c r="P403" s="19"/>
    </row>
    <row r="404" spans="12:16">
      <c r="L404" s="19"/>
      <c r="M404" s="23"/>
      <c r="N404" s="23"/>
      <c r="O404" s="23"/>
      <c r="P404" s="19"/>
    </row>
    <row r="405" spans="12:16">
      <c r="L405" s="19"/>
      <c r="M405" s="23"/>
      <c r="N405" s="23"/>
      <c r="O405" s="23"/>
      <c r="P405" s="19"/>
    </row>
    <row r="406" spans="12:16">
      <c r="L406" s="19"/>
      <c r="M406" s="23"/>
      <c r="N406" s="23"/>
      <c r="O406" s="23"/>
      <c r="P406" s="19"/>
    </row>
    <row r="407" spans="12:16">
      <c r="L407" s="19"/>
      <c r="M407" s="23"/>
      <c r="N407" s="23"/>
      <c r="O407" s="23"/>
      <c r="P407" s="19"/>
    </row>
    <row r="408" spans="12:16">
      <c r="L408" s="19"/>
      <c r="M408" s="23"/>
      <c r="N408" s="23"/>
      <c r="O408" s="23"/>
      <c r="P408" s="19"/>
    </row>
    <row r="409" spans="12:16">
      <c r="L409" s="19"/>
      <c r="M409" s="23"/>
      <c r="N409" s="23"/>
      <c r="O409" s="23"/>
      <c r="P409" s="19"/>
    </row>
    <row r="410" spans="12:16">
      <c r="L410" s="19"/>
      <c r="M410" s="23"/>
      <c r="N410" s="23"/>
      <c r="O410" s="23"/>
      <c r="P410" s="19"/>
    </row>
    <row r="411" spans="12:16">
      <c r="L411" s="19"/>
      <c r="M411" s="23"/>
      <c r="N411" s="23"/>
      <c r="O411" s="23"/>
      <c r="P411" s="19"/>
    </row>
    <row r="412" spans="12:16">
      <c r="L412" s="19"/>
      <c r="M412" s="23"/>
      <c r="N412" s="23"/>
      <c r="O412" s="23"/>
      <c r="P412" s="19"/>
    </row>
    <row r="413" spans="12:16">
      <c r="L413" s="19"/>
      <c r="M413" s="23"/>
      <c r="N413" s="23"/>
      <c r="O413" s="23"/>
      <c r="P413" s="19"/>
    </row>
    <row r="414" spans="12:16">
      <c r="M414" s="21"/>
      <c r="O414" s="21"/>
    </row>
    <row r="453" spans="1:15" ht="30">
      <c r="A453" s="227" t="s">
        <v>294</v>
      </c>
    </row>
    <row r="454" spans="1:15">
      <c r="L454" s="19"/>
      <c r="M454" s="19"/>
      <c r="N454" s="23"/>
      <c r="O454" s="19"/>
    </row>
    <row r="455" spans="1:15" ht="20.45">
      <c r="L455" s="19"/>
      <c r="M455" s="31"/>
      <c r="N455" s="23"/>
      <c r="O455" s="31"/>
    </row>
    <row r="456" spans="1:15">
      <c r="L456" s="19"/>
      <c r="M456" s="23" t="s">
        <v>288</v>
      </c>
      <c r="N456" s="23" t="s">
        <v>278</v>
      </c>
      <c r="O456" s="23" t="s">
        <v>279</v>
      </c>
    </row>
    <row r="457" spans="1:15">
      <c r="L457" s="19"/>
      <c r="M457" s="23" t="s">
        <v>289</v>
      </c>
      <c r="N457" s="23">
        <v>7.9009999999999997E-2</v>
      </c>
      <c r="O457" s="23" t="s">
        <v>128</v>
      </c>
    </row>
    <row r="458" spans="1:15">
      <c r="L458" s="19"/>
      <c r="M458" s="23" t="s">
        <v>290</v>
      </c>
      <c r="N458" s="23">
        <v>24518.9</v>
      </c>
      <c r="O458" s="23" t="s">
        <v>98</v>
      </c>
    </row>
    <row r="459" spans="1:15">
      <c r="L459" s="19"/>
      <c r="M459" s="23"/>
      <c r="N459" s="23"/>
      <c r="O459" s="23"/>
    </row>
    <row r="460" spans="1:15">
      <c r="L460" s="19"/>
      <c r="M460" s="23"/>
      <c r="N460" s="23"/>
      <c r="O460" s="23"/>
    </row>
    <row r="461" spans="1:15">
      <c r="L461" s="19"/>
      <c r="M461" s="23"/>
      <c r="N461" s="23"/>
      <c r="O461" s="23"/>
    </row>
    <row r="462" spans="1:15">
      <c r="L462" s="19"/>
      <c r="M462" s="23"/>
      <c r="N462" s="23"/>
      <c r="O462" s="23"/>
    </row>
    <row r="463" spans="1:15">
      <c r="L463" s="19"/>
      <c r="M463" s="23"/>
      <c r="N463" s="23"/>
      <c r="O463" s="23"/>
    </row>
    <row r="464" spans="1:15">
      <c r="L464" s="19"/>
      <c r="M464" s="23"/>
      <c r="N464" s="23"/>
      <c r="O464" s="23"/>
    </row>
    <row r="465" spans="12:15">
      <c r="L465" s="19"/>
      <c r="M465" s="23"/>
      <c r="N465" s="23"/>
      <c r="O465" s="23"/>
    </row>
    <row r="466" spans="12:15">
      <c r="L466" s="19"/>
      <c r="M466" s="23"/>
      <c r="N466" s="23"/>
      <c r="O466" s="23"/>
    </row>
    <row r="467" spans="12:15">
      <c r="L467" s="19"/>
      <c r="M467" s="23"/>
      <c r="N467" s="23"/>
      <c r="O467" s="23"/>
    </row>
    <row r="468" spans="12:15">
      <c r="L468" s="19"/>
      <c r="M468" s="23"/>
      <c r="N468" s="23"/>
      <c r="O468" s="23"/>
    </row>
    <row r="469" spans="12:15">
      <c r="L469" s="19"/>
      <c r="M469" s="23"/>
      <c r="N469" s="23"/>
      <c r="O469" s="23"/>
    </row>
    <row r="470" spans="12:15">
      <c r="L470" s="19"/>
      <c r="M470" s="19"/>
      <c r="N470" s="23"/>
      <c r="O470" s="19"/>
    </row>
    <row r="507" spans="1:17" ht="28.15">
      <c r="A507" s="198" t="s">
        <v>164</v>
      </c>
      <c r="D507" s="20"/>
      <c r="E507" s="20"/>
      <c r="F507" s="20"/>
      <c r="G507" s="20"/>
      <c r="H507" s="20"/>
      <c r="I507" s="20"/>
      <c r="J507" s="20"/>
      <c r="K507" s="20"/>
      <c r="L507" s="20"/>
    </row>
    <row r="510" spans="1:17" ht="22.9">
      <c r="A510" s="173"/>
      <c r="L510" s="19"/>
      <c r="M510" s="31"/>
      <c r="N510" s="23"/>
      <c r="O510" s="31"/>
      <c r="P510" s="19"/>
      <c r="Q510" s="19"/>
    </row>
    <row r="511" spans="1:17" ht="22.9">
      <c r="A511" s="173"/>
      <c r="L511" s="19"/>
      <c r="M511" s="32" t="s">
        <v>295</v>
      </c>
      <c r="N511" s="23" t="s">
        <v>278</v>
      </c>
      <c r="O511" s="23" t="s">
        <v>279</v>
      </c>
      <c r="P511" s="19"/>
      <c r="Q511" s="19"/>
    </row>
    <row r="512" spans="1:17">
      <c r="L512" s="19"/>
      <c r="M512" s="23" t="s">
        <v>245</v>
      </c>
      <c r="N512" s="23">
        <v>6.3018000000000001</v>
      </c>
      <c r="O512" s="23" t="s">
        <v>128</v>
      </c>
      <c r="P512" s="19"/>
      <c r="Q512" s="19"/>
    </row>
    <row r="513" spans="12:17">
      <c r="L513" s="19"/>
      <c r="M513" s="23" t="s">
        <v>290</v>
      </c>
      <c r="N513" s="23">
        <v>16.286000000000001</v>
      </c>
      <c r="O513" s="23" t="s">
        <v>98</v>
      </c>
      <c r="P513" s="19"/>
      <c r="Q513" s="19"/>
    </row>
    <row r="514" spans="12:17">
      <c r="L514" s="19"/>
      <c r="M514" s="23"/>
      <c r="N514" s="23"/>
      <c r="O514" s="23"/>
      <c r="P514" s="19"/>
      <c r="Q514" s="19"/>
    </row>
    <row r="515" spans="12:17">
      <c r="L515" s="19"/>
      <c r="M515" s="23"/>
      <c r="N515" s="23"/>
      <c r="O515" s="23"/>
      <c r="P515" s="19"/>
      <c r="Q515" s="19"/>
    </row>
    <row r="516" spans="12:17">
      <c r="L516" s="19"/>
      <c r="M516" s="23"/>
      <c r="N516" s="23"/>
      <c r="O516" s="23"/>
      <c r="P516" s="19"/>
      <c r="Q516" s="19"/>
    </row>
    <row r="517" spans="12:17">
      <c r="L517" s="19"/>
      <c r="M517" s="23"/>
      <c r="N517" s="23"/>
      <c r="O517" s="23"/>
      <c r="P517" s="19"/>
      <c r="Q517" s="19"/>
    </row>
    <row r="518" spans="12:17">
      <c r="L518" s="19"/>
      <c r="M518" s="23"/>
      <c r="N518" s="23"/>
      <c r="O518" s="23"/>
      <c r="P518" s="19"/>
      <c r="Q518" s="19"/>
    </row>
    <row r="519" spans="12:17">
      <c r="L519" s="19"/>
      <c r="M519" s="23"/>
      <c r="N519" s="23"/>
      <c r="O519" s="23"/>
      <c r="P519" s="19"/>
      <c r="Q519" s="19"/>
    </row>
    <row r="520" spans="12:17">
      <c r="L520" s="19"/>
      <c r="M520" s="23"/>
      <c r="N520" s="23"/>
      <c r="O520" s="23"/>
      <c r="P520" s="19"/>
      <c r="Q520" s="19"/>
    </row>
    <row r="521" spans="12:17">
      <c r="L521" s="19"/>
      <c r="M521" s="23"/>
      <c r="N521" s="23"/>
      <c r="O521" s="23"/>
      <c r="P521" s="19"/>
      <c r="Q521" s="19"/>
    </row>
    <row r="522" spans="12:17">
      <c r="L522" s="19"/>
      <c r="M522" s="23"/>
      <c r="N522" s="23"/>
      <c r="O522" s="23"/>
      <c r="P522" s="19"/>
      <c r="Q522" s="19"/>
    </row>
    <row r="523" spans="12:17">
      <c r="L523" s="19"/>
      <c r="M523" s="23"/>
      <c r="N523" s="23"/>
      <c r="O523" s="23"/>
      <c r="P523" s="19"/>
      <c r="Q523" s="19"/>
    </row>
    <row r="524" spans="12:17">
      <c r="M524" s="21"/>
      <c r="O524" s="21"/>
    </row>
    <row r="525" spans="12:17">
      <c r="M525" s="21"/>
      <c r="O525" s="21"/>
    </row>
    <row r="526" spans="12:17">
      <c r="M526" s="21"/>
      <c r="O526" s="21"/>
    </row>
    <row r="527" spans="12:17">
      <c r="M527" s="21"/>
      <c r="O527" s="21"/>
    </row>
    <row r="528" spans="12:17">
      <c r="M528" s="21"/>
      <c r="O528" s="21"/>
    </row>
    <row r="529" spans="13:15">
      <c r="M529" s="21"/>
      <c r="O529" s="21"/>
    </row>
    <row r="530" spans="13:15">
      <c r="M530" s="21"/>
      <c r="O530" s="21"/>
    </row>
    <row r="531" spans="13:15">
      <c r="M531" s="21"/>
      <c r="O531" s="21"/>
    </row>
    <row r="532" spans="13:15">
      <c r="M532" s="21"/>
      <c r="O532" s="21"/>
    </row>
    <row r="533" spans="13:15">
      <c r="M533" s="21"/>
      <c r="O533" s="21"/>
    </row>
    <row r="534" spans="13:15">
      <c r="M534" s="21"/>
      <c r="O534" s="21"/>
    </row>
    <row r="535" spans="13:15">
      <c r="M535" s="21"/>
      <c r="O535" s="21"/>
    </row>
    <row r="536" spans="13:15">
      <c r="M536" s="21"/>
      <c r="O536" s="21"/>
    </row>
    <row r="537" spans="13:15">
      <c r="M537" s="21"/>
      <c r="O537" s="21"/>
    </row>
    <row r="538" spans="13:15">
      <c r="M538" s="21"/>
      <c r="O538" s="21"/>
    </row>
    <row r="539" spans="13:15">
      <c r="M539" s="21"/>
      <c r="O539" s="21"/>
    </row>
    <row r="540" spans="13:15">
      <c r="M540" s="21"/>
      <c r="O540" s="21"/>
    </row>
    <row r="541" spans="13:15">
      <c r="M541" s="21"/>
      <c r="O541" s="21"/>
    </row>
    <row r="542" spans="13:15">
      <c r="M542" s="21"/>
      <c r="O542" s="21"/>
    </row>
    <row r="558" spans="1:16" ht="28.15">
      <c r="A558" s="198" t="s">
        <v>296</v>
      </c>
      <c r="D558" s="20"/>
      <c r="E558" s="20"/>
      <c r="F558" s="20"/>
      <c r="G558" s="20"/>
      <c r="H558" s="20"/>
      <c r="I558" s="20"/>
      <c r="J558" s="20"/>
      <c r="K558" s="20"/>
      <c r="L558" s="20"/>
    </row>
    <row r="559" spans="1:16" ht="20.25" customHeight="1">
      <c r="A559" s="235"/>
      <c r="B559" s="240">
        <v>1</v>
      </c>
    </row>
    <row r="560" spans="1:16" ht="20.25" customHeight="1">
      <c r="A560" s="239" t="s">
        <v>207</v>
      </c>
      <c r="B560" s="241">
        <v>6.0000000000000001E-3</v>
      </c>
      <c r="L560" s="19"/>
      <c r="M560" s="19"/>
      <c r="N560" s="23"/>
      <c r="O560" s="19"/>
      <c r="P560" s="19"/>
    </row>
    <row r="561" spans="1:16" ht="20.25" customHeight="1">
      <c r="A561" s="239" t="s">
        <v>297</v>
      </c>
      <c r="B561" s="241">
        <v>29994</v>
      </c>
      <c r="L561" s="19"/>
      <c r="M561" s="31"/>
      <c r="N561" s="23"/>
      <c r="O561" s="31"/>
      <c r="P561" s="19"/>
    </row>
    <row r="562" spans="1:16" ht="20.25" customHeight="1">
      <c r="A562" s="173"/>
      <c r="L562" s="19"/>
      <c r="M562" s="32"/>
      <c r="N562" s="23"/>
      <c r="O562" s="23"/>
      <c r="P562" s="19"/>
    </row>
    <row r="563" spans="1:16" ht="20.25" customHeight="1">
      <c r="L563" s="19"/>
      <c r="M563" s="23"/>
      <c r="N563" s="23"/>
      <c r="O563" s="23"/>
      <c r="P563" s="19"/>
    </row>
    <row r="564" spans="1:16">
      <c r="L564" s="19"/>
      <c r="M564" s="23"/>
      <c r="N564" s="23"/>
      <c r="O564" s="23"/>
      <c r="P564" s="19"/>
    </row>
    <row r="565" spans="1:16">
      <c r="L565" s="19"/>
      <c r="M565" s="23"/>
      <c r="N565" s="23"/>
      <c r="O565" s="23"/>
      <c r="P565" s="19"/>
    </row>
    <row r="566" spans="1:16">
      <c r="L566" s="19"/>
      <c r="M566" s="23"/>
      <c r="N566" s="23"/>
      <c r="O566" s="23"/>
      <c r="P566" s="19"/>
    </row>
    <row r="567" spans="1:16">
      <c r="L567" s="19"/>
      <c r="M567" s="23"/>
      <c r="N567" s="23"/>
      <c r="O567" s="23"/>
      <c r="P567" s="19"/>
    </row>
    <row r="568" spans="1:16">
      <c r="L568" s="19"/>
      <c r="M568" s="23"/>
      <c r="N568" s="23"/>
      <c r="O568" s="23"/>
      <c r="P568" s="19"/>
    </row>
    <row r="569" spans="1:16">
      <c r="L569" s="19"/>
      <c r="M569" s="23"/>
      <c r="N569" s="23"/>
      <c r="O569" s="23"/>
      <c r="P569" s="19"/>
    </row>
    <row r="570" spans="1:16">
      <c r="L570" s="19"/>
      <c r="M570" s="23"/>
      <c r="N570" s="23"/>
      <c r="O570" s="23"/>
      <c r="P570" s="19"/>
    </row>
    <row r="571" spans="1:16">
      <c r="L571" s="19"/>
      <c r="M571" s="23"/>
      <c r="N571" s="23"/>
      <c r="O571" s="23"/>
      <c r="P571" s="19"/>
    </row>
    <row r="572" spans="1:16">
      <c r="M572" s="21"/>
      <c r="O572" s="21"/>
    </row>
    <row r="573" spans="1:16">
      <c r="M573" s="21"/>
      <c r="O573" s="21"/>
    </row>
    <row r="574" spans="1:16">
      <c r="M574" s="21"/>
      <c r="O574" s="21"/>
    </row>
    <row r="575" spans="1:16">
      <c r="M575" s="21"/>
      <c r="O575" s="21"/>
    </row>
    <row r="576" spans="1:16">
      <c r="M576" s="21"/>
      <c r="O576" s="21"/>
    </row>
    <row r="577" spans="13:15">
      <c r="M577" s="21"/>
      <c r="O577" s="21"/>
    </row>
    <row r="578" spans="13:15">
      <c r="M578" s="21"/>
      <c r="O578" s="21"/>
    </row>
    <row r="579" spans="13:15">
      <c r="M579" s="21"/>
      <c r="O579" s="21"/>
    </row>
    <row r="580" spans="13:15">
      <c r="M580" s="21"/>
      <c r="O580" s="21"/>
    </row>
    <row r="581" spans="13:15">
      <c r="M581" s="21"/>
      <c r="O581" s="21"/>
    </row>
    <row r="582" spans="13:15">
      <c r="M582" s="21"/>
      <c r="O582" s="21"/>
    </row>
    <row r="583" spans="13:15">
      <c r="M583" s="21"/>
      <c r="O583" s="21"/>
    </row>
    <row r="584" spans="13:15">
      <c r="M584" s="21"/>
      <c r="O584" s="21"/>
    </row>
    <row r="585" spans="13:15">
      <c r="M585" s="21"/>
      <c r="O585" s="21"/>
    </row>
    <row r="586" spans="13:15">
      <c r="M586" s="21"/>
      <c r="O586" s="21"/>
    </row>
    <row r="587" spans="13:15">
      <c r="M587" s="21"/>
      <c r="O587" s="21"/>
    </row>
    <row r="588" spans="13:15">
      <c r="M588" s="21"/>
      <c r="O588" s="21"/>
    </row>
    <row r="589" spans="13:15">
      <c r="M589" s="21"/>
      <c r="O589" s="21"/>
    </row>
    <row r="590" spans="13:15">
      <c r="M590" s="21"/>
      <c r="O590" s="21"/>
    </row>
    <row r="591" spans="13:15">
      <c r="M591" s="21"/>
      <c r="O591" s="21"/>
    </row>
    <row r="592" spans="13:15">
      <c r="M592" s="21"/>
      <c r="O592" s="21"/>
    </row>
    <row r="593" spans="1:15">
      <c r="M593" s="21"/>
      <c r="O593" s="21"/>
    </row>
    <row r="604" spans="1:15" ht="20.25" customHeight="1"/>
    <row r="605" spans="1:15" ht="20.25" customHeight="1"/>
    <row r="606" spans="1:15" ht="20.25" customHeight="1"/>
    <row r="607" spans="1:15" ht="20.25" customHeight="1"/>
    <row r="608" spans="1:15" ht="28.15">
      <c r="A608" s="198" t="s">
        <v>298</v>
      </c>
      <c r="D608" s="20"/>
      <c r="E608" s="20"/>
      <c r="F608" s="20"/>
      <c r="G608" s="20"/>
      <c r="H608" s="20"/>
      <c r="I608" s="20"/>
      <c r="J608" s="20"/>
      <c r="K608" s="20"/>
      <c r="L608" s="20"/>
    </row>
    <row r="609" spans="1:17" ht="20.25" customHeight="1">
      <c r="A609" s="235"/>
      <c r="B609" s="240">
        <v>1</v>
      </c>
      <c r="C609" s="240"/>
      <c r="D609" s="240"/>
      <c r="E609" s="240"/>
    </row>
    <row r="610" spans="1:17" ht="20.25" customHeight="1">
      <c r="A610" s="239" t="s">
        <v>207</v>
      </c>
      <c r="B610" s="241">
        <v>0.10806</v>
      </c>
      <c r="C610" s="241"/>
      <c r="D610" s="241"/>
      <c r="E610" s="241"/>
      <c r="L610" s="19"/>
      <c r="M610" s="19"/>
      <c r="N610" s="23"/>
      <c r="O610" s="19"/>
      <c r="P610" s="19"/>
      <c r="Q610" s="19"/>
    </row>
    <row r="611" spans="1:17" ht="20.25" customHeight="1">
      <c r="A611" s="239" t="s">
        <v>297</v>
      </c>
      <c r="B611" s="241">
        <v>23917.200000000001</v>
      </c>
      <c r="C611" s="241"/>
      <c r="D611" s="241"/>
      <c r="E611" s="241"/>
      <c r="L611" s="19"/>
      <c r="M611" s="31"/>
      <c r="N611" s="23"/>
      <c r="O611" s="31"/>
      <c r="P611" s="19"/>
      <c r="Q611" s="19"/>
    </row>
    <row r="612" spans="1:17" ht="20.25" customHeight="1">
      <c r="A612" s="173"/>
      <c r="L612" s="19"/>
      <c r="M612" s="32"/>
      <c r="N612" s="23"/>
      <c r="O612" s="23"/>
      <c r="P612" s="19"/>
      <c r="Q612" s="19"/>
    </row>
    <row r="613" spans="1:17" ht="20.25" customHeight="1">
      <c r="L613" s="19"/>
      <c r="M613" s="23"/>
      <c r="N613" s="23"/>
      <c r="O613" s="23"/>
      <c r="P613" s="19"/>
      <c r="Q613" s="19"/>
    </row>
    <row r="614" spans="1:17">
      <c r="L614" s="19"/>
      <c r="M614" s="23"/>
      <c r="N614" s="23"/>
      <c r="O614" s="23"/>
      <c r="P614" s="19"/>
      <c r="Q614" s="19"/>
    </row>
    <row r="615" spans="1:17">
      <c r="L615" s="19"/>
      <c r="M615" s="23"/>
      <c r="N615" s="23"/>
      <c r="O615" s="23"/>
      <c r="P615" s="19"/>
      <c r="Q615" s="19"/>
    </row>
    <row r="616" spans="1:17">
      <c r="L616" s="19"/>
      <c r="M616" s="23"/>
      <c r="N616" s="23"/>
      <c r="O616" s="23"/>
      <c r="P616" s="19"/>
      <c r="Q616" s="19"/>
    </row>
    <row r="617" spans="1:17">
      <c r="L617" s="19"/>
      <c r="M617" s="23"/>
      <c r="N617" s="23"/>
      <c r="O617" s="23"/>
      <c r="P617" s="19"/>
      <c r="Q617" s="19"/>
    </row>
    <row r="618" spans="1:17">
      <c r="L618" s="19"/>
      <c r="M618" s="23"/>
      <c r="N618" s="23"/>
      <c r="O618" s="23"/>
      <c r="P618" s="19"/>
      <c r="Q618" s="19"/>
    </row>
    <row r="619" spans="1:17">
      <c r="L619" s="19"/>
      <c r="M619" s="23"/>
      <c r="N619" s="23"/>
      <c r="O619" s="23"/>
      <c r="P619" s="19"/>
      <c r="Q619" s="19"/>
    </row>
    <row r="620" spans="1:17">
      <c r="L620" s="19"/>
      <c r="M620" s="23"/>
      <c r="N620" s="23"/>
      <c r="O620" s="23"/>
      <c r="P620" s="19"/>
      <c r="Q620" s="19"/>
    </row>
    <row r="621" spans="1:17">
      <c r="M621" s="21"/>
      <c r="O621" s="21"/>
    </row>
    <row r="622" spans="1:17">
      <c r="M622" s="21"/>
      <c r="O622" s="21"/>
    </row>
    <row r="623" spans="1:17">
      <c r="M623" s="21"/>
      <c r="O623" s="21"/>
    </row>
    <row r="624" spans="1:17">
      <c r="M624" s="21"/>
      <c r="O624" s="21"/>
    </row>
    <row r="625" spans="13:15">
      <c r="M625" s="21"/>
      <c r="O625" s="21"/>
    </row>
    <row r="626" spans="13:15">
      <c r="M626" s="21"/>
      <c r="O626" s="21"/>
    </row>
    <row r="627" spans="13:15">
      <c r="M627" s="21"/>
      <c r="O627" s="21"/>
    </row>
    <row r="628" spans="13:15">
      <c r="M628" s="21"/>
      <c r="O628" s="21"/>
    </row>
    <row r="629" spans="13:15">
      <c r="M629" s="21"/>
      <c r="O629" s="21"/>
    </row>
    <row r="630" spans="13:15">
      <c r="M630" s="21"/>
      <c r="O630" s="21"/>
    </row>
    <row r="631" spans="13:15">
      <c r="M631" s="21"/>
      <c r="O631" s="21"/>
    </row>
    <row r="632" spans="13:15">
      <c r="M632" s="21"/>
      <c r="O632" s="21"/>
    </row>
    <row r="633" spans="13:15">
      <c r="M633" s="21"/>
      <c r="O633" s="21"/>
    </row>
    <row r="634" spans="13:15">
      <c r="M634" s="21"/>
      <c r="O634" s="21"/>
    </row>
    <row r="635" spans="13:15">
      <c r="M635" s="21"/>
      <c r="O635" s="21"/>
    </row>
    <row r="636" spans="13:15">
      <c r="M636" s="21"/>
      <c r="O636" s="21"/>
    </row>
    <row r="637" spans="13:15">
      <c r="M637" s="21"/>
      <c r="O637" s="21"/>
    </row>
    <row r="638" spans="13:15">
      <c r="M638" s="21"/>
      <c r="O638" s="21"/>
    </row>
    <row r="639" spans="13:15">
      <c r="M639" s="21"/>
      <c r="O639" s="21"/>
    </row>
    <row r="640" spans="13:15">
      <c r="M640" s="21"/>
      <c r="O640" s="21"/>
    </row>
    <row r="641" spans="13:15">
      <c r="M641" s="21"/>
      <c r="O641" s="21"/>
    </row>
    <row r="642" spans="13:15">
      <c r="M642" s="21"/>
      <c r="O642" s="21"/>
    </row>
    <row r="643" spans="13:15">
      <c r="M643" s="21"/>
      <c r="O643" s="21"/>
    </row>
    <row r="652" spans="13:15" hidden="1"/>
    <row r="653" spans="13:15" hidden="1"/>
    <row r="654" spans="13:15" hidden="1"/>
    <row r="655" spans="13:15" hidden="1"/>
    <row r="656" spans="13:15" hidden="1"/>
    <row r="657" spans="1:16" hidden="1"/>
    <row r="658" spans="1:16" hidden="1"/>
    <row r="659" spans="1:16" ht="15.75" hidden="1" customHeight="1">
      <c r="A659" s="174"/>
    </row>
    <row r="660" spans="1:16" ht="15.75" hidden="1" customHeight="1">
      <c r="A660" s="174"/>
      <c r="D660" s="20"/>
      <c r="E660" s="20"/>
      <c r="F660" s="20"/>
      <c r="G660" s="20"/>
      <c r="H660" s="20"/>
      <c r="I660" s="20"/>
      <c r="J660" s="20"/>
      <c r="K660" s="20"/>
      <c r="L660" s="20"/>
    </row>
    <row r="661" spans="1:16" ht="15.75" hidden="1" customHeight="1">
      <c r="A661" s="174"/>
      <c r="D661" s="20"/>
      <c r="E661" s="20"/>
      <c r="F661" s="20"/>
      <c r="G661" s="20"/>
      <c r="H661" s="20"/>
      <c r="I661" s="20"/>
      <c r="J661" s="20"/>
      <c r="K661" s="20"/>
      <c r="L661" s="20"/>
    </row>
    <row r="662" spans="1:16" ht="15.75" hidden="1" customHeight="1">
      <c r="A662" s="174"/>
      <c r="D662" s="20"/>
      <c r="E662" s="20"/>
      <c r="F662" s="20"/>
      <c r="G662" s="20"/>
      <c r="H662" s="20"/>
      <c r="I662" s="20"/>
      <c r="J662" s="20"/>
      <c r="K662" s="20"/>
      <c r="L662" s="20"/>
    </row>
    <row r="663" spans="1:16" hidden="1"/>
    <row r="664" spans="1:16" hidden="1">
      <c r="L664" s="19"/>
      <c r="M664" s="19"/>
      <c r="N664" s="23"/>
      <c r="O664" s="19"/>
      <c r="P664" s="19"/>
    </row>
    <row r="665" spans="1:16" ht="22.9" hidden="1">
      <c r="A665" s="173"/>
      <c r="L665" s="19"/>
      <c r="M665" s="31"/>
      <c r="N665" s="23"/>
      <c r="O665" s="31"/>
      <c r="P665" s="19"/>
    </row>
    <row r="666" spans="1:16" ht="22.9" hidden="1">
      <c r="A666" s="173"/>
      <c r="L666" s="19"/>
      <c r="M666" s="32" t="s">
        <v>295</v>
      </c>
      <c r="N666" s="23" t="s">
        <v>278</v>
      </c>
      <c r="O666" s="23" t="s">
        <v>279</v>
      </c>
      <c r="P666" s="19"/>
    </row>
    <row r="667" spans="1:16" hidden="1">
      <c r="L667" s="19"/>
      <c r="M667" s="35" t="s">
        <v>245</v>
      </c>
      <c r="N667" s="35">
        <v>7.0620000000000002E-2</v>
      </c>
      <c r="O667" s="35" t="s">
        <v>128</v>
      </c>
      <c r="P667" s="19"/>
    </row>
    <row r="668" spans="1:16" hidden="1">
      <c r="L668" s="19"/>
      <c r="M668" s="35" t="s">
        <v>290</v>
      </c>
      <c r="N668" s="35">
        <v>54072</v>
      </c>
      <c r="O668" s="35" t="s">
        <v>98</v>
      </c>
      <c r="P668" s="19"/>
    </row>
    <row r="669" spans="1:16" hidden="1">
      <c r="L669" s="19"/>
      <c r="M669" s="23"/>
      <c r="N669" s="23"/>
      <c r="O669" s="23"/>
      <c r="P669" s="19"/>
    </row>
    <row r="670" spans="1:16" hidden="1">
      <c r="L670" s="19"/>
      <c r="M670" s="23"/>
      <c r="N670" s="23"/>
      <c r="O670" s="23"/>
      <c r="P670" s="19"/>
    </row>
    <row r="671" spans="1:16" hidden="1">
      <c r="L671" s="19"/>
      <c r="M671" s="23"/>
      <c r="N671" s="23"/>
      <c r="O671" s="23"/>
      <c r="P671" s="19"/>
    </row>
    <row r="672" spans="1:16" hidden="1">
      <c r="L672" s="19"/>
      <c r="M672" s="23"/>
      <c r="N672" s="23"/>
      <c r="O672" s="23"/>
      <c r="P672" s="19"/>
    </row>
    <row r="673" spans="12:16" hidden="1">
      <c r="L673" s="19"/>
      <c r="M673" s="23"/>
      <c r="N673" s="23"/>
      <c r="O673" s="23"/>
      <c r="P673" s="19"/>
    </row>
    <row r="674" spans="12:16" hidden="1">
      <c r="L674" s="19"/>
      <c r="M674" s="23"/>
      <c r="N674" s="23"/>
      <c r="O674" s="23"/>
      <c r="P674" s="19"/>
    </row>
    <row r="675" spans="12:16" hidden="1">
      <c r="L675" s="19"/>
      <c r="M675" s="23"/>
      <c r="N675" s="23"/>
      <c r="O675" s="23"/>
      <c r="P675" s="19"/>
    </row>
    <row r="676" spans="12:16" hidden="1">
      <c r="L676" s="19"/>
      <c r="M676" s="23"/>
      <c r="N676" s="23"/>
      <c r="O676" s="23"/>
      <c r="P676" s="19"/>
    </row>
    <row r="677" spans="12:16" hidden="1">
      <c r="M677" s="21"/>
      <c r="O677" s="21"/>
    </row>
    <row r="678" spans="12:16" hidden="1">
      <c r="M678" s="21"/>
      <c r="O678" s="21"/>
    </row>
    <row r="679" spans="12:16" hidden="1">
      <c r="M679" s="21"/>
      <c r="O679" s="21"/>
    </row>
    <row r="680" spans="12:16" hidden="1">
      <c r="M680" s="21"/>
      <c r="O680" s="21"/>
    </row>
    <row r="681" spans="12:16" hidden="1">
      <c r="M681" s="21"/>
      <c r="O681" s="21"/>
    </row>
    <row r="682" spans="12:16" hidden="1">
      <c r="M682" s="21"/>
      <c r="O682" s="21"/>
    </row>
    <row r="683" spans="12:16" hidden="1">
      <c r="M683" s="21"/>
      <c r="O683" s="21"/>
    </row>
    <row r="684" spans="12:16" hidden="1">
      <c r="M684" s="21"/>
      <c r="O684" s="21"/>
    </row>
    <row r="685" spans="12:16" hidden="1">
      <c r="M685" s="21"/>
      <c r="O685" s="21"/>
    </row>
    <row r="686" spans="12:16" hidden="1">
      <c r="M686" s="21"/>
      <c r="O686" s="21"/>
    </row>
    <row r="687" spans="12:16" hidden="1">
      <c r="M687" s="21"/>
      <c r="O687" s="21"/>
    </row>
    <row r="688" spans="12:16" hidden="1">
      <c r="M688" s="21"/>
      <c r="O688" s="21"/>
    </row>
    <row r="689" spans="13:15" hidden="1">
      <c r="M689" s="21"/>
      <c r="O689" s="21"/>
    </row>
    <row r="690" spans="13:15" hidden="1">
      <c r="M690" s="21"/>
      <c r="O690" s="21"/>
    </row>
    <row r="691" spans="13:15" hidden="1">
      <c r="M691" s="21"/>
      <c r="O691" s="21"/>
    </row>
    <row r="692" spans="13:15" hidden="1">
      <c r="M692" s="21"/>
      <c r="O692" s="21"/>
    </row>
    <row r="693" spans="13:15" hidden="1">
      <c r="M693" s="21"/>
      <c r="O693" s="21"/>
    </row>
    <row r="694" spans="13:15" hidden="1">
      <c r="M694" s="21"/>
      <c r="O694" s="21"/>
    </row>
    <row r="695" spans="13:15" hidden="1">
      <c r="M695" s="21"/>
      <c r="O695" s="21"/>
    </row>
    <row r="696" spans="13:15" hidden="1">
      <c r="M696" s="21"/>
      <c r="O696" s="21"/>
    </row>
    <row r="697" spans="13:15" hidden="1">
      <c r="M697" s="21"/>
      <c r="O697" s="21"/>
    </row>
    <row r="698" spans="13:15" hidden="1"/>
    <row r="699" spans="13:15" hidden="1"/>
    <row r="700" spans="13:15" hidden="1"/>
    <row r="701" spans="13:15" hidden="1"/>
    <row r="702" spans="13:15" hidden="1"/>
    <row r="703" spans="13:15" hidden="1"/>
    <row r="704" spans="13:15" hidden="1"/>
    <row r="705" spans="1:9" hidden="1"/>
    <row r="706" spans="1:9" hidden="1"/>
    <row r="707" spans="1:9" hidden="1"/>
    <row r="712" spans="1:9" ht="20.25" customHeight="1"/>
    <row r="713" spans="1:9" ht="20.25" customHeight="1"/>
    <row r="714" spans="1:9" ht="20.25" customHeight="1">
      <c r="E714" s="23"/>
      <c r="F714" s="23"/>
      <c r="G714" s="23"/>
      <c r="H714" s="23"/>
      <c r="I714" s="23"/>
    </row>
    <row r="715" spans="1:9" ht="33" customHeight="1">
      <c r="A715" s="224" t="s">
        <v>275</v>
      </c>
      <c r="B715" s="22"/>
      <c r="C715" s="22"/>
      <c r="E715" s="23"/>
      <c r="F715" s="23"/>
      <c r="G715" s="23"/>
      <c r="H715" s="23"/>
      <c r="I715" s="23"/>
    </row>
    <row r="716" spans="1:9" ht="20.25" customHeight="1">
      <c r="A716" s="235"/>
      <c r="B716" s="240">
        <v>1</v>
      </c>
      <c r="C716" s="240">
        <v>2</v>
      </c>
      <c r="D716" s="240">
        <v>3</v>
      </c>
      <c r="E716" s="240" t="s">
        <v>285</v>
      </c>
      <c r="F716" s="23"/>
      <c r="G716" s="23"/>
      <c r="H716" s="23"/>
      <c r="I716" s="23"/>
    </row>
    <row r="717" spans="1:9" ht="20.25" customHeight="1">
      <c r="A717" s="239" t="s">
        <v>207</v>
      </c>
      <c r="B717" s="241">
        <v>3.25108</v>
      </c>
      <c r="C717" s="241">
        <v>3.1213000000000002</v>
      </c>
      <c r="D717" s="241">
        <v>3.0815399999999999</v>
      </c>
      <c r="E717" s="241">
        <f>AVERAGE(B717:D717)</f>
        <v>3.1513066666666667</v>
      </c>
      <c r="F717" s="23"/>
      <c r="G717" s="23"/>
      <c r="H717" s="23"/>
      <c r="I717" s="23"/>
    </row>
    <row r="718" spans="1:9" ht="20.25" customHeight="1">
      <c r="A718" s="239" t="s">
        <v>297</v>
      </c>
      <c r="B718" s="241">
        <v>0.90802499999999997</v>
      </c>
      <c r="C718" s="241">
        <v>0.92016500000000001</v>
      </c>
      <c r="D718" s="241">
        <v>0.93052599999999996</v>
      </c>
      <c r="E718" s="241">
        <f>AVERAGE(B718:D718)</f>
        <v>0.91957199999999994</v>
      </c>
      <c r="F718" s="23"/>
      <c r="G718" s="23"/>
      <c r="H718" s="23"/>
      <c r="I718" s="23"/>
    </row>
    <row r="719" spans="1:9" ht="20.25" customHeight="1">
      <c r="E719" s="23"/>
      <c r="F719" s="23"/>
      <c r="G719" s="23"/>
      <c r="H719" s="23"/>
      <c r="I719" s="23"/>
    </row>
    <row r="720" spans="1:9" ht="20.25" customHeight="1">
      <c r="E720" s="23"/>
      <c r="F720" s="23"/>
      <c r="G720" s="23"/>
      <c r="H720" s="23"/>
      <c r="I720" s="23"/>
    </row>
    <row r="721" spans="5:9" ht="20.25" customHeight="1">
      <c r="E721" s="23"/>
      <c r="F721" s="23"/>
      <c r="G721" s="23"/>
      <c r="H721" s="23"/>
      <c r="I721" s="23"/>
    </row>
    <row r="722" spans="5:9" ht="20.25" customHeight="1">
      <c r="E722" s="23"/>
      <c r="F722" s="23"/>
      <c r="G722" s="23"/>
      <c r="H722" s="23"/>
      <c r="I722" s="23"/>
    </row>
    <row r="723" spans="5:9" ht="20.25" customHeight="1">
      <c r="E723" s="23"/>
      <c r="F723" s="23"/>
      <c r="G723" s="23"/>
      <c r="H723" s="23"/>
      <c r="I723" s="23"/>
    </row>
    <row r="724" spans="5:9" ht="20.25" customHeight="1">
      <c r="E724" s="23"/>
      <c r="F724" s="23"/>
      <c r="G724" s="23"/>
      <c r="H724" s="23"/>
      <c r="I724" s="23"/>
    </row>
    <row r="725" spans="5:9" ht="20.25" customHeight="1">
      <c r="E725" s="23"/>
      <c r="F725" s="23"/>
      <c r="G725" s="23"/>
      <c r="H725" s="23"/>
      <c r="I725" s="23"/>
    </row>
    <row r="726" spans="5:9" ht="20.25" customHeight="1">
      <c r="E726" s="23"/>
      <c r="F726" s="23"/>
      <c r="G726" s="23"/>
      <c r="H726" s="23"/>
      <c r="I726" s="23"/>
    </row>
    <row r="727" spans="5:9" ht="20.25" customHeight="1">
      <c r="E727" s="23"/>
      <c r="F727" s="23"/>
      <c r="G727" s="23"/>
      <c r="H727" s="23"/>
      <c r="I727" s="23"/>
    </row>
    <row r="728" spans="5:9" ht="20.25" customHeight="1">
      <c r="E728" s="23"/>
      <c r="F728" s="23"/>
      <c r="G728" s="23"/>
      <c r="H728" s="23"/>
      <c r="I728" s="23"/>
    </row>
    <row r="729" spans="5:9" ht="20.25" customHeight="1">
      <c r="E729" s="23"/>
      <c r="F729" s="23"/>
      <c r="G729" s="23"/>
      <c r="H729" s="23"/>
      <c r="I729" s="23"/>
    </row>
    <row r="730" spans="5:9" ht="20.25" customHeight="1">
      <c r="E730" s="23"/>
      <c r="F730" s="23"/>
      <c r="G730" s="23"/>
      <c r="H730" s="23"/>
      <c r="I730" s="23"/>
    </row>
    <row r="731" spans="5:9" ht="20.25" customHeight="1">
      <c r="E731" s="23"/>
      <c r="F731" s="23"/>
      <c r="G731" s="23"/>
      <c r="H731" s="23"/>
      <c r="I731" s="23"/>
    </row>
    <row r="732" spans="5:9" ht="20.25" customHeight="1">
      <c r="E732" s="23"/>
      <c r="F732" s="23"/>
      <c r="G732" s="23"/>
      <c r="H732" s="23"/>
      <c r="I732" s="23"/>
    </row>
    <row r="733" spans="5:9" ht="20.25" customHeight="1">
      <c r="E733" s="23"/>
      <c r="F733" s="23"/>
      <c r="G733" s="23"/>
      <c r="H733" s="23"/>
      <c r="I733" s="23"/>
    </row>
    <row r="734" spans="5:9" ht="20.25" customHeight="1">
      <c r="E734" s="23"/>
      <c r="F734" s="23"/>
      <c r="G734" s="23"/>
      <c r="H734" s="23"/>
      <c r="I734" s="23"/>
    </row>
    <row r="735" spans="5:9" ht="20.25" customHeight="1">
      <c r="E735" s="23"/>
      <c r="F735" s="23"/>
      <c r="G735" s="23"/>
      <c r="H735" s="23"/>
      <c r="I735" s="23"/>
    </row>
    <row r="736" spans="5:9" ht="20.25" customHeight="1">
      <c r="E736" s="23"/>
      <c r="F736" s="23"/>
      <c r="G736" s="23"/>
      <c r="H736" s="23"/>
      <c r="I736" s="23"/>
    </row>
    <row r="737" spans="5:9" ht="20.25" customHeight="1">
      <c r="E737" s="23"/>
      <c r="F737" s="23"/>
      <c r="G737" s="23"/>
      <c r="H737" s="23"/>
      <c r="I737" s="23"/>
    </row>
    <row r="738" spans="5:9" ht="20.25" customHeight="1">
      <c r="E738" s="23"/>
      <c r="F738" s="23"/>
      <c r="G738" s="23"/>
      <c r="H738" s="23"/>
      <c r="I738" s="23"/>
    </row>
    <row r="739" spans="5:9" ht="20.25" customHeight="1">
      <c r="E739" s="23"/>
      <c r="F739" s="23"/>
      <c r="G739" s="23"/>
      <c r="H739" s="23"/>
      <c r="I739" s="23"/>
    </row>
    <row r="740" spans="5:9" ht="20.25" customHeight="1">
      <c r="E740" s="23"/>
      <c r="F740" s="23"/>
      <c r="G740" s="23"/>
      <c r="H740" s="23"/>
      <c r="I740" s="23"/>
    </row>
    <row r="741" spans="5:9" ht="20.25" customHeight="1">
      <c r="E741" s="23"/>
      <c r="F741" s="23"/>
      <c r="G741" s="23"/>
      <c r="H741" s="23"/>
      <c r="I741" s="23"/>
    </row>
    <row r="742" spans="5:9" ht="20.25" customHeight="1">
      <c r="E742" s="23"/>
      <c r="F742" s="23"/>
      <c r="G742" s="23"/>
      <c r="H742" s="23"/>
      <c r="I742" s="23"/>
    </row>
    <row r="743" spans="5:9" ht="20.25" customHeight="1">
      <c r="E743" s="23"/>
      <c r="F743" s="23"/>
      <c r="G743" s="23"/>
      <c r="H743" s="23"/>
      <c r="I743" s="23"/>
    </row>
    <row r="744" spans="5:9" ht="20.25" customHeight="1">
      <c r="E744" s="23"/>
      <c r="F744" s="23"/>
      <c r="G744" s="23"/>
      <c r="H744" s="23"/>
      <c r="I744" s="23"/>
    </row>
    <row r="745" spans="5:9" ht="20.25" customHeight="1">
      <c r="E745" s="23"/>
      <c r="F745" s="23"/>
      <c r="G745" s="23"/>
      <c r="H745" s="23"/>
      <c r="I745" s="23"/>
    </row>
    <row r="746" spans="5:9" ht="20.25" customHeight="1">
      <c r="E746" s="23"/>
      <c r="F746" s="23"/>
      <c r="G746" s="23"/>
      <c r="H746" s="23"/>
      <c r="I746" s="23"/>
    </row>
    <row r="747" spans="5:9" ht="20.25" customHeight="1">
      <c r="E747" s="23"/>
      <c r="F747" s="23"/>
      <c r="G747" s="23"/>
      <c r="H747" s="23"/>
      <c r="I747" s="23"/>
    </row>
    <row r="748" spans="5:9" ht="20.25" customHeight="1">
      <c r="E748" s="23"/>
      <c r="F748" s="23"/>
      <c r="G748" s="23"/>
      <c r="H748" s="23"/>
      <c r="I748" s="23"/>
    </row>
    <row r="749" spans="5:9" ht="20.25" customHeight="1">
      <c r="E749" s="23"/>
      <c r="F749" s="23"/>
      <c r="G749" s="23"/>
      <c r="H749" s="23"/>
      <c r="I749" s="23"/>
    </row>
    <row r="750" spans="5:9" ht="20.25" customHeight="1">
      <c r="E750" s="23"/>
      <c r="F750" s="23"/>
      <c r="G750" s="23"/>
      <c r="H750" s="23"/>
      <c r="I750" s="23"/>
    </row>
    <row r="751" spans="5:9" ht="20.25" customHeight="1">
      <c r="E751" s="23"/>
      <c r="F751" s="23"/>
      <c r="G751" s="23"/>
      <c r="H751" s="23"/>
      <c r="I751" s="23"/>
    </row>
    <row r="752" spans="5:9" ht="20.25" customHeight="1">
      <c r="E752" s="23"/>
      <c r="F752" s="23"/>
      <c r="G752" s="23"/>
      <c r="H752" s="23"/>
      <c r="I752" s="23"/>
    </row>
    <row r="753" spans="1:12" ht="20.25" customHeight="1">
      <c r="E753" s="23"/>
      <c r="F753" s="23"/>
      <c r="G753" s="23"/>
      <c r="H753" s="23"/>
      <c r="I753" s="23"/>
    </row>
    <row r="754" spans="1:12" ht="20.25" customHeight="1">
      <c r="E754" s="23"/>
      <c r="F754" s="23"/>
      <c r="G754" s="23"/>
      <c r="H754" s="23"/>
      <c r="I754" s="23"/>
    </row>
    <row r="755" spans="1:12" ht="20.25" customHeight="1">
      <c r="E755" s="23"/>
      <c r="F755" s="23"/>
      <c r="G755" s="23"/>
      <c r="H755" s="23"/>
      <c r="I755" s="23"/>
    </row>
    <row r="756" spans="1:12" ht="20.25" customHeight="1">
      <c r="E756" s="23"/>
      <c r="F756" s="23"/>
      <c r="G756" s="23"/>
      <c r="H756" s="23"/>
      <c r="I756" s="23"/>
    </row>
    <row r="757" spans="1:12" ht="20.25" customHeight="1">
      <c r="E757" s="23"/>
      <c r="F757" s="23"/>
      <c r="G757" s="23"/>
      <c r="H757" s="23"/>
      <c r="I757" s="23"/>
    </row>
    <row r="758" spans="1:12" ht="20.25" customHeight="1">
      <c r="E758" s="23"/>
      <c r="F758" s="23"/>
      <c r="G758" s="23"/>
      <c r="H758" s="23"/>
      <c r="I758" s="23"/>
    </row>
    <row r="759" spans="1:12" ht="20.25" customHeight="1">
      <c r="E759" s="23"/>
      <c r="F759" s="23"/>
      <c r="G759" s="23"/>
      <c r="H759" s="23"/>
      <c r="I759" s="23"/>
    </row>
    <row r="760" spans="1:12" ht="20.25" customHeight="1">
      <c r="E760" s="23"/>
      <c r="F760" s="23"/>
      <c r="G760" s="23"/>
      <c r="H760" s="23"/>
      <c r="I760" s="23"/>
    </row>
    <row r="761" spans="1:12" ht="20.25" customHeight="1">
      <c r="E761" s="23"/>
      <c r="F761" s="23"/>
      <c r="G761" s="23"/>
      <c r="H761" s="23"/>
      <c r="I761" s="23"/>
    </row>
    <row r="762" spans="1:12" ht="33">
      <c r="A762" s="224" t="s">
        <v>299</v>
      </c>
      <c r="B762" s="22"/>
      <c r="C762" s="22"/>
      <c r="E762" s="23"/>
      <c r="F762" s="23"/>
      <c r="G762" s="23"/>
      <c r="H762" s="23"/>
      <c r="I762" s="23"/>
    </row>
    <row r="763" spans="1:12" ht="20.25" customHeight="1">
      <c r="A763" s="235"/>
      <c r="B763" s="240" t="s">
        <v>300</v>
      </c>
      <c r="C763" s="240">
        <v>2</v>
      </c>
      <c r="D763" s="240">
        <v>3</v>
      </c>
      <c r="E763" s="240" t="s">
        <v>285</v>
      </c>
      <c r="F763" s="23"/>
      <c r="G763" s="23"/>
      <c r="H763" s="23"/>
      <c r="I763" s="23"/>
      <c r="K763" s="241"/>
      <c r="L763" s="241"/>
    </row>
    <row r="764" spans="1:12" ht="20.25" customHeight="1">
      <c r="A764" s="239" t="s">
        <v>207</v>
      </c>
      <c r="B764" s="241">
        <v>0.46577000000000002</v>
      </c>
      <c r="C764" s="241">
        <v>0.33349000000000001</v>
      </c>
      <c r="D764" s="241">
        <v>0.34304000000000001</v>
      </c>
      <c r="E764" s="241">
        <f>AVERAGE(B764:D764)</f>
        <v>0.3807666666666667</v>
      </c>
      <c r="F764" s="23"/>
      <c r="G764" s="23"/>
      <c r="H764" s="23"/>
      <c r="I764" s="23"/>
      <c r="K764" s="241"/>
      <c r="L764" s="241"/>
    </row>
    <row r="765" spans="1:12" ht="20.25" customHeight="1">
      <c r="A765" s="239" t="s">
        <v>297</v>
      </c>
      <c r="B765" s="241">
        <v>319.37700000000001</v>
      </c>
      <c r="C765" s="241">
        <v>320.48700000000002</v>
      </c>
      <c r="D765" s="241">
        <v>319.74099999999999</v>
      </c>
      <c r="E765" s="241">
        <f>AVERAGE(B765:D765)</f>
        <v>319.86833333333334</v>
      </c>
      <c r="F765" s="23"/>
      <c r="G765" s="23"/>
      <c r="H765" s="23"/>
      <c r="I765" s="23"/>
    </row>
    <row r="766" spans="1:12" ht="20.25" customHeight="1">
      <c r="A766" s="235"/>
      <c r="B766" s="22"/>
      <c r="C766" s="22"/>
      <c r="E766" s="23"/>
      <c r="F766" s="23"/>
      <c r="G766" s="23"/>
      <c r="H766" s="23"/>
      <c r="I766" s="23"/>
    </row>
    <row r="767" spans="1:12" ht="20.25" customHeight="1">
      <c r="A767" s="175"/>
      <c r="B767" s="22"/>
      <c r="C767" s="22"/>
      <c r="D767" s="20"/>
      <c r="E767" s="23"/>
      <c r="F767" s="23"/>
      <c r="G767" s="23"/>
      <c r="H767" s="20"/>
      <c r="I767" s="20"/>
      <c r="J767" s="20"/>
      <c r="K767" s="20"/>
    </row>
    <row r="768" spans="1:12" ht="20.25" customHeight="1">
      <c r="A768" s="20"/>
      <c r="B768" s="20"/>
      <c r="C768" s="20"/>
      <c r="D768" s="22"/>
      <c r="E768" s="22"/>
      <c r="F768" s="22"/>
      <c r="G768" s="22"/>
      <c r="H768" s="22"/>
      <c r="I768" s="22"/>
      <c r="J768" s="22"/>
      <c r="K768" s="22"/>
    </row>
    <row r="769" spans="1:16" ht="20.25" customHeight="1">
      <c r="A769" s="20"/>
      <c r="B769" s="20"/>
      <c r="C769" s="20"/>
      <c r="D769" s="22"/>
      <c r="E769" s="22"/>
      <c r="F769" s="22"/>
      <c r="G769" s="22"/>
      <c r="H769" s="22"/>
      <c r="I769" s="22"/>
      <c r="J769" s="22"/>
      <c r="K769" s="22"/>
      <c r="L769" s="19"/>
      <c r="M769" s="31"/>
      <c r="N769" s="23"/>
      <c r="O769" s="31"/>
      <c r="P769" s="19"/>
    </row>
    <row r="770" spans="1:16" ht="20.25" customHeight="1">
      <c r="A770" s="20"/>
      <c r="B770" s="20"/>
      <c r="C770" s="20"/>
      <c r="D770" s="22"/>
      <c r="E770" s="22"/>
      <c r="F770" s="22"/>
      <c r="G770" s="22"/>
      <c r="H770" s="22"/>
      <c r="I770" s="22"/>
      <c r="J770" s="22"/>
      <c r="K770" s="22"/>
      <c r="L770" s="19"/>
      <c r="M770" s="31"/>
      <c r="N770" s="23"/>
      <c r="O770" s="31"/>
      <c r="P770" s="19"/>
    </row>
    <row r="771" spans="1:16" ht="20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19"/>
      <c r="P771" s="19"/>
    </row>
    <row r="772" spans="1:16" ht="20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19"/>
      <c r="P772" s="19"/>
    </row>
    <row r="773" spans="1:16" ht="20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19"/>
      <c r="P773" s="19"/>
    </row>
    <row r="774" spans="1:16" ht="20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19"/>
      <c r="P774" s="19"/>
    </row>
    <row r="775" spans="1:16" ht="20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19"/>
      <c r="M775" s="23"/>
      <c r="N775" s="23"/>
      <c r="O775" s="23"/>
      <c r="P775" s="19"/>
    </row>
    <row r="776" spans="1:16" ht="20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19"/>
      <c r="M776" s="23"/>
      <c r="N776" s="23"/>
      <c r="O776" s="23"/>
      <c r="P776" s="19"/>
    </row>
    <row r="777" spans="1:16" ht="20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19"/>
      <c r="M777" s="23"/>
      <c r="N777" s="23"/>
      <c r="O777" s="23"/>
      <c r="P777" s="19"/>
    </row>
    <row r="778" spans="1:16" ht="20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19"/>
      <c r="M778" s="23"/>
      <c r="N778" s="23"/>
      <c r="O778" s="23"/>
      <c r="P778" s="19"/>
    </row>
    <row r="779" spans="1:16" ht="20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19"/>
      <c r="M779" s="31"/>
      <c r="N779" s="23"/>
      <c r="O779" s="31"/>
      <c r="P779" s="19"/>
    </row>
    <row r="780" spans="1:16" ht="20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19"/>
      <c r="M780" s="31"/>
      <c r="N780" s="23"/>
      <c r="O780" s="31"/>
      <c r="P780" s="19"/>
    </row>
    <row r="781" spans="1:16" ht="20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M781" s="20"/>
      <c r="O781" s="20"/>
    </row>
    <row r="782" spans="1:16" ht="20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O782" s="20"/>
    </row>
    <row r="783" spans="1:16" ht="20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O783" s="20"/>
    </row>
    <row r="784" spans="1:16" ht="20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O784" s="20"/>
    </row>
    <row r="785" spans="1:15" ht="20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O785" s="20"/>
    </row>
    <row r="786" spans="1:15" ht="20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O786" s="20"/>
    </row>
    <row r="787" spans="1:15" ht="20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O787" s="20"/>
    </row>
    <row r="788" spans="1:15" ht="20.25" customHeight="1">
      <c r="A788" s="176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O788" s="20"/>
    </row>
    <row r="789" spans="1:15" ht="20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O789" s="20"/>
    </row>
    <row r="790" spans="1:15" ht="20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O790" s="20"/>
    </row>
    <row r="791" spans="1:15" ht="20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O791" s="20"/>
    </row>
    <row r="792" spans="1:15" ht="20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O792" s="20"/>
    </row>
    <row r="793" spans="1:15" ht="20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O793" s="20"/>
    </row>
    <row r="794" spans="1:15" ht="20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O794" s="20"/>
    </row>
    <row r="795" spans="1:15" ht="20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O795" s="20"/>
    </row>
    <row r="796" spans="1:15" ht="20.25" customHeight="1"/>
    <row r="797" spans="1:15" ht="20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O797" s="20"/>
    </row>
    <row r="798" spans="1:15" ht="20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O798" s="20"/>
    </row>
    <row r="799" spans="1:15" ht="20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O799" s="20"/>
    </row>
    <row r="800" spans="1:15" ht="20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O800" s="20"/>
    </row>
    <row r="801" spans="1:16" ht="20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O801" s="20"/>
    </row>
    <row r="802" spans="1:16" ht="20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O802" s="20"/>
    </row>
    <row r="803" spans="1:16" ht="20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O803" s="20"/>
    </row>
    <row r="804" spans="1:16" ht="20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O804" s="20"/>
    </row>
    <row r="805" spans="1:16" ht="20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O805" s="20"/>
    </row>
    <row r="806" spans="1:16" ht="20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O806" s="20"/>
    </row>
    <row r="807" spans="1:16" ht="20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O807" s="20"/>
    </row>
    <row r="808" spans="1:16" ht="19.899999999999999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O808" s="20"/>
    </row>
    <row r="809" spans="1:16" ht="33" customHeight="1">
      <c r="A809" s="224" t="s">
        <v>301</v>
      </c>
      <c r="B809" s="22"/>
      <c r="C809" s="22"/>
    </row>
    <row r="810" spans="1:16" ht="20.25" customHeight="1">
      <c r="A810" s="235"/>
      <c r="B810" s="240">
        <v>1</v>
      </c>
      <c r="C810" s="240">
        <v>2</v>
      </c>
      <c r="D810" s="240">
        <v>3</v>
      </c>
      <c r="E810" s="240" t="s">
        <v>285</v>
      </c>
    </row>
    <row r="811" spans="1:16" ht="20.25" customHeight="1">
      <c r="A811" s="239" t="s">
        <v>207</v>
      </c>
      <c r="B811" s="241">
        <v>0.34988999999999998</v>
      </c>
      <c r="C811" s="241">
        <v>0.3725</v>
      </c>
      <c r="D811" s="241">
        <v>0.36219000000000001</v>
      </c>
      <c r="E811" s="241">
        <f>AVERAGE(B811:D811)</f>
        <v>0.36152666666666661</v>
      </c>
      <c r="F811" s="20"/>
      <c r="G811" s="20"/>
      <c r="H811" s="20"/>
      <c r="I811" s="20"/>
      <c r="J811" s="20"/>
      <c r="K811" s="20"/>
    </row>
    <row r="812" spans="1:16" ht="20.25" customHeight="1">
      <c r="A812" s="239" t="s">
        <v>297</v>
      </c>
      <c r="B812" s="241">
        <v>328.01600000000002</v>
      </c>
      <c r="C812" s="241">
        <v>324.834</v>
      </c>
      <c r="D812" s="241">
        <v>320.90499999999997</v>
      </c>
      <c r="E812" s="241">
        <f>AVERAGE(B812:D812)</f>
        <v>324.58499999999998</v>
      </c>
      <c r="F812" s="20"/>
      <c r="G812" s="20"/>
      <c r="H812" s="20"/>
      <c r="I812" s="20"/>
      <c r="J812" s="20"/>
      <c r="K812" s="20"/>
    </row>
    <row r="813" spans="1:16" ht="20.25" customHeight="1">
      <c r="A813" s="177"/>
      <c r="B813" s="22"/>
      <c r="C813" s="22"/>
      <c r="D813" s="20"/>
      <c r="E813" s="20"/>
      <c r="F813" s="20"/>
      <c r="G813" s="20"/>
      <c r="H813" s="20"/>
      <c r="I813" s="20"/>
      <c r="J813" s="20"/>
      <c r="K813" s="20"/>
    </row>
    <row r="814" spans="1:16" ht="20.25" customHeight="1">
      <c r="A814" s="20"/>
      <c r="B814" s="20"/>
      <c r="C814" s="20"/>
      <c r="D814" s="22"/>
      <c r="E814" s="22"/>
      <c r="F814" s="22"/>
      <c r="G814" s="22"/>
      <c r="H814" s="22"/>
      <c r="I814" s="22"/>
      <c r="J814" s="22"/>
      <c r="K814" s="22"/>
    </row>
    <row r="815" spans="1:16" ht="20.25" customHeight="1">
      <c r="A815" s="20"/>
      <c r="B815" s="20"/>
      <c r="C815" s="20"/>
      <c r="D815" s="22"/>
      <c r="E815" s="22"/>
      <c r="F815" s="22"/>
      <c r="G815" s="22"/>
      <c r="H815" s="22"/>
      <c r="I815" s="22"/>
      <c r="J815" s="22"/>
      <c r="K815" s="22"/>
      <c r="L815" s="19"/>
      <c r="P815" s="19"/>
    </row>
    <row r="816" spans="1:16" ht="20.25" customHeight="1">
      <c r="A816" s="20"/>
      <c r="B816" s="20"/>
      <c r="C816" s="20"/>
      <c r="D816" s="22"/>
      <c r="E816" s="22"/>
      <c r="F816" s="22"/>
      <c r="G816" s="22"/>
      <c r="H816" s="22"/>
      <c r="I816" s="22"/>
      <c r="J816" s="22"/>
      <c r="K816" s="22"/>
      <c r="L816" s="19"/>
      <c r="P816" s="19"/>
    </row>
    <row r="817" spans="1:18" ht="20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19"/>
      <c r="P817" s="19"/>
    </row>
    <row r="818" spans="1:18" ht="20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19"/>
      <c r="M818" s="31"/>
      <c r="N818" s="23"/>
      <c r="O818" s="31"/>
      <c r="P818" s="19"/>
      <c r="Q818" s="242"/>
      <c r="R818" s="243"/>
    </row>
    <row r="819" spans="1:18" ht="20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19"/>
      <c r="M819" s="23"/>
      <c r="N819" s="23"/>
      <c r="O819" s="23"/>
      <c r="P819" s="19"/>
    </row>
    <row r="820" spans="1:18" ht="20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19"/>
      <c r="M820" s="23"/>
      <c r="N820" s="23"/>
      <c r="O820" s="23"/>
      <c r="P820" s="19"/>
    </row>
    <row r="821" spans="1:18" ht="20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19"/>
      <c r="M821" s="23"/>
      <c r="N821" s="23"/>
      <c r="O821" s="23"/>
      <c r="P821" s="19"/>
    </row>
    <row r="822" spans="1:18" ht="20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19"/>
      <c r="M822" s="23"/>
      <c r="N822" s="23"/>
      <c r="O822" s="23"/>
      <c r="P822" s="19"/>
    </row>
    <row r="823" spans="1:18" ht="20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19"/>
      <c r="M823" s="23"/>
      <c r="N823" s="23"/>
      <c r="O823" s="23"/>
      <c r="P823" s="19"/>
    </row>
    <row r="824" spans="1:18" ht="20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19"/>
      <c r="M824" s="31"/>
      <c r="N824" s="23"/>
      <c r="O824" s="31"/>
      <c r="P824" s="19"/>
    </row>
    <row r="825" spans="1:18" ht="20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19"/>
      <c r="M825" s="31"/>
      <c r="N825" s="23"/>
      <c r="O825" s="31"/>
      <c r="P825" s="19"/>
    </row>
    <row r="826" spans="1:18" ht="20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19"/>
      <c r="M826" s="20"/>
      <c r="O826" s="20"/>
      <c r="P826" s="19"/>
    </row>
    <row r="827" spans="1:18" ht="20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M827" s="20"/>
      <c r="O827" s="20"/>
    </row>
    <row r="828" spans="1:18" ht="20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O828" s="20"/>
    </row>
    <row r="829" spans="1:18" ht="20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O829" s="20"/>
    </row>
    <row r="830" spans="1:18" ht="20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O830" s="20"/>
    </row>
    <row r="831" spans="1:18" ht="20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O831" s="20"/>
    </row>
    <row r="832" spans="1:18" ht="20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O832" s="20"/>
    </row>
    <row r="833" spans="1:15" ht="20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O833" s="20"/>
    </row>
    <row r="834" spans="1:15" ht="20.25" customHeight="1">
      <c r="A834" s="176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O834" s="20"/>
    </row>
    <row r="835" spans="1:15" ht="20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O835" s="20"/>
    </row>
    <row r="836" spans="1:15" ht="20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O836" s="20"/>
    </row>
    <row r="837" spans="1:15" ht="20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O837" s="20"/>
    </row>
    <row r="838" spans="1:15" ht="20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O838" s="20"/>
    </row>
    <row r="839" spans="1:15" ht="20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O839" s="20"/>
    </row>
    <row r="840" spans="1:15" ht="20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O840" s="20"/>
    </row>
    <row r="841" spans="1:15" ht="20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O841" s="20"/>
    </row>
    <row r="842" spans="1:15" ht="20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O842" s="20"/>
    </row>
    <row r="843" spans="1:15" ht="20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O843" s="20"/>
    </row>
    <row r="844" spans="1:15" ht="20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O844" s="20"/>
    </row>
    <row r="845" spans="1:15" ht="20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O845" s="20"/>
    </row>
    <row r="846" spans="1:15" ht="20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O846" s="20"/>
    </row>
    <row r="847" spans="1:15" ht="20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O847" s="20"/>
    </row>
    <row r="848" spans="1:15" ht="20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spans="1:18" ht="20.25" customHeight="1">
      <c r="M849" s="20"/>
      <c r="O849" s="20"/>
    </row>
    <row r="850" spans="1:18" ht="19.899999999999999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O850" s="20"/>
    </row>
    <row r="851" spans="1:18" ht="20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spans="1:18" ht="20.25" customHeight="1"/>
    <row r="853" spans="1:18" ht="19.899999999999999" customHeight="1"/>
    <row r="854" spans="1:18" ht="20.25" customHeight="1"/>
    <row r="855" spans="1:18" ht="33" customHeight="1">
      <c r="A855" s="224" t="s">
        <v>302</v>
      </c>
    </row>
    <row r="856" spans="1:18" ht="20.25" customHeight="1">
      <c r="A856" s="235"/>
      <c r="B856" s="240">
        <v>1</v>
      </c>
      <c r="C856" s="240">
        <v>2</v>
      </c>
      <c r="D856" s="240">
        <v>3</v>
      </c>
      <c r="E856" s="240" t="s">
        <v>285</v>
      </c>
    </row>
    <row r="857" spans="1:18" ht="20.25" customHeight="1">
      <c r="A857" s="239" t="s">
        <v>207</v>
      </c>
      <c r="B857" s="241">
        <v>0.56337000000000004</v>
      </c>
      <c r="C857" s="241">
        <v>0.56588000000000005</v>
      </c>
      <c r="D857" s="241">
        <v>0.69198999999999999</v>
      </c>
      <c r="E857" s="241">
        <f>AVERAGE(B857:D857)</f>
        <v>0.60707999999999995</v>
      </c>
    </row>
    <row r="858" spans="1:18" ht="20.25" customHeight="1">
      <c r="A858" s="239" t="s">
        <v>297</v>
      </c>
      <c r="B858" s="241">
        <v>329.839</v>
      </c>
      <c r="C858" s="241">
        <v>331.16500000000002</v>
      </c>
      <c r="D858" s="241">
        <v>330.613</v>
      </c>
      <c r="E858" s="241">
        <f>AVERAGE(B858:D858)</f>
        <v>330.53899999999999</v>
      </c>
      <c r="I858" s="237"/>
      <c r="J858" s="237"/>
      <c r="Q858" s="237"/>
      <c r="R858" s="237"/>
    </row>
    <row r="859" spans="1:18" ht="20.25" customHeight="1">
      <c r="A859" s="235"/>
    </row>
    <row r="860" spans="1:18" ht="20.25" customHeight="1"/>
    <row r="861" spans="1:18" ht="20.25" customHeight="1"/>
    <row r="862" spans="1:18" ht="19.899999999999999" customHeight="1"/>
    <row r="863" spans="1:18" ht="20.25" customHeight="1"/>
    <row r="864" spans="1:18" ht="20.25" customHeight="1"/>
    <row r="865" spans="65:66" ht="20.25" customHeight="1"/>
    <row r="866" spans="65:66" ht="20.25" customHeight="1">
      <c r="BM866" s="237"/>
      <c r="BN866" s="237"/>
    </row>
    <row r="867" spans="65:66" ht="20.25" customHeight="1"/>
    <row r="868" spans="65:66" ht="20.25" customHeight="1"/>
    <row r="869" spans="65:66" ht="20.25" customHeight="1"/>
    <row r="870" spans="65:66" ht="20.25" customHeight="1"/>
    <row r="871" spans="65:66" ht="20.25" customHeight="1"/>
    <row r="872" spans="65:66" ht="20.25" customHeight="1"/>
    <row r="873" spans="65:66" ht="20.25" customHeight="1"/>
    <row r="874" spans="65:66" ht="20.25" customHeight="1"/>
    <row r="875" spans="65:66" ht="20.25" customHeight="1"/>
    <row r="876" spans="65:66" ht="20.25" customHeight="1"/>
    <row r="877" spans="65:66" ht="20.25" customHeight="1"/>
    <row r="878" spans="65:66" ht="20.25" customHeight="1"/>
    <row r="879" spans="65:66" ht="20.25" customHeight="1"/>
    <row r="880" spans="65:66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spans="1:16" ht="20.25" customHeight="1"/>
    <row r="898" spans="1:16" ht="20.25" customHeight="1"/>
    <row r="899" spans="1:16" ht="20.25" customHeight="1"/>
    <row r="900" spans="1:16" ht="20.25" customHeight="1"/>
    <row r="901" spans="1:16" ht="20.25" customHeight="1"/>
    <row r="902" spans="1:16" ht="20.25" customHeight="1"/>
    <row r="903" spans="1:16" ht="20.25" customHeight="1"/>
    <row r="904" spans="1:16" ht="20.25" customHeight="1"/>
    <row r="905" spans="1:16" ht="20.25" customHeight="1"/>
    <row r="906" spans="1:16" ht="33" customHeight="1">
      <c r="A906" s="224" t="s">
        <v>303</v>
      </c>
      <c r="B906" s="22"/>
      <c r="C906" s="22"/>
    </row>
    <row r="907" spans="1:16" ht="25.15" customHeight="1">
      <c r="A907" s="179" t="s">
        <v>304</v>
      </c>
      <c r="B907" s="147"/>
      <c r="C907" s="147"/>
      <c r="D907"/>
      <c r="E907"/>
      <c r="F907"/>
      <c r="G907"/>
      <c r="H907"/>
      <c r="I907"/>
      <c r="J907"/>
      <c r="K907"/>
    </row>
    <row r="908" spans="1:16" ht="20.25" customHeight="1">
      <c r="A908" s="235"/>
      <c r="B908" s="240">
        <v>1</v>
      </c>
      <c r="C908" s="148"/>
      <c r="D908" s="147"/>
      <c r="E908" s="147"/>
      <c r="F908" s="147"/>
      <c r="G908" s="147"/>
      <c r="H908" s="147"/>
      <c r="I908" s="147"/>
      <c r="J908" s="147"/>
      <c r="K908" s="147"/>
      <c r="M908" s="31"/>
      <c r="N908" s="23"/>
      <c r="O908" s="31"/>
    </row>
    <row r="909" spans="1:16" ht="20.25" customHeight="1">
      <c r="A909" s="239" t="s">
        <v>207</v>
      </c>
      <c r="B909" s="241">
        <v>0.68315999999999999</v>
      </c>
      <c r="C909" s="20"/>
      <c r="D909" s="22"/>
      <c r="E909" s="22"/>
      <c r="F909" s="22"/>
      <c r="G909" s="22"/>
      <c r="H909" s="22"/>
      <c r="I909" s="22"/>
      <c r="J909" s="22"/>
      <c r="K909" s="22"/>
      <c r="L909" s="19"/>
      <c r="M909" s="31"/>
      <c r="N909" s="23"/>
      <c r="O909" s="31"/>
      <c r="P909" s="19"/>
    </row>
    <row r="910" spans="1:16" ht="20.25" customHeight="1">
      <c r="A910" s="239" t="s">
        <v>297</v>
      </c>
      <c r="B910" s="241">
        <v>2724.97</v>
      </c>
      <c r="C910" s="20"/>
      <c r="D910" s="22"/>
      <c r="E910" s="22"/>
      <c r="F910" s="22"/>
      <c r="G910" s="22"/>
      <c r="H910" s="22"/>
      <c r="I910" s="22"/>
      <c r="J910" s="22"/>
      <c r="K910" s="22"/>
      <c r="L910" s="19"/>
      <c r="M910" s="23"/>
      <c r="N910" s="23"/>
      <c r="O910" s="23"/>
      <c r="P910" s="19"/>
    </row>
    <row r="911" spans="1:16" ht="20.25" customHeight="1">
      <c r="A911" s="239"/>
      <c r="B911" s="241"/>
      <c r="C911" s="20"/>
      <c r="D911" s="22"/>
      <c r="E911" s="22"/>
      <c r="F911" s="22"/>
      <c r="G911" s="22"/>
      <c r="H911" s="22"/>
      <c r="I911" s="22"/>
      <c r="J911" s="22"/>
      <c r="K911" s="22"/>
      <c r="L911" s="19"/>
      <c r="M911" s="23"/>
      <c r="N911" s="23"/>
      <c r="O911" s="23"/>
      <c r="P911" s="19"/>
    </row>
    <row r="912" spans="1:16" ht="20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19"/>
      <c r="M912" s="23"/>
      <c r="N912" s="23"/>
      <c r="O912" s="23"/>
      <c r="P912" s="19"/>
    </row>
    <row r="913" spans="1:16" ht="20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19"/>
      <c r="M913" s="23"/>
      <c r="N913" s="23"/>
      <c r="O913" s="23"/>
      <c r="P913" s="19"/>
    </row>
    <row r="914" spans="1:16" ht="20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19"/>
      <c r="M914" s="23"/>
      <c r="N914" s="23"/>
      <c r="O914" s="23"/>
      <c r="P914" s="19"/>
    </row>
    <row r="915" spans="1:16" ht="20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19"/>
      <c r="M915" s="23"/>
      <c r="N915" s="23"/>
      <c r="O915" s="23"/>
      <c r="P915" s="19"/>
    </row>
    <row r="916" spans="1:16" ht="20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19"/>
      <c r="M916" s="23"/>
      <c r="N916" s="23"/>
      <c r="O916" s="23"/>
      <c r="P916" s="19"/>
    </row>
    <row r="917" spans="1:16" ht="20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19"/>
      <c r="M917" s="23"/>
      <c r="N917" s="23"/>
      <c r="O917" s="23"/>
      <c r="P917" s="19"/>
    </row>
    <row r="918" spans="1:16" ht="20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19"/>
      <c r="M918" s="23"/>
      <c r="N918" s="23"/>
      <c r="O918" s="23"/>
      <c r="P918" s="19"/>
    </row>
    <row r="919" spans="1:16" ht="20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19"/>
      <c r="M919" s="31"/>
      <c r="N919" s="23"/>
      <c r="O919" s="31"/>
      <c r="P919" s="19"/>
    </row>
    <row r="920" spans="1:16" ht="20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19"/>
      <c r="M920" s="31"/>
      <c r="N920" s="23"/>
      <c r="O920" s="31"/>
      <c r="P920" s="19"/>
    </row>
    <row r="921" spans="1:16" ht="20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19"/>
      <c r="M921" s="20"/>
      <c r="O921" s="20"/>
      <c r="P921" s="19"/>
    </row>
    <row r="922" spans="1:16" ht="20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M922" s="20"/>
      <c r="O922" s="20"/>
    </row>
    <row r="923" spans="1:16" ht="20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O923" s="20"/>
    </row>
    <row r="924" spans="1:16" ht="20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O924" s="20"/>
    </row>
    <row r="925" spans="1:16" ht="20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O925" s="20"/>
    </row>
    <row r="926" spans="1:16" ht="20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O926" s="20"/>
    </row>
    <row r="927" spans="1:16" ht="20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O927" s="20"/>
    </row>
    <row r="928" spans="1:16" ht="20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O928" s="20"/>
    </row>
    <row r="929" spans="1:15" ht="20.25" customHeight="1">
      <c r="A929" s="176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O929" s="20"/>
    </row>
    <row r="930" spans="1:15" ht="20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O930" s="20"/>
    </row>
    <row r="931" spans="1:15" ht="20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O931" s="20"/>
    </row>
    <row r="932" spans="1:15" ht="20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O932" s="20"/>
    </row>
    <row r="933" spans="1:15" ht="20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O933" s="20"/>
    </row>
    <row r="934" spans="1:15" ht="20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O934" s="20"/>
    </row>
    <row r="935" spans="1:15" ht="20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O935" s="20"/>
    </row>
    <row r="936" spans="1:15" ht="20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O936" s="20"/>
    </row>
    <row r="937" spans="1:15" ht="20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O937" s="20"/>
    </row>
    <row r="938" spans="1:15" ht="20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O938" s="20"/>
    </row>
    <row r="939" spans="1:15" ht="20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O939" s="20"/>
    </row>
    <row r="940" spans="1:15" ht="20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O940" s="20"/>
    </row>
    <row r="941" spans="1:15" ht="20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O941" s="20"/>
    </row>
    <row r="942" spans="1:15" ht="20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O942" s="20"/>
    </row>
    <row r="943" spans="1:15" ht="20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O943" s="20"/>
    </row>
    <row r="944" spans="1:15" ht="20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O944" s="20"/>
    </row>
    <row r="945" spans="1:16" ht="20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O945" s="20"/>
    </row>
    <row r="946" spans="1:16" ht="20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O946" s="20"/>
    </row>
    <row r="947" spans="1:16" ht="20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O947" s="20"/>
    </row>
    <row r="948" spans="1:16" ht="20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O948" s="20"/>
    </row>
    <row r="949" spans="1:16" ht="20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spans="1:16" ht="20.25" customHeight="1">
      <c r="A950" s="178"/>
      <c r="B950" s="22"/>
      <c r="C950" s="22"/>
    </row>
    <row r="951" spans="1:16" ht="33" customHeight="1">
      <c r="A951" s="224" t="s">
        <v>305</v>
      </c>
      <c r="B951" s="22"/>
      <c r="C951" s="22"/>
    </row>
    <row r="952" spans="1:16" ht="20.25" customHeight="1">
      <c r="A952" s="235"/>
      <c r="B952" s="240">
        <v>1</v>
      </c>
      <c r="C952" s="22"/>
    </row>
    <row r="953" spans="1:16" ht="20.25" customHeight="1">
      <c r="A953" s="239" t="s">
        <v>207</v>
      </c>
      <c r="B953" s="241">
        <v>0.11829000000000001</v>
      </c>
      <c r="C953" s="22"/>
      <c r="D953" s="20"/>
      <c r="E953" s="20"/>
      <c r="F953" s="20"/>
      <c r="G953" s="20"/>
      <c r="H953" s="20"/>
      <c r="I953" s="20"/>
      <c r="J953" s="20"/>
      <c r="K953" s="20"/>
      <c r="M953" s="19"/>
      <c r="N953" s="23"/>
      <c r="O953" s="19"/>
    </row>
    <row r="954" spans="1:16" ht="20.25" customHeight="1">
      <c r="A954" s="239" t="s">
        <v>297</v>
      </c>
      <c r="B954" s="241">
        <v>2.9930400000000001</v>
      </c>
      <c r="C954" s="20"/>
      <c r="D954" s="22"/>
      <c r="E954" s="22"/>
      <c r="F954" s="22"/>
      <c r="G954" s="22"/>
      <c r="H954" s="22"/>
      <c r="I954" s="22"/>
      <c r="J954" s="22"/>
      <c r="K954" s="22"/>
      <c r="L954" s="19"/>
      <c r="M954" s="31"/>
      <c r="N954" s="23"/>
      <c r="O954" s="31"/>
      <c r="P954" s="19"/>
    </row>
    <row r="955" spans="1:16" ht="20.25" customHeight="1">
      <c r="A955" s="20"/>
      <c r="B955" s="20"/>
      <c r="C955" s="20"/>
      <c r="D955" s="22"/>
      <c r="E955" s="22"/>
      <c r="F955" s="22"/>
      <c r="G955" s="22"/>
      <c r="H955" s="22"/>
      <c r="I955" s="22"/>
      <c r="J955" s="22"/>
      <c r="K955" s="22"/>
      <c r="L955" s="19"/>
      <c r="M955" s="31"/>
      <c r="N955" s="23"/>
      <c r="O955" s="31"/>
      <c r="P955" s="19"/>
    </row>
    <row r="956" spans="1:16" ht="20.25" customHeight="1">
      <c r="A956" s="20"/>
      <c r="B956" s="20"/>
      <c r="C956" s="20"/>
      <c r="D956" s="22"/>
      <c r="E956" s="22"/>
      <c r="F956" s="22"/>
      <c r="G956" s="22"/>
      <c r="H956" s="22"/>
      <c r="I956" s="22"/>
      <c r="J956" s="22"/>
      <c r="K956" s="22"/>
      <c r="L956" s="19"/>
      <c r="M956" s="23"/>
      <c r="N956" s="23"/>
      <c r="O956" s="23"/>
      <c r="P956" s="19"/>
    </row>
    <row r="957" spans="1:16" ht="20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19"/>
      <c r="M957" s="23"/>
      <c r="N957" s="23"/>
      <c r="O957" s="23"/>
      <c r="P957" s="19"/>
    </row>
    <row r="958" spans="1:16" ht="20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19"/>
      <c r="M958" s="23"/>
      <c r="N958" s="23"/>
      <c r="O958" s="23"/>
      <c r="P958" s="19"/>
    </row>
    <row r="959" spans="1:16" ht="20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19"/>
      <c r="M959" s="23"/>
      <c r="N959" s="23"/>
      <c r="O959" s="23"/>
      <c r="P959" s="19"/>
    </row>
    <row r="960" spans="1:16" ht="20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19"/>
      <c r="M960" s="23"/>
      <c r="N960" s="23"/>
      <c r="O960" s="23"/>
      <c r="P960" s="19"/>
    </row>
    <row r="961" spans="1:16" ht="20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19"/>
      <c r="M961" s="23"/>
      <c r="N961" s="23"/>
      <c r="O961" s="23"/>
      <c r="P961" s="19"/>
    </row>
    <row r="962" spans="1:16" ht="20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19"/>
      <c r="M962" s="23"/>
      <c r="N962" s="23"/>
      <c r="O962" s="23"/>
      <c r="P962" s="19"/>
    </row>
    <row r="963" spans="1:16" ht="20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19"/>
      <c r="M963" s="23"/>
      <c r="N963" s="23"/>
      <c r="O963" s="23"/>
      <c r="P963" s="19"/>
    </row>
    <row r="964" spans="1:16" ht="20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19"/>
      <c r="M964" s="20"/>
      <c r="O964" s="20"/>
      <c r="P964" s="19"/>
    </row>
    <row r="965" spans="1:16" ht="20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M965" s="20"/>
      <c r="O965" s="20"/>
    </row>
    <row r="966" spans="1:16" ht="20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M966" s="20"/>
      <c r="O966" s="20"/>
    </row>
    <row r="967" spans="1:16" ht="20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M967" s="20"/>
      <c r="O967" s="20"/>
    </row>
    <row r="968" spans="1:16" ht="20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O968" s="20"/>
    </row>
    <row r="969" spans="1:16" ht="20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O969" s="20"/>
    </row>
    <row r="970" spans="1:16" ht="20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O970" s="20"/>
    </row>
    <row r="971" spans="1:16" ht="20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O971" s="20"/>
    </row>
    <row r="972" spans="1:16" ht="20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O972" s="20"/>
    </row>
    <row r="973" spans="1:16" ht="20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O973" s="20"/>
    </row>
    <row r="974" spans="1:16" ht="20.25" customHeight="1">
      <c r="A974" s="176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O974" s="20"/>
    </row>
    <row r="975" spans="1:16" ht="20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O975" s="20"/>
    </row>
    <row r="976" spans="1:16" ht="20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O976" s="20"/>
    </row>
    <row r="977" spans="1:15" ht="20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O977" s="20"/>
    </row>
    <row r="978" spans="1:15" ht="20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O978" s="20"/>
    </row>
    <row r="979" spans="1:15" ht="20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O979" s="20"/>
    </row>
    <row r="980" spans="1:15" ht="20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O980" s="20"/>
    </row>
    <row r="981" spans="1:15" ht="20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O981" s="20"/>
    </row>
    <row r="982" spans="1:15" ht="20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O982" s="20"/>
    </row>
    <row r="983" spans="1:15" ht="20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O983" s="20"/>
    </row>
    <row r="984" spans="1:15" ht="20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O984" s="20"/>
    </row>
    <row r="985" spans="1:15" ht="20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O985" s="20"/>
    </row>
    <row r="986" spans="1:15" ht="20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O986" s="20"/>
    </row>
    <row r="987" spans="1:15" ht="20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O987" s="20"/>
    </row>
    <row r="988" spans="1:15" ht="20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18"/>
      <c r="N988" s="18"/>
      <c r="O988" s="18"/>
    </row>
    <row r="989" spans="1:15" s="18" customFormat="1" ht="20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</row>
    <row r="990" spans="1:15" s="18" customFormat="1" ht="20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</row>
    <row r="991" spans="1:15" s="18" customFormat="1" ht="20.25" customHeight="1">
      <c r="A991" s="180"/>
      <c r="B991" s="34"/>
      <c r="C991" s="34"/>
      <c r="D991" s="34"/>
      <c r="E991" s="34"/>
      <c r="F991" s="34"/>
      <c r="G991" s="34"/>
      <c r="H991" s="34"/>
      <c r="J991" s="35"/>
    </row>
    <row r="992" spans="1:15" s="18" customFormat="1" ht="20.25" customHeight="1">
      <c r="A992" s="180"/>
      <c r="B992" s="34"/>
      <c r="C992" s="34"/>
      <c r="D992" s="34"/>
      <c r="E992" s="34"/>
      <c r="F992" s="34"/>
      <c r="G992" s="34"/>
      <c r="H992" s="34"/>
      <c r="J992" s="35"/>
    </row>
    <row r="993" spans="1:16" s="18" customFormat="1" ht="20.25" customHeight="1">
      <c r="A993" s="180"/>
      <c r="B993" s="34"/>
      <c r="C993" s="34"/>
      <c r="D993" s="34"/>
      <c r="E993" s="34"/>
      <c r="F993" s="34"/>
      <c r="G993" s="34"/>
      <c r="H993" s="34"/>
      <c r="I993" s="34"/>
      <c r="J993" s="34"/>
      <c r="K993" s="34"/>
    </row>
    <row r="994" spans="1:16" s="18" customFormat="1" ht="20.25" customHeight="1"/>
    <row r="995" spans="1:16" s="18" customFormat="1" ht="20.25" customHeight="1"/>
    <row r="996" spans="1:16" s="18" customFormat="1" ht="20.25" customHeight="1"/>
    <row r="997" spans="1:16" s="18" customFormat="1" ht="20.25" customHeight="1">
      <c r="M997" s="20"/>
      <c r="N997" s="21"/>
      <c r="O997" s="20"/>
    </row>
    <row r="998" spans="1:16" ht="20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O998" s="20"/>
    </row>
    <row r="999" spans="1:16" ht="33">
      <c r="A999" s="229" t="s">
        <v>306</v>
      </c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O999" s="20"/>
    </row>
    <row r="1000" spans="1:16" ht="20.25" customHeight="1">
      <c r="A1000" s="175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O1000" s="20"/>
    </row>
    <row r="1001" spans="1:16" ht="33">
      <c r="A1001" s="175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31"/>
      <c r="N1001" s="23"/>
      <c r="O1001" s="31"/>
    </row>
    <row r="1002" spans="1:16" ht="33">
      <c r="A1002" s="175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31"/>
      <c r="M1002" s="31"/>
      <c r="N1002" s="23"/>
      <c r="O1002" s="31"/>
      <c r="P1002" s="19"/>
    </row>
    <row r="1003" spans="1:16" ht="21">
      <c r="A1003" s="176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31"/>
      <c r="M1003" s="23" t="s">
        <v>118</v>
      </c>
      <c r="N1003" s="23" t="s">
        <v>278</v>
      </c>
      <c r="O1003" s="23" t="s">
        <v>279</v>
      </c>
      <c r="P1003" s="19"/>
    </row>
    <row r="1004" spans="1:16" ht="33">
      <c r="A1004" s="175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31"/>
      <c r="M1004" s="23" t="s">
        <v>307</v>
      </c>
      <c r="N1004" s="23">
        <v>2.8671899999999999</v>
      </c>
      <c r="O1004" s="23" t="s">
        <v>128</v>
      </c>
      <c r="P1004" s="19"/>
    </row>
    <row r="1005" spans="1:16" ht="33">
      <c r="A1005" s="175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31"/>
      <c r="M1005" s="19" t="s">
        <v>199</v>
      </c>
      <c r="N1005" s="23">
        <v>19.828499999999998</v>
      </c>
      <c r="O1005" s="19" t="s">
        <v>98</v>
      </c>
      <c r="P1005" s="19"/>
    </row>
    <row r="1006" spans="1:16" ht="33">
      <c r="A1006" s="175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31"/>
      <c r="M1006" s="19"/>
      <c r="N1006" s="23"/>
      <c r="O1006" s="19"/>
      <c r="P1006" s="19"/>
    </row>
    <row r="1007" spans="1:16" ht="33">
      <c r="A1007" s="175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31"/>
      <c r="M1007" s="19"/>
      <c r="N1007" s="23"/>
      <c r="O1007" s="19"/>
      <c r="P1007" s="19"/>
    </row>
    <row r="1008" spans="1:16" ht="33">
      <c r="A1008" s="175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31"/>
      <c r="M1008" s="20"/>
      <c r="O1008" s="20"/>
      <c r="P1008" s="19"/>
    </row>
    <row r="1009" spans="1:12" ht="33">
      <c r="A1009" s="175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</row>
    <row r="1010" spans="1:12" ht="33">
      <c r="A1010" s="175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</row>
    <row r="1011" spans="1:12" ht="33">
      <c r="A1011" s="175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</row>
    <row r="1012" spans="1:12" ht="33">
      <c r="A1012" s="175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</row>
    <row r="1013" spans="1:12" ht="33">
      <c r="A1013" s="175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</row>
    <row r="1014" spans="1:12" ht="33">
      <c r="A1014" s="175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</row>
    <row r="1015" spans="1:12" ht="21">
      <c r="A1015" s="176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</row>
    <row r="1016" spans="1:12" ht="20.45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</row>
    <row r="1017" spans="1:12" ht="20.45">
      <c r="D1017" s="20"/>
      <c r="E1017" s="20"/>
      <c r="F1017" s="20"/>
      <c r="G1017" s="20"/>
      <c r="H1017" s="20"/>
      <c r="I1017" s="20"/>
      <c r="J1017" s="20"/>
      <c r="K1017" s="20"/>
      <c r="L1017" s="20"/>
    </row>
    <row r="1035" spans="1:15" ht="14.45">
      <c r="M1035" s="18"/>
      <c r="N1035" s="18"/>
      <c r="O1035" s="18"/>
    </row>
    <row r="1036" spans="1:15" s="18" customFormat="1" ht="20.100000000000001" customHeight="1"/>
    <row r="1037" spans="1:15" s="18" customFormat="1" ht="20.100000000000001" customHeight="1"/>
    <row r="1038" spans="1:15" s="18" customFormat="1" ht="20.45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</row>
    <row r="1039" spans="1:15" s="18" customFormat="1" ht="17.45" customHeight="1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</row>
    <row r="1040" spans="1:15" s="18" customFormat="1" ht="33">
      <c r="A1040" s="228" t="s">
        <v>308</v>
      </c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</row>
    <row r="1041" spans="1:16" s="18" customFormat="1" ht="15" customHeight="1">
      <c r="A1041" s="180"/>
      <c r="B1041" s="34"/>
      <c r="C1041" s="34"/>
      <c r="D1041" s="34"/>
      <c r="E1041" s="34"/>
      <c r="F1041" s="34"/>
      <c r="G1041" s="34"/>
    </row>
    <row r="1042" spans="1:16" s="18" customFormat="1" ht="15" customHeight="1">
      <c r="A1042" s="180"/>
      <c r="B1042" s="34"/>
      <c r="C1042" s="34"/>
      <c r="D1042" s="34"/>
      <c r="E1042" s="34"/>
      <c r="F1042" s="34"/>
      <c r="G1042" s="34"/>
    </row>
    <row r="1043" spans="1:16" s="18" customFormat="1" ht="15" customHeight="1">
      <c r="A1043" s="180"/>
      <c r="B1043" s="34"/>
      <c r="C1043" s="34"/>
      <c r="D1043" s="34"/>
      <c r="E1043" s="34"/>
      <c r="F1043" s="34"/>
      <c r="G1043" s="34"/>
    </row>
    <row r="1044" spans="1:16" s="18" customFormat="1" ht="15" customHeight="1">
      <c r="A1044" s="181"/>
      <c r="B1044" s="34"/>
      <c r="C1044" s="34"/>
      <c r="D1044" s="34"/>
      <c r="E1044" s="34"/>
      <c r="F1044" s="34"/>
      <c r="G1044" s="34"/>
      <c r="M1044" s="34"/>
      <c r="N1044" s="34"/>
      <c r="O1044" s="34"/>
    </row>
    <row r="1045" spans="1:16" s="18" customFormat="1" ht="15" customHeight="1">
      <c r="A1045" s="180"/>
      <c r="B1045" s="34"/>
      <c r="C1045" s="34"/>
      <c r="D1045" s="34"/>
      <c r="E1045" s="34"/>
      <c r="F1045" s="34"/>
      <c r="G1045" s="34"/>
      <c r="L1045" s="34"/>
      <c r="M1045" s="34"/>
      <c r="N1045" s="34"/>
      <c r="O1045" s="34"/>
    </row>
    <row r="1046" spans="1:16" s="18" customFormat="1" ht="15" customHeight="1">
      <c r="A1046" s="180"/>
      <c r="B1046" s="34"/>
      <c r="C1046" s="34"/>
      <c r="D1046" s="34"/>
      <c r="E1046" s="34"/>
      <c r="F1046" s="34"/>
      <c r="G1046" s="34"/>
      <c r="L1046" s="34"/>
      <c r="M1046" s="34"/>
      <c r="N1046" s="34"/>
      <c r="O1046" s="34"/>
    </row>
    <row r="1047" spans="1:16" s="18" customFormat="1" ht="15" customHeight="1">
      <c r="A1047" s="180"/>
      <c r="B1047" s="34"/>
      <c r="C1047" s="34"/>
      <c r="D1047" s="34"/>
      <c r="E1047" s="34"/>
      <c r="F1047" s="34"/>
      <c r="G1047" s="34"/>
      <c r="L1047" s="34"/>
      <c r="M1047" s="34"/>
      <c r="N1047" s="34"/>
      <c r="O1047" s="34"/>
    </row>
    <row r="1048" spans="1:16" s="18" customFormat="1" ht="15" customHeight="1">
      <c r="A1048" s="180"/>
      <c r="B1048" s="34"/>
      <c r="C1048" s="34"/>
      <c r="D1048" s="34"/>
      <c r="E1048" s="34"/>
      <c r="F1048" s="34"/>
      <c r="G1048" s="34"/>
      <c r="L1048" s="34"/>
      <c r="M1048" s="34"/>
      <c r="N1048" s="34"/>
      <c r="O1048" s="34"/>
    </row>
    <row r="1049" spans="1:16" s="18" customFormat="1" ht="15" customHeight="1">
      <c r="A1049" s="180"/>
      <c r="B1049" s="34"/>
      <c r="C1049" s="34"/>
      <c r="D1049" s="34"/>
      <c r="E1049" s="34"/>
      <c r="F1049" s="34"/>
      <c r="G1049" s="34"/>
      <c r="L1049" s="34"/>
      <c r="M1049" s="34"/>
      <c r="N1049" s="34"/>
      <c r="O1049" s="34"/>
    </row>
    <row r="1050" spans="1:16" s="18" customFormat="1" ht="15" customHeight="1">
      <c r="A1050" s="180"/>
      <c r="B1050" s="34"/>
      <c r="C1050" s="34"/>
      <c r="D1050" s="34"/>
      <c r="E1050" s="34"/>
      <c r="F1050" s="34"/>
      <c r="G1050" s="34"/>
      <c r="L1050" s="34"/>
      <c r="M1050" s="34"/>
      <c r="N1050" s="34"/>
      <c r="O1050" s="34"/>
    </row>
    <row r="1051" spans="1:16" s="18" customFormat="1" ht="15" customHeight="1">
      <c r="A1051" s="180"/>
      <c r="B1051" s="34"/>
      <c r="C1051" s="34"/>
      <c r="D1051" s="34"/>
      <c r="E1051" s="34"/>
      <c r="F1051" s="34"/>
      <c r="G1051" s="34"/>
      <c r="L1051" s="34"/>
      <c r="M1051" s="34"/>
      <c r="N1051" s="34"/>
      <c r="O1051" s="34"/>
    </row>
    <row r="1052" spans="1:16" s="18" customFormat="1" ht="15" customHeight="1">
      <c r="A1052" s="180"/>
      <c r="B1052" s="34"/>
      <c r="C1052" s="34"/>
      <c r="D1052" s="34"/>
      <c r="E1052" s="34"/>
      <c r="F1052" s="34"/>
      <c r="G1052" s="34"/>
      <c r="L1052" s="34"/>
      <c r="M1052" s="31"/>
      <c r="N1052" s="31"/>
      <c r="O1052" s="31"/>
    </row>
    <row r="1053" spans="1:16" s="18" customFormat="1" ht="33">
      <c r="A1053" s="180"/>
      <c r="B1053" s="34"/>
      <c r="C1053" s="34"/>
      <c r="D1053" s="34"/>
      <c r="E1053" s="34"/>
      <c r="F1053" s="34"/>
      <c r="G1053" s="34"/>
      <c r="L1053" s="34"/>
      <c r="M1053" s="31"/>
      <c r="N1053" s="31"/>
      <c r="O1053" s="31"/>
      <c r="P1053" s="19"/>
    </row>
    <row r="1054" spans="1:16" s="18" customFormat="1" ht="18.95" customHeight="1">
      <c r="A1054" s="34"/>
      <c r="B1054" s="34"/>
      <c r="C1054" s="34"/>
      <c r="D1054" s="34"/>
      <c r="E1054" s="34"/>
      <c r="F1054" s="34"/>
      <c r="G1054" s="34"/>
      <c r="L1054" s="34"/>
      <c r="M1054" s="19"/>
      <c r="N1054" s="19"/>
      <c r="O1054" s="19"/>
      <c r="P1054" s="19"/>
    </row>
    <row r="1055" spans="1:16" s="18" customFormat="1" ht="18.95" customHeight="1">
      <c r="A1055" s="34"/>
      <c r="B1055" s="34"/>
      <c r="C1055" s="34"/>
      <c r="D1055" s="34"/>
      <c r="E1055" s="34"/>
      <c r="F1055" s="34"/>
      <c r="G1055" s="34"/>
      <c r="L1055" s="34"/>
      <c r="M1055" s="23" t="s">
        <v>309</v>
      </c>
      <c r="N1055" s="23" t="s">
        <v>278</v>
      </c>
      <c r="O1055" s="23" t="s">
        <v>279</v>
      </c>
      <c r="P1055" s="19"/>
    </row>
    <row r="1056" spans="1:16" s="18" customFormat="1" ht="20.45">
      <c r="A1056" s="34"/>
      <c r="B1056" s="34"/>
      <c r="C1056" s="34"/>
      <c r="D1056" s="34"/>
      <c r="E1056" s="34"/>
      <c r="F1056" s="34"/>
      <c r="G1056" s="34"/>
      <c r="L1056" s="34"/>
      <c r="M1056" s="23" t="s">
        <v>245</v>
      </c>
      <c r="N1056" s="23">
        <v>8.6610000000000006E-2</v>
      </c>
      <c r="O1056" s="23" t="s">
        <v>128</v>
      </c>
      <c r="P1056" s="19"/>
    </row>
    <row r="1057" spans="1:16" s="18" customFormat="1" ht="20.45">
      <c r="A1057" s="34"/>
      <c r="B1057" s="34"/>
      <c r="C1057" s="34"/>
      <c r="D1057" s="34"/>
      <c r="E1057" s="34"/>
      <c r="F1057" s="34"/>
      <c r="G1057" s="34"/>
      <c r="L1057" s="34"/>
      <c r="M1057" s="23" t="s">
        <v>199</v>
      </c>
      <c r="N1057" s="23">
        <v>1000.08</v>
      </c>
      <c r="O1057" s="23" t="s">
        <v>98</v>
      </c>
      <c r="P1057" s="19"/>
    </row>
    <row r="1058" spans="1:16" s="18" customFormat="1" ht="20.45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1"/>
      <c r="N1058" s="31"/>
      <c r="O1058" s="31"/>
      <c r="P1058" s="19"/>
    </row>
    <row r="1059" spans="1:16" s="18" customFormat="1" ht="20.45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1"/>
      <c r="N1059" s="31"/>
      <c r="O1059" s="31"/>
      <c r="P1059" s="19"/>
    </row>
    <row r="1060" spans="1:16" s="18" customFormat="1" ht="20.45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1"/>
      <c r="N1060" s="31"/>
      <c r="O1060" s="31"/>
      <c r="P1060" s="19"/>
    </row>
    <row r="1061" spans="1:16" s="18" customFormat="1" ht="20.45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19"/>
      <c r="N1061" s="19"/>
      <c r="O1061" s="19"/>
      <c r="P1061" s="19"/>
    </row>
    <row r="1062" spans="1:16" s="18" customFormat="1" ht="18.95" customHeight="1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P1062" s="19"/>
    </row>
    <row r="1063" spans="1:16" s="18" customFormat="1" ht="18.95" customHeight="1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</row>
    <row r="1064" spans="1:16" s="18" customFormat="1" ht="18.95" customHeight="1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</row>
    <row r="1065" spans="1:16" s="18" customFormat="1" ht="18.95" customHeight="1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</row>
    <row r="1066" spans="1:16" s="18" customFormat="1" ht="18.95" customHeight="1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</row>
    <row r="1067" spans="1:16" s="18" customFormat="1" ht="20.45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</row>
    <row r="1068" spans="1:16" s="18" customFormat="1" ht="20.45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</row>
    <row r="1069" spans="1:16" s="18" customFormat="1" ht="20.45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</row>
    <row r="1070" spans="1:16" s="18" customFormat="1" ht="20.45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</row>
    <row r="1071" spans="1:16" s="18" customFormat="1" ht="18.95" customHeight="1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</row>
    <row r="1072" spans="1:16" s="18" customFormat="1" ht="18.95" customHeight="1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</row>
    <row r="1073" spans="1:11" s="18" customFormat="1" ht="18.95" customHeight="1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</row>
    <row r="1074" spans="1:11" s="18" customFormat="1" ht="18.95" customHeight="1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</row>
    <row r="1075" spans="1:11" s="18" customFormat="1" ht="18.95" customHeight="1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</row>
    <row r="1076" spans="1:11" s="18" customFormat="1" ht="18.95" customHeight="1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</row>
    <row r="1077" spans="1:11" s="18" customFormat="1" ht="18.95" customHeight="1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</row>
    <row r="1078" spans="1:11" s="18" customFormat="1" ht="18.95" customHeight="1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</row>
    <row r="1079" spans="1:11" s="18" customFormat="1" ht="18.95" customHeight="1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</row>
    <row r="1080" spans="1:11" s="18" customFormat="1" ht="18.95" customHeight="1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</row>
    <row r="1081" spans="1:11" s="18" customFormat="1" ht="18.95" customHeight="1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</row>
    <row r="1082" spans="1:11" s="18" customFormat="1" ht="18.95" customHeight="1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</row>
    <row r="1083" spans="1:11" s="18" customFormat="1" ht="18.95" customHeight="1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</row>
    <row r="1084" spans="1:11" s="18" customFormat="1" ht="18.95" customHeight="1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</row>
    <row r="1085" spans="1:11" s="18" customFormat="1" ht="18.95" customHeight="1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</row>
    <row r="1086" spans="1:11" s="18" customFormat="1" ht="18.95" customHeight="1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</row>
    <row r="1087" spans="1:11" s="18" customFormat="1" ht="20.45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</row>
    <row r="1088" spans="1:11" s="18" customFormat="1" ht="20.45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</row>
    <row r="1089" spans="1:11" s="18" customFormat="1" ht="20.45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</row>
    <row r="1090" spans="1:11" s="18" customFormat="1" ht="20.45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</row>
    <row r="1091" spans="1:11" s="18" customFormat="1" ht="20.45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</row>
    <row r="1092" spans="1:11" s="18" customFormat="1" ht="20.45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</row>
    <row r="1093" spans="1:11" s="18" customFormat="1" ht="20.45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</row>
    <row r="1094" spans="1:11" s="18" customFormat="1" ht="20.45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</row>
    <row r="1095" spans="1:11" s="18" customFormat="1" ht="33">
      <c r="A1095" s="180"/>
      <c r="B1095" s="34"/>
      <c r="C1095" s="34"/>
      <c r="D1095" s="34"/>
      <c r="E1095" s="34"/>
      <c r="F1095" s="34"/>
      <c r="G1095" s="34"/>
      <c r="H1095" s="34"/>
    </row>
    <row r="1096" spans="1:11" s="18" customFormat="1" ht="20.100000000000001" customHeight="1"/>
    <row r="1097" spans="1:11" s="18" customFormat="1" ht="20.100000000000001" customHeight="1"/>
    <row r="1098" spans="1:11" s="18" customFormat="1" ht="20.100000000000001" customHeight="1"/>
    <row r="1099" spans="1:11" s="18" customFormat="1" ht="20.100000000000001" customHeight="1">
      <c r="A1099" s="182"/>
    </row>
    <row r="1100" spans="1:11" s="18" customFormat="1" ht="20.100000000000001" customHeight="1"/>
    <row r="1101" spans="1:11" s="18" customFormat="1" ht="20.100000000000001" customHeight="1"/>
    <row r="1102" spans="1:11" s="18" customFormat="1" ht="15.6" customHeight="1"/>
    <row r="1103" spans="1:11" s="18" customFormat="1" ht="20.100000000000001" customHeight="1"/>
    <row r="1104" spans="1:11" s="18" customFormat="1" ht="33">
      <c r="A1104" s="225" t="s">
        <v>310</v>
      </c>
    </row>
    <row r="1105" spans="12:15" s="18" customFormat="1" ht="20.100000000000001" customHeight="1">
      <c r="M1105" s="402" t="s">
        <v>311</v>
      </c>
      <c r="N1105" s="402"/>
      <c r="O1105" s="402"/>
    </row>
    <row r="1106" spans="12:15" s="18" customFormat="1" ht="20.100000000000001" customHeight="1">
      <c r="M1106" s="402"/>
      <c r="N1106" s="402"/>
      <c r="O1106" s="402"/>
    </row>
    <row r="1107" spans="12:15" s="18" customFormat="1" ht="20.100000000000001" customHeight="1">
      <c r="L1107" s="19"/>
      <c r="M1107" s="23" t="s">
        <v>312</v>
      </c>
      <c r="N1107" s="23" t="s">
        <v>278</v>
      </c>
      <c r="O1107" s="23" t="s">
        <v>279</v>
      </c>
    </row>
    <row r="1108" spans="12:15" s="18" customFormat="1" ht="20.100000000000001" customHeight="1">
      <c r="L1108" s="19"/>
      <c r="M1108" s="23" t="s">
        <v>307</v>
      </c>
      <c r="N1108" s="23"/>
      <c r="O1108" s="23" t="s">
        <v>128</v>
      </c>
    </row>
    <row r="1109" spans="12:15" s="18" customFormat="1" ht="20.100000000000001" customHeight="1">
      <c r="L1109" s="19"/>
      <c r="M1109" s="23" t="s">
        <v>199</v>
      </c>
      <c r="N1109" s="23"/>
      <c r="O1109" s="23" t="s">
        <v>98</v>
      </c>
    </row>
    <row r="1110" spans="12:15" s="18" customFormat="1" ht="20.100000000000001" customHeight="1">
      <c r="L1110" s="19"/>
      <c r="M1110" s="19"/>
      <c r="N1110" s="19"/>
      <c r="O1110" s="19"/>
    </row>
    <row r="1111" spans="12:15" s="18" customFormat="1" ht="20.100000000000001" customHeight="1">
      <c r="L1111" s="19"/>
    </row>
    <row r="1112" spans="12:15" s="18" customFormat="1" ht="20.100000000000001" customHeight="1"/>
    <row r="1113" spans="12:15" s="18" customFormat="1" ht="20.100000000000001" customHeight="1"/>
    <row r="1114" spans="12:15" s="18" customFormat="1" ht="20.100000000000001" customHeight="1"/>
    <row r="1115" spans="12:15" s="18" customFormat="1" ht="20.100000000000001" customHeight="1"/>
    <row r="1116" spans="12:15" s="18" customFormat="1" ht="20.100000000000001" customHeight="1"/>
    <row r="1117" spans="12:15" s="18" customFormat="1" ht="20.100000000000001" customHeight="1"/>
    <row r="1118" spans="12:15" s="18" customFormat="1" ht="20.100000000000001" customHeight="1"/>
    <row r="1119" spans="12:15" s="18" customFormat="1" ht="20.100000000000001" customHeight="1"/>
    <row r="1120" spans="12:15" s="18" customFormat="1" ht="20.100000000000001" customHeight="1"/>
    <row r="1121" s="18" customFormat="1" ht="20.100000000000001" customHeight="1"/>
    <row r="1122" s="18" customFormat="1" ht="20.100000000000001" customHeight="1"/>
    <row r="1123" s="18" customFormat="1" ht="20.100000000000001" customHeight="1"/>
    <row r="1124" s="18" customFormat="1" ht="20.100000000000001" customHeight="1"/>
    <row r="1125" s="18" customFormat="1" ht="20.100000000000001" customHeight="1"/>
    <row r="1126" s="18" customFormat="1" ht="20.100000000000001" customHeight="1"/>
    <row r="1127" s="18" customFormat="1" ht="20.100000000000001" customHeight="1"/>
    <row r="1128" s="18" customFormat="1" ht="20.100000000000001" customHeight="1"/>
    <row r="1129" s="18" customFormat="1" ht="20.100000000000001" customHeight="1"/>
    <row r="1130" s="18" customFormat="1" ht="20.100000000000001" customHeight="1"/>
    <row r="1131" s="18" customFormat="1" ht="20.100000000000001" customHeight="1"/>
    <row r="1132" s="18" customFormat="1" ht="20.100000000000001" customHeight="1"/>
    <row r="1133" s="18" customFormat="1" ht="20.100000000000001" customHeight="1"/>
    <row r="1134" s="18" customFormat="1" ht="20.100000000000001" customHeight="1"/>
    <row r="1135" s="18" customFormat="1" ht="20.100000000000001" customHeight="1"/>
    <row r="1136" s="18" customFormat="1" ht="20.100000000000001" customHeight="1"/>
    <row r="1137" spans="1:1" s="18" customFormat="1" ht="20.100000000000001" customHeight="1"/>
    <row r="1138" spans="1:1" s="18" customFormat="1" ht="20.100000000000001" customHeight="1"/>
    <row r="1139" spans="1:1" s="18" customFormat="1" ht="20.100000000000001" customHeight="1"/>
    <row r="1140" spans="1:1" s="18" customFormat="1" ht="20.100000000000001" customHeight="1"/>
    <row r="1141" spans="1:1" s="18" customFormat="1" ht="20.100000000000001" customHeight="1"/>
    <row r="1142" spans="1:1" s="18" customFormat="1" ht="20.100000000000001" customHeight="1"/>
    <row r="1143" spans="1:1" s="18" customFormat="1" ht="20.100000000000001" customHeight="1"/>
    <row r="1144" spans="1:1" s="18" customFormat="1" ht="20.100000000000001" customHeight="1"/>
    <row r="1145" spans="1:1" s="18" customFormat="1" ht="20.100000000000001" customHeight="1"/>
    <row r="1146" spans="1:1" s="18" customFormat="1" ht="20.100000000000001" customHeight="1"/>
    <row r="1147" spans="1:1" s="18" customFormat="1" ht="20.100000000000001" customHeight="1"/>
    <row r="1148" spans="1:1" s="18" customFormat="1" ht="20.100000000000001" customHeight="1"/>
    <row r="1149" spans="1:1" s="18" customFormat="1" ht="20.100000000000001" customHeight="1"/>
    <row r="1150" spans="1:1" s="18" customFormat="1" ht="20.100000000000001" customHeight="1"/>
    <row r="1151" spans="1:1" s="18" customFormat="1" ht="20.100000000000001" customHeight="1"/>
    <row r="1152" spans="1:1" s="18" customFormat="1" ht="33">
      <c r="A1152" s="228" t="s">
        <v>313</v>
      </c>
    </row>
    <row r="1153" spans="13:15" s="18" customFormat="1" ht="20.100000000000001" customHeight="1"/>
    <row r="1154" spans="13:15" s="18" customFormat="1" ht="20.100000000000001" customHeight="1"/>
    <row r="1155" spans="13:15" s="18" customFormat="1" ht="20.100000000000001" customHeight="1"/>
    <row r="1156" spans="13:15" s="18" customFormat="1" ht="20.100000000000001" customHeight="1"/>
    <row r="1157" spans="13:15" s="18" customFormat="1" ht="20.100000000000001" customHeight="1"/>
    <row r="1158" spans="13:15" s="18" customFormat="1" ht="20.100000000000001" customHeight="1"/>
    <row r="1159" spans="13:15" s="18" customFormat="1" ht="20.100000000000001" customHeight="1"/>
    <row r="1160" spans="13:15" s="18" customFormat="1" ht="20.100000000000001" customHeight="1"/>
    <row r="1161" spans="13:15" s="18" customFormat="1" ht="20.100000000000001" customHeight="1"/>
    <row r="1162" spans="13:15" s="18" customFormat="1" ht="20.100000000000001" customHeight="1"/>
    <row r="1163" spans="13:15" s="18" customFormat="1" ht="20.100000000000001" customHeight="1"/>
    <row r="1164" spans="13:15" s="18" customFormat="1" ht="20.100000000000001" customHeight="1"/>
    <row r="1165" spans="13:15" s="18" customFormat="1" ht="20.100000000000001" customHeight="1"/>
    <row r="1166" spans="13:15" s="18" customFormat="1" ht="20.100000000000001" customHeight="1"/>
    <row r="1167" spans="13:15" s="18" customFormat="1" ht="20.100000000000001" customHeight="1"/>
    <row r="1168" spans="13:15" s="18" customFormat="1" ht="20.100000000000001" customHeight="1">
      <c r="M1168" s="23" t="s">
        <v>309</v>
      </c>
      <c r="N1168" s="23" t="s">
        <v>278</v>
      </c>
      <c r="O1168" s="23" t="s">
        <v>279</v>
      </c>
    </row>
    <row r="1169" spans="1:15" s="18" customFormat="1" ht="20.100000000000001" customHeight="1">
      <c r="M1169" s="23" t="s">
        <v>245</v>
      </c>
      <c r="N1169" s="23">
        <v>0.27566000000000002</v>
      </c>
      <c r="O1169" s="23" t="s">
        <v>128</v>
      </c>
    </row>
    <row r="1170" spans="1:15" s="18" customFormat="1" ht="20.100000000000001" customHeight="1">
      <c r="M1170" s="23" t="s">
        <v>199</v>
      </c>
      <c r="N1170" s="23">
        <v>1016.15</v>
      </c>
      <c r="O1170" s="23" t="s">
        <v>98</v>
      </c>
    </row>
    <row r="1171" spans="1:15" s="18" customFormat="1" ht="20.100000000000001" customHeight="1"/>
    <row r="1172" spans="1:15" s="18" customFormat="1" ht="20.100000000000001" customHeight="1"/>
    <row r="1173" spans="1:15" s="18" customFormat="1" ht="20.100000000000001" customHeight="1"/>
    <row r="1174" spans="1:15" s="18" customFormat="1" ht="20.100000000000001" customHeight="1"/>
    <row r="1175" spans="1:15" s="18" customFormat="1" ht="35.25" customHeight="1">
      <c r="A1175" s="228" t="s">
        <v>314</v>
      </c>
    </row>
    <row r="1176" spans="1:15" s="18" customFormat="1" ht="20.100000000000001" customHeight="1"/>
    <row r="1177" spans="1:15" s="18" customFormat="1" ht="20.100000000000001" customHeight="1"/>
    <row r="1178" spans="1:15" s="18" customFormat="1" ht="20.100000000000001" customHeight="1"/>
    <row r="1179" spans="1:15" s="18" customFormat="1" ht="20.100000000000001" customHeight="1"/>
    <row r="1180" spans="1:15" s="18" customFormat="1" ht="20.100000000000001" customHeight="1"/>
    <row r="1181" spans="1:15" s="18" customFormat="1" ht="20.100000000000001" customHeight="1"/>
    <row r="1182" spans="1:15" s="18" customFormat="1" ht="20.100000000000001" customHeight="1"/>
    <row r="1183" spans="1:15" s="18" customFormat="1" ht="20.100000000000001" customHeight="1"/>
    <row r="1184" spans="1:15" s="18" customFormat="1" ht="20.100000000000001" customHeight="1"/>
    <row r="1185" spans="1:11" s="18" customFormat="1" ht="20.100000000000001" customHeight="1"/>
    <row r="1186" spans="1:11" s="18" customFormat="1" ht="20.100000000000001" customHeight="1"/>
    <row r="1187" spans="1:11" s="18" customFormat="1" ht="20.100000000000001" customHeight="1"/>
    <row r="1188" spans="1:11" s="18" customFormat="1" ht="20.100000000000001" customHeight="1"/>
    <row r="1189" spans="1:11" s="18" customFormat="1" ht="20.45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</row>
    <row r="1190" spans="1:11" s="18" customFormat="1" ht="17.45" customHeight="1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</row>
    <row r="1191" spans="1:11" s="18" customFormat="1" ht="17.45" customHeight="1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</row>
    <row r="1192" spans="1:11" s="18" customFormat="1" ht="17.45" customHeight="1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</row>
    <row r="1193" spans="1:11" s="18" customFormat="1" ht="20.25" customHeight="1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</row>
    <row r="1194" spans="1:11" s="18" customFormat="1" ht="20.25" customHeight="1">
      <c r="A1194" s="178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</row>
    <row r="1195" spans="1:11" s="18" customFormat="1" ht="20.25" customHeight="1">
      <c r="A1195" s="180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</row>
    <row r="1196" spans="1:11" s="18" customFormat="1" ht="20.25" customHeight="1">
      <c r="A1196" s="180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</row>
    <row r="1197" spans="1:11" s="18" customFormat="1" ht="20.25" customHeight="1">
      <c r="A1197" s="180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</row>
    <row r="1198" spans="1:11" s="18" customFormat="1" ht="20.25" customHeight="1">
      <c r="A1198" s="181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</row>
    <row r="1199" spans="1:11" s="18" customFormat="1" ht="20.25" customHeight="1">
      <c r="A1199" s="180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</row>
    <row r="1200" spans="1:11" s="18" customFormat="1" ht="20.25" customHeight="1">
      <c r="A1200" s="180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</row>
    <row r="1201" spans="1:11" s="18" customFormat="1" ht="20.25" customHeight="1">
      <c r="A1201" s="180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</row>
    <row r="1202" spans="1:11" s="18" customFormat="1" ht="20.25" customHeight="1">
      <c r="A1202" s="180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</row>
    <row r="1203" spans="1:11" s="18" customFormat="1" ht="20.25" customHeight="1">
      <c r="A1203" s="180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</row>
    <row r="1204" spans="1:11" s="18" customFormat="1" ht="20.25" customHeight="1">
      <c r="A1204" s="180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</row>
    <row r="1205" spans="1:11" s="18" customFormat="1" ht="20.25" customHeight="1">
      <c r="A1205" s="180"/>
      <c r="B1205" s="34"/>
      <c r="C1205" s="34"/>
      <c r="D1205" s="34"/>
      <c r="E1205" s="34"/>
      <c r="F1205" s="34"/>
      <c r="G1205" s="34"/>
      <c r="H1205" s="34"/>
    </row>
    <row r="1206" spans="1:11" s="18" customFormat="1" ht="20.25" customHeight="1">
      <c r="A1206" s="180"/>
      <c r="B1206" s="34"/>
      <c r="C1206" s="34"/>
      <c r="D1206" s="34"/>
      <c r="E1206" s="34"/>
      <c r="F1206" s="34"/>
      <c r="G1206" s="34"/>
      <c r="H1206" s="34"/>
    </row>
    <row r="1207" spans="1:11" s="18" customFormat="1" ht="20.25" customHeight="1">
      <c r="A1207" s="180"/>
      <c r="B1207" s="34"/>
      <c r="C1207" s="34"/>
      <c r="D1207" s="34"/>
      <c r="E1207" s="34"/>
      <c r="F1207" s="34"/>
      <c r="G1207" s="34"/>
      <c r="H1207" s="34"/>
    </row>
    <row r="1208" spans="1:11" s="18" customFormat="1" ht="20.25" customHeight="1">
      <c r="A1208" s="34"/>
      <c r="B1208" s="34"/>
      <c r="C1208" s="34"/>
      <c r="D1208" s="34"/>
      <c r="E1208" s="34"/>
      <c r="F1208" s="34"/>
      <c r="G1208" s="34"/>
      <c r="H1208" s="34"/>
    </row>
    <row r="1209" spans="1:11" s="18" customFormat="1" ht="20.25" customHeight="1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</row>
    <row r="1210" spans="1:11" s="18" customFormat="1" ht="20.25" customHeight="1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</row>
    <row r="1211" spans="1:11" s="18" customFormat="1" ht="20.25" customHeight="1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</row>
    <row r="1212" spans="1:11" s="18" customFormat="1" ht="20.25" customHeight="1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</row>
    <row r="1213" spans="1:11" s="18" customFormat="1" ht="20.25" customHeight="1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</row>
    <row r="1214" spans="1:11" s="18" customFormat="1" ht="20.25" customHeight="1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</row>
    <row r="1215" spans="1:11" s="18" customFormat="1" ht="20.4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</row>
    <row r="1216" spans="1:11" s="18" customFormat="1" ht="18.95" customHeight="1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</row>
    <row r="1217" spans="1:16" s="18" customFormat="1" ht="18.95" customHeight="1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</row>
    <row r="1218" spans="1:16" s="18" customFormat="1" ht="18.95" customHeight="1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</row>
    <row r="1219" spans="1:16" s="18" customFormat="1" ht="18.95" customHeight="1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</row>
    <row r="1220" spans="1:16" s="18" customFormat="1" ht="20.45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</row>
    <row r="1221" spans="1:16" s="18" customFormat="1" ht="33">
      <c r="A1221" s="228" t="s">
        <v>315</v>
      </c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</row>
    <row r="1222" spans="1:16" s="18" customFormat="1" ht="18.95" customHeight="1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</row>
    <row r="1223" spans="1:16" s="18" customFormat="1" ht="18.95" customHeight="1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</row>
    <row r="1224" spans="1:16" s="18" customFormat="1" ht="20.100000000000001" customHeight="1">
      <c r="M1224" s="19"/>
      <c r="N1224" s="19"/>
      <c r="O1224" s="19"/>
    </row>
    <row r="1225" spans="1:16" s="18" customFormat="1" ht="20.100000000000001" customHeight="1">
      <c r="L1225" s="19"/>
      <c r="M1225" s="23" t="s">
        <v>316</v>
      </c>
      <c r="N1225" s="23" t="s">
        <v>278</v>
      </c>
      <c r="O1225" s="23" t="s">
        <v>279</v>
      </c>
      <c r="P1225" s="19"/>
    </row>
    <row r="1226" spans="1:16" s="18" customFormat="1" ht="20.100000000000001" customHeight="1">
      <c r="L1226" s="19"/>
      <c r="M1226" s="23" t="s">
        <v>245</v>
      </c>
      <c r="N1226" s="23">
        <v>6.06</v>
      </c>
      <c r="O1226" s="23" t="s">
        <v>128</v>
      </c>
      <c r="P1226" s="19"/>
    </row>
    <row r="1227" spans="1:16" s="18" customFormat="1" ht="20.100000000000001" customHeight="1">
      <c r="L1227" s="19"/>
      <c r="M1227" s="23" t="s">
        <v>199</v>
      </c>
      <c r="N1227" s="23">
        <v>16.197500000000002</v>
      </c>
      <c r="O1227" s="23" t="s">
        <v>98</v>
      </c>
      <c r="P1227" s="19"/>
    </row>
    <row r="1228" spans="1:16" s="18" customFormat="1" ht="20.100000000000001" customHeight="1">
      <c r="L1228" s="19"/>
      <c r="M1228" s="19"/>
      <c r="N1228" s="19"/>
      <c r="O1228" s="19"/>
      <c r="P1228" s="19"/>
    </row>
    <row r="1229" spans="1:16" s="18" customFormat="1" ht="20.100000000000001" customHeight="1">
      <c r="L1229" s="19"/>
      <c r="M1229" s="19"/>
      <c r="N1229" s="19"/>
      <c r="O1229" s="19"/>
      <c r="P1229" s="19"/>
    </row>
    <row r="1230" spans="1:16" s="18" customFormat="1" ht="20.100000000000001" customHeight="1">
      <c r="L1230" s="19"/>
      <c r="M1230" s="19"/>
      <c r="N1230" s="19"/>
      <c r="O1230" s="19"/>
      <c r="P1230" s="19"/>
    </row>
    <row r="1231" spans="1:16" s="18" customFormat="1" ht="20.100000000000001" customHeight="1">
      <c r="L1231" s="19"/>
      <c r="P1231" s="19"/>
    </row>
    <row r="1232" spans="1:16" s="18" customFormat="1" ht="20.100000000000001" customHeight="1"/>
    <row r="1233" spans="10:11" s="18" customFormat="1" ht="20.100000000000001" customHeight="1">
      <c r="J1233" s="401" t="s">
        <v>317</v>
      </c>
      <c r="K1233" s="401"/>
    </row>
    <row r="1234" spans="10:11" s="18" customFormat="1" ht="20.100000000000001" customHeight="1">
      <c r="J1234" s="18" t="s">
        <v>318</v>
      </c>
    </row>
    <row r="1235" spans="10:11" s="18" customFormat="1" ht="20.100000000000001" customHeight="1"/>
    <row r="1236" spans="10:11" s="18" customFormat="1" ht="20.100000000000001" customHeight="1"/>
    <row r="1237" spans="10:11" s="18" customFormat="1" ht="14.45"/>
    <row r="1238" spans="10:11" s="18" customFormat="1" ht="14.45"/>
    <row r="1239" spans="10:11" s="18" customFormat="1" ht="20.100000000000001" customHeight="1"/>
    <row r="1240" spans="10:11" s="18" customFormat="1" ht="14.45"/>
    <row r="1241" spans="10:11" s="18" customFormat="1" ht="14.45"/>
    <row r="1242" spans="10:11" s="18" customFormat="1" ht="20.100000000000001" customHeight="1"/>
    <row r="1243" spans="10:11" s="18" customFormat="1" ht="20.100000000000001" customHeight="1"/>
    <row r="1244" spans="10:11" s="18" customFormat="1" ht="20.100000000000001" customHeight="1"/>
    <row r="1245" spans="10:11" s="18" customFormat="1" ht="20.100000000000001" customHeight="1"/>
    <row r="1246" spans="10:11" s="18" customFormat="1" ht="20.100000000000001" customHeight="1"/>
    <row r="1247" spans="10:11" s="18" customFormat="1" ht="20.100000000000001" customHeight="1"/>
    <row r="1248" spans="10:11" s="18" customFormat="1" ht="20.100000000000001" customHeight="1"/>
    <row r="1249" s="18" customFormat="1" ht="20.100000000000001" customHeight="1"/>
    <row r="1250" s="18" customFormat="1" ht="20.100000000000001" customHeight="1"/>
    <row r="1251" s="18" customFormat="1" ht="20.100000000000001" customHeight="1"/>
    <row r="1252" s="18" customFormat="1" ht="14.45"/>
    <row r="1253" s="18" customFormat="1" ht="14.45"/>
    <row r="1254" s="18" customFormat="1" ht="20.100000000000001" customHeight="1"/>
    <row r="1255" s="18" customFormat="1" ht="14.45"/>
    <row r="1256" s="18" customFormat="1" ht="14.45"/>
    <row r="1257" s="18" customFormat="1" ht="20.100000000000001" customHeight="1"/>
    <row r="1258" s="18" customFormat="1" ht="20.100000000000001" customHeight="1"/>
    <row r="1259" s="18" customFormat="1" ht="20.100000000000001" customHeight="1"/>
    <row r="1260" s="18" customFormat="1" ht="20.100000000000001" customHeight="1"/>
    <row r="1261" s="18" customFormat="1" ht="20.100000000000001" customHeight="1"/>
    <row r="1262" s="18" customFormat="1" ht="20.100000000000001" customHeight="1"/>
    <row r="1263" s="18" customFormat="1" ht="20.100000000000001" customHeight="1"/>
    <row r="1264" s="18" customFormat="1" ht="20.100000000000001" customHeight="1"/>
    <row r="1265" spans="1:12" s="18" customFormat="1" ht="20.100000000000001" customHeight="1"/>
    <row r="1266" spans="1:12" s="18" customFormat="1" ht="20.100000000000001" customHeight="1"/>
    <row r="1267" spans="1:12" s="18" customFormat="1" ht="20.100000000000001" customHeight="1"/>
    <row r="1268" spans="1:12" s="18" customFormat="1" ht="18.95" customHeight="1">
      <c r="C1268" s="34"/>
      <c r="D1268" s="34"/>
      <c r="E1268" s="34"/>
      <c r="F1268" s="34"/>
      <c r="G1268" s="34"/>
      <c r="H1268" s="34"/>
    </row>
    <row r="1269" spans="1:12" s="18" customFormat="1" ht="33">
      <c r="A1269" s="228" t="s">
        <v>319</v>
      </c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18" t="s">
        <v>320</v>
      </c>
    </row>
    <row r="1270" spans="1:12" s="18" customFormat="1" ht="18.95" customHeight="1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</row>
    <row r="1271" spans="1:12" s="18" customFormat="1" ht="18.95" customHeight="1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</row>
    <row r="1272" spans="1:12" s="18" customFormat="1" ht="20.100000000000001" customHeight="1"/>
    <row r="1273" spans="1:12" s="18" customFormat="1" ht="20.100000000000001" customHeight="1"/>
    <row r="1274" spans="1:12" s="18" customFormat="1" ht="20.100000000000001" customHeight="1"/>
    <row r="1275" spans="1:12" s="18" customFormat="1" ht="20.100000000000001" customHeight="1"/>
    <row r="1276" spans="1:12" s="18" customFormat="1" ht="20.100000000000001" customHeight="1"/>
    <row r="1277" spans="1:12" s="18" customFormat="1" ht="20.100000000000001" customHeight="1"/>
    <row r="1278" spans="1:12" s="18" customFormat="1" ht="20.100000000000001" customHeight="1"/>
    <row r="1279" spans="1:12" s="18" customFormat="1" ht="20.100000000000001" customHeight="1"/>
    <row r="1280" spans="1:12" s="18" customFormat="1" ht="20.100000000000001" customHeight="1"/>
    <row r="1281" s="18" customFormat="1" ht="20.100000000000001" customHeight="1"/>
    <row r="1282" s="18" customFormat="1" ht="20.100000000000001" customHeight="1"/>
    <row r="1283" s="18" customFormat="1" ht="20.100000000000001" customHeight="1"/>
    <row r="1284" s="18" customFormat="1" ht="20.100000000000001" customHeight="1"/>
    <row r="1285" s="18" customFormat="1" ht="20.100000000000001" customHeight="1"/>
    <row r="1286" s="18" customFormat="1" ht="20.100000000000001" customHeight="1"/>
    <row r="1287" s="18" customFormat="1" ht="20.100000000000001" customHeight="1"/>
    <row r="1288" s="18" customFormat="1" ht="20.100000000000001" customHeight="1"/>
    <row r="1289" s="18" customFormat="1" ht="20.100000000000001" customHeight="1"/>
    <row r="1290" s="18" customFormat="1" ht="20.100000000000001" customHeight="1"/>
    <row r="1291" s="18" customFormat="1" ht="20.100000000000001" customHeight="1"/>
    <row r="1292" s="18" customFormat="1" ht="20.100000000000001" customHeight="1"/>
    <row r="1293" s="18" customFormat="1" ht="14.45"/>
    <row r="1294" s="18" customFormat="1" ht="14.45"/>
    <row r="1295" s="18" customFormat="1" ht="20.100000000000001" customHeight="1"/>
    <row r="1296" s="18" customFormat="1" ht="20.100000000000001" customHeight="1"/>
    <row r="1297" s="18" customFormat="1" ht="20.100000000000001" customHeight="1"/>
    <row r="1298" s="18" customFormat="1" ht="20.100000000000001" customHeight="1"/>
    <row r="1299" s="18" customFormat="1" ht="20.100000000000001" customHeight="1"/>
    <row r="1300" s="18" customFormat="1" ht="20.100000000000001" customHeight="1"/>
    <row r="1301" s="18" customFormat="1" ht="20.100000000000001" customHeight="1"/>
    <row r="1302" s="18" customFormat="1" ht="20.100000000000001" customHeight="1"/>
    <row r="1303" s="18" customFormat="1" ht="20.100000000000001" customHeight="1"/>
    <row r="1304" s="18" customFormat="1" ht="20.100000000000001" customHeight="1"/>
    <row r="1305" s="18" customFormat="1" ht="20.100000000000001" customHeight="1"/>
    <row r="1306" s="18" customFormat="1" ht="20.100000000000001" customHeight="1"/>
    <row r="1307" s="18" customFormat="1" ht="20.100000000000001" customHeight="1"/>
    <row r="1308" s="18" customFormat="1" ht="20.100000000000001" customHeight="1"/>
    <row r="1309" s="18" customFormat="1" ht="20.100000000000001" customHeight="1"/>
    <row r="1310" s="18" customFormat="1" ht="20.100000000000001" hidden="1" customHeight="1"/>
    <row r="1311" s="18" customFormat="1" ht="20.100000000000001" hidden="1" customHeight="1"/>
    <row r="1312" s="18" customFormat="1" ht="14.45" hidden="1"/>
    <row r="1313" spans="1:17" s="18" customFormat="1" ht="20.100000000000001" hidden="1" customHeight="1"/>
    <row r="1314" spans="1:17" s="18" customFormat="1" ht="20.100000000000001" hidden="1" customHeight="1"/>
    <row r="1315" spans="1:17" s="18" customFormat="1" ht="20.45" hidden="1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M1315" s="15"/>
      <c r="N1315" s="21"/>
      <c r="O1315" s="15"/>
    </row>
    <row r="1316" spans="1:17" ht="30" hidden="1">
      <c r="A1316" s="172" t="s">
        <v>321</v>
      </c>
      <c r="B1316" s="20"/>
      <c r="C1316" s="20"/>
      <c r="N1316" s="30"/>
    </row>
    <row r="1317" spans="1:17" ht="20.45" hidden="1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N1317" s="30"/>
    </row>
    <row r="1318" spans="1:17" ht="20.45" hidden="1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N1318" s="30"/>
    </row>
    <row r="1319" spans="1:17" ht="20.45" hidden="1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N1319" s="30"/>
    </row>
    <row r="1320" spans="1:17" ht="20.45" hidden="1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19"/>
      <c r="N1320" s="33"/>
      <c r="O1320" s="19"/>
    </row>
    <row r="1321" spans="1:17" ht="20.45" hidden="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31"/>
      <c r="M1321" s="31"/>
      <c r="N1321" s="23"/>
      <c r="O1321" s="31"/>
      <c r="P1321" s="19"/>
      <c r="Q1321" s="19"/>
    </row>
    <row r="1322" spans="1:17" ht="20.45" hidden="1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31"/>
      <c r="M1322" s="23" t="s">
        <v>322</v>
      </c>
      <c r="N1322" s="23" t="s">
        <v>278</v>
      </c>
      <c r="O1322" s="23" t="s">
        <v>279</v>
      </c>
      <c r="P1322" s="19"/>
      <c r="Q1322" s="19"/>
    </row>
    <row r="1323" spans="1:17" ht="20.45" hidden="1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31"/>
      <c r="M1323" s="23" t="s">
        <v>323</v>
      </c>
      <c r="N1323" s="23">
        <v>0</v>
      </c>
      <c r="O1323" s="23" t="s">
        <v>128</v>
      </c>
      <c r="P1323" s="19"/>
      <c r="Q1323" s="19"/>
    </row>
    <row r="1324" spans="1:17" ht="20.45" hidden="1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31"/>
      <c r="M1324" s="23" t="s">
        <v>290</v>
      </c>
      <c r="N1324" s="23">
        <v>0</v>
      </c>
      <c r="O1324" s="23" t="s">
        <v>98</v>
      </c>
      <c r="P1324" s="19"/>
      <c r="Q1324" s="19"/>
    </row>
    <row r="1325" spans="1:17" ht="20.45" hidden="1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31"/>
      <c r="M1325" s="23"/>
      <c r="N1325" s="23"/>
      <c r="O1325" s="23"/>
      <c r="P1325" s="19"/>
      <c r="Q1325" s="19"/>
    </row>
    <row r="1326" spans="1:17" ht="20.45" hidden="1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31"/>
      <c r="M1326" s="23"/>
      <c r="N1326" s="23"/>
      <c r="O1326" s="23"/>
      <c r="P1326" s="19"/>
      <c r="Q1326" s="19"/>
    </row>
    <row r="1327" spans="1:17" ht="20.45" hidden="1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31"/>
      <c r="M1327" s="23"/>
      <c r="N1327" s="23"/>
      <c r="O1327" s="23"/>
      <c r="P1327" s="19"/>
      <c r="Q1327" s="19"/>
    </row>
    <row r="1328" spans="1:17" ht="20.45" hidden="1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31"/>
      <c r="M1328" s="23"/>
      <c r="N1328" s="23"/>
      <c r="O1328" s="23"/>
      <c r="P1328" s="19"/>
      <c r="Q1328" s="19"/>
    </row>
    <row r="1329" spans="1:17" ht="20.45" hidden="1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31"/>
      <c r="M1329" s="23"/>
      <c r="N1329" s="23"/>
      <c r="O1329" s="23"/>
      <c r="P1329" s="19"/>
      <c r="Q1329" s="19"/>
    </row>
    <row r="1330" spans="1:17" ht="20.45" hidden="1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31"/>
      <c r="M1330" s="21"/>
      <c r="O1330" s="21"/>
      <c r="P1330" s="19"/>
      <c r="Q1330" s="19"/>
    </row>
    <row r="1331" spans="1:17" ht="20.45" hidden="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1"/>
      <c r="O1331" s="21"/>
    </row>
    <row r="1332" spans="1:17" ht="20.45" hidden="1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1"/>
      <c r="O1332" s="21"/>
    </row>
    <row r="1333" spans="1:17" ht="20.45" hidden="1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O1333" s="20"/>
    </row>
    <row r="1334" spans="1:17" ht="20.45" hidden="1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O1334" s="20"/>
    </row>
    <row r="1335" spans="1:17" ht="20.45" hidden="1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O1335" s="20"/>
    </row>
    <row r="1336" spans="1:17" ht="20.45" hidden="1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O1336" s="20"/>
    </row>
    <row r="1337" spans="1:17" ht="20.45" hidden="1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O1337" s="20"/>
    </row>
    <row r="1338" spans="1:17" ht="20.45" hidden="1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O1338" s="20"/>
    </row>
    <row r="1339" spans="1:17" ht="20.45" hidden="1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O1339" s="20"/>
    </row>
    <row r="1340" spans="1:17" ht="20.45" hidden="1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O1340" s="20"/>
    </row>
    <row r="1341" spans="1:17" ht="20.45" hidden="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O1341" s="20"/>
    </row>
    <row r="1342" spans="1:17" ht="20.45" hidden="1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O1342" s="20"/>
    </row>
    <row r="1343" spans="1:17" ht="20.45" hidden="1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O1343" s="20"/>
    </row>
    <row r="1344" spans="1:17" ht="20.45" hidden="1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O1344" s="20"/>
    </row>
    <row r="1345" spans="1:15" ht="20.45" hidden="1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</row>
    <row r="1346" spans="1:15" hidden="1"/>
    <row r="1347" spans="1:15" hidden="1"/>
    <row r="1348" spans="1:15" hidden="1"/>
    <row r="1349" spans="1:15" hidden="1"/>
    <row r="1350" spans="1:15" hidden="1"/>
    <row r="1351" spans="1:15" hidden="1"/>
    <row r="1352" spans="1:15" hidden="1"/>
    <row r="1353" spans="1:15" hidden="1"/>
    <row r="1354" spans="1:15" hidden="1"/>
    <row r="1355" spans="1:15" hidden="1"/>
    <row r="1356" spans="1:15" hidden="1"/>
    <row r="1357" spans="1:15" hidden="1"/>
    <row r="1358" spans="1:15" hidden="1"/>
    <row r="1359" spans="1:15" hidden="1"/>
    <row r="1360" spans="1:15" ht="14.45" hidden="1">
      <c r="M1360" s="18"/>
      <c r="N1360" s="18"/>
      <c r="O1360" s="18"/>
    </row>
    <row r="1361" spans="1:18" s="18" customFormat="1" ht="20.100000000000001" hidden="1" customHeight="1"/>
    <row r="1362" spans="1:18" s="18" customFormat="1" ht="14.45" hidden="1"/>
    <row r="1363" spans="1:18" s="18" customFormat="1" ht="20.100000000000001" hidden="1" customHeight="1"/>
    <row r="1364" spans="1:18" s="18" customFormat="1" ht="20.100000000000001" hidden="1" customHeight="1"/>
    <row r="1365" spans="1:18" s="18" customFormat="1" ht="20.45" hidden="1">
      <c r="C1365" s="34"/>
      <c r="D1365" s="34"/>
      <c r="E1365" s="34"/>
      <c r="F1365" s="34"/>
      <c r="G1365" s="34"/>
      <c r="H1365" s="34"/>
    </row>
    <row r="1366" spans="1:18" s="18" customFormat="1" ht="20.100000000000001" hidden="1" customHeight="1"/>
    <row r="1367" spans="1:18" s="18" customFormat="1" ht="18.95" hidden="1" customHeight="1">
      <c r="C1367" s="34"/>
      <c r="D1367" s="34"/>
      <c r="E1367" s="34"/>
      <c r="F1367" s="34"/>
      <c r="G1367" s="34"/>
      <c r="H1367" s="34"/>
      <c r="M1367" s="15"/>
      <c r="N1367" s="21"/>
      <c r="O1367" s="15"/>
    </row>
    <row r="1368" spans="1:18" ht="30" hidden="1">
      <c r="A1368" s="172" t="s">
        <v>324</v>
      </c>
      <c r="B1368" s="20"/>
      <c r="C1368" s="20"/>
      <c r="N1368" s="30"/>
    </row>
    <row r="1369" spans="1:18" ht="30" hidden="1">
      <c r="A1369" s="172" t="s">
        <v>325</v>
      </c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N1369" s="30"/>
    </row>
    <row r="1370" spans="1:18" ht="20.45" hidden="1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N1370" s="30"/>
    </row>
    <row r="1371" spans="1:18" ht="20.45" hidden="1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N1371" s="30"/>
    </row>
    <row r="1372" spans="1:18" ht="20.45" hidden="1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19"/>
      <c r="N1372" s="33"/>
      <c r="O1372" s="19"/>
    </row>
    <row r="1373" spans="1:18" ht="20.45" hidden="1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31"/>
      <c r="M1373" s="19"/>
      <c r="N1373" s="33"/>
      <c r="O1373" s="19"/>
      <c r="P1373" s="19"/>
      <c r="Q1373" s="19"/>
      <c r="R1373" s="19"/>
    </row>
    <row r="1374" spans="1:18" ht="20.45" hidden="1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31"/>
      <c r="M1374" s="31"/>
      <c r="N1374" s="23"/>
      <c r="O1374" s="31"/>
      <c r="P1374" s="19"/>
      <c r="Q1374" s="19"/>
      <c r="R1374" s="19"/>
    </row>
    <row r="1375" spans="1:18" ht="20.45" hidden="1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31"/>
      <c r="M1375" s="23" t="s">
        <v>322</v>
      </c>
      <c r="N1375" s="23" t="s">
        <v>278</v>
      </c>
      <c r="O1375" s="23" t="s">
        <v>279</v>
      </c>
      <c r="P1375" s="19"/>
      <c r="Q1375" s="19"/>
      <c r="R1375" s="19"/>
    </row>
    <row r="1376" spans="1:18" ht="20.45" hidden="1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31"/>
      <c r="M1376" s="23" t="s">
        <v>323</v>
      </c>
      <c r="N1376" s="23"/>
      <c r="O1376" s="23" t="s">
        <v>128</v>
      </c>
      <c r="P1376" s="19"/>
      <c r="Q1376" s="19"/>
      <c r="R1376" s="19"/>
    </row>
    <row r="1377" spans="1:18" ht="20.45" hidden="1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31"/>
      <c r="M1377" s="23" t="s">
        <v>290</v>
      </c>
      <c r="N1377" s="23"/>
      <c r="O1377" s="23" t="s">
        <v>98</v>
      </c>
      <c r="P1377" s="19"/>
      <c r="Q1377" s="19"/>
      <c r="R1377" s="19"/>
    </row>
    <row r="1378" spans="1:18" ht="20.45" hidden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31"/>
      <c r="M1378" s="23"/>
      <c r="N1378" s="23"/>
      <c r="O1378" s="23"/>
      <c r="P1378" s="19"/>
      <c r="Q1378" s="19"/>
      <c r="R1378" s="19"/>
    </row>
    <row r="1379" spans="1:18" ht="20.45" hidden="1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31"/>
      <c r="M1379" s="23"/>
      <c r="N1379" s="23"/>
      <c r="O1379" s="23"/>
      <c r="P1379" s="19"/>
      <c r="Q1379" s="19"/>
      <c r="R1379" s="19"/>
    </row>
    <row r="1380" spans="1:18" ht="20.45" hidden="1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31"/>
      <c r="M1380" s="23"/>
      <c r="N1380" s="23"/>
      <c r="O1380" s="23"/>
      <c r="P1380" s="19"/>
      <c r="Q1380" s="19"/>
      <c r="R1380" s="19"/>
    </row>
    <row r="1381" spans="1:18" ht="20.45" hidden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31"/>
      <c r="M1381" s="23"/>
      <c r="N1381" s="23"/>
      <c r="O1381" s="23"/>
      <c r="P1381" s="19"/>
      <c r="Q1381" s="19"/>
      <c r="R1381" s="19"/>
    </row>
    <row r="1382" spans="1:18" ht="20.45" hidden="1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31"/>
      <c r="M1382" s="23"/>
      <c r="N1382" s="23"/>
      <c r="O1382" s="23"/>
      <c r="P1382" s="19"/>
      <c r="Q1382" s="19"/>
      <c r="R1382" s="19"/>
    </row>
    <row r="1383" spans="1:18" ht="20.45" hidden="1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31"/>
      <c r="M1383" s="23"/>
      <c r="N1383" s="23"/>
      <c r="O1383" s="23"/>
      <c r="P1383" s="19"/>
      <c r="Q1383" s="19"/>
      <c r="R1383" s="19"/>
    </row>
    <row r="1384" spans="1:18" ht="20.45" hidden="1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31"/>
      <c r="M1384" s="21"/>
      <c r="O1384" s="21"/>
      <c r="P1384" s="19"/>
      <c r="Q1384" s="19"/>
      <c r="R1384" s="19"/>
    </row>
    <row r="1385" spans="1:18" ht="20.45" hidden="1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1"/>
      <c r="O1385" s="21"/>
    </row>
    <row r="1386" spans="1:18" ht="20.45" hidden="1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O1386" s="20"/>
    </row>
    <row r="1387" spans="1:18" ht="20.45" hidden="1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O1387" s="20"/>
    </row>
    <row r="1388" spans="1:18" ht="20.45" hidden="1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O1388" s="20"/>
    </row>
    <row r="1389" spans="1:18" ht="20.45" hidden="1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O1389" s="20"/>
    </row>
    <row r="1390" spans="1:18" ht="20.45" hidden="1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O1390" s="20"/>
    </row>
    <row r="1391" spans="1:18" ht="20.45" hidden="1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O1391" s="20"/>
    </row>
    <row r="1392" spans="1:18" ht="20.45" hidden="1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O1392" s="20"/>
    </row>
    <row r="1393" spans="1:15" ht="20.45" hidden="1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O1393" s="20"/>
    </row>
    <row r="1394" spans="1:15" ht="20.45" hidden="1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O1394" s="20"/>
    </row>
    <row r="1395" spans="1:15" ht="20.45" hidden="1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O1395" s="20"/>
    </row>
    <row r="1396" spans="1:15" ht="20.45" hidden="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O1396" s="20"/>
    </row>
    <row r="1397" spans="1:15" ht="20.45" hidden="1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O1397" s="20"/>
    </row>
    <row r="1398" spans="1:15" ht="20.45" hidden="1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</row>
    <row r="1399" spans="1:15" hidden="1"/>
    <row r="1400" spans="1:15" hidden="1"/>
    <row r="1401" spans="1:15" hidden="1"/>
    <row r="1402" spans="1:15" hidden="1"/>
    <row r="1403" spans="1:15" hidden="1"/>
    <row r="1404" spans="1:15" hidden="1"/>
    <row r="1405" spans="1:15" hidden="1"/>
    <row r="1406" spans="1:15" hidden="1"/>
    <row r="1407" spans="1:15" hidden="1"/>
    <row r="1408" spans="1:15" hidden="1"/>
    <row r="1409" spans="13:15" hidden="1"/>
    <row r="1410" spans="13:15" hidden="1"/>
    <row r="1411" spans="13:15" hidden="1"/>
    <row r="1412" spans="13:15" hidden="1"/>
    <row r="1413" spans="13:15" hidden="1"/>
    <row r="1414" spans="13:15" hidden="1"/>
    <row r="1415" spans="13:15" hidden="1"/>
    <row r="1416" spans="13:15" hidden="1"/>
    <row r="1417" spans="13:15" hidden="1"/>
    <row r="1418" spans="13:15" hidden="1"/>
    <row r="1419" spans="13:15" hidden="1"/>
    <row r="1420" spans="13:15" ht="14.45" hidden="1">
      <c r="M1420" s="18"/>
      <c r="N1420" s="18"/>
      <c r="O1420" s="18"/>
    </row>
    <row r="1421" spans="13:15" s="18" customFormat="1" ht="20.100000000000001" hidden="1" customHeight="1"/>
    <row r="1422" spans="13:15" s="18" customFormat="1" ht="20.100000000000001" hidden="1" customHeight="1"/>
    <row r="1423" spans="13:15" s="18" customFormat="1" ht="14.45" hidden="1"/>
    <row r="1424" spans="13:15" s="18" customFormat="1" ht="20.100000000000001" hidden="1" customHeight="1"/>
    <row r="1425" spans="1:17" s="18" customFormat="1" ht="20.100000000000001" hidden="1" customHeight="1"/>
    <row r="1426" spans="1:17" s="18" customFormat="1" ht="20.45" hidden="1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M1426" s="15"/>
      <c r="N1426" s="21"/>
      <c r="O1426" s="15"/>
    </row>
    <row r="1427" spans="1:17" ht="30" hidden="1">
      <c r="A1427" s="172" t="s">
        <v>326</v>
      </c>
      <c r="B1427" s="20"/>
      <c r="C1427" s="20"/>
      <c r="N1427" s="30"/>
    </row>
    <row r="1428" spans="1:17" ht="28.15" hidden="1">
      <c r="A1428" s="174" t="s">
        <v>327</v>
      </c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N1428" s="30"/>
    </row>
    <row r="1429" spans="1:17" ht="20.45" hidden="1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N1429" s="30"/>
    </row>
    <row r="1430" spans="1:17" ht="20.45" hidden="1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N1430" s="30"/>
    </row>
    <row r="1431" spans="1:17" ht="20.45" hidden="1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19"/>
      <c r="N1431" s="33"/>
      <c r="O1431" s="19"/>
    </row>
    <row r="1432" spans="1:17" ht="20.45" hidden="1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31"/>
      <c r="M1432" s="31"/>
      <c r="N1432" s="23"/>
      <c r="O1432" s="31"/>
      <c r="P1432" s="19"/>
      <c r="Q1432" s="19"/>
    </row>
    <row r="1433" spans="1:17" ht="21" hidden="1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31"/>
      <c r="M1433" s="125" t="s">
        <v>327</v>
      </c>
      <c r="N1433" s="23" t="s">
        <v>278</v>
      </c>
      <c r="O1433" s="23" t="s">
        <v>279</v>
      </c>
      <c r="P1433" s="19"/>
      <c r="Q1433" s="19"/>
    </row>
    <row r="1434" spans="1:17" ht="20.45" hidden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31"/>
      <c r="M1434" s="23" t="s">
        <v>323</v>
      </c>
      <c r="N1434" s="23">
        <v>0.48420000000000002</v>
      </c>
      <c r="O1434" s="23" t="s">
        <v>128</v>
      </c>
      <c r="P1434" s="19"/>
      <c r="Q1434" s="19"/>
    </row>
    <row r="1435" spans="1:17" ht="20.45" hidden="1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31"/>
      <c r="M1435" s="23" t="s">
        <v>290</v>
      </c>
      <c r="N1435" s="23">
        <v>1391.68</v>
      </c>
      <c r="O1435" s="23" t="s">
        <v>98</v>
      </c>
      <c r="P1435" s="19"/>
      <c r="Q1435" s="19"/>
    </row>
    <row r="1436" spans="1:17" ht="20.45" hidden="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31"/>
      <c r="M1436" s="23"/>
      <c r="N1436" s="23"/>
      <c r="O1436" s="23"/>
      <c r="P1436" s="19"/>
      <c r="Q1436" s="19"/>
    </row>
    <row r="1437" spans="1:17" ht="20.45" hidden="1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31"/>
      <c r="M1437" s="23"/>
      <c r="N1437" s="23"/>
      <c r="O1437" s="23"/>
      <c r="P1437" s="19"/>
      <c r="Q1437" s="19"/>
    </row>
    <row r="1438" spans="1:17" ht="20.45" hidden="1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31"/>
      <c r="M1438" s="23"/>
      <c r="N1438" s="23"/>
      <c r="O1438" s="23"/>
      <c r="P1438" s="19"/>
      <c r="Q1438" s="19"/>
    </row>
    <row r="1439" spans="1:17" ht="20.45" hidden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31"/>
      <c r="M1439" s="23"/>
      <c r="N1439" s="23"/>
      <c r="O1439" s="23"/>
      <c r="P1439" s="19"/>
      <c r="Q1439" s="19"/>
    </row>
    <row r="1440" spans="1:17" ht="20.45" hidden="1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31"/>
      <c r="M1440" s="23"/>
      <c r="N1440" s="23"/>
      <c r="O1440" s="23"/>
      <c r="P1440" s="19"/>
      <c r="Q1440" s="19"/>
    </row>
    <row r="1441" spans="1:17" ht="20.45" hidden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31"/>
      <c r="M1441" s="21"/>
      <c r="O1441" s="21"/>
      <c r="P1441" s="19"/>
      <c r="Q1441" s="19"/>
    </row>
    <row r="1442" spans="1:17" ht="20.45" hidden="1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1"/>
      <c r="O1442" s="21"/>
    </row>
    <row r="1443" spans="1:17" ht="20.45" hidden="1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1"/>
      <c r="O1443" s="21"/>
    </row>
    <row r="1444" spans="1:17" ht="20.45" hidden="1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O1444" s="20"/>
    </row>
    <row r="1445" spans="1:17" ht="20.45" hidden="1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O1445" s="20"/>
    </row>
    <row r="1446" spans="1:17" ht="20.45" hidden="1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O1446" s="20"/>
    </row>
    <row r="1447" spans="1:17" ht="20.45" hidden="1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O1447" s="20"/>
    </row>
    <row r="1448" spans="1:17" ht="20.45" hidden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O1448" s="20"/>
    </row>
    <row r="1449" spans="1:17" ht="20.45" hidden="1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O1449" s="20"/>
    </row>
    <row r="1450" spans="1:17" ht="20.45" hidden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O1450" s="20"/>
    </row>
    <row r="1451" spans="1:17" ht="20.45" hidden="1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O1451" s="20"/>
    </row>
    <row r="1452" spans="1:17" ht="20.45" hidden="1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O1452" s="20"/>
    </row>
    <row r="1453" spans="1:17" ht="20.45" hidden="1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O1453" s="20"/>
    </row>
    <row r="1454" spans="1:17" ht="20.45" hidden="1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O1454" s="20"/>
    </row>
    <row r="1455" spans="1:17" ht="20.45" hidden="1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O1455" s="20"/>
    </row>
    <row r="1456" spans="1:17" ht="20.45" hidden="1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</row>
    <row r="1457" spans="1:15" hidden="1"/>
    <row r="1458" spans="1:15" hidden="1"/>
    <row r="1459" spans="1:15" hidden="1"/>
    <row r="1460" spans="1:15" hidden="1"/>
    <row r="1461" spans="1:15" hidden="1"/>
    <row r="1462" spans="1:15" hidden="1"/>
    <row r="1463" spans="1:15" hidden="1"/>
    <row r="1464" spans="1:15" hidden="1"/>
    <row r="1465" spans="1:15" hidden="1"/>
    <row r="1466" spans="1:15" hidden="1"/>
    <row r="1467" spans="1:15" hidden="1"/>
    <row r="1468" spans="1:15" hidden="1"/>
    <row r="1469" spans="1:15" hidden="1"/>
    <row r="1470" spans="1:15" ht="28.15" hidden="1">
      <c r="A1470" s="174" t="s">
        <v>328</v>
      </c>
    </row>
    <row r="1471" spans="1:15" ht="21" hidden="1">
      <c r="M1471" s="125" t="s">
        <v>327</v>
      </c>
      <c r="N1471" s="23" t="s">
        <v>278</v>
      </c>
      <c r="O1471" s="23" t="s">
        <v>279</v>
      </c>
    </row>
    <row r="1472" spans="1:15" hidden="1">
      <c r="M1472" s="23" t="s">
        <v>323</v>
      </c>
      <c r="N1472" s="23">
        <v>0.51032</v>
      </c>
      <c r="O1472" s="23" t="s">
        <v>128</v>
      </c>
    </row>
    <row r="1473" spans="13:15" hidden="1">
      <c r="M1473" s="23" t="s">
        <v>290</v>
      </c>
      <c r="N1473" s="23">
        <v>2366.44</v>
      </c>
      <c r="O1473" s="23" t="s">
        <v>98</v>
      </c>
    </row>
    <row r="1474" spans="13:15" hidden="1"/>
    <row r="1475" spans="13:15" hidden="1"/>
    <row r="1476" spans="13:15" hidden="1"/>
    <row r="1477" spans="13:15" hidden="1"/>
    <row r="1478" spans="13:15" hidden="1"/>
    <row r="1479" spans="13:15" hidden="1"/>
    <row r="1480" spans="13:15" hidden="1"/>
    <row r="1481" spans="13:15" hidden="1"/>
    <row r="1482" spans="13:15" hidden="1"/>
    <row r="1483" spans="13:15" hidden="1"/>
    <row r="1484" spans="13:15" hidden="1"/>
    <row r="1485" spans="13:15" hidden="1"/>
    <row r="1486" spans="13:15" hidden="1"/>
    <row r="1487" spans="13:15" hidden="1"/>
    <row r="1488" spans="13:15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t="21" hidden="1" customHeight="1"/>
    <row r="1500" hidden="1"/>
    <row r="1501" hidden="1"/>
    <row r="1502" hidden="1"/>
    <row r="1503" hidden="1"/>
    <row r="1504" hidden="1"/>
    <row r="1505" spans="1:18" hidden="1"/>
    <row r="1506" spans="1:18" ht="14.45" hidden="1">
      <c r="M1506" s="18"/>
      <c r="N1506" s="18"/>
      <c r="O1506" s="18"/>
    </row>
    <row r="1507" spans="1:18" s="18" customFormat="1" ht="20.100000000000001" hidden="1" customHeight="1"/>
    <row r="1508" spans="1:18" s="18" customFormat="1" ht="14.45" hidden="1"/>
    <row r="1509" spans="1:18" s="18" customFormat="1" ht="20.100000000000001" hidden="1" customHeight="1"/>
    <row r="1510" spans="1:18" s="18" customFormat="1" ht="20.100000000000001" hidden="1" customHeight="1"/>
    <row r="1511" spans="1:18" s="18" customFormat="1" ht="20.45" hidden="1">
      <c r="C1511" s="34"/>
      <c r="D1511" s="34"/>
      <c r="E1511" s="34"/>
      <c r="F1511" s="34"/>
      <c r="G1511" s="34"/>
      <c r="H1511" s="34"/>
    </row>
    <row r="1512" spans="1:18" s="18" customFormat="1" ht="20.100000000000001" hidden="1" customHeight="1"/>
    <row r="1513" spans="1:18" s="18" customFormat="1" ht="18.95" hidden="1" customHeight="1">
      <c r="C1513" s="34"/>
      <c r="D1513" s="34"/>
      <c r="E1513" s="34"/>
      <c r="F1513" s="34"/>
      <c r="G1513" s="34"/>
      <c r="H1513" s="34"/>
      <c r="M1513" s="15"/>
      <c r="N1513" s="21"/>
      <c r="O1513" s="15"/>
    </row>
    <row r="1514" spans="1:18" ht="30" hidden="1">
      <c r="A1514" s="172"/>
      <c r="B1514" s="20"/>
      <c r="C1514" s="20"/>
      <c r="N1514" s="30"/>
    </row>
    <row r="1515" spans="1:18" ht="30" hidden="1">
      <c r="A1515" s="172" t="s">
        <v>329</v>
      </c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N1515" s="30"/>
    </row>
    <row r="1516" spans="1:18" ht="20.45" hidden="1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N1516" s="30"/>
    </row>
    <row r="1517" spans="1:18" ht="20.45" hidden="1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N1517" s="30"/>
    </row>
    <row r="1518" spans="1:18" ht="20.45" hidden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19"/>
      <c r="N1518" s="33"/>
      <c r="O1518" s="19"/>
    </row>
    <row r="1519" spans="1:18" ht="20.45" hidden="1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31"/>
      <c r="M1519" s="19"/>
      <c r="N1519" s="33"/>
      <c r="O1519" s="19"/>
      <c r="P1519" s="19"/>
      <c r="Q1519" s="19"/>
      <c r="R1519" s="19"/>
    </row>
    <row r="1520" spans="1:18" ht="20.45" hidden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31"/>
      <c r="M1520" s="31"/>
      <c r="N1520" s="23"/>
      <c r="O1520" s="31"/>
      <c r="P1520" s="19"/>
      <c r="Q1520" s="19"/>
      <c r="R1520" s="19"/>
    </row>
    <row r="1521" spans="1:18" ht="20.45" hidden="1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31"/>
      <c r="M1521" s="23" t="s">
        <v>330</v>
      </c>
      <c r="N1521" s="23" t="s">
        <v>278</v>
      </c>
      <c r="O1521" s="23" t="s">
        <v>279</v>
      </c>
      <c r="P1521" s="19"/>
      <c r="Q1521" s="19"/>
      <c r="R1521" s="19"/>
    </row>
    <row r="1522" spans="1:18" ht="20.45" hidden="1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31"/>
      <c r="M1522" s="23" t="s">
        <v>323</v>
      </c>
      <c r="N1522" s="23">
        <v>1.5533999999999999</v>
      </c>
      <c r="O1522" s="23" t="s">
        <v>128</v>
      </c>
      <c r="P1522" s="19"/>
      <c r="Q1522" s="19"/>
      <c r="R1522" s="19"/>
    </row>
    <row r="1523" spans="1:18" ht="20.45" hidden="1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31"/>
      <c r="M1523" s="23" t="s">
        <v>290</v>
      </c>
      <c r="N1523" s="23">
        <v>2367.16</v>
      </c>
      <c r="O1523" s="23" t="s">
        <v>98</v>
      </c>
      <c r="P1523" s="19"/>
      <c r="Q1523" s="19"/>
      <c r="R1523" s="19"/>
    </row>
    <row r="1524" spans="1:18" ht="20.45" hidden="1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31"/>
      <c r="M1524" s="23"/>
      <c r="N1524" s="23"/>
      <c r="O1524" s="23"/>
      <c r="P1524" s="19"/>
      <c r="Q1524" s="19"/>
      <c r="R1524" s="19"/>
    </row>
    <row r="1525" spans="1:18" ht="20.45" hidden="1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31"/>
      <c r="M1525" s="23"/>
      <c r="N1525" s="23"/>
      <c r="O1525" s="23"/>
      <c r="P1525" s="19"/>
      <c r="Q1525" s="19"/>
      <c r="R1525" s="19"/>
    </row>
    <row r="1526" spans="1:18" ht="20.45" hidden="1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31"/>
      <c r="M1526" s="23"/>
      <c r="N1526" s="23"/>
      <c r="O1526" s="23"/>
      <c r="P1526" s="19"/>
      <c r="Q1526" s="19"/>
      <c r="R1526" s="19"/>
    </row>
    <row r="1527" spans="1:18" ht="20.45" hidden="1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31"/>
      <c r="M1527" s="23"/>
      <c r="N1527" s="23"/>
      <c r="O1527" s="23"/>
      <c r="P1527" s="19"/>
      <c r="Q1527" s="19"/>
      <c r="R1527" s="19"/>
    </row>
    <row r="1528" spans="1:18" ht="20.45" hidden="1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31"/>
      <c r="M1528" s="23"/>
      <c r="N1528" s="23"/>
      <c r="O1528" s="23"/>
      <c r="P1528" s="19"/>
      <c r="Q1528" s="19"/>
      <c r="R1528" s="19"/>
    </row>
    <row r="1529" spans="1:18" ht="20.45" hidden="1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31"/>
      <c r="M1529" s="23"/>
      <c r="N1529" s="23"/>
      <c r="O1529" s="23"/>
      <c r="P1529" s="19"/>
      <c r="Q1529" s="19"/>
      <c r="R1529" s="19"/>
    </row>
    <row r="1530" spans="1:18" ht="20.45" hidden="1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31"/>
      <c r="M1530" s="21"/>
      <c r="O1530" s="21"/>
      <c r="P1530" s="19"/>
      <c r="Q1530" s="19"/>
      <c r="R1530" s="19"/>
    </row>
    <row r="1531" spans="1:18" ht="20.45" hidden="1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1"/>
      <c r="O1531" s="21"/>
    </row>
    <row r="1532" spans="1:18" ht="20.45" hidden="1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O1532" s="20"/>
    </row>
    <row r="1533" spans="1:18" ht="20.45" hidden="1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O1533" s="20"/>
    </row>
    <row r="1534" spans="1:18" ht="20.45" hidden="1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O1534" s="20"/>
    </row>
    <row r="1535" spans="1:18" ht="20.45" hidden="1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O1535" s="20"/>
    </row>
    <row r="1536" spans="1:18" ht="20.45" hidden="1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O1536" s="20"/>
    </row>
    <row r="1537" spans="1:15" ht="20.45" hidden="1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O1537" s="20"/>
    </row>
    <row r="1538" spans="1:15" ht="20.45" hidden="1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O1538" s="20"/>
    </row>
    <row r="1539" spans="1:15" ht="20.45" hidden="1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O1539" s="20"/>
    </row>
    <row r="1540" spans="1:15" ht="20.45" hidden="1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O1540" s="20"/>
    </row>
    <row r="1541" spans="1:15" ht="20.45" hidden="1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O1541" s="20"/>
    </row>
    <row r="1542" spans="1:15" ht="20.45" hidden="1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O1542" s="20"/>
    </row>
    <row r="1543" spans="1:15" ht="20.45" hidden="1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O1543" s="20"/>
    </row>
    <row r="1544" spans="1:15" ht="20.45" hidden="1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</row>
    <row r="1545" spans="1:15" hidden="1"/>
    <row r="1546" spans="1:15" hidden="1"/>
    <row r="1547" spans="1:15" hidden="1"/>
    <row r="1548" spans="1:15" hidden="1"/>
    <row r="1549" spans="1:15" hidden="1"/>
    <row r="1550" spans="1:15" hidden="1"/>
    <row r="1551" spans="1:15" hidden="1"/>
    <row r="1552" spans="1:15" hidden="1"/>
    <row r="1553" spans="3:15" hidden="1"/>
    <row r="1554" spans="3:15" hidden="1"/>
    <row r="1555" spans="3:15" hidden="1"/>
    <row r="1556" spans="3:15" hidden="1"/>
    <row r="1557" spans="3:15" hidden="1"/>
    <row r="1558" spans="3:15" hidden="1"/>
    <row r="1559" spans="3:15" hidden="1"/>
    <row r="1560" spans="3:15" hidden="1"/>
    <row r="1561" spans="3:15" hidden="1"/>
    <row r="1562" spans="3:15" ht="14.45" hidden="1">
      <c r="M1562" s="18"/>
      <c r="N1562" s="18"/>
      <c r="O1562" s="18"/>
    </row>
    <row r="1563" spans="3:15" s="18" customFormat="1" ht="20.100000000000001" hidden="1" customHeight="1"/>
    <row r="1564" spans="3:15" s="18" customFormat="1" ht="14.45" hidden="1"/>
    <row r="1565" spans="3:15" s="18" customFormat="1" ht="20.100000000000001" hidden="1" customHeight="1"/>
    <row r="1566" spans="3:15" s="18" customFormat="1" ht="20.100000000000001" hidden="1" customHeight="1"/>
    <row r="1567" spans="3:15" s="18" customFormat="1" ht="20.45" hidden="1">
      <c r="C1567" s="34"/>
      <c r="D1567" s="34"/>
      <c r="E1567" s="34"/>
      <c r="F1567" s="34"/>
      <c r="G1567" s="34"/>
      <c r="H1567" s="34"/>
    </row>
    <row r="1568" spans="3:15" s="18" customFormat="1" ht="20.100000000000001" hidden="1" customHeight="1"/>
    <row r="1569" spans="1:18" s="18" customFormat="1" ht="18.95" hidden="1" customHeight="1">
      <c r="C1569" s="34"/>
      <c r="D1569" s="34"/>
      <c r="E1569" s="34"/>
      <c r="F1569" s="34"/>
      <c r="G1569" s="34"/>
      <c r="H1569" s="34"/>
      <c r="M1569" s="15"/>
      <c r="N1569" s="21"/>
      <c r="O1569" s="15"/>
    </row>
    <row r="1570" spans="1:18" ht="30" hidden="1">
      <c r="A1570" s="172"/>
      <c r="B1570" s="20"/>
      <c r="C1570" s="20"/>
      <c r="N1570" s="30"/>
    </row>
    <row r="1571" spans="1:18" ht="30" hidden="1">
      <c r="A1571" s="172" t="s">
        <v>331</v>
      </c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N1571" s="30"/>
    </row>
    <row r="1572" spans="1:18" ht="20.45" hidden="1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N1572" s="30"/>
    </row>
    <row r="1573" spans="1:18" ht="20.45" hidden="1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N1573" s="30"/>
    </row>
    <row r="1574" spans="1:18" ht="20.45" hidden="1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19"/>
      <c r="N1574" s="33"/>
      <c r="O1574" s="19"/>
    </row>
    <row r="1575" spans="1:18" ht="20.45" hidden="1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31"/>
      <c r="M1575" s="19"/>
      <c r="N1575" s="33"/>
      <c r="O1575" s="19"/>
      <c r="P1575" s="19"/>
      <c r="Q1575" s="19"/>
      <c r="R1575" s="19"/>
    </row>
    <row r="1576" spans="1:18" ht="20.45" hidden="1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31"/>
      <c r="M1576" s="31"/>
      <c r="N1576" s="23"/>
      <c r="O1576" s="31"/>
      <c r="P1576" s="19"/>
      <c r="Q1576" s="19"/>
      <c r="R1576" s="19"/>
    </row>
    <row r="1577" spans="1:18" ht="20.45" hidden="1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31"/>
      <c r="M1577" s="23" t="s">
        <v>332</v>
      </c>
      <c r="N1577" s="23" t="s">
        <v>278</v>
      </c>
      <c r="O1577" s="23" t="s">
        <v>279</v>
      </c>
      <c r="P1577" s="19"/>
      <c r="Q1577" s="19"/>
      <c r="R1577" s="19"/>
    </row>
    <row r="1578" spans="1:18" ht="20.45" hidden="1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31"/>
      <c r="M1578" s="23" t="s">
        <v>323</v>
      </c>
      <c r="N1578" s="23">
        <v>10.429399999999999</v>
      </c>
      <c r="O1578" s="23" t="s">
        <v>128</v>
      </c>
      <c r="P1578" s="19"/>
      <c r="Q1578" s="19"/>
      <c r="R1578" s="19"/>
    </row>
    <row r="1579" spans="1:18" ht="20.45" hidden="1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31"/>
      <c r="M1579" s="23" t="s">
        <v>290</v>
      </c>
      <c r="N1579" s="23">
        <v>334.08800000000002</v>
      </c>
      <c r="O1579" s="23" t="s">
        <v>98</v>
      </c>
      <c r="P1579" s="19"/>
      <c r="Q1579" s="19"/>
      <c r="R1579" s="19"/>
    </row>
    <row r="1580" spans="1:18" ht="20.45" hidden="1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31"/>
      <c r="M1580" s="23"/>
      <c r="N1580" s="23"/>
      <c r="O1580" s="23"/>
      <c r="P1580" s="19"/>
      <c r="Q1580" s="19"/>
      <c r="R1580" s="19"/>
    </row>
    <row r="1581" spans="1:18" ht="20.45" hidden="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31"/>
      <c r="M1581" s="23"/>
      <c r="N1581" s="23"/>
      <c r="O1581" s="23"/>
      <c r="P1581" s="19"/>
      <c r="Q1581" s="19"/>
      <c r="R1581" s="19"/>
    </row>
    <row r="1582" spans="1:18" ht="20.45" hidden="1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31"/>
      <c r="M1582" s="23"/>
      <c r="N1582" s="23"/>
      <c r="O1582" s="23"/>
      <c r="P1582" s="19"/>
      <c r="Q1582" s="19"/>
      <c r="R1582" s="19"/>
    </row>
    <row r="1583" spans="1:18" ht="20.45" hidden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31"/>
      <c r="M1583" s="23"/>
      <c r="N1583" s="23"/>
      <c r="O1583" s="23"/>
      <c r="P1583" s="19"/>
      <c r="Q1583" s="19"/>
      <c r="R1583" s="19"/>
    </row>
    <row r="1584" spans="1:18" ht="20.45" hidden="1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31"/>
      <c r="M1584" s="23"/>
      <c r="N1584" s="23"/>
      <c r="O1584" s="23"/>
      <c r="P1584" s="19"/>
      <c r="Q1584" s="19"/>
      <c r="R1584" s="19"/>
    </row>
    <row r="1585" spans="1:18" ht="20.45" hidden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31"/>
      <c r="M1585" s="23"/>
      <c r="N1585" s="23"/>
      <c r="O1585" s="23"/>
      <c r="P1585" s="19"/>
      <c r="Q1585" s="19"/>
      <c r="R1585" s="19"/>
    </row>
    <row r="1586" spans="1:18" ht="20.45" hidden="1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31"/>
      <c r="M1586" s="21"/>
      <c r="O1586" s="21"/>
      <c r="P1586" s="19"/>
      <c r="Q1586" s="19"/>
      <c r="R1586" s="19"/>
    </row>
    <row r="1587" spans="1:18" ht="20.45" hidden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1"/>
      <c r="O1587" s="21"/>
    </row>
    <row r="1588" spans="1:18" ht="20.45" hidden="1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O1588" s="20"/>
    </row>
    <row r="1589" spans="1:18" ht="20.45" hidden="1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O1589" s="20"/>
    </row>
    <row r="1590" spans="1:18" ht="20.45" hidden="1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O1590" s="20"/>
    </row>
    <row r="1591" spans="1:18" ht="20.45" hidden="1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O1591" s="20"/>
    </row>
    <row r="1592" spans="1:18" ht="20.45" hidden="1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O1592" s="20"/>
    </row>
    <row r="1593" spans="1:18" ht="20.45" hidden="1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O1593" s="20"/>
    </row>
    <row r="1594" spans="1:18" ht="20.45" hidden="1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O1594" s="20"/>
    </row>
    <row r="1595" spans="1:18" ht="20.45" hidden="1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O1595" s="20"/>
    </row>
    <row r="1596" spans="1:18" ht="20.45" hidden="1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O1596" s="20"/>
    </row>
    <row r="1597" spans="1:18" ht="20.45" hidden="1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O1597" s="20"/>
    </row>
    <row r="1598" spans="1:18" ht="20.45" hidden="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O1598" s="20"/>
    </row>
    <row r="1599" spans="1:18" ht="20.45" hidden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O1599" s="20"/>
    </row>
    <row r="1600" spans="1:18" ht="20.45" hidden="1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</row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spans="1:17" hidden="1"/>
    <row r="1618" spans="1:17" hidden="1"/>
    <row r="1619" spans="1:17" hidden="1"/>
    <row r="1620" spans="1:17" hidden="1"/>
    <row r="1621" spans="1:17" hidden="1"/>
    <row r="1622" spans="1:17" hidden="1"/>
    <row r="1623" spans="1:17" ht="30" hidden="1">
      <c r="A1623" s="172" t="s">
        <v>333</v>
      </c>
      <c r="B1623" s="20"/>
      <c r="C1623" s="20"/>
      <c r="N1623" s="30"/>
    </row>
    <row r="1624" spans="1:17" ht="30" hidden="1">
      <c r="A1624" s="172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N1624" s="30"/>
    </row>
    <row r="1625" spans="1:17" ht="20.45" hidden="1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N1625" s="30"/>
    </row>
    <row r="1626" spans="1:17" ht="20.45" hidden="1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N1626" s="30"/>
    </row>
    <row r="1627" spans="1:17" ht="20.45" hidden="1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19"/>
      <c r="N1627" s="33"/>
      <c r="O1627" s="19"/>
    </row>
    <row r="1628" spans="1:17" ht="20.45" hidden="1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31"/>
      <c r="M1628" s="19"/>
      <c r="N1628" s="33"/>
      <c r="O1628" s="19"/>
      <c r="P1628" s="19"/>
      <c r="Q1628" s="19"/>
    </row>
    <row r="1629" spans="1:17" ht="20.45" hidden="1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31"/>
      <c r="M1629" s="31"/>
      <c r="N1629" s="23"/>
      <c r="O1629" s="31"/>
      <c r="P1629" s="19"/>
      <c r="Q1629" s="19"/>
    </row>
    <row r="1630" spans="1:17" ht="20.45" hidden="1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31"/>
      <c r="M1630" s="23" t="s">
        <v>334</v>
      </c>
      <c r="N1630" s="23" t="s">
        <v>278</v>
      </c>
      <c r="O1630" s="23" t="s">
        <v>279</v>
      </c>
      <c r="P1630" s="19"/>
      <c r="Q1630" s="19"/>
    </row>
    <row r="1631" spans="1:17" ht="20.45" hidden="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31"/>
      <c r="M1631" s="23" t="s">
        <v>323</v>
      </c>
      <c r="N1631" s="23"/>
      <c r="O1631" s="23" t="s">
        <v>128</v>
      </c>
      <c r="P1631" s="19"/>
      <c r="Q1631" s="19"/>
    </row>
    <row r="1632" spans="1:17" ht="20.45" hidden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31"/>
      <c r="M1632" s="23" t="s">
        <v>290</v>
      </c>
      <c r="N1632" s="23"/>
      <c r="O1632" s="23" t="s">
        <v>98</v>
      </c>
      <c r="P1632" s="19"/>
      <c r="Q1632" s="19"/>
    </row>
    <row r="1633" spans="1:17" ht="20.45" hidden="1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31"/>
      <c r="M1633" s="23"/>
      <c r="N1633" s="23"/>
      <c r="O1633" s="23"/>
      <c r="P1633" s="19"/>
      <c r="Q1633" s="19"/>
    </row>
    <row r="1634" spans="1:17" ht="20.45" hidden="1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31"/>
      <c r="M1634" s="23"/>
      <c r="N1634" s="23"/>
      <c r="O1634" s="23"/>
      <c r="P1634" s="19"/>
      <c r="Q1634" s="19"/>
    </row>
    <row r="1635" spans="1:17" ht="20.45" hidden="1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31"/>
      <c r="M1635" s="23"/>
      <c r="N1635" s="23"/>
      <c r="O1635" s="23"/>
      <c r="P1635" s="19"/>
      <c r="Q1635" s="19"/>
    </row>
    <row r="1636" spans="1:17" ht="20.45" hidden="1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31"/>
      <c r="M1636" s="23"/>
      <c r="N1636" s="23"/>
      <c r="O1636" s="23"/>
      <c r="P1636" s="19"/>
      <c r="Q1636" s="19"/>
    </row>
    <row r="1637" spans="1:17" ht="20.45" hidden="1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31"/>
      <c r="M1637" s="21"/>
      <c r="O1637" s="21"/>
      <c r="P1637" s="19"/>
      <c r="Q1637" s="19"/>
    </row>
    <row r="1638" spans="1:17" ht="20.45" hidden="1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1"/>
      <c r="O1638" s="21"/>
    </row>
    <row r="1639" spans="1:17" ht="20.45" hidden="1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1"/>
      <c r="O1639" s="21"/>
    </row>
    <row r="1640" spans="1:17" ht="20.45" hidden="1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1"/>
      <c r="O1640" s="21"/>
    </row>
    <row r="1641" spans="1:17" ht="20.45" hidden="1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O1641" s="20"/>
    </row>
    <row r="1642" spans="1:17" ht="20.45" hidden="1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O1642" s="20"/>
    </row>
    <row r="1643" spans="1:17" ht="20.45" hidden="1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O1643" s="20"/>
    </row>
    <row r="1644" spans="1:17" ht="20.45" hidden="1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O1644" s="20"/>
    </row>
    <row r="1645" spans="1:17" ht="20.45" hidden="1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O1645" s="20"/>
    </row>
    <row r="1646" spans="1:17" ht="20.45" hidden="1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O1646" s="20"/>
    </row>
    <row r="1647" spans="1:17" ht="20.45" hidden="1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O1647" s="20"/>
    </row>
    <row r="1648" spans="1:17" ht="20.45" hidden="1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O1648" s="20"/>
    </row>
    <row r="1649" spans="1:15" ht="20.45" hidden="1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O1649" s="20"/>
    </row>
    <row r="1650" spans="1:15" ht="20.45" hidden="1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O1650" s="20"/>
    </row>
    <row r="1651" spans="1:15" ht="20.45" hidden="1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O1651" s="20"/>
    </row>
    <row r="1652" spans="1:15" ht="20.45" hidden="1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O1652" s="20"/>
    </row>
    <row r="1653" spans="1:15" ht="20.45" hidden="1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</row>
    <row r="1654" spans="1:15" hidden="1"/>
    <row r="1655" spans="1:15" hidden="1"/>
    <row r="1656" spans="1:15" hidden="1"/>
    <row r="1657" spans="1:15" hidden="1"/>
    <row r="1658" spans="1:15" hidden="1"/>
    <row r="1659" spans="1:15" hidden="1"/>
    <row r="1660" spans="1:15" hidden="1"/>
    <row r="1661" spans="1:15" hidden="1"/>
    <row r="1662" spans="1:15" hidden="1"/>
    <row r="1663" spans="1:15" hidden="1"/>
    <row r="1664" spans="1:15" hidden="1"/>
    <row r="1665" spans="1:16" hidden="1"/>
    <row r="1666" spans="1:16" hidden="1"/>
    <row r="1667" spans="1:16" hidden="1"/>
    <row r="1668" spans="1:16" hidden="1"/>
    <row r="1669" spans="1:16" hidden="1"/>
    <row r="1670" spans="1:16" hidden="1"/>
    <row r="1671" spans="1:16" hidden="1"/>
    <row r="1672" spans="1:16" hidden="1"/>
    <row r="1673" spans="1:16" hidden="1"/>
    <row r="1674" spans="1:16" hidden="1"/>
    <row r="1675" spans="1:16" hidden="1">
      <c r="M1675" s="19"/>
      <c r="N1675" s="23"/>
      <c r="O1675" s="19"/>
    </row>
    <row r="1676" spans="1:16" ht="24.6" hidden="1">
      <c r="A1676" s="183" t="s">
        <v>335</v>
      </c>
      <c r="L1676" s="19"/>
      <c r="M1676" s="19"/>
      <c r="N1676" s="23"/>
      <c r="O1676" s="19"/>
      <c r="P1676" s="19"/>
    </row>
    <row r="1677" spans="1:16" hidden="1">
      <c r="L1677" s="19"/>
      <c r="M1677" s="19"/>
      <c r="N1677" s="23"/>
      <c r="O1677" s="19"/>
      <c r="P1677" s="19"/>
    </row>
    <row r="1678" spans="1:16" hidden="1">
      <c r="L1678" s="19"/>
      <c r="M1678" s="23" t="s">
        <v>336</v>
      </c>
      <c r="N1678" s="23" t="s">
        <v>278</v>
      </c>
      <c r="O1678" s="23" t="s">
        <v>279</v>
      </c>
      <c r="P1678" s="19"/>
    </row>
    <row r="1679" spans="1:16" hidden="1">
      <c r="L1679" s="19"/>
      <c r="M1679" s="23" t="s">
        <v>198</v>
      </c>
      <c r="N1679" s="23">
        <v>34.587299999999999</v>
      </c>
      <c r="O1679" s="23" t="s">
        <v>128</v>
      </c>
      <c r="P1679" s="19"/>
    </row>
    <row r="1680" spans="1:16" hidden="1">
      <c r="L1680" s="19"/>
      <c r="M1680" s="23" t="s">
        <v>199</v>
      </c>
      <c r="N1680" s="23">
        <v>117.124</v>
      </c>
      <c r="O1680" s="23" t="s">
        <v>98</v>
      </c>
      <c r="P1680" s="19"/>
    </row>
    <row r="1681" spans="12:16" hidden="1">
      <c r="L1681" s="19"/>
      <c r="M1681" s="23"/>
      <c r="N1681" s="23"/>
      <c r="O1681" s="23"/>
      <c r="P1681" s="19"/>
    </row>
    <row r="1682" spans="12:16" hidden="1">
      <c r="L1682" s="19"/>
      <c r="M1682" s="23"/>
      <c r="N1682" s="23"/>
      <c r="O1682" s="23"/>
      <c r="P1682" s="19"/>
    </row>
    <row r="1683" spans="12:16" hidden="1">
      <c r="L1683" s="19"/>
      <c r="M1683" s="23"/>
      <c r="N1683" s="23"/>
      <c r="O1683" s="23"/>
      <c r="P1683" s="19"/>
    </row>
    <row r="1684" spans="12:16" hidden="1">
      <c r="L1684" s="19"/>
      <c r="M1684" s="23"/>
      <c r="N1684" s="23"/>
      <c r="O1684" s="23"/>
      <c r="P1684" s="19"/>
    </row>
    <row r="1685" spans="12:16" hidden="1">
      <c r="L1685" s="19"/>
      <c r="M1685" s="23"/>
      <c r="N1685" s="23"/>
      <c r="O1685" s="23"/>
      <c r="P1685" s="19"/>
    </row>
    <row r="1686" spans="12:16" hidden="1">
      <c r="L1686" s="19"/>
      <c r="P1686" s="19"/>
    </row>
    <row r="1687" spans="12:16" hidden="1"/>
    <row r="1688" spans="12:16" hidden="1"/>
    <row r="1689" spans="12:16" hidden="1"/>
    <row r="1690" spans="12:16" hidden="1"/>
    <row r="1691" spans="12:16" hidden="1"/>
    <row r="1692" spans="12:16" hidden="1"/>
    <row r="1693" spans="12:16" hidden="1"/>
    <row r="1694" spans="12:16" hidden="1"/>
    <row r="1695" spans="12:16" hidden="1"/>
    <row r="1696" spans="12:16" hidden="1"/>
    <row r="1697" spans="13:15" hidden="1"/>
    <row r="1698" spans="13:15" hidden="1"/>
    <row r="1699" spans="13:15" hidden="1">
      <c r="M1699" s="21"/>
      <c r="O1699" s="21"/>
    </row>
    <row r="1700" spans="13:15" hidden="1">
      <c r="M1700" s="21"/>
      <c r="O1700" s="21"/>
    </row>
    <row r="1701" spans="13:15" hidden="1">
      <c r="M1701" s="21"/>
      <c r="O1701" s="21"/>
    </row>
    <row r="1702" spans="13:15" hidden="1"/>
    <row r="1703" spans="13:15" hidden="1"/>
    <row r="1704" spans="13:15" hidden="1"/>
    <row r="1705" spans="13:15" hidden="1"/>
    <row r="1706" spans="13:15" hidden="1"/>
    <row r="1707" spans="13:15" hidden="1"/>
    <row r="1708" spans="13:15" hidden="1"/>
    <row r="1709" spans="13:15" hidden="1"/>
    <row r="1710" spans="13:15" hidden="1"/>
    <row r="1711" spans="13:15" hidden="1"/>
    <row r="1712" spans="13:15" hidden="1"/>
    <row r="1713" spans="13:15" hidden="1"/>
    <row r="1714" spans="13:15" hidden="1"/>
    <row r="1715" spans="13:15" hidden="1"/>
    <row r="1716" spans="13:15" hidden="1"/>
    <row r="1717" spans="13:15" hidden="1"/>
    <row r="1718" spans="13:15" hidden="1"/>
    <row r="1719" spans="13:15" hidden="1"/>
    <row r="1720" spans="13:15" hidden="1"/>
    <row r="1721" spans="13:15" hidden="1"/>
    <row r="1722" spans="13:15" hidden="1"/>
    <row r="1723" spans="13:15" hidden="1">
      <c r="M1723" s="21"/>
      <c r="O1723" s="21"/>
    </row>
    <row r="1724" spans="13:15" hidden="1">
      <c r="M1724" s="21"/>
      <c r="O1724" s="21"/>
    </row>
    <row r="1725" spans="13:15" hidden="1">
      <c r="M1725" s="21"/>
      <c r="O1725" s="21"/>
    </row>
    <row r="1726" spans="13:15" hidden="1"/>
    <row r="1727" spans="13:15" hidden="1"/>
    <row r="1728" spans="13:15" hidden="1"/>
    <row r="1729" spans="1:17" hidden="1"/>
    <row r="1730" spans="1:17" hidden="1"/>
    <row r="1731" spans="1:17" hidden="1"/>
    <row r="1732" spans="1:17" hidden="1"/>
    <row r="1733" spans="1:17" hidden="1"/>
    <row r="1734" spans="1:17" hidden="1"/>
    <row r="1735" spans="1:17" hidden="1"/>
    <row r="1736" spans="1:17" ht="24.6" hidden="1">
      <c r="A1736" s="183" t="s">
        <v>337</v>
      </c>
    </row>
    <row r="1737" spans="1:17" hidden="1"/>
    <row r="1738" spans="1:17" hidden="1"/>
    <row r="1739" spans="1:17" hidden="1"/>
    <row r="1740" spans="1:17" hidden="1"/>
    <row r="1741" spans="1:17" hidden="1"/>
    <row r="1742" spans="1:17" hidden="1">
      <c r="M1742" s="19"/>
      <c r="N1742" s="23"/>
      <c r="O1742" s="19"/>
    </row>
    <row r="1743" spans="1:17" hidden="1">
      <c r="L1743" s="19"/>
      <c r="M1743" s="19"/>
      <c r="N1743" s="23"/>
      <c r="O1743" s="19"/>
      <c r="P1743" s="19"/>
      <c r="Q1743" s="19"/>
    </row>
    <row r="1744" spans="1:17" hidden="1">
      <c r="L1744" s="19"/>
      <c r="M1744" s="19"/>
      <c r="N1744" s="23"/>
      <c r="O1744" s="19"/>
      <c r="P1744" s="19"/>
      <c r="Q1744" s="19"/>
    </row>
    <row r="1745" spans="12:17" hidden="1">
      <c r="L1745" s="19"/>
      <c r="M1745" s="23" t="s">
        <v>338</v>
      </c>
      <c r="N1745" s="23" t="s">
        <v>278</v>
      </c>
      <c r="O1745" s="23" t="s">
        <v>279</v>
      </c>
      <c r="P1745" s="19"/>
      <c r="Q1745" s="19"/>
    </row>
    <row r="1746" spans="12:17" hidden="1">
      <c r="L1746" s="19"/>
      <c r="M1746" s="23" t="s">
        <v>198</v>
      </c>
      <c r="N1746" s="23">
        <v>57.026899999999998</v>
      </c>
      <c r="O1746" s="23" t="s">
        <v>128</v>
      </c>
      <c r="P1746" s="19"/>
      <c r="Q1746" s="19"/>
    </row>
    <row r="1747" spans="12:17" hidden="1">
      <c r="L1747" s="19"/>
      <c r="M1747" s="23" t="s">
        <v>199</v>
      </c>
      <c r="N1747" s="23">
        <v>40.549999999999997</v>
      </c>
      <c r="O1747" s="23" t="s">
        <v>98</v>
      </c>
      <c r="P1747" s="19"/>
      <c r="Q1747" s="19"/>
    </row>
    <row r="1748" spans="12:17" hidden="1">
      <c r="L1748" s="19"/>
      <c r="M1748" s="19"/>
      <c r="N1748" s="23"/>
      <c r="O1748" s="19"/>
      <c r="P1748" s="19"/>
      <c r="Q1748" s="19"/>
    </row>
    <row r="1749" spans="12:17" hidden="1">
      <c r="L1749" s="19"/>
      <c r="M1749" s="19"/>
      <c r="N1749" s="23"/>
      <c r="O1749" s="19"/>
      <c r="P1749" s="19"/>
      <c r="Q1749" s="19"/>
    </row>
    <row r="1750" spans="12:17" hidden="1">
      <c r="L1750" s="19"/>
      <c r="M1750" s="19"/>
      <c r="N1750" s="23"/>
      <c r="O1750" s="19"/>
      <c r="P1750" s="19"/>
      <c r="Q1750" s="19"/>
    </row>
    <row r="1751" spans="12:17" hidden="1">
      <c r="L1751" s="19"/>
      <c r="M1751" s="19"/>
      <c r="N1751" s="23"/>
      <c r="O1751" s="19"/>
      <c r="P1751" s="19"/>
      <c r="Q1751" s="19"/>
    </row>
    <row r="1752" spans="12:17" hidden="1">
      <c r="L1752" s="19"/>
      <c r="M1752" s="19"/>
      <c r="N1752" s="23"/>
      <c r="O1752" s="19"/>
      <c r="P1752" s="19"/>
      <c r="Q1752" s="19"/>
    </row>
    <row r="1753" spans="12:17" hidden="1">
      <c r="L1753" s="19"/>
      <c r="M1753" s="19"/>
      <c r="N1753" s="23"/>
      <c r="O1753" s="19"/>
      <c r="P1753" s="19"/>
      <c r="Q1753" s="19"/>
    </row>
    <row r="1754" spans="12:17" hidden="1">
      <c r="L1754" s="19"/>
      <c r="M1754" s="19"/>
      <c r="N1754" s="23"/>
      <c r="O1754" s="19"/>
      <c r="P1754" s="19"/>
      <c r="Q1754" s="19"/>
    </row>
    <row r="1755" spans="12:17" hidden="1">
      <c r="L1755" s="19"/>
      <c r="M1755" s="19"/>
      <c r="N1755" s="23"/>
      <c r="O1755" s="19"/>
      <c r="P1755" s="19"/>
      <c r="Q1755" s="19"/>
    </row>
    <row r="1756" spans="12:17" hidden="1">
      <c r="L1756" s="19"/>
      <c r="M1756" s="23"/>
      <c r="N1756" s="23"/>
      <c r="O1756" s="23"/>
      <c r="P1756" s="19"/>
      <c r="Q1756" s="19"/>
    </row>
    <row r="1757" spans="12:17" hidden="1">
      <c r="L1757" s="19"/>
      <c r="M1757" s="23"/>
      <c r="N1757" s="23"/>
      <c r="O1757" s="23"/>
      <c r="P1757" s="19"/>
      <c r="Q1757" s="19"/>
    </row>
    <row r="1758" spans="12:17" hidden="1">
      <c r="L1758" s="19"/>
      <c r="M1758" s="21"/>
      <c r="O1758" s="21"/>
      <c r="P1758" s="19"/>
      <c r="Q1758" s="19"/>
    </row>
    <row r="1759" spans="12:17" hidden="1"/>
    <row r="1760" spans="12:17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spans="1:16" hidden="1"/>
    <row r="1778" spans="1:16" ht="18" hidden="1">
      <c r="A1778" s="184"/>
    </row>
    <row r="1779" spans="1:16" hidden="1"/>
    <row r="1780" spans="1:16" hidden="1"/>
    <row r="1781" spans="1:16" hidden="1"/>
    <row r="1782" spans="1:16" hidden="1">
      <c r="M1782" s="19"/>
      <c r="N1782" s="23"/>
      <c r="O1782" s="19"/>
    </row>
    <row r="1783" spans="1:16" hidden="1">
      <c r="L1783" s="19"/>
      <c r="M1783" s="19"/>
      <c r="N1783" s="23"/>
      <c r="O1783" s="19"/>
      <c r="P1783" s="19"/>
    </row>
    <row r="1784" spans="1:16" hidden="1">
      <c r="L1784" s="19"/>
      <c r="M1784" s="19"/>
      <c r="N1784" s="23"/>
      <c r="O1784" s="19"/>
      <c r="P1784" s="19"/>
    </row>
    <row r="1785" spans="1:16" hidden="1">
      <c r="A1785" s="15" t="s">
        <v>339</v>
      </c>
      <c r="L1785" s="19"/>
      <c r="M1785" s="19"/>
      <c r="N1785" s="23"/>
      <c r="O1785" s="19"/>
      <c r="P1785" s="19"/>
    </row>
    <row r="1786" spans="1:16" hidden="1">
      <c r="L1786" s="19"/>
      <c r="M1786" s="19"/>
      <c r="N1786" s="23"/>
      <c r="O1786" s="19"/>
      <c r="P1786" s="19"/>
    </row>
    <row r="1787" spans="1:16" hidden="1">
      <c r="L1787" s="19"/>
      <c r="M1787" s="19"/>
      <c r="N1787" s="23"/>
      <c r="O1787" s="19"/>
      <c r="P1787" s="19"/>
    </row>
    <row r="1788" spans="1:16" hidden="1">
      <c r="L1788" s="19"/>
      <c r="M1788" s="19"/>
      <c r="N1788" s="23"/>
      <c r="O1788" s="19"/>
      <c r="P1788" s="19"/>
    </row>
    <row r="1789" spans="1:16" hidden="1">
      <c r="L1789" s="19"/>
      <c r="M1789" s="19"/>
      <c r="N1789" s="23"/>
      <c r="O1789" s="19"/>
      <c r="P1789" s="19"/>
    </row>
    <row r="1790" spans="1:16" hidden="1">
      <c r="L1790" s="19"/>
      <c r="P1790" s="19"/>
    </row>
    <row r="1791" spans="1:16" hidden="1"/>
    <row r="1792" spans="1:16" hidden="1"/>
    <row r="1793" spans="13:15" hidden="1"/>
    <row r="1794" spans="13:15" hidden="1"/>
    <row r="1795" spans="13:15" hidden="1"/>
    <row r="1796" spans="13:15" hidden="1"/>
    <row r="1797" spans="13:15" hidden="1"/>
    <row r="1798" spans="13:15" hidden="1"/>
    <row r="1799" spans="13:15" hidden="1"/>
    <row r="1800" spans="13:15" hidden="1"/>
    <row r="1801" spans="13:15" hidden="1"/>
    <row r="1802" spans="13:15" hidden="1"/>
    <row r="1803" spans="13:15" hidden="1">
      <c r="M1803" s="21"/>
      <c r="O1803" s="21"/>
    </row>
    <row r="1804" spans="13:15" hidden="1">
      <c r="M1804" s="21"/>
      <c r="O1804" s="21"/>
    </row>
    <row r="1805" spans="13:15" hidden="1">
      <c r="M1805" s="21"/>
      <c r="O1805" s="21"/>
    </row>
    <row r="1806" spans="13:15" hidden="1"/>
    <row r="1807" spans="13:15" hidden="1"/>
    <row r="1808" spans="13:15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spans="13:15" hidden="1"/>
    <row r="1826" spans="13:15" hidden="1"/>
    <row r="1827" spans="13:15" hidden="1"/>
    <row r="1828" spans="13:15" hidden="1"/>
    <row r="1829" spans="13:15" hidden="1">
      <c r="M1829" s="21"/>
      <c r="O1829" s="21"/>
    </row>
    <row r="1830" spans="13:15" hidden="1">
      <c r="M1830" s="21"/>
      <c r="O1830" s="21"/>
    </row>
    <row r="1831" spans="13:15" hidden="1">
      <c r="M1831" s="21"/>
      <c r="O1831" s="21"/>
    </row>
    <row r="1832" spans="13:15" hidden="1"/>
    <row r="1833" spans="13:15" hidden="1"/>
    <row r="1834" spans="13:15" hidden="1"/>
    <row r="1835" spans="13:15" hidden="1"/>
    <row r="1836" spans="13:15" hidden="1"/>
    <row r="1837" spans="13:15" hidden="1"/>
    <row r="1838" spans="13:15" hidden="1"/>
    <row r="1839" spans="13:15" hidden="1"/>
    <row r="1840" spans="13:15" hidden="1"/>
    <row r="1841" spans="1:15" hidden="1"/>
    <row r="1842" spans="1:15" ht="18" hidden="1">
      <c r="A1842" s="184"/>
    </row>
    <row r="1843" spans="1:15" hidden="1"/>
    <row r="1844" spans="1:15" hidden="1"/>
    <row r="1845" spans="1:15" hidden="1"/>
    <row r="1846" spans="1:15" hidden="1"/>
    <row r="1847" spans="1:15" hidden="1"/>
    <row r="1848" spans="1:15" hidden="1"/>
    <row r="1849" spans="1:15" hidden="1"/>
    <row r="1850" spans="1:15" hidden="1"/>
    <row r="1851" spans="1:15" ht="24.6" hidden="1">
      <c r="A1851" s="183" t="s">
        <v>340</v>
      </c>
    </row>
    <row r="1852" spans="1:15" hidden="1"/>
    <row r="1853" spans="1:15" hidden="1"/>
    <row r="1854" spans="1:15" hidden="1"/>
    <row r="1855" spans="1:15" hidden="1"/>
    <row r="1856" spans="1:15" hidden="1">
      <c r="M1856" s="19"/>
      <c r="N1856" s="23"/>
      <c r="O1856" s="19"/>
    </row>
    <row r="1857" spans="13:16" hidden="1">
      <c r="M1857" s="19"/>
      <c r="N1857" s="23"/>
      <c r="O1857" s="19"/>
      <c r="P1857" s="19"/>
    </row>
    <row r="1858" spans="13:16" hidden="1">
      <c r="M1858" s="19"/>
      <c r="N1858" s="23"/>
      <c r="O1858" s="19"/>
      <c r="P1858" s="19"/>
    </row>
    <row r="1859" spans="13:16" hidden="1">
      <c r="M1859" s="23" t="s">
        <v>341</v>
      </c>
      <c r="N1859" s="23" t="s">
        <v>278</v>
      </c>
      <c r="O1859" s="23" t="s">
        <v>279</v>
      </c>
      <c r="P1859" s="19"/>
    </row>
    <row r="1860" spans="13:16" hidden="1">
      <c r="M1860" s="23" t="s">
        <v>198</v>
      </c>
      <c r="N1860" s="23">
        <v>21.768799999999999</v>
      </c>
      <c r="O1860" s="23" t="s">
        <v>128</v>
      </c>
      <c r="P1860" s="19"/>
    </row>
    <row r="1861" spans="13:16" hidden="1">
      <c r="M1861" s="23" t="s">
        <v>199</v>
      </c>
      <c r="N1861" s="23">
        <v>111.36199999999999</v>
      </c>
      <c r="O1861" s="23" t="s">
        <v>98</v>
      </c>
      <c r="P1861" s="19"/>
    </row>
    <row r="1862" spans="13:16" hidden="1">
      <c r="M1862" s="19"/>
      <c r="N1862" s="23"/>
      <c r="O1862" s="19"/>
      <c r="P1862" s="19"/>
    </row>
    <row r="1863" spans="13:16" hidden="1">
      <c r="M1863" s="19"/>
      <c r="N1863" s="23"/>
      <c r="O1863" s="19"/>
      <c r="P1863" s="19"/>
    </row>
    <row r="1864" spans="13:16" hidden="1">
      <c r="M1864" s="19"/>
      <c r="N1864" s="23"/>
      <c r="O1864" s="19"/>
      <c r="P1864" s="19"/>
    </row>
    <row r="1865" spans="13:16" hidden="1">
      <c r="M1865" s="19"/>
      <c r="N1865" s="23"/>
      <c r="O1865" s="19"/>
      <c r="P1865" s="19"/>
    </row>
    <row r="1866" spans="13:16" hidden="1">
      <c r="M1866" s="19"/>
      <c r="N1866" s="23"/>
      <c r="O1866" s="19"/>
      <c r="P1866" s="19"/>
    </row>
    <row r="1867" spans="13:16" hidden="1">
      <c r="M1867" s="19"/>
      <c r="N1867" s="23"/>
      <c r="O1867" s="19"/>
      <c r="P1867" s="19"/>
    </row>
    <row r="1868" spans="13:16" hidden="1">
      <c r="M1868" s="19"/>
      <c r="N1868" s="23"/>
      <c r="O1868" s="19"/>
      <c r="P1868" s="19"/>
    </row>
    <row r="1869" spans="13:16" hidden="1">
      <c r="P1869" s="19"/>
    </row>
    <row r="1870" spans="13:16" hidden="1"/>
    <row r="1871" spans="13:16" hidden="1"/>
    <row r="1872" spans="13:16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spans="1:1" hidden="1"/>
    <row r="1890" spans="1:1" hidden="1"/>
    <row r="1891" spans="1:1" hidden="1"/>
    <row r="1892" spans="1:1" hidden="1"/>
    <row r="1893" spans="1:1" hidden="1"/>
    <row r="1894" spans="1:1" hidden="1"/>
    <row r="1895" spans="1:1" hidden="1"/>
    <row r="1896" spans="1:1" hidden="1"/>
    <row r="1897" spans="1:1" hidden="1"/>
    <row r="1898" spans="1:1" hidden="1"/>
    <row r="1899" spans="1:1" hidden="1"/>
    <row r="1900" spans="1:1" hidden="1">
      <c r="A1900" s="15" t="s">
        <v>342</v>
      </c>
    </row>
    <row r="1901" spans="1:1" hidden="1"/>
    <row r="1902" spans="1:1" hidden="1"/>
    <row r="1903" spans="1:1" hidden="1"/>
    <row r="1904" spans="1:1" hidden="1"/>
    <row r="1905" spans="1:15" hidden="1"/>
    <row r="1906" spans="1:15" hidden="1"/>
    <row r="1907" spans="1:15" hidden="1"/>
    <row r="1908" spans="1:15" hidden="1"/>
    <row r="1909" spans="1:15" hidden="1"/>
    <row r="1910" spans="1:15" hidden="1"/>
    <row r="1911" spans="1:15" hidden="1"/>
    <row r="1912" spans="1:15" ht="24.6" hidden="1">
      <c r="A1912" s="183" t="s">
        <v>343</v>
      </c>
    </row>
    <row r="1913" spans="1:15" hidden="1"/>
    <row r="1914" spans="1:15" hidden="1"/>
    <row r="1915" spans="1:15" hidden="1"/>
    <row r="1916" spans="1:15" hidden="1"/>
    <row r="1917" spans="1:15" hidden="1"/>
    <row r="1918" spans="1:15" hidden="1"/>
    <row r="1919" spans="1:15" hidden="1"/>
    <row r="1920" spans="1:15" hidden="1">
      <c r="M1920" s="19"/>
      <c r="N1920" s="23"/>
      <c r="O1920" s="19"/>
    </row>
    <row r="1921" spans="13:16" hidden="1">
      <c r="M1921" s="19"/>
      <c r="N1921" s="23"/>
      <c r="O1921" s="19"/>
      <c r="P1921" s="19"/>
    </row>
    <row r="1922" spans="13:16" hidden="1">
      <c r="M1922" s="19"/>
      <c r="N1922" s="23"/>
      <c r="O1922" s="19"/>
      <c r="P1922" s="19"/>
    </row>
    <row r="1923" spans="13:16" hidden="1">
      <c r="M1923" s="23" t="s">
        <v>343</v>
      </c>
      <c r="N1923" s="23" t="s">
        <v>278</v>
      </c>
      <c r="O1923" s="23" t="s">
        <v>279</v>
      </c>
      <c r="P1923" s="19"/>
    </row>
    <row r="1924" spans="13:16" hidden="1">
      <c r="M1924" s="23" t="s">
        <v>198</v>
      </c>
      <c r="N1924" s="23"/>
      <c r="O1924" s="23" t="s">
        <v>128</v>
      </c>
      <c r="P1924" s="19"/>
    </row>
    <row r="1925" spans="13:16" hidden="1">
      <c r="M1925" s="23" t="s">
        <v>199</v>
      </c>
      <c r="N1925" s="23"/>
      <c r="O1925" s="23" t="s">
        <v>98</v>
      </c>
      <c r="P1925" s="19"/>
    </row>
    <row r="1926" spans="13:16" hidden="1">
      <c r="M1926" s="19"/>
      <c r="N1926" s="23"/>
      <c r="O1926" s="19"/>
      <c r="P1926" s="19"/>
    </row>
    <row r="1927" spans="13:16" hidden="1">
      <c r="M1927" s="19"/>
      <c r="N1927" s="23"/>
      <c r="O1927" s="19"/>
      <c r="P1927" s="19"/>
    </row>
    <row r="1928" spans="13:16" hidden="1">
      <c r="M1928" s="19"/>
      <c r="N1928" s="23"/>
      <c r="O1928" s="19"/>
      <c r="P1928" s="19"/>
    </row>
    <row r="1929" spans="13:16" hidden="1">
      <c r="M1929" s="19"/>
      <c r="N1929" s="23"/>
      <c r="O1929" s="19"/>
      <c r="P1929" s="19"/>
    </row>
    <row r="1930" spans="13:16" hidden="1">
      <c r="M1930" s="19"/>
      <c r="N1930" s="23"/>
      <c r="O1930" s="19"/>
      <c r="P1930" s="19"/>
    </row>
    <row r="1931" spans="13:16" hidden="1">
      <c r="M1931" s="19"/>
      <c r="N1931" s="23"/>
      <c r="O1931" s="19"/>
      <c r="P1931" s="19"/>
    </row>
    <row r="1932" spans="13:16" hidden="1">
      <c r="M1932" s="19"/>
      <c r="N1932" s="23"/>
      <c r="O1932" s="19"/>
      <c r="P1932" s="19"/>
    </row>
    <row r="1933" spans="13:16" hidden="1">
      <c r="P1933" s="19"/>
    </row>
    <row r="1934" spans="13:16" hidden="1"/>
    <row r="1935" spans="13:16" hidden="1"/>
    <row r="1936" spans="13:1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spans="1:1" hidden="1"/>
    <row r="1986" spans="1:1" hidden="1"/>
    <row r="1987" spans="1:1" hidden="1"/>
    <row r="1988" spans="1:1" hidden="1"/>
    <row r="1989" spans="1:1" hidden="1"/>
    <row r="1990" spans="1:1" hidden="1"/>
    <row r="1991" spans="1:1" ht="24.6" hidden="1">
      <c r="A1991" s="183" t="s">
        <v>344</v>
      </c>
    </row>
    <row r="1992" spans="1:1" hidden="1"/>
    <row r="1993" spans="1:1" hidden="1"/>
    <row r="1994" spans="1:1" hidden="1"/>
    <row r="1995" spans="1:1" hidden="1"/>
    <row r="1996" spans="1:1" hidden="1"/>
    <row r="1997" spans="1:1" hidden="1"/>
    <row r="1998" spans="1:1" hidden="1"/>
    <row r="1999" spans="1:1" hidden="1"/>
    <row r="2000" spans="1:1" hidden="1"/>
    <row r="2001" spans="13:15" hidden="1"/>
    <row r="2002" spans="13:15" hidden="1">
      <c r="M2002" s="15" t="s">
        <v>345</v>
      </c>
    </row>
    <row r="2003" spans="13:15" hidden="1">
      <c r="M2003" s="23" t="s">
        <v>344</v>
      </c>
      <c r="N2003" s="23" t="s">
        <v>278</v>
      </c>
      <c r="O2003" s="23" t="s">
        <v>279</v>
      </c>
    </row>
    <row r="2004" spans="13:15" hidden="1">
      <c r="M2004" s="23" t="s">
        <v>198</v>
      </c>
      <c r="N2004" s="23"/>
      <c r="O2004" s="23" t="s">
        <v>128</v>
      </c>
    </row>
    <row r="2005" spans="13:15" hidden="1">
      <c r="M2005" s="23" t="s">
        <v>199</v>
      </c>
      <c r="N2005" s="23"/>
      <c r="O2005" s="23" t="s">
        <v>98</v>
      </c>
    </row>
    <row r="2006" spans="13:15" hidden="1"/>
    <row r="2007" spans="13:15" hidden="1"/>
    <row r="2008" spans="13:15" hidden="1"/>
    <row r="2009" spans="13:15" hidden="1"/>
    <row r="2010" spans="13:15" hidden="1"/>
    <row r="2011" spans="13:15" hidden="1"/>
    <row r="2012" spans="13:15" hidden="1"/>
    <row r="2013" spans="13:15" hidden="1"/>
    <row r="2014" spans="13:15" hidden="1"/>
    <row r="2015" spans="13:15" hidden="1"/>
    <row r="2016" spans="13:15" hidden="1"/>
    <row r="2017" spans="1:1" hidden="1"/>
    <row r="2018" spans="1:1" hidden="1"/>
    <row r="2019" spans="1:1" hidden="1"/>
    <row r="2020" spans="1:1" hidden="1"/>
    <row r="2021" spans="1:1" hidden="1"/>
    <row r="2022" spans="1:1" hidden="1"/>
    <row r="2023" spans="1:1" hidden="1"/>
    <row r="2024" spans="1:1" hidden="1"/>
    <row r="2025" spans="1:1" hidden="1"/>
    <row r="2026" spans="1:1" hidden="1"/>
    <row r="2027" spans="1:1" hidden="1"/>
    <row r="2029" spans="1:1" ht="24.6">
      <c r="A2029" s="222" t="s">
        <v>346</v>
      </c>
    </row>
    <row r="2036" spans="13:15">
      <c r="M2036" s="23" t="s">
        <v>347</v>
      </c>
      <c r="N2036" s="23" t="s">
        <v>278</v>
      </c>
      <c r="O2036" s="23" t="s">
        <v>279</v>
      </c>
    </row>
    <row r="2037" spans="13:15">
      <c r="M2037" s="23" t="s">
        <v>198</v>
      </c>
      <c r="N2037" s="23">
        <v>0.2024</v>
      </c>
      <c r="O2037" s="23" t="s">
        <v>128</v>
      </c>
    </row>
    <row r="2038" spans="13:15">
      <c r="M2038" s="23" t="s">
        <v>199</v>
      </c>
      <c r="N2038" s="23">
        <v>59901</v>
      </c>
      <c r="O2038" s="23" t="s">
        <v>98</v>
      </c>
    </row>
    <row r="2040" spans="13:15" ht="14.45">
      <c r="N2040" s="15"/>
    </row>
    <row r="2041" spans="13:15" ht="14.45">
      <c r="N2041" s="15"/>
    </row>
    <row r="2042" spans="13:15" ht="14.45">
      <c r="N2042" s="15"/>
    </row>
    <row r="2043" spans="13:15" ht="14.45">
      <c r="N2043" s="15"/>
    </row>
    <row r="2044" spans="13:15" ht="14.45">
      <c r="N2044" s="15"/>
    </row>
    <row r="2045" spans="13:15" ht="14.45">
      <c r="N2045" s="15"/>
    </row>
    <row r="2046" spans="13:15" ht="14.45">
      <c r="N2046" s="15"/>
    </row>
    <row r="2047" spans="13:15" ht="14.45">
      <c r="N2047" s="15"/>
    </row>
    <row r="2048" spans="13:15" ht="14.45">
      <c r="N2048" s="15"/>
    </row>
    <row r="2049" spans="14:14" ht="14.45">
      <c r="N2049" s="15"/>
    </row>
    <row r="2050" spans="14:14" ht="14.45">
      <c r="N2050" s="15"/>
    </row>
    <row r="2051" spans="14:14" ht="14.45">
      <c r="N2051" s="15"/>
    </row>
    <row r="2052" spans="14:14" ht="14.45">
      <c r="N2052" s="15"/>
    </row>
    <row r="2053" spans="14:14" ht="14.45">
      <c r="N2053" s="15"/>
    </row>
    <row r="2054" spans="14:14" ht="14.45">
      <c r="N2054" s="15"/>
    </row>
    <row r="2055" spans="14:14" ht="14.45">
      <c r="N2055" s="15"/>
    </row>
    <row r="2056" spans="14:14" ht="14.45">
      <c r="N2056" s="15"/>
    </row>
    <row r="2057" spans="14:14" ht="14.45">
      <c r="N2057" s="15"/>
    </row>
    <row r="2058" spans="14:14" ht="14.45">
      <c r="N2058" s="15"/>
    </row>
    <row r="2059" spans="14:14" ht="14.45">
      <c r="N2059" s="15"/>
    </row>
    <row r="2060" spans="14:14" ht="14.45">
      <c r="N2060" s="15"/>
    </row>
    <row r="2061" spans="14:14" ht="14.45">
      <c r="N2061" s="15"/>
    </row>
    <row r="2062" spans="14:14" ht="14.45">
      <c r="N2062" s="15"/>
    </row>
    <row r="2063" spans="14:14" ht="14.45">
      <c r="N2063" s="15"/>
    </row>
    <row r="2064" spans="14:14" ht="14.45">
      <c r="N2064" s="15"/>
    </row>
    <row r="2065" spans="14:14" ht="14.45">
      <c r="N2065" s="15"/>
    </row>
    <row r="2066" spans="14:14" ht="14.45">
      <c r="N2066" s="15"/>
    </row>
    <row r="2067" spans="14:14" ht="14.45">
      <c r="N2067" s="15"/>
    </row>
    <row r="2068" spans="14:14" ht="14.45">
      <c r="N2068" s="15"/>
    </row>
    <row r="2069" spans="14:14" ht="14.45">
      <c r="N2069" s="15"/>
    </row>
    <row r="2070" spans="14:14" ht="14.45">
      <c r="N2070" s="15"/>
    </row>
    <row r="2071" spans="14:14" ht="14.45">
      <c r="N2071" s="15"/>
    </row>
    <row r="2086" spans="1:15" ht="24.6">
      <c r="A2086" s="222" t="s">
        <v>348</v>
      </c>
    </row>
    <row r="2091" spans="1:15">
      <c r="M2091" s="23" t="s">
        <v>347</v>
      </c>
      <c r="N2091" s="23" t="s">
        <v>278</v>
      </c>
      <c r="O2091" s="23" t="s">
        <v>279</v>
      </c>
    </row>
    <row r="2092" spans="1:15">
      <c r="M2092" s="23" t="s">
        <v>198</v>
      </c>
      <c r="N2092" s="23">
        <v>0.19919999999999999</v>
      </c>
      <c r="O2092" s="23" t="s">
        <v>128</v>
      </c>
    </row>
    <row r="2093" spans="1:15">
      <c r="M2093" s="23" t="s">
        <v>199</v>
      </c>
      <c r="N2093" s="23">
        <v>1000</v>
      </c>
      <c r="O2093" s="23" t="s">
        <v>98</v>
      </c>
    </row>
    <row r="2137" spans="1:1" ht="24.6">
      <c r="A2137" s="222" t="s">
        <v>349</v>
      </c>
    </row>
    <row r="2138" spans="1:1">
      <c r="A2138" s="15" t="s">
        <v>350</v>
      </c>
    </row>
    <row r="2139" spans="1:1">
      <c r="A2139"/>
    </row>
    <row r="2145" spans="13:15">
      <c r="M2145" s="23" t="s">
        <v>349</v>
      </c>
      <c r="N2145" s="23" t="s">
        <v>278</v>
      </c>
      <c r="O2145" s="23" t="s">
        <v>279</v>
      </c>
    </row>
    <row r="2146" spans="13:15">
      <c r="M2146" s="23" t="s">
        <v>198</v>
      </c>
      <c r="N2146" s="23">
        <v>4.0651999999999999</v>
      </c>
      <c r="O2146" s="23" t="s">
        <v>128</v>
      </c>
    </row>
    <row r="2147" spans="13:15">
      <c r="M2147" s="23" t="s">
        <v>199</v>
      </c>
      <c r="N2147" s="23">
        <v>15.492000000000001</v>
      </c>
      <c r="O2147" s="23" t="s">
        <v>98</v>
      </c>
    </row>
    <row r="2189" spans="1:1" ht="24.6">
      <c r="A2189" s="222" t="s">
        <v>351</v>
      </c>
    </row>
    <row r="2191" spans="1:1">
      <c r="A2191" s="15" t="s">
        <v>352</v>
      </c>
    </row>
    <row r="2197" spans="13:15">
      <c r="M2197" s="23" t="s">
        <v>351</v>
      </c>
      <c r="N2197" s="23" t="s">
        <v>278</v>
      </c>
      <c r="O2197" s="23" t="s">
        <v>279</v>
      </c>
    </row>
    <row r="2198" spans="13:15">
      <c r="M2198" s="23" t="s">
        <v>198</v>
      </c>
      <c r="N2198" s="23">
        <v>0.59250000000000003</v>
      </c>
      <c r="O2198" s="23" t="s">
        <v>128</v>
      </c>
    </row>
    <row r="2199" spans="13:15">
      <c r="M2199" s="23" t="s">
        <v>199</v>
      </c>
      <c r="N2199" s="23">
        <v>107.53</v>
      </c>
      <c r="O2199" s="23" t="s">
        <v>98</v>
      </c>
    </row>
    <row r="2248" spans="1:15" ht="24.6">
      <c r="A2248" s="222" t="s">
        <v>353</v>
      </c>
    </row>
    <row r="2256" spans="1:15">
      <c r="M2256" s="23" t="s">
        <v>354</v>
      </c>
      <c r="N2256" s="23" t="s">
        <v>278</v>
      </c>
      <c r="O2256" s="23" t="s">
        <v>279</v>
      </c>
    </row>
    <row r="2257" spans="13:15">
      <c r="M2257" s="23" t="s">
        <v>198</v>
      </c>
      <c r="N2257" s="23">
        <v>0.86850000000000005</v>
      </c>
      <c r="O2257" s="23" t="s">
        <v>128</v>
      </c>
    </row>
    <row r="2258" spans="13:15">
      <c r="M2258" s="23" t="s">
        <v>199</v>
      </c>
      <c r="N2258" s="23">
        <v>2151.6999999999998</v>
      </c>
      <c r="O2258" s="23" t="s">
        <v>98</v>
      </c>
    </row>
    <row r="2293" spans="1:15" ht="16.149999999999999" thickBot="1">
      <c r="M2293" s="24" t="s">
        <v>273</v>
      </c>
      <c r="N2293" s="25" t="s">
        <v>278</v>
      </c>
      <c r="O2293" s="26" t="s">
        <v>279</v>
      </c>
    </row>
    <row r="2294" spans="1:15" ht="16.149999999999999" thickTop="1">
      <c r="M2294" s="27" t="s">
        <v>198</v>
      </c>
      <c r="N2294" s="29">
        <v>0.26669999999999999</v>
      </c>
      <c r="O2294" s="28" t="s">
        <v>128</v>
      </c>
    </row>
    <row r="2295" spans="1:15" ht="24.6">
      <c r="A2295" s="226" t="s">
        <v>271</v>
      </c>
      <c r="M2295" s="157" t="s">
        <v>199</v>
      </c>
      <c r="N2295" s="158">
        <v>59934</v>
      </c>
      <c r="O2295" s="159" t="s">
        <v>98</v>
      </c>
    </row>
    <row r="2299" spans="1:15">
      <c r="M2299" s="23" t="s">
        <v>271</v>
      </c>
      <c r="N2299" s="23" t="s">
        <v>278</v>
      </c>
      <c r="O2299" s="23" t="s">
        <v>279</v>
      </c>
    </row>
    <row r="2300" spans="1:15">
      <c r="M2300" s="23" t="s">
        <v>198</v>
      </c>
      <c r="N2300" s="23">
        <v>0.24360000000000001</v>
      </c>
      <c r="O2300" s="23" t="s">
        <v>128</v>
      </c>
    </row>
    <row r="2301" spans="1:15">
      <c r="M2301" s="23" t="s">
        <v>199</v>
      </c>
      <c r="N2301" s="23">
        <v>999.81</v>
      </c>
      <c r="O2301" s="23" t="s">
        <v>98</v>
      </c>
    </row>
    <row r="2302" spans="1:15">
      <c r="M2302" s="23"/>
      <c r="N2302" s="23"/>
      <c r="O2302" s="23"/>
    </row>
    <row r="2303" spans="1:15" ht="24.6">
      <c r="M2303" s="226" t="s">
        <v>273</v>
      </c>
    </row>
    <row r="2338" spans="1:17" ht="24.6">
      <c r="A2338" s="222" t="s">
        <v>355</v>
      </c>
    </row>
    <row r="2342" spans="1:17">
      <c r="M2342" s="19"/>
      <c r="N2342" s="23"/>
      <c r="O2342" s="19"/>
    </row>
    <row r="2343" spans="1:17">
      <c r="L2343" s="19"/>
      <c r="M2343" s="19"/>
      <c r="N2343" s="23"/>
      <c r="O2343" s="19"/>
      <c r="P2343" s="19"/>
      <c r="Q2343" s="19"/>
    </row>
    <row r="2344" spans="1:17">
      <c r="L2344" s="19"/>
      <c r="M2344" s="23"/>
      <c r="N2344" s="23"/>
      <c r="O2344" s="23"/>
      <c r="P2344" s="19"/>
      <c r="Q2344" s="19"/>
    </row>
    <row r="2345" spans="1:17" ht="16.149999999999999" thickBot="1">
      <c r="L2345" s="19"/>
      <c r="M2345" s="24" t="s">
        <v>356</v>
      </c>
      <c r="N2345" s="25"/>
      <c r="O2345" s="26"/>
      <c r="P2345" s="19"/>
      <c r="Q2345" s="19"/>
    </row>
    <row r="2346" spans="1:17" ht="16.149999999999999" thickTop="1">
      <c r="L2346" s="19"/>
      <c r="M2346" s="27" t="s">
        <v>198</v>
      </c>
      <c r="N2346" s="29">
        <v>4.9734999999999996</v>
      </c>
      <c r="O2346" s="28" t="s">
        <v>128</v>
      </c>
      <c r="P2346" s="19"/>
      <c r="Q2346" s="19"/>
    </row>
    <row r="2347" spans="1:17">
      <c r="L2347" s="19"/>
      <c r="M2347" s="121" t="s">
        <v>199</v>
      </c>
      <c r="N2347" s="122">
        <v>65.779899999999998</v>
      </c>
      <c r="O2347" s="123" t="s">
        <v>98</v>
      </c>
      <c r="P2347" s="19"/>
      <c r="Q2347" s="19"/>
    </row>
    <row r="2348" spans="1:17">
      <c r="L2348" s="19"/>
      <c r="M2348" s="19"/>
      <c r="N2348" s="23"/>
      <c r="O2348" s="19"/>
      <c r="P2348" s="19"/>
      <c r="Q2348" s="19"/>
    </row>
    <row r="2349" spans="1:17">
      <c r="L2349" s="19"/>
      <c r="P2349" s="19"/>
      <c r="Q2349" s="19"/>
    </row>
    <row r="2382" spans="1:1" ht="24.6">
      <c r="A2382" s="222" t="s">
        <v>357</v>
      </c>
    </row>
    <row r="2385" spans="1:15" ht="16.149999999999999" thickBot="1">
      <c r="M2385" s="24" t="s">
        <v>358</v>
      </c>
      <c r="N2385" s="25"/>
      <c r="O2385" s="26"/>
    </row>
    <row r="2386" spans="1:15" ht="16.149999999999999" thickTop="1">
      <c r="M2386" s="27" t="s">
        <v>198</v>
      </c>
      <c r="N2386" s="29">
        <v>3.4701</v>
      </c>
      <c r="O2386" s="28" t="s">
        <v>128</v>
      </c>
    </row>
    <row r="2387" spans="1:15">
      <c r="M2387" s="121" t="s">
        <v>359</v>
      </c>
      <c r="N2387" s="122">
        <v>3.32233</v>
      </c>
      <c r="O2387" s="123" t="s">
        <v>98</v>
      </c>
    </row>
    <row r="2399" spans="1:15" ht="24.6">
      <c r="A2399" s="183"/>
    </row>
    <row r="2405" spans="12:16">
      <c r="M2405" s="19"/>
      <c r="N2405" s="23"/>
      <c r="O2405" s="19"/>
    </row>
    <row r="2406" spans="12:16">
      <c r="L2406" s="19"/>
      <c r="M2406" s="19"/>
      <c r="N2406" s="23"/>
      <c r="O2406" s="19"/>
      <c r="P2406" s="19"/>
    </row>
    <row r="2407" spans="12:16">
      <c r="L2407" s="19"/>
      <c r="M2407" s="23"/>
      <c r="N2407" s="23"/>
      <c r="O2407" s="23"/>
      <c r="P2407" s="19"/>
    </row>
    <row r="2408" spans="12:16">
      <c r="L2408" s="19"/>
      <c r="M2408" s="23"/>
      <c r="N2408" s="23"/>
      <c r="O2408" s="23"/>
      <c r="P2408" s="19"/>
    </row>
    <row r="2409" spans="12:16">
      <c r="L2409" s="19"/>
      <c r="M2409" s="23"/>
      <c r="N2409" s="23"/>
      <c r="O2409" s="23"/>
      <c r="P2409" s="19"/>
    </row>
    <row r="2410" spans="12:16">
      <c r="L2410" s="19"/>
      <c r="M2410" s="19"/>
      <c r="N2410" s="23"/>
      <c r="O2410" s="19"/>
      <c r="P2410" s="19"/>
    </row>
    <row r="2411" spans="12:16">
      <c r="L2411" s="19"/>
      <c r="M2411" s="19"/>
      <c r="N2411" s="23"/>
      <c r="O2411" s="19"/>
      <c r="P2411" s="19"/>
    </row>
    <row r="2412" spans="12:16">
      <c r="L2412" s="19"/>
      <c r="M2412" s="19"/>
      <c r="N2412" s="23"/>
      <c r="O2412" s="19"/>
      <c r="P2412" s="19"/>
    </row>
    <row r="2413" spans="12:16">
      <c r="L2413" s="19"/>
      <c r="P2413" s="19"/>
    </row>
    <row r="2428" spans="1:1" ht="18" thickBot="1">
      <c r="A2428" s="231" t="s">
        <v>360</v>
      </c>
    </row>
    <row r="2457" spans="1:3" ht="24.6">
      <c r="A2457" s="183" t="s">
        <v>272</v>
      </c>
    </row>
    <row r="2460" spans="1:3" ht="17.45">
      <c r="A2460" s="185" t="s">
        <v>361</v>
      </c>
      <c r="B2460" s="23" t="s">
        <v>278</v>
      </c>
      <c r="C2460" s="23" t="s">
        <v>279</v>
      </c>
    </row>
    <row r="2461" spans="1:3">
      <c r="A2461" s="23" t="s">
        <v>362</v>
      </c>
      <c r="B2461" s="23">
        <v>4.7764499999999996</v>
      </c>
      <c r="C2461" s="23" t="s">
        <v>128</v>
      </c>
    </row>
    <row r="2462" spans="1:3">
      <c r="A2462" s="23" t="s">
        <v>363</v>
      </c>
      <c r="B2462" s="23">
        <v>20911.400000000001</v>
      </c>
      <c r="C2462" s="23" t="s">
        <v>98</v>
      </c>
    </row>
    <row r="2465" spans="1:15" ht="13.5" customHeight="1">
      <c r="A2465" s="183"/>
    </row>
    <row r="2474" spans="1:15">
      <c r="M2474" s="15" t="s">
        <v>364</v>
      </c>
      <c r="N2474" s="21" t="s">
        <v>365</v>
      </c>
      <c r="O2474" s="15" t="s">
        <v>366</v>
      </c>
    </row>
    <row r="2517" spans="1:15" ht="18" thickBot="1">
      <c r="A2517" s="231" t="s">
        <v>367</v>
      </c>
    </row>
    <row r="2518" spans="1:15" ht="16.149999999999999" thickTop="1"/>
    <row r="2520" spans="1:15">
      <c r="M2520" s="23"/>
      <c r="N2520" s="23"/>
      <c r="O2520" s="23"/>
    </row>
    <row r="2554" spans="1:1" ht="30.75" customHeight="1">
      <c r="A2554" s="230" t="s">
        <v>368</v>
      </c>
    </row>
    <row r="2567" spans="13:15">
      <c r="M2567" s="15" t="s">
        <v>369</v>
      </c>
    </row>
    <row r="2568" spans="13:15">
      <c r="M2568" s="23" t="s">
        <v>344</v>
      </c>
      <c r="N2568" s="23" t="s">
        <v>278</v>
      </c>
      <c r="O2568" s="23" t="s">
        <v>279</v>
      </c>
    </row>
    <row r="2569" spans="13:15">
      <c r="M2569" s="23" t="s">
        <v>198</v>
      </c>
      <c r="N2569" s="23">
        <v>0</v>
      </c>
      <c r="O2569" s="23" t="s">
        <v>128</v>
      </c>
    </row>
    <row r="2570" spans="13:15">
      <c r="M2570" s="23" t="s">
        <v>199</v>
      </c>
      <c r="N2570" s="23">
        <v>0</v>
      </c>
      <c r="O2570" s="23" t="s">
        <v>98</v>
      </c>
    </row>
    <row r="2594" spans="1:15">
      <c r="M2594" s="15" t="s">
        <v>370</v>
      </c>
    </row>
    <row r="2595" spans="1:15">
      <c r="M2595" s="23" t="s">
        <v>344</v>
      </c>
      <c r="N2595" s="23" t="s">
        <v>278</v>
      </c>
      <c r="O2595" s="23" t="s">
        <v>279</v>
      </c>
    </row>
    <row r="2596" spans="1:15">
      <c r="M2596" s="23" t="s">
        <v>198</v>
      </c>
      <c r="N2596" s="23">
        <v>0</v>
      </c>
      <c r="O2596" s="23" t="s">
        <v>128</v>
      </c>
    </row>
    <row r="2597" spans="1:15">
      <c r="M2597" s="23" t="s">
        <v>199</v>
      </c>
      <c r="N2597" s="23">
        <v>0</v>
      </c>
      <c r="O2597" s="23" t="s">
        <v>98</v>
      </c>
    </row>
    <row r="2607" spans="1:15" ht="17.45">
      <c r="A2607" s="232" t="s">
        <v>371</v>
      </c>
      <c r="B2607" s="23" t="s">
        <v>278</v>
      </c>
      <c r="C2607" s="23" t="s">
        <v>279</v>
      </c>
    </row>
    <row r="2608" spans="1:15">
      <c r="A2608" s="23" t="s">
        <v>372</v>
      </c>
      <c r="B2608" s="23">
        <v>0.1731</v>
      </c>
      <c r="C2608" s="23" t="s">
        <v>128</v>
      </c>
    </row>
    <row r="2609" spans="1:15">
      <c r="A2609" s="23" t="s">
        <v>290</v>
      </c>
      <c r="B2609" s="23">
        <v>3946.9</v>
      </c>
      <c r="C2609" s="23" t="s">
        <v>98</v>
      </c>
    </row>
    <row r="2610" spans="1:15" ht="24.6" hidden="1">
      <c r="A2610" s="183" t="s">
        <v>373</v>
      </c>
    </row>
    <row r="2611" spans="1:15" hidden="1"/>
    <row r="2612" spans="1:15" hidden="1"/>
    <row r="2613" spans="1:15" hidden="1"/>
    <row r="2614" spans="1:15" hidden="1"/>
    <row r="2615" spans="1:15" hidden="1"/>
    <row r="2616" spans="1:15" hidden="1"/>
    <row r="2617" spans="1:15" hidden="1"/>
    <row r="2618" spans="1:15" hidden="1"/>
    <row r="2619" spans="1:15" hidden="1">
      <c r="M2619" s="19"/>
      <c r="N2619" s="23"/>
      <c r="O2619" s="19"/>
    </row>
    <row r="2620" spans="1:15" hidden="1">
      <c r="L2620" s="19"/>
      <c r="M2620" s="19"/>
      <c r="N2620" s="23"/>
      <c r="O2620" s="19"/>
    </row>
    <row r="2621" spans="1:15" hidden="1">
      <c r="L2621" s="19"/>
      <c r="M2621" s="23" t="s">
        <v>374</v>
      </c>
      <c r="N2621" s="23" t="s">
        <v>278</v>
      </c>
      <c r="O2621" s="23" t="s">
        <v>279</v>
      </c>
    </row>
    <row r="2622" spans="1:15" hidden="1">
      <c r="L2622" s="19"/>
      <c r="M2622" s="23" t="s">
        <v>375</v>
      </c>
      <c r="N2622" s="23">
        <v>0</v>
      </c>
      <c r="O2622" s="23" t="s">
        <v>128</v>
      </c>
    </row>
    <row r="2623" spans="1:15" hidden="1">
      <c r="L2623" s="19"/>
      <c r="M2623" s="23" t="s">
        <v>290</v>
      </c>
      <c r="N2623" s="23">
        <v>0</v>
      </c>
      <c r="O2623" s="23" t="s">
        <v>98</v>
      </c>
    </row>
    <row r="2624" spans="1:15" hidden="1">
      <c r="L2624" s="19"/>
      <c r="M2624" s="19"/>
      <c r="N2624" s="23"/>
      <c r="O2624" s="19"/>
    </row>
    <row r="2625" spans="12:15" hidden="1">
      <c r="L2625" s="19"/>
      <c r="M2625" s="19"/>
      <c r="N2625" s="23"/>
      <c r="O2625" s="19"/>
    </row>
    <row r="2626" spans="12:15" hidden="1">
      <c r="L2626" s="19"/>
    </row>
    <row r="2627" spans="12:15" hidden="1"/>
    <row r="2628" spans="12:15" hidden="1"/>
    <row r="2629" spans="12:15" hidden="1"/>
    <row r="2630" spans="12:15" hidden="1"/>
    <row r="2631" spans="12:15" hidden="1"/>
    <row r="2632" spans="12:15" hidden="1"/>
    <row r="2633" spans="12:15" hidden="1"/>
    <row r="2634" spans="12:15" hidden="1"/>
    <row r="2635" spans="12:15" hidden="1"/>
    <row r="2636" spans="12:15" hidden="1"/>
    <row r="2637" spans="12:15" hidden="1"/>
    <row r="2638" spans="12:15" hidden="1"/>
    <row r="2639" spans="12:15" hidden="1"/>
    <row r="2640" spans="12:15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spans="1:15" hidden="1"/>
    <row r="2690" spans="1:15" hidden="1"/>
    <row r="2691" spans="1:15" hidden="1"/>
    <row r="2692" spans="1:15" ht="24.6" hidden="1">
      <c r="A2692" s="183" t="s">
        <v>376</v>
      </c>
    </row>
    <row r="2693" spans="1:15" hidden="1"/>
    <row r="2694" spans="1:15" hidden="1"/>
    <row r="2695" spans="1:15" hidden="1"/>
    <row r="2696" spans="1:15" hidden="1"/>
    <row r="2697" spans="1:15" hidden="1"/>
    <row r="2698" spans="1:15" hidden="1"/>
    <row r="2699" spans="1:15" hidden="1"/>
    <row r="2700" spans="1:15" hidden="1"/>
    <row r="2701" spans="1:15" hidden="1">
      <c r="M2701" s="19"/>
      <c r="N2701" s="23"/>
      <c r="O2701" s="19"/>
    </row>
    <row r="2702" spans="1:15" hidden="1">
      <c r="L2702" s="19"/>
      <c r="M2702" s="19"/>
      <c r="N2702" s="23"/>
      <c r="O2702" s="19"/>
    </row>
    <row r="2703" spans="1:15" hidden="1">
      <c r="L2703" s="19"/>
      <c r="M2703" s="23" t="s">
        <v>377</v>
      </c>
      <c r="N2703" s="23" t="s">
        <v>278</v>
      </c>
      <c r="O2703" s="23" t="s">
        <v>279</v>
      </c>
    </row>
    <row r="2704" spans="1:15" hidden="1">
      <c r="L2704" s="19"/>
      <c r="M2704" s="23" t="s">
        <v>375</v>
      </c>
      <c r="N2704" s="23">
        <v>0</v>
      </c>
      <c r="O2704" s="23" t="s">
        <v>128</v>
      </c>
    </row>
    <row r="2705" spans="12:15" hidden="1">
      <c r="L2705" s="19"/>
      <c r="M2705" s="23" t="s">
        <v>290</v>
      </c>
      <c r="N2705" s="23">
        <v>0</v>
      </c>
      <c r="O2705" s="23" t="s">
        <v>98</v>
      </c>
    </row>
    <row r="2706" spans="12:15" hidden="1">
      <c r="L2706" s="19"/>
      <c r="M2706" s="19"/>
      <c r="N2706" s="23"/>
      <c r="O2706" s="19"/>
    </row>
    <row r="2707" spans="12:15" hidden="1">
      <c r="L2707" s="19"/>
      <c r="M2707" s="19"/>
      <c r="N2707" s="23"/>
      <c r="O2707" s="19"/>
    </row>
    <row r="2708" spans="12:15" hidden="1">
      <c r="L2708" s="19"/>
    </row>
    <row r="2709" spans="12:15" hidden="1"/>
    <row r="2710" spans="12:15" hidden="1"/>
    <row r="2711" spans="12:15" hidden="1"/>
    <row r="2712" spans="12:15" hidden="1"/>
    <row r="2713" spans="12:15" hidden="1"/>
    <row r="2714" spans="12:15" hidden="1"/>
    <row r="2715" spans="12:15" hidden="1"/>
    <row r="2716" spans="12:15" hidden="1"/>
    <row r="2717" spans="12:15" hidden="1"/>
    <row r="2718" spans="12:15" hidden="1"/>
    <row r="2719" spans="12:15" hidden="1"/>
    <row r="2720" spans="12:15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spans="1:15" hidden="1"/>
    <row r="2754" spans="1:15" hidden="1"/>
    <row r="2755" spans="1:15" hidden="1"/>
    <row r="2756" spans="1:15" hidden="1"/>
    <row r="2757" spans="1:15" hidden="1"/>
    <row r="2758" spans="1:15" ht="24.6" hidden="1">
      <c r="A2758" s="183" t="s">
        <v>378</v>
      </c>
    </row>
    <row r="2759" spans="1:15" hidden="1"/>
    <row r="2760" spans="1:15" hidden="1"/>
    <row r="2761" spans="1:15" hidden="1"/>
    <row r="2762" spans="1:15" hidden="1"/>
    <row r="2763" spans="1:15" hidden="1"/>
    <row r="2764" spans="1:15" hidden="1">
      <c r="M2764" s="19"/>
      <c r="N2764" s="23"/>
      <c r="O2764" s="19"/>
    </row>
    <row r="2765" spans="1:15" hidden="1">
      <c r="L2765" s="19"/>
      <c r="M2765" s="19"/>
      <c r="N2765" s="23"/>
      <c r="O2765" s="19"/>
    </row>
    <row r="2766" spans="1:15" hidden="1">
      <c r="L2766" s="19"/>
      <c r="M2766" s="23" t="s">
        <v>377</v>
      </c>
      <c r="N2766" s="23" t="s">
        <v>278</v>
      </c>
      <c r="O2766" s="23" t="s">
        <v>279</v>
      </c>
    </row>
    <row r="2767" spans="1:15" hidden="1">
      <c r="L2767" s="19"/>
      <c r="M2767" s="23" t="s">
        <v>375</v>
      </c>
      <c r="N2767" s="23">
        <v>0</v>
      </c>
      <c r="O2767" s="23" t="s">
        <v>128</v>
      </c>
    </row>
    <row r="2768" spans="1:15" hidden="1">
      <c r="L2768" s="19"/>
      <c r="M2768" s="23" t="s">
        <v>290</v>
      </c>
      <c r="N2768" s="23">
        <v>0</v>
      </c>
      <c r="O2768" s="23" t="s">
        <v>98</v>
      </c>
    </row>
    <row r="2769" spans="1:15" hidden="1">
      <c r="L2769" s="19"/>
      <c r="M2769" s="19"/>
      <c r="N2769" s="23"/>
      <c r="O2769" s="19"/>
    </row>
    <row r="2770" spans="1:15" hidden="1">
      <c r="L2770" s="19"/>
      <c r="M2770" s="19"/>
      <c r="N2770" s="23"/>
      <c r="O2770" s="19"/>
    </row>
    <row r="2771" spans="1:15" hidden="1">
      <c r="L2771" s="19"/>
      <c r="M2771" s="19"/>
      <c r="N2771" s="23"/>
      <c r="O2771" s="19"/>
    </row>
    <row r="2772" spans="1:15" hidden="1">
      <c r="L2772" s="19"/>
    </row>
    <row r="2773" spans="1:15" hidden="1"/>
    <row r="2776" spans="1:15">
      <c r="A2776" s="398"/>
      <c r="B2776" s="398"/>
      <c r="C2776" s="398"/>
      <c r="D2776" s="398"/>
      <c r="E2776" s="398"/>
      <c r="F2776" s="398"/>
      <c r="G2776" s="398"/>
    </row>
    <row r="2777" spans="1:15">
      <c r="A2777" s="398"/>
      <c r="B2777" s="398"/>
      <c r="C2777" s="398"/>
      <c r="D2777" s="398"/>
      <c r="E2777" s="398"/>
      <c r="F2777" s="398"/>
      <c r="G2777" s="398"/>
    </row>
    <row r="2778" spans="1:15">
      <c r="A2778" s="398"/>
      <c r="B2778" s="398"/>
      <c r="C2778" s="398"/>
      <c r="D2778" s="398"/>
      <c r="E2778" s="398"/>
      <c r="F2778" s="398"/>
      <c r="G2778" s="398"/>
    </row>
    <row r="2779" spans="1:15">
      <c r="A2779" s="398"/>
      <c r="B2779" s="398"/>
      <c r="C2779" s="398"/>
      <c r="D2779" s="398"/>
      <c r="E2779" s="398"/>
      <c r="F2779" s="398"/>
      <c r="G2779" s="398"/>
    </row>
    <row r="2780" spans="1:15">
      <c r="A2780" s="398"/>
      <c r="B2780" s="398"/>
      <c r="C2780" s="398"/>
      <c r="D2780" s="398"/>
      <c r="E2780" s="398"/>
      <c r="F2780" s="398"/>
      <c r="G2780" s="398"/>
    </row>
    <row r="2781" spans="1:15">
      <c r="A2781" s="398"/>
      <c r="B2781" s="398"/>
      <c r="C2781" s="398"/>
      <c r="D2781" s="398"/>
      <c r="E2781" s="398"/>
      <c r="F2781" s="398"/>
      <c r="G2781" s="398"/>
    </row>
    <row r="2782" spans="1:15">
      <c r="A2782" s="398"/>
      <c r="B2782" s="398"/>
      <c r="C2782" s="398"/>
      <c r="D2782" s="398"/>
      <c r="E2782" s="398"/>
      <c r="F2782" s="398"/>
      <c r="G2782" s="398"/>
    </row>
    <row r="2783" spans="1:15">
      <c r="A2783" s="398"/>
      <c r="B2783" s="398"/>
      <c r="C2783" s="398"/>
      <c r="D2783" s="398"/>
      <c r="E2783" s="398"/>
      <c r="F2783" s="398"/>
      <c r="G2783" s="398"/>
    </row>
    <row r="2784" spans="1:15">
      <c r="A2784" s="398"/>
      <c r="B2784" s="398"/>
      <c r="C2784" s="398"/>
      <c r="D2784" s="398"/>
      <c r="E2784" s="398"/>
      <c r="F2784" s="398"/>
      <c r="G2784" s="398"/>
    </row>
    <row r="2785" spans="1:7">
      <c r="A2785" s="398"/>
      <c r="B2785" s="398"/>
      <c r="C2785" s="398"/>
      <c r="D2785" s="398"/>
      <c r="E2785" s="398"/>
      <c r="F2785" s="398"/>
      <c r="G2785" s="398"/>
    </row>
    <row r="2786" spans="1:7">
      <c r="A2786" s="398"/>
      <c r="B2786" s="398"/>
      <c r="C2786" s="398"/>
      <c r="D2786" s="398"/>
      <c r="E2786" s="398"/>
      <c r="F2786" s="398"/>
      <c r="G2786" s="398"/>
    </row>
    <row r="2787" spans="1:7">
      <c r="A2787" s="398"/>
      <c r="B2787" s="398"/>
      <c r="C2787" s="398"/>
      <c r="D2787" s="398"/>
      <c r="E2787" s="398"/>
      <c r="F2787" s="398"/>
      <c r="G2787" s="398"/>
    </row>
    <row r="2788" spans="1:7">
      <c r="A2788" s="398"/>
      <c r="B2788" s="398"/>
      <c r="C2788" s="398"/>
      <c r="D2788" s="398"/>
      <c r="E2788" s="398"/>
      <c r="F2788" s="398"/>
      <c r="G2788" s="398"/>
    </row>
    <row r="2789" spans="1:7">
      <c r="A2789" s="398"/>
      <c r="B2789" s="398"/>
      <c r="C2789" s="398"/>
      <c r="D2789" s="398"/>
      <c r="E2789" s="398"/>
      <c r="F2789" s="398"/>
      <c r="G2789" s="398"/>
    </row>
    <row r="2790" spans="1:7">
      <c r="A2790" s="398"/>
      <c r="B2790" s="398"/>
      <c r="C2790" s="398"/>
      <c r="D2790" s="398"/>
      <c r="E2790" s="398"/>
      <c r="F2790" s="398"/>
      <c r="G2790" s="398"/>
    </row>
    <row r="2791" spans="1:7">
      <c r="A2791" s="398"/>
      <c r="B2791" s="398"/>
      <c r="C2791" s="398"/>
      <c r="D2791" s="398"/>
      <c r="E2791" s="398"/>
      <c r="F2791" s="398"/>
      <c r="G2791" s="398"/>
    </row>
    <row r="2792" spans="1:7">
      <c r="A2792" s="398"/>
      <c r="B2792" s="398"/>
      <c r="C2792" s="398"/>
      <c r="D2792" s="398"/>
      <c r="E2792" s="398"/>
      <c r="F2792" s="398"/>
      <c r="G2792" s="398"/>
    </row>
    <row r="2793" spans="1:7">
      <c r="A2793" s="398"/>
      <c r="B2793" s="398"/>
      <c r="C2793" s="398"/>
      <c r="D2793" s="398"/>
      <c r="E2793" s="398"/>
      <c r="F2793" s="398"/>
      <c r="G2793" s="398"/>
    </row>
    <row r="2794" spans="1:7">
      <c r="A2794" s="398"/>
      <c r="B2794" s="398"/>
      <c r="C2794" s="398"/>
      <c r="D2794" s="398"/>
      <c r="E2794" s="398"/>
      <c r="F2794" s="398"/>
      <c r="G2794" s="398"/>
    </row>
    <row r="2795" spans="1:7">
      <c r="A2795" s="398"/>
      <c r="B2795" s="398"/>
      <c r="C2795" s="398"/>
      <c r="D2795" s="398"/>
      <c r="E2795" s="398"/>
      <c r="F2795" s="398"/>
      <c r="G2795" s="398"/>
    </row>
    <row r="2796" spans="1:7">
      <c r="A2796" s="398"/>
      <c r="B2796" s="398"/>
      <c r="C2796" s="398"/>
      <c r="D2796" s="398"/>
      <c r="E2796" s="398"/>
      <c r="F2796" s="398"/>
      <c r="G2796" s="398"/>
    </row>
    <row r="2797" spans="1:7">
      <c r="A2797" s="398"/>
      <c r="B2797" s="398"/>
      <c r="C2797" s="398"/>
      <c r="D2797" s="398"/>
      <c r="E2797" s="398"/>
      <c r="F2797" s="398"/>
      <c r="G2797" s="398"/>
    </row>
    <row r="2798" spans="1:7">
      <c r="A2798" s="398"/>
      <c r="B2798" s="398"/>
      <c r="C2798" s="398"/>
      <c r="D2798" s="398"/>
      <c r="E2798" s="398"/>
      <c r="F2798" s="398"/>
      <c r="G2798" s="398"/>
    </row>
    <row r="2799" spans="1:7">
      <c r="A2799" s="398"/>
      <c r="B2799" s="398"/>
      <c r="C2799" s="398"/>
      <c r="D2799" s="398"/>
      <c r="E2799" s="398"/>
      <c r="F2799" s="398"/>
      <c r="G2799" s="398"/>
    </row>
    <row r="2800" spans="1:7">
      <c r="A2800" s="398"/>
      <c r="B2800" s="398"/>
      <c r="C2800" s="398"/>
      <c r="D2800" s="398"/>
      <c r="E2800" s="398"/>
      <c r="F2800" s="398"/>
      <c r="G2800" s="398"/>
    </row>
    <row r="2801" spans="1:7">
      <c r="A2801" s="398"/>
      <c r="B2801" s="398"/>
      <c r="C2801" s="398"/>
      <c r="D2801" s="398"/>
      <c r="E2801" s="398"/>
      <c r="F2801" s="398"/>
      <c r="G2801" s="398"/>
    </row>
    <row r="2802" spans="1:7">
      <c r="A2802" s="398"/>
      <c r="B2802" s="398"/>
      <c r="C2802" s="398"/>
      <c r="D2802" s="398"/>
      <c r="E2802" s="398"/>
      <c r="F2802" s="398"/>
      <c r="G2802" s="398"/>
    </row>
    <row r="2803" spans="1:7">
      <c r="A2803" s="398"/>
      <c r="B2803" s="398"/>
      <c r="C2803" s="398"/>
      <c r="D2803" s="398"/>
      <c r="E2803" s="398"/>
      <c r="F2803" s="398"/>
      <c r="G2803" s="398"/>
    </row>
    <row r="2804" spans="1:7">
      <c r="A2804" s="398"/>
      <c r="B2804" s="398"/>
      <c r="C2804" s="398"/>
      <c r="D2804" s="398"/>
      <c r="E2804" s="398"/>
      <c r="F2804" s="398"/>
      <c r="G2804" s="398"/>
    </row>
    <row r="2805" spans="1:7">
      <c r="A2805" s="398"/>
      <c r="B2805" s="398"/>
      <c r="C2805" s="398"/>
      <c r="D2805" s="398"/>
      <c r="E2805" s="398"/>
      <c r="F2805" s="398"/>
      <c r="G2805" s="398"/>
    </row>
    <row r="2806" spans="1:7">
      <c r="A2806" s="398"/>
      <c r="B2806" s="398"/>
      <c r="C2806" s="398"/>
      <c r="D2806" s="398"/>
      <c r="E2806" s="398"/>
      <c r="F2806" s="398"/>
      <c r="G2806" s="398"/>
    </row>
    <row r="2807" spans="1:7">
      <c r="A2807" s="398"/>
      <c r="B2807" s="398"/>
      <c r="C2807" s="398"/>
      <c r="D2807" s="398"/>
      <c r="E2807" s="398"/>
      <c r="F2807" s="398"/>
      <c r="G2807" s="398"/>
    </row>
    <row r="2808" spans="1:7">
      <c r="A2808" s="398"/>
      <c r="B2808" s="398"/>
      <c r="C2808" s="398"/>
      <c r="D2808" s="398"/>
      <c r="E2808" s="398"/>
      <c r="F2808" s="398"/>
      <c r="G2808" s="398"/>
    </row>
    <row r="2809" spans="1:7">
      <c r="A2809" s="398"/>
      <c r="B2809" s="398"/>
      <c r="C2809" s="398"/>
      <c r="D2809" s="398"/>
      <c r="E2809" s="398"/>
      <c r="F2809" s="398"/>
      <c r="G2809" s="398"/>
    </row>
    <row r="2810" spans="1:7">
      <c r="A2810" s="398"/>
      <c r="B2810" s="398"/>
      <c r="C2810" s="398"/>
      <c r="D2810" s="398"/>
      <c r="E2810" s="398"/>
      <c r="F2810" s="398"/>
      <c r="G2810" s="398"/>
    </row>
    <row r="2811" spans="1:7">
      <c r="A2811" s="398"/>
      <c r="B2811" s="398"/>
      <c r="C2811" s="398"/>
      <c r="D2811" s="398"/>
      <c r="E2811" s="398"/>
      <c r="F2811" s="398"/>
      <c r="G2811" s="398"/>
    </row>
    <row r="2812" spans="1:7">
      <c r="A2812" s="398"/>
      <c r="B2812" s="398"/>
      <c r="C2812" s="398"/>
      <c r="D2812" s="398"/>
      <c r="E2812" s="398"/>
      <c r="F2812" s="398"/>
      <c r="G2812" s="398"/>
    </row>
    <row r="2813" spans="1:7">
      <c r="A2813" s="398"/>
      <c r="B2813" s="398"/>
      <c r="C2813" s="398"/>
      <c r="D2813" s="398"/>
      <c r="E2813" s="398"/>
      <c r="F2813" s="398"/>
      <c r="G2813" s="398"/>
    </row>
    <row r="2814" spans="1:7">
      <c r="A2814" s="398"/>
      <c r="B2814" s="398"/>
      <c r="C2814" s="398"/>
      <c r="D2814" s="398"/>
      <c r="E2814" s="398"/>
      <c r="F2814" s="398"/>
      <c r="G2814" s="398"/>
    </row>
    <row r="2815" spans="1:7">
      <c r="A2815" s="398"/>
      <c r="B2815" s="398"/>
      <c r="C2815" s="398"/>
      <c r="D2815" s="398"/>
      <c r="E2815" s="398"/>
      <c r="F2815" s="398"/>
      <c r="G2815" s="398"/>
    </row>
    <row r="2816" spans="1:7">
      <c r="A2816" s="139"/>
      <c r="B2816" s="139"/>
      <c r="C2816" s="139"/>
      <c r="D2816" s="139"/>
      <c r="E2816" s="139"/>
      <c r="F2816" s="139"/>
      <c r="G2816" s="139"/>
    </row>
    <row r="2818" spans="1:7" ht="17.45">
      <c r="A2818" s="233" t="s">
        <v>379</v>
      </c>
      <c r="B2818" s="23" t="s">
        <v>278</v>
      </c>
      <c r="C2818" s="23" t="s">
        <v>279</v>
      </c>
    </row>
    <row r="2819" spans="1:7">
      <c r="A2819" s="23" t="s">
        <v>372</v>
      </c>
      <c r="B2819" s="23">
        <v>0.16607</v>
      </c>
      <c r="C2819" s="23" t="s">
        <v>128</v>
      </c>
    </row>
    <row r="2820" spans="1:7">
      <c r="A2820" s="23" t="s">
        <v>290</v>
      </c>
      <c r="B2820" s="23">
        <v>2941.42</v>
      </c>
      <c r="C2820" s="23" t="s">
        <v>98</v>
      </c>
    </row>
    <row r="2825" spans="1:7">
      <c r="A2825" s="398"/>
      <c r="B2825" s="398"/>
      <c r="C2825" s="398"/>
      <c r="D2825" s="398"/>
      <c r="E2825" s="398"/>
      <c r="F2825" s="398"/>
      <c r="G2825" s="398"/>
    </row>
    <row r="2826" spans="1:7">
      <c r="A2826" s="398"/>
      <c r="B2826" s="398"/>
      <c r="C2826" s="398"/>
      <c r="D2826" s="398"/>
      <c r="E2826" s="398"/>
      <c r="F2826" s="398"/>
      <c r="G2826" s="398"/>
    </row>
    <row r="2827" spans="1:7">
      <c r="A2827" s="398"/>
      <c r="B2827" s="398"/>
      <c r="C2827" s="398"/>
      <c r="D2827" s="398"/>
      <c r="E2827" s="398"/>
      <c r="F2827" s="398"/>
      <c r="G2827" s="398"/>
    </row>
    <row r="2828" spans="1:7">
      <c r="A2828" s="398"/>
      <c r="B2828" s="398"/>
      <c r="C2828" s="398"/>
      <c r="D2828" s="398"/>
      <c r="E2828" s="398"/>
      <c r="F2828" s="398"/>
      <c r="G2828" s="398"/>
    </row>
    <row r="2829" spans="1:7">
      <c r="A2829" s="398"/>
      <c r="B2829" s="398"/>
      <c r="C2829" s="398"/>
      <c r="D2829" s="398"/>
      <c r="E2829" s="398"/>
      <c r="F2829" s="398"/>
      <c r="G2829" s="398"/>
    </row>
    <row r="2830" spans="1:7">
      <c r="A2830" s="398"/>
      <c r="B2830" s="398"/>
      <c r="C2830" s="398"/>
      <c r="D2830" s="398"/>
      <c r="E2830" s="398"/>
      <c r="F2830" s="398"/>
      <c r="G2830" s="398"/>
    </row>
    <row r="2831" spans="1:7">
      <c r="A2831" s="398"/>
      <c r="B2831" s="398"/>
      <c r="C2831" s="398"/>
      <c r="D2831" s="398"/>
      <c r="E2831" s="398"/>
      <c r="F2831" s="398"/>
      <c r="G2831" s="398"/>
    </row>
    <row r="2832" spans="1:7">
      <c r="A2832" s="398"/>
      <c r="B2832" s="398"/>
      <c r="C2832" s="398"/>
      <c r="D2832" s="398"/>
      <c r="E2832" s="398"/>
      <c r="F2832" s="398"/>
      <c r="G2832" s="398"/>
    </row>
    <row r="2833" spans="1:7">
      <c r="A2833" s="398"/>
      <c r="B2833" s="398"/>
      <c r="C2833" s="398"/>
      <c r="D2833" s="398"/>
      <c r="E2833" s="398"/>
      <c r="F2833" s="398"/>
      <c r="G2833" s="398"/>
    </row>
    <row r="2834" spans="1:7">
      <c r="A2834" s="398"/>
      <c r="B2834" s="398"/>
      <c r="C2834" s="398"/>
      <c r="D2834" s="398"/>
      <c r="E2834" s="398"/>
      <c r="F2834" s="398"/>
      <c r="G2834" s="398"/>
    </row>
    <row r="2835" spans="1:7">
      <c r="A2835" s="398"/>
      <c r="B2835" s="398"/>
      <c r="C2835" s="398"/>
      <c r="D2835" s="398"/>
      <c r="E2835" s="398"/>
      <c r="F2835" s="398"/>
      <c r="G2835" s="398"/>
    </row>
    <row r="2836" spans="1:7">
      <c r="A2836" s="398"/>
      <c r="B2836" s="398"/>
      <c r="C2836" s="398"/>
      <c r="D2836" s="398"/>
      <c r="E2836" s="398"/>
      <c r="F2836" s="398"/>
      <c r="G2836" s="398"/>
    </row>
    <row r="2837" spans="1:7">
      <c r="A2837" s="398"/>
      <c r="B2837" s="398"/>
      <c r="C2837" s="398"/>
      <c r="D2837" s="398"/>
      <c r="E2837" s="398"/>
      <c r="F2837" s="398"/>
      <c r="G2837" s="398"/>
    </row>
    <row r="2838" spans="1:7">
      <c r="A2838" s="398"/>
      <c r="B2838" s="398"/>
      <c r="C2838" s="398"/>
      <c r="D2838" s="398"/>
      <c r="E2838" s="398"/>
      <c r="F2838" s="398"/>
      <c r="G2838" s="398"/>
    </row>
    <row r="2839" spans="1:7">
      <c r="A2839" s="398"/>
      <c r="B2839" s="398"/>
      <c r="C2839" s="398"/>
      <c r="D2839" s="398"/>
      <c r="E2839" s="398"/>
      <c r="F2839" s="398"/>
      <c r="G2839" s="398"/>
    </row>
    <row r="2840" spans="1:7">
      <c r="A2840" s="398"/>
      <c r="B2840" s="398"/>
      <c r="C2840" s="398"/>
      <c r="D2840" s="398"/>
      <c r="E2840" s="398"/>
      <c r="F2840" s="398"/>
      <c r="G2840" s="398"/>
    </row>
    <row r="2841" spans="1:7">
      <c r="A2841" s="398"/>
      <c r="B2841" s="398"/>
      <c r="C2841" s="398"/>
      <c r="D2841" s="398"/>
      <c r="E2841" s="398"/>
      <c r="F2841" s="398"/>
      <c r="G2841" s="398"/>
    </row>
    <row r="2842" spans="1:7">
      <c r="A2842" s="398"/>
      <c r="B2842" s="398"/>
      <c r="C2842" s="398"/>
      <c r="D2842" s="398"/>
      <c r="E2842" s="398"/>
      <c r="F2842" s="398"/>
      <c r="G2842" s="398"/>
    </row>
    <row r="2843" spans="1:7">
      <c r="A2843" s="398"/>
      <c r="B2843" s="398"/>
      <c r="C2843" s="398"/>
      <c r="D2843" s="398"/>
      <c r="E2843" s="398"/>
      <c r="F2843" s="398"/>
      <c r="G2843" s="398"/>
    </row>
    <row r="2844" spans="1:7">
      <c r="A2844" s="398"/>
      <c r="B2844" s="398"/>
      <c r="C2844" s="398"/>
      <c r="D2844" s="398"/>
      <c r="E2844" s="398"/>
      <c r="F2844" s="398"/>
      <c r="G2844" s="398"/>
    </row>
    <row r="2845" spans="1:7">
      <c r="A2845" s="398"/>
      <c r="B2845" s="398"/>
      <c r="C2845" s="398"/>
      <c r="D2845" s="398"/>
      <c r="E2845" s="398"/>
      <c r="F2845" s="398"/>
      <c r="G2845" s="398"/>
    </row>
    <row r="2846" spans="1:7">
      <c r="A2846" s="398"/>
      <c r="B2846" s="398"/>
      <c r="C2846" s="398"/>
      <c r="D2846" s="398"/>
      <c r="E2846" s="398"/>
      <c r="F2846" s="398"/>
      <c r="G2846" s="398"/>
    </row>
    <row r="2847" spans="1:7">
      <c r="A2847" s="398"/>
      <c r="B2847" s="398"/>
      <c r="C2847" s="398"/>
      <c r="D2847" s="398"/>
      <c r="E2847" s="398"/>
      <c r="F2847" s="398"/>
      <c r="G2847" s="398"/>
    </row>
    <row r="2848" spans="1:7">
      <c r="A2848" s="398"/>
      <c r="B2848" s="398"/>
      <c r="C2848" s="398"/>
      <c r="D2848" s="398"/>
      <c r="E2848" s="398"/>
      <c r="F2848" s="398"/>
      <c r="G2848" s="398"/>
    </row>
    <row r="2849" spans="1:7">
      <c r="A2849" s="398"/>
      <c r="B2849" s="398"/>
      <c r="C2849" s="398"/>
      <c r="D2849" s="398"/>
      <c r="E2849" s="398"/>
      <c r="F2849" s="398"/>
      <c r="G2849" s="398"/>
    </row>
    <row r="2850" spans="1:7">
      <c r="A2850" s="398"/>
      <c r="B2850" s="398"/>
      <c r="C2850" s="398"/>
      <c r="D2850" s="398"/>
      <c r="E2850" s="398"/>
      <c r="F2850" s="398"/>
      <c r="G2850" s="398"/>
    </row>
    <row r="2851" spans="1:7">
      <c r="A2851" s="398"/>
      <c r="B2851" s="398"/>
      <c r="C2851" s="398"/>
      <c r="D2851" s="398"/>
      <c r="E2851" s="398"/>
      <c r="F2851" s="398"/>
      <c r="G2851" s="398"/>
    </row>
    <row r="2852" spans="1:7">
      <c r="A2852" s="398"/>
      <c r="B2852" s="398"/>
      <c r="C2852" s="398"/>
      <c r="D2852" s="398"/>
      <c r="E2852" s="398"/>
      <c r="F2852" s="398"/>
      <c r="G2852" s="398"/>
    </row>
    <row r="2853" spans="1:7">
      <c r="A2853" s="398"/>
      <c r="B2853" s="398"/>
      <c r="C2853" s="398"/>
      <c r="D2853" s="398"/>
      <c r="E2853" s="398"/>
      <c r="F2853" s="398"/>
      <c r="G2853" s="398"/>
    </row>
    <row r="2854" spans="1:7">
      <c r="A2854" s="398"/>
      <c r="B2854" s="398"/>
      <c r="C2854" s="398"/>
      <c r="D2854" s="398"/>
      <c r="E2854" s="398"/>
      <c r="F2854" s="398"/>
      <c r="G2854" s="398"/>
    </row>
    <row r="2855" spans="1:7">
      <c r="A2855" s="398"/>
      <c r="B2855" s="398"/>
      <c r="C2855" s="398"/>
      <c r="D2855" s="398"/>
      <c r="E2855" s="398"/>
      <c r="F2855" s="398"/>
      <c r="G2855" s="398"/>
    </row>
    <row r="2856" spans="1:7">
      <c r="A2856" s="398"/>
      <c r="B2856" s="398"/>
      <c r="C2856" s="398"/>
      <c r="D2856" s="398"/>
      <c r="E2856" s="398"/>
      <c r="F2856" s="398"/>
      <c r="G2856" s="398"/>
    </row>
    <row r="2857" spans="1:7">
      <c r="A2857" s="398"/>
      <c r="B2857" s="398"/>
      <c r="C2857" s="398"/>
      <c r="D2857" s="398"/>
      <c r="E2857" s="398"/>
      <c r="F2857" s="398"/>
      <c r="G2857" s="398"/>
    </row>
    <row r="2858" spans="1:7">
      <c r="A2858" s="398"/>
      <c r="B2858" s="398"/>
      <c r="C2858" s="398"/>
      <c r="D2858" s="398"/>
      <c r="E2858" s="398"/>
      <c r="F2858" s="398"/>
      <c r="G2858" s="398"/>
    </row>
    <row r="2859" spans="1:7">
      <c r="A2859" s="398"/>
      <c r="B2859" s="398"/>
      <c r="C2859" s="398"/>
      <c r="D2859" s="398"/>
      <c r="E2859" s="398"/>
      <c r="F2859" s="398"/>
      <c r="G2859" s="398"/>
    </row>
    <row r="2860" spans="1:7">
      <c r="A2860" s="398"/>
      <c r="B2860" s="398"/>
      <c r="C2860" s="398"/>
      <c r="D2860" s="398"/>
      <c r="E2860" s="398"/>
      <c r="F2860" s="398"/>
      <c r="G2860" s="398"/>
    </row>
    <row r="2861" spans="1:7">
      <c r="A2861" s="398"/>
      <c r="B2861" s="398"/>
      <c r="C2861" s="398"/>
      <c r="D2861" s="398"/>
      <c r="E2861" s="398"/>
      <c r="F2861" s="398"/>
      <c r="G2861" s="398"/>
    </row>
    <row r="2862" spans="1:7">
      <c r="A2862" s="398"/>
      <c r="B2862" s="398"/>
      <c r="C2862" s="398"/>
      <c r="D2862" s="398"/>
      <c r="E2862" s="398"/>
      <c r="F2862" s="398"/>
      <c r="G2862" s="398"/>
    </row>
    <row r="2863" spans="1:7">
      <c r="A2863" s="398"/>
      <c r="B2863" s="398"/>
      <c r="C2863" s="398"/>
      <c r="D2863" s="398"/>
      <c r="E2863" s="398"/>
      <c r="F2863" s="398"/>
      <c r="G2863" s="398"/>
    </row>
    <row r="2864" spans="1:7">
      <c r="A2864" s="398"/>
      <c r="B2864" s="398"/>
      <c r="C2864" s="398"/>
      <c r="D2864" s="398"/>
      <c r="E2864" s="398"/>
      <c r="F2864" s="398"/>
      <c r="G2864" s="398"/>
    </row>
    <row r="2867" spans="1:7" ht="17.45">
      <c r="A2867" s="232" t="s">
        <v>380</v>
      </c>
      <c r="B2867" s="23" t="s">
        <v>278</v>
      </c>
      <c r="C2867" s="23" t="s">
        <v>279</v>
      </c>
    </row>
    <row r="2868" spans="1:7">
      <c r="A2868" s="23" t="s">
        <v>372</v>
      </c>
      <c r="B2868" s="23">
        <v>0.13420000000000001</v>
      </c>
      <c r="C2868" s="23" t="s">
        <v>128</v>
      </c>
    </row>
    <row r="2869" spans="1:7">
      <c r="A2869" s="23" t="s">
        <v>290</v>
      </c>
      <c r="B2869" s="23">
        <v>2940.03</v>
      </c>
      <c r="C2869" s="23" t="s">
        <v>98</v>
      </c>
    </row>
    <row r="2873" spans="1:7">
      <c r="A2873" s="398"/>
      <c r="B2873" s="398"/>
      <c r="C2873" s="398"/>
      <c r="D2873" s="398"/>
      <c r="E2873" s="398"/>
      <c r="F2873" s="398"/>
      <c r="G2873" s="398"/>
    </row>
    <row r="2874" spans="1:7">
      <c r="A2874" s="398"/>
      <c r="B2874" s="398"/>
      <c r="C2874" s="398"/>
      <c r="D2874" s="398"/>
      <c r="E2874" s="398"/>
      <c r="F2874" s="398"/>
      <c r="G2874" s="398"/>
    </row>
    <row r="2875" spans="1:7">
      <c r="A2875" s="398"/>
      <c r="B2875" s="398"/>
      <c r="C2875" s="398"/>
      <c r="D2875" s="398"/>
      <c r="E2875" s="398"/>
      <c r="F2875" s="398"/>
      <c r="G2875" s="398"/>
    </row>
    <row r="2876" spans="1:7">
      <c r="A2876" s="398"/>
      <c r="B2876" s="398"/>
      <c r="C2876" s="398"/>
      <c r="D2876" s="398"/>
      <c r="E2876" s="398"/>
      <c r="F2876" s="398"/>
      <c r="G2876" s="398"/>
    </row>
    <row r="2877" spans="1:7">
      <c r="A2877" s="398"/>
      <c r="B2877" s="398"/>
      <c r="C2877" s="398"/>
      <c r="D2877" s="398"/>
      <c r="E2877" s="398"/>
      <c r="F2877" s="398"/>
      <c r="G2877" s="398"/>
    </row>
    <row r="2878" spans="1:7">
      <c r="A2878" s="398"/>
      <c r="B2878" s="398"/>
      <c r="C2878" s="398"/>
      <c r="D2878" s="398"/>
      <c r="E2878" s="398"/>
      <c r="F2878" s="398"/>
      <c r="G2878" s="398"/>
    </row>
    <row r="2879" spans="1:7">
      <c r="A2879" s="398"/>
      <c r="B2879" s="398"/>
      <c r="C2879" s="398"/>
      <c r="D2879" s="398"/>
      <c r="E2879" s="398"/>
      <c r="F2879" s="398"/>
      <c r="G2879" s="398"/>
    </row>
    <row r="2880" spans="1:7">
      <c r="A2880" s="398"/>
      <c r="B2880" s="398"/>
      <c r="C2880" s="398"/>
      <c r="D2880" s="398"/>
      <c r="E2880" s="398"/>
      <c r="F2880" s="398"/>
      <c r="G2880" s="398"/>
    </row>
    <row r="2881" spans="1:7">
      <c r="A2881" s="398"/>
      <c r="B2881" s="398"/>
      <c r="C2881" s="398"/>
      <c r="D2881" s="398"/>
      <c r="E2881" s="398"/>
      <c r="F2881" s="398"/>
      <c r="G2881" s="398"/>
    </row>
    <row r="2882" spans="1:7">
      <c r="A2882" s="398"/>
      <c r="B2882" s="398"/>
      <c r="C2882" s="398"/>
      <c r="D2882" s="398"/>
      <c r="E2882" s="398"/>
      <c r="F2882" s="398"/>
      <c r="G2882" s="398"/>
    </row>
    <row r="2883" spans="1:7">
      <c r="A2883" s="398"/>
      <c r="B2883" s="398"/>
      <c r="C2883" s="398"/>
      <c r="D2883" s="398"/>
      <c r="E2883" s="398"/>
      <c r="F2883" s="398"/>
      <c r="G2883" s="398"/>
    </row>
    <row r="2884" spans="1:7">
      <c r="A2884" s="398"/>
      <c r="B2884" s="398"/>
      <c r="C2884" s="398"/>
      <c r="D2884" s="398"/>
      <c r="E2884" s="398"/>
      <c r="F2884" s="398"/>
      <c r="G2884" s="398"/>
    </row>
    <row r="2885" spans="1:7">
      <c r="A2885" s="398"/>
      <c r="B2885" s="398"/>
      <c r="C2885" s="398"/>
      <c r="D2885" s="398"/>
      <c r="E2885" s="398"/>
      <c r="F2885" s="398"/>
      <c r="G2885" s="398"/>
    </row>
    <row r="2886" spans="1:7">
      <c r="A2886" s="398"/>
      <c r="B2886" s="398"/>
      <c r="C2886" s="398"/>
      <c r="D2886" s="398"/>
      <c r="E2886" s="398"/>
      <c r="F2886" s="398"/>
      <c r="G2886" s="398"/>
    </row>
    <row r="2887" spans="1:7">
      <c r="A2887" s="398"/>
      <c r="B2887" s="398"/>
      <c r="C2887" s="398"/>
      <c r="D2887" s="398"/>
      <c r="E2887" s="398"/>
      <c r="F2887" s="398"/>
      <c r="G2887" s="398"/>
    </row>
    <row r="2888" spans="1:7">
      <c r="A2888" s="398"/>
      <c r="B2888" s="398"/>
      <c r="C2888" s="398"/>
      <c r="D2888" s="398"/>
      <c r="E2888" s="398"/>
      <c r="F2888" s="398"/>
      <c r="G2888" s="398"/>
    </row>
    <row r="2889" spans="1:7">
      <c r="A2889" s="398"/>
      <c r="B2889" s="398"/>
      <c r="C2889" s="398"/>
      <c r="D2889" s="398"/>
      <c r="E2889" s="398"/>
      <c r="F2889" s="398"/>
      <c r="G2889" s="398"/>
    </row>
    <row r="2890" spans="1:7">
      <c r="A2890" s="398"/>
      <c r="B2890" s="398"/>
      <c r="C2890" s="398"/>
      <c r="D2890" s="398"/>
      <c r="E2890" s="398"/>
      <c r="F2890" s="398"/>
      <c r="G2890" s="398"/>
    </row>
    <row r="2891" spans="1:7">
      <c r="A2891" s="398"/>
      <c r="B2891" s="398"/>
      <c r="C2891" s="398"/>
      <c r="D2891" s="398"/>
      <c r="E2891" s="398"/>
      <c r="F2891" s="398"/>
      <c r="G2891" s="398"/>
    </row>
    <row r="2892" spans="1:7">
      <c r="A2892" s="398"/>
      <c r="B2892" s="398"/>
      <c r="C2892" s="398"/>
      <c r="D2892" s="398"/>
      <c r="E2892" s="398"/>
      <c r="F2892" s="398"/>
      <c r="G2892" s="398"/>
    </row>
    <row r="2893" spans="1:7">
      <c r="A2893" s="398"/>
      <c r="B2893" s="398"/>
      <c r="C2893" s="398"/>
      <c r="D2893" s="398"/>
      <c r="E2893" s="398"/>
      <c r="F2893" s="398"/>
      <c r="G2893" s="398"/>
    </row>
    <row r="2894" spans="1:7">
      <c r="A2894" s="398"/>
      <c r="B2894" s="398"/>
      <c r="C2894" s="398"/>
      <c r="D2894" s="398"/>
      <c r="E2894" s="398"/>
      <c r="F2894" s="398"/>
      <c r="G2894" s="398"/>
    </row>
    <row r="2895" spans="1:7">
      <c r="A2895" s="398"/>
      <c r="B2895" s="398"/>
      <c r="C2895" s="398"/>
      <c r="D2895" s="398"/>
      <c r="E2895" s="398"/>
      <c r="F2895" s="398"/>
      <c r="G2895" s="398"/>
    </row>
    <row r="2896" spans="1:7">
      <c r="A2896" s="398"/>
      <c r="B2896" s="398"/>
      <c r="C2896" s="398"/>
      <c r="D2896" s="398"/>
      <c r="E2896" s="398"/>
      <c r="F2896" s="398"/>
      <c r="G2896" s="398"/>
    </row>
    <row r="2897" spans="1:7">
      <c r="A2897" s="398"/>
      <c r="B2897" s="398"/>
      <c r="C2897" s="398"/>
      <c r="D2897" s="398"/>
      <c r="E2897" s="398"/>
      <c r="F2897" s="398"/>
      <c r="G2897" s="398"/>
    </row>
    <row r="2898" spans="1:7">
      <c r="A2898" s="398"/>
      <c r="B2898" s="398"/>
      <c r="C2898" s="398"/>
      <c r="D2898" s="398"/>
      <c r="E2898" s="398"/>
      <c r="F2898" s="398"/>
      <c r="G2898" s="398"/>
    </row>
    <row r="2899" spans="1:7">
      <c r="A2899" s="398"/>
      <c r="B2899" s="398"/>
      <c r="C2899" s="398"/>
      <c r="D2899" s="398"/>
      <c r="E2899" s="398"/>
      <c r="F2899" s="398"/>
      <c r="G2899" s="398"/>
    </row>
    <row r="2900" spans="1:7">
      <c r="A2900" s="398"/>
      <c r="B2900" s="398"/>
      <c r="C2900" s="398"/>
      <c r="D2900" s="398"/>
      <c r="E2900" s="398"/>
      <c r="F2900" s="398"/>
      <c r="G2900" s="398"/>
    </row>
    <row r="2901" spans="1:7">
      <c r="A2901" s="398"/>
      <c r="B2901" s="398"/>
      <c r="C2901" s="398"/>
      <c r="D2901" s="398"/>
      <c r="E2901" s="398"/>
      <c r="F2901" s="398"/>
      <c r="G2901" s="398"/>
    </row>
    <row r="2902" spans="1:7">
      <c r="A2902" s="398"/>
      <c r="B2902" s="398"/>
      <c r="C2902" s="398"/>
      <c r="D2902" s="398"/>
      <c r="E2902" s="398"/>
      <c r="F2902" s="398"/>
      <c r="G2902" s="398"/>
    </row>
    <row r="2903" spans="1:7">
      <c r="A2903" s="398"/>
      <c r="B2903" s="398"/>
      <c r="C2903" s="398"/>
      <c r="D2903" s="398"/>
      <c r="E2903" s="398"/>
      <c r="F2903" s="398"/>
      <c r="G2903" s="398"/>
    </row>
    <row r="2904" spans="1:7">
      <c r="A2904" s="398"/>
      <c r="B2904" s="398"/>
      <c r="C2904" s="398"/>
      <c r="D2904" s="398"/>
      <c r="E2904" s="398"/>
      <c r="F2904" s="398"/>
      <c r="G2904" s="398"/>
    </row>
    <row r="2905" spans="1:7">
      <c r="A2905" s="398"/>
      <c r="B2905" s="398"/>
      <c r="C2905" s="398"/>
      <c r="D2905" s="398"/>
      <c r="E2905" s="398"/>
      <c r="F2905" s="398"/>
      <c r="G2905" s="398"/>
    </row>
    <row r="2906" spans="1:7">
      <c r="A2906" s="398"/>
      <c r="B2906" s="398"/>
      <c r="C2906" s="398"/>
      <c r="D2906" s="398"/>
      <c r="E2906" s="398"/>
      <c r="F2906" s="398"/>
      <c r="G2906" s="398"/>
    </row>
    <row r="2907" spans="1:7">
      <c r="A2907" s="398"/>
      <c r="B2907" s="398"/>
      <c r="C2907" s="398"/>
      <c r="D2907" s="398"/>
      <c r="E2907" s="398"/>
      <c r="F2907" s="398"/>
      <c r="G2907" s="398"/>
    </row>
    <row r="2908" spans="1:7">
      <c r="A2908" s="398"/>
      <c r="B2908" s="398"/>
      <c r="C2908" s="398"/>
      <c r="D2908" s="398"/>
      <c r="E2908" s="398"/>
      <c r="F2908" s="398"/>
      <c r="G2908" s="398"/>
    </row>
    <row r="2909" spans="1:7">
      <c r="A2909" s="398"/>
      <c r="B2909" s="398"/>
      <c r="C2909" s="398"/>
      <c r="D2909" s="398"/>
      <c r="E2909" s="398"/>
      <c r="F2909" s="398"/>
      <c r="G2909" s="398"/>
    </row>
    <row r="2910" spans="1:7">
      <c r="A2910" s="398"/>
      <c r="B2910" s="398"/>
      <c r="C2910" s="398"/>
      <c r="D2910" s="398"/>
      <c r="E2910" s="398"/>
      <c r="F2910" s="398"/>
      <c r="G2910" s="398"/>
    </row>
    <row r="2911" spans="1:7">
      <c r="A2911" s="398"/>
      <c r="B2911" s="398"/>
      <c r="C2911" s="398"/>
      <c r="D2911" s="398"/>
      <c r="E2911" s="398"/>
      <c r="F2911" s="398"/>
      <c r="G2911" s="398"/>
    </row>
    <row r="2912" spans="1:7">
      <c r="A2912" s="398"/>
      <c r="B2912" s="398"/>
      <c r="C2912" s="398"/>
      <c r="D2912" s="398"/>
      <c r="E2912" s="398"/>
      <c r="F2912" s="398"/>
      <c r="G2912" s="398"/>
    </row>
    <row r="2913" spans="1:7">
      <c r="A2913" s="139"/>
      <c r="B2913" s="139"/>
      <c r="C2913" s="139"/>
      <c r="D2913" s="139"/>
      <c r="E2913" s="139"/>
      <c r="F2913" s="139"/>
      <c r="G2913" s="139"/>
    </row>
    <row r="2914" spans="1:7">
      <c r="A2914" s="139"/>
      <c r="B2914" s="139"/>
      <c r="C2914" s="139"/>
      <c r="D2914" s="139"/>
      <c r="E2914" s="139"/>
      <c r="F2914" s="139"/>
      <c r="G2914" s="139"/>
    </row>
    <row r="2916" spans="1:7" ht="17.45">
      <c r="A2916" s="232" t="s">
        <v>381</v>
      </c>
      <c r="B2916" s="23" t="s">
        <v>278</v>
      </c>
      <c r="C2916" s="23" t="s">
        <v>279</v>
      </c>
    </row>
    <row r="2917" spans="1:7">
      <c r="A2917" s="23" t="s">
        <v>372</v>
      </c>
      <c r="B2917" s="23">
        <v>0.22908999999999999</v>
      </c>
      <c r="C2917" s="23" t="s">
        <v>128</v>
      </c>
    </row>
    <row r="2918" spans="1:7">
      <c r="A2918" s="23" t="s">
        <v>290</v>
      </c>
      <c r="B2918" s="23">
        <v>2551.64</v>
      </c>
      <c r="C2918" s="23" t="s">
        <v>98</v>
      </c>
    </row>
    <row r="2919" spans="1:7">
      <c r="A2919" s="23"/>
      <c r="B2919" s="23"/>
      <c r="C2919" s="23"/>
    </row>
    <row r="2920" spans="1:7">
      <c r="A2920" s="23"/>
      <c r="B2920" s="23"/>
      <c r="C2920" s="23"/>
    </row>
    <row r="2921" spans="1:7">
      <c r="A2921" s="23"/>
      <c r="B2921" s="23"/>
      <c r="C2921" s="23"/>
    </row>
    <row r="2922" spans="1:7">
      <c r="A2922" s="399"/>
      <c r="B2922" s="399"/>
      <c r="C2922" s="399"/>
      <c r="D2922" s="399"/>
      <c r="E2922" s="399"/>
      <c r="F2922" s="399"/>
      <c r="G2922" s="399"/>
    </row>
    <row r="2923" spans="1:7">
      <c r="A2923" s="399"/>
      <c r="B2923" s="399"/>
      <c r="C2923" s="399"/>
      <c r="D2923" s="399"/>
      <c r="E2923" s="399"/>
      <c r="F2923" s="399"/>
      <c r="G2923" s="399"/>
    </row>
    <row r="2924" spans="1:7">
      <c r="A2924" s="399"/>
      <c r="B2924" s="399"/>
      <c r="C2924" s="399"/>
      <c r="D2924" s="399"/>
      <c r="E2924" s="399"/>
      <c r="F2924" s="399"/>
      <c r="G2924" s="399"/>
    </row>
    <row r="2925" spans="1:7">
      <c r="A2925" s="399"/>
      <c r="B2925" s="399"/>
      <c r="C2925" s="399"/>
      <c r="D2925" s="399"/>
      <c r="E2925" s="399"/>
      <c r="F2925" s="399"/>
      <c r="G2925" s="399"/>
    </row>
    <row r="2926" spans="1:7">
      <c r="A2926" s="399"/>
      <c r="B2926" s="399"/>
      <c r="C2926" s="399"/>
      <c r="D2926" s="399"/>
      <c r="E2926" s="399"/>
      <c r="F2926" s="399"/>
      <c r="G2926" s="399"/>
    </row>
    <row r="2927" spans="1:7">
      <c r="A2927" s="399"/>
      <c r="B2927" s="399"/>
      <c r="C2927" s="399"/>
      <c r="D2927" s="399"/>
      <c r="E2927" s="399"/>
      <c r="F2927" s="399"/>
      <c r="G2927" s="399"/>
    </row>
    <row r="2928" spans="1:7">
      <c r="A2928" s="399"/>
      <c r="B2928" s="399"/>
      <c r="C2928" s="399"/>
      <c r="D2928" s="399"/>
      <c r="E2928" s="399"/>
      <c r="F2928" s="399"/>
      <c r="G2928" s="399"/>
    </row>
    <row r="2929" spans="1:7">
      <c r="A2929" s="399"/>
      <c r="B2929" s="399"/>
      <c r="C2929" s="399"/>
      <c r="D2929" s="399"/>
      <c r="E2929" s="399"/>
      <c r="F2929" s="399"/>
      <c r="G2929" s="399"/>
    </row>
    <row r="2930" spans="1:7">
      <c r="A2930" s="399"/>
      <c r="B2930" s="399"/>
      <c r="C2930" s="399"/>
      <c r="D2930" s="399"/>
      <c r="E2930" s="399"/>
      <c r="F2930" s="399"/>
      <c r="G2930" s="399"/>
    </row>
    <row r="2931" spans="1:7">
      <c r="A2931" s="399"/>
      <c r="B2931" s="399"/>
      <c r="C2931" s="399"/>
      <c r="D2931" s="399"/>
      <c r="E2931" s="399"/>
      <c r="F2931" s="399"/>
      <c r="G2931" s="399"/>
    </row>
    <row r="2932" spans="1:7">
      <c r="A2932" s="399"/>
      <c r="B2932" s="399"/>
      <c r="C2932" s="399"/>
      <c r="D2932" s="399"/>
      <c r="E2932" s="399"/>
      <c r="F2932" s="399"/>
      <c r="G2932" s="399"/>
    </row>
    <row r="2933" spans="1:7">
      <c r="A2933" s="399"/>
      <c r="B2933" s="399"/>
      <c r="C2933" s="399"/>
      <c r="D2933" s="399"/>
      <c r="E2933" s="399"/>
      <c r="F2933" s="399"/>
      <c r="G2933" s="399"/>
    </row>
    <row r="2934" spans="1:7">
      <c r="A2934" s="399"/>
      <c r="B2934" s="399"/>
      <c r="C2934" s="399"/>
      <c r="D2934" s="399"/>
      <c r="E2934" s="399"/>
      <c r="F2934" s="399"/>
      <c r="G2934" s="399"/>
    </row>
    <row r="2935" spans="1:7">
      <c r="A2935" s="399"/>
      <c r="B2935" s="399"/>
      <c r="C2935" s="399"/>
      <c r="D2935" s="399"/>
      <c r="E2935" s="399"/>
      <c r="F2935" s="399"/>
      <c r="G2935" s="399"/>
    </row>
    <row r="2936" spans="1:7">
      <c r="A2936" s="399"/>
      <c r="B2936" s="399"/>
      <c r="C2936" s="399"/>
      <c r="D2936" s="399"/>
      <c r="E2936" s="399"/>
      <c r="F2936" s="399"/>
      <c r="G2936" s="399"/>
    </row>
    <row r="2937" spans="1:7">
      <c r="A2937" s="399"/>
      <c r="B2937" s="399"/>
      <c r="C2937" s="399"/>
      <c r="D2937" s="399"/>
      <c r="E2937" s="399"/>
      <c r="F2937" s="399"/>
      <c r="G2937" s="399"/>
    </row>
    <row r="2938" spans="1:7">
      <c r="A2938" s="399"/>
      <c r="B2938" s="399"/>
      <c r="C2938" s="399"/>
      <c r="D2938" s="399"/>
      <c r="E2938" s="399"/>
      <c r="F2938" s="399"/>
      <c r="G2938" s="399"/>
    </row>
    <row r="2939" spans="1:7">
      <c r="A2939" s="399"/>
      <c r="B2939" s="399"/>
      <c r="C2939" s="399"/>
      <c r="D2939" s="399"/>
      <c r="E2939" s="399"/>
      <c r="F2939" s="399"/>
      <c r="G2939" s="399"/>
    </row>
    <row r="2940" spans="1:7">
      <c r="A2940" s="399"/>
      <c r="B2940" s="399"/>
      <c r="C2940" s="399"/>
      <c r="D2940" s="399"/>
      <c r="E2940" s="399"/>
      <c r="F2940" s="399"/>
      <c r="G2940" s="399"/>
    </row>
    <row r="2941" spans="1:7">
      <c r="A2941" s="399"/>
      <c r="B2941" s="399"/>
      <c r="C2941" s="399"/>
      <c r="D2941" s="399"/>
      <c r="E2941" s="399"/>
      <c r="F2941" s="399"/>
      <c r="G2941" s="399"/>
    </row>
    <row r="2942" spans="1:7">
      <c r="A2942" s="399"/>
      <c r="B2942" s="399"/>
      <c r="C2942" s="399"/>
      <c r="D2942" s="399"/>
      <c r="E2942" s="399"/>
      <c r="F2942" s="399"/>
      <c r="G2942" s="399"/>
    </row>
    <row r="2943" spans="1:7">
      <c r="A2943" s="399"/>
      <c r="B2943" s="399"/>
      <c r="C2943" s="399"/>
      <c r="D2943" s="399"/>
      <c r="E2943" s="399"/>
      <c r="F2943" s="399"/>
      <c r="G2943" s="399"/>
    </row>
    <row r="2944" spans="1:7">
      <c r="A2944" s="399"/>
      <c r="B2944" s="399"/>
      <c r="C2944" s="399"/>
      <c r="D2944" s="399"/>
      <c r="E2944" s="399"/>
      <c r="F2944" s="399"/>
      <c r="G2944" s="399"/>
    </row>
    <row r="2945" spans="1:7">
      <c r="A2945" s="399"/>
      <c r="B2945" s="399"/>
      <c r="C2945" s="399"/>
      <c r="D2945" s="399"/>
      <c r="E2945" s="399"/>
      <c r="F2945" s="399"/>
      <c r="G2945" s="399"/>
    </row>
    <row r="2946" spans="1:7">
      <c r="A2946" s="399"/>
      <c r="B2946" s="399"/>
      <c r="C2946" s="399"/>
      <c r="D2946" s="399"/>
      <c r="E2946" s="399"/>
      <c r="F2946" s="399"/>
      <c r="G2946" s="399"/>
    </row>
    <row r="2947" spans="1:7">
      <c r="A2947" s="399"/>
      <c r="B2947" s="399"/>
      <c r="C2947" s="399"/>
      <c r="D2947" s="399"/>
      <c r="E2947" s="399"/>
      <c r="F2947" s="399"/>
      <c r="G2947" s="399"/>
    </row>
    <row r="2948" spans="1:7">
      <c r="A2948" s="399"/>
      <c r="B2948" s="399"/>
      <c r="C2948" s="399"/>
      <c r="D2948" s="399"/>
      <c r="E2948" s="399"/>
      <c r="F2948" s="399"/>
      <c r="G2948" s="399"/>
    </row>
    <row r="2949" spans="1:7">
      <c r="A2949" s="399"/>
      <c r="B2949" s="399"/>
      <c r="C2949" s="399"/>
      <c r="D2949" s="399"/>
      <c r="E2949" s="399"/>
      <c r="F2949" s="399"/>
      <c r="G2949" s="399"/>
    </row>
    <row r="2950" spans="1:7">
      <c r="A2950" s="399"/>
      <c r="B2950" s="399"/>
      <c r="C2950" s="399"/>
      <c r="D2950" s="399"/>
      <c r="E2950" s="399"/>
      <c r="F2950" s="399"/>
      <c r="G2950" s="399"/>
    </row>
    <row r="2951" spans="1:7">
      <c r="A2951" s="399"/>
      <c r="B2951" s="399"/>
      <c r="C2951" s="399"/>
      <c r="D2951" s="399"/>
      <c r="E2951" s="399"/>
      <c r="F2951" s="399"/>
      <c r="G2951" s="399"/>
    </row>
    <row r="2952" spans="1:7">
      <c r="A2952" s="399"/>
      <c r="B2952" s="399"/>
      <c r="C2952" s="399"/>
      <c r="D2952" s="399"/>
      <c r="E2952" s="399"/>
      <c r="F2952" s="399"/>
      <c r="G2952" s="399"/>
    </row>
    <row r="2953" spans="1:7">
      <c r="A2953" s="399"/>
      <c r="B2953" s="399"/>
      <c r="C2953" s="399"/>
      <c r="D2953" s="399"/>
      <c r="E2953" s="399"/>
      <c r="F2953" s="399"/>
      <c r="G2953" s="399"/>
    </row>
    <row r="2954" spans="1:7">
      <c r="A2954" s="399"/>
      <c r="B2954" s="399"/>
      <c r="C2954" s="399"/>
      <c r="D2954" s="399"/>
      <c r="E2954" s="399"/>
      <c r="F2954" s="399"/>
      <c r="G2954" s="399"/>
    </row>
    <row r="2955" spans="1:7">
      <c r="A2955" s="399"/>
      <c r="B2955" s="399"/>
      <c r="C2955" s="399"/>
      <c r="D2955" s="399"/>
      <c r="E2955" s="399"/>
      <c r="F2955" s="399"/>
      <c r="G2955" s="399"/>
    </row>
    <row r="2956" spans="1:7">
      <c r="A2956" s="399"/>
      <c r="B2956" s="399"/>
      <c r="C2956" s="399"/>
      <c r="D2956" s="399"/>
      <c r="E2956" s="399"/>
      <c r="F2956" s="399"/>
      <c r="G2956" s="399"/>
    </row>
    <row r="2957" spans="1:7">
      <c r="A2957" s="399"/>
      <c r="B2957" s="399"/>
      <c r="C2957" s="399"/>
      <c r="D2957" s="399"/>
      <c r="E2957" s="399"/>
      <c r="F2957" s="399"/>
      <c r="G2957" s="399"/>
    </row>
    <row r="2958" spans="1:7">
      <c r="A2958" s="399"/>
      <c r="B2958" s="399"/>
      <c r="C2958" s="399"/>
      <c r="D2958" s="399"/>
      <c r="E2958" s="399"/>
      <c r="F2958" s="399"/>
      <c r="G2958" s="399"/>
    </row>
    <row r="2959" spans="1:7">
      <c r="A2959" s="399"/>
      <c r="B2959" s="399"/>
      <c r="C2959" s="399"/>
      <c r="D2959" s="399"/>
      <c r="E2959" s="399"/>
      <c r="F2959" s="399"/>
      <c r="G2959" s="399"/>
    </row>
    <row r="2960" spans="1:7">
      <c r="A2960" s="399"/>
      <c r="B2960" s="399"/>
      <c r="C2960" s="399"/>
      <c r="D2960" s="399"/>
      <c r="E2960" s="399"/>
      <c r="F2960" s="399"/>
      <c r="G2960" s="399"/>
    </row>
    <row r="2961" spans="1:7">
      <c r="A2961" s="399"/>
      <c r="B2961" s="399"/>
      <c r="C2961" s="399"/>
      <c r="D2961" s="399"/>
      <c r="E2961" s="399"/>
      <c r="F2961" s="399"/>
      <c r="G2961" s="399"/>
    </row>
    <row r="2962" spans="1:7">
      <c r="A2962" s="399"/>
      <c r="B2962" s="399"/>
      <c r="C2962" s="399"/>
      <c r="D2962" s="399"/>
      <c r="E2962" s="399"/>
      <c r="F2962" s="399"/>
      <c r="G2962" s="399"/>
    </row>
    <row r="2966" spans="1:7" ht="17.45">
      <c r="A2966" s="233" t="s">
        <v>382</v>
      </c>
      <c r="B2966" s="23" t="s">
        <v>278</v>
      </c>
      <c r="C2966" s="23" t="s">
        <v>279</v>
      </c>
    </row>
    <row r="2967" spans="1:7">
      <c r="A2967" s="23" t="s">
        <v>372</v>
      </c>
      <c r="B2967" s="23">
        <v>0.19597999999999999</v>
      </c>
      <c r="C2967" s="23" t="s">
        <v>128</v>
      </c>
    </row>
    <row r="2968" spans="1:7">
      <c r="A2968" s="23" t="s">
        <v>290</v>
      </c>
      <c r="B2968" s="23">
        <v>2512.39</v>
      </c>
      <c r="C2968" s="23" t="s">
        <v>98</v>
      </c>
    </row>
    <row r="2973" spans="1:7">
      <c r="A2973" s="398"/>
      <c r="B2973" s="398"/>
      <c r="C2973" s="398"/>
      <c r="D2973" s="398"/>
      <c r="E2973" s="398"/>
      <c r="F2973" s="398"/>
      <c r="G2973" s="398"/>
    </row>
    <row r="2974" spans="1:7">
      <c r="A2974" s="398"/>
      <c r="B2974" s="398"/>
      <c r="C2974" s="398"/>
      <c r="D2974" s="398"/>
      <c r="E2974" s="398"/>
      <c r="F2974" s="398"/>
      <c r="G2974" s="398"/>
    </row>
    <row r="2975" spans="1:7">
      <c r="A2975" s="398"/>
      <c r="B2975" s="398"/>
      <c r="C2975" s="398"/>
      <c r="D2975" s="398"/>
      <c r="E2975" s="398"/>
      <c r="F2975" s="398"/>
      <c r="G2975" s="398"/>
    </row>
    <row r="2976" spans="1:7">
      <c r="A2976" s="398"/>
      <c r="B2976" s="398"/>
      <c r="C2976" s="398"/>
      <c r="D2976" s="398"/>
      <c r="E2976" s="398"/>
      <c r="F2976" s="398"/>
      <c r="G2976" s="398"/>
    </row>
    <row r="2977" spans="1:7">
      <c r="A2977" s="398"/>
      <c r="B2977" s="398"/>
      <c r="C2977" s="398"/>
      <c r="D2977" s="398"/>
      <c r="E2977" s="398"/>
      <c r="F2977" s="398"/>
      <c r="G2977" s="398"/>
    </row>
    <row r="2978" spans="1:7">
      <c r="A2978" s="398"/>
      <c r="B2978" s="398"/>
      <c r="C2978" s="398"/>
      <c r="D2978" s="398"/>
      <c r="E2978" s="398"/>
      <c r="F2978" s="398"/>
      <c r="G2978" s="398"/>
    </row>
    <row r="2979" spans="1:7">
      <c r="A2979" s="398"/>
      <c r="B2979" s="398"/>
      <c r="C2979" s="398"/>
      <c r="D2979" s="398"/>
      <c r="E2979" s="398"/>
      <c r="F2979" s="398"/>
      <c r="G2979" s="398"/>
    </row>
    <row r="2980" spans="1:7">
      <c r="A2980" s="398"/>
      <c r="B2980" s="398"/>
      <c r="C2980" s="398"/>
      <c r="D2980" s="398"/>
      <c r="E2980" s="398"/>
      <c r="F2980" s="398"/>
      <c r="G2980" s="398"/>
    </row>
    <row r="2981" spans="1:7">
      <c r="A2981" s="398"/>
      <c r="B2981" s="398"/>
      <c r="C2981" s="398"/>
      <c r="D2981" s="398"/>
      <c r="E2981" s="398"/>
      <c r="F2981" s="398"/>
      <c r="G2981" s="398"/>
    </row>
    <row r="2982" spans="1:7">
      <c r="A2982" s="398"/>
      <c r="B2982" s="398"/>
      <c r="C2982" s="398"/>
      <c r="D2982" s="398"/>
      <c r="E2982" s="398"/>
      <c r="F2982" s="398"/>
      <c r="G2982" s="398"/>
    </row>
    <row r="2983" spans="1:7">
      <c r="A2983" s="398"/>
      <c r="B2983" s="398"/>
      <c r="C2983" s="398"/>
      <c r="D2983" s="398"/>
      <c r="E2983" s="398"/>
      <c r="F2983" s="398"/>
      <c r="G2983" s="398"/>
    </row>
    <row r="2984" spans="1:7">
      <c r="A2984" s="398"/>
      <c r="B2984" s="398"/>
      <c r="C2984" s="398"/>
      <c r="D2984" s="398"/>
      <c r="E2984" s="398"/>
      <c r="F2984" s="398"/>
      <c r="G2984" s="398"/>
    </row>
    <row r="2985" spans="1:7">
      <c r="A2985" s="398"/>
      <c r="B2985" s="398"/>
      <c r="C2985" s="398"/>
      <c r="D2985" s="398"/>
      <c r="E2985" s="398"/>
      <c r="F2985" s="398"/>
      <c r="G2985" s="398"/>
    </row>
    <row r="2986" spans="1:7">
      <c r="A2986" s="398"/>
      <c r="B2986" s="398"/>
      <c r="C2986" s="398"/>
      <c r="D2986" s="398"/>
      <c r="E2986" s="398"/>
      <c r="F2986" s="398"/>
      <c r="G2986" s="398"/>
    </row>
    <row r="2987" spans="1:7">
      <c r="A2987" s="398"/>
      <c r="B2987" s="398"/>
      <c r="C2987" s="398"/>
      <c r="D2987" s="398"/>
      <c r="E2987" s="398"/>
      <c r="F2987" s="398"/>
      <c r="G2987" s="398"/>
    </row>
    <row r="2988" spans="1:7">
      <c r="A2988" s="398"/>
      <c r="B2988" s="398"/>
      <c r="C2988" s="398"/>
      <c r="D2988" s="398"/>
      <c r="E2988" s="398"/>
      <c r="F2988" s="398"/>
      <c r="G2988" s="398"/>
    </row>
    <row r="2989" spans="1:7">
      <c r="A2989" s="398"/>
      <c r="B2989" s="398"/>
      <c r="C2989" s="398"/>
      <c r="D2989" s="398"/>
      <c r="E2989" s="398"/>
      <c r="F2989" s="398"/>
      <c r="G2989" s="398"/>
    </row>
    <row r="2990" spans="1:7">
      <c r="A2990" s="398"/>
      <c r="B2990" s="398"/>
      <c r="C2990" s="398"/>
      <c r="D2990" s="398"/>
      <c r="E2990" s="398"/>
      <c r="F2990" s="398"/>
      <c r="G2990" s="398"/>
    </row>
    <row r="2991" spans="1:7">
      <c r="A2991" s="398"/>
      <c r="B2991" s="398"/>
      <c r="C2991" s="398"/>
      <c r="D2991" s="398"/>
      <c r="E2991" s="398"/>
      <c r="F2991" s="398"/>
      <c r="G2991" s="398"/>
    </row>
    <row r="2992" spans="1:7">
      <c r="A2992" s="398"/>
      <c r="B2992" s="398"/>
      <c r="C2992" s="398"/>
      <c r="D2992" s="398"/>
      <c r="E2992" s="398"/>
      <c r="F2992" s="398"/>
      <c r="G2992" s="398"/>
    </row>
    <row r="2993" spans="1:7">
      <c r="A2993" s="398"/>
      <c r="B2993" s="398"/>
      <c r="C2993" s="398"/>
      <c r="D2993" s="398"/>
      <c r="E2993" s="398"/>
      <c r="F2993" s="398"/>
      <c r="G2993" s="398"/>
    </row>
    <row r="2994" spans="1:7">
      <c r="A2994" s="398"/>
      <c r="B2994" s="398"/>
      <c r="C2994" s="398"/>
      <c r="D2994" s="398"/>
      <c r="E2994" s="398"/>
      <c r="F2994" s="398"/>
      <c r="G2994" s="398"/>
    </row>
    <row r="2995" spans="1:7">
      <c r="A2995" s="398"/>
      <c r="B2995" s="398"/>
      <c r="C2995" s="398"/>
      <c r="D2995" s="398"/>
      <c r="E2995" s="398"/>
      <c r="F2995" s="398"/>
      <c r="G2995" s="398"/>
    </row>
    <row r="2996" spans="1:7">
      <c r="A2996" s="398"/>
      <c r="B2996" s="398"/>
      <c r="C2996" s="398"/>
      <c r="D2996" s="398"/>
      <c r="E2996" s="398"/>
      <c r="F2996" s="398"/>
      <c r="G2996" s="398"/>
    </row>
    <row r="2997" spans="1:7">
      <c r="A2997" s="398"/>
      <c r="B2997" s="398"/>
      <c r="C2997" s="398"/>
      <c r="D2997" s="398"/>
      <c r="E2997" s="398"/>
      <c r="F2997" s="398"/>
      <c r="G2997" s="398"/>
    </row>
    <row r="2998" spans="1:7">
      <c r="A2998" s="398"/>
      <c r="B2998" s="398"/>
      <c r="C2998" s="398"/>
      <c r="D2998" s="398"/>
      <c r="E2998" s="398"/>
      <c r="F2998" s="398"/>
      <c r="G2998" s="398"/>
    </row>
    <row r="2999" spans="1:7">
      <c r="A2999" s="398"/>
      <c r="B2999" s="398"/>
      <c r="C2999" s="398"/>
      <c r="D2999" s="398"/>
      <c r="E2999" s="398"/>
      <c r="F2999" s="398"/>
      <c r="G2999" s="398"/>
    </row>
    <row r="3000" spans="1:7">
      <c r="A3000" s="398"/>
      <c r="B3000" s="398"/>
      <c r="C3000" s="398"/>
      <c r="D3000" s="398"/>
      <c r="E3000" s="398"/>
      <c r="F3000" s="398"/>
      <c r="G3000" s="398"/>
    </row>
    <row r="3001" spans="1:7">
      <c r="A3001" s="398"/>
      <c r="B3001" s="398"/>
      <c r="C3001" s="398"/>
      <c r="D3001" s="398"/>
      <c r="E3001" s="398"/>
      <c r="F3001" s="398"/>
      <c r="G3001" s="398"/>
    </row>
    <row r="3002" spans="1:7">
      <c r="A3002" s="398"/>
      <c r="B3002" s="398"/>
      <c r="C3002" s="398"/>
      <c r="D3002" s="398"/>
      <c r="E3002" s="398"/>
      <c r="F3002" s="398"/>
      <c r="G3002" s="398"/>
    </row>
    <row r="3003" spans="1:7">
      <c r="A3003" s="398"/>
      <c r="B3003" s="398"/>
      <c r="C3003" s="398"/>
      <c r="D3003" s="398"/>
      <c r="E3003" s="398"/>
      <c r="F3003" s="398"/>
      <c r="G3003" s="398"/>
    </row>
    <row r="3004" spans="1:7">
      <c r="A3004" s="398"/>
      <c r="B3004" s="398"/>
      <c r="C3004" s="398"/>
      <c r="D3004" s="398"/>
      <c r="E3004" s="398"/>
      <c r="F3004" s="398"/>
      <c r="G3004" s="398"/>
    </row>
    <row r="3005" spans="1:7">
      <c r="A3005" s="398"/>
      <c r="B3005" s="398"/>
      <c r="C3005" s="398"/>
      <c r="D3005" s="398"/>
      <c r="E3005" s="398"/>
      <c r="F3005" s="398"/>
      <c r="G3005" s="398"/>
    </row>
    <row r="3006" spans="1:7">
      <c r="A3006" s="398"/>
      <c r="B3006" s="398"/>
      <c r="C3006" s="398"/>
      <c r="D3006" s="398"/>
      <c r="E3006" s="398"/>
      <c r="F3006" s="398"/>
      <c r="G3006" s="398"/>
    </row>
    <row r="3007" spans="1:7">
      <c r="A3007" s="398"/>
      <c r="B3007" s="398"/>
      <c r="C3007" s="398"/>
      <c r="D3007" s="398"/>
      <c r="E3007" s="398"/>
      <c r="F3007" s="398"/>
      <c r="G3007" s="398"/>
    </row>
    <row r="3008" spans="1:7">
      <c r="A3008" s="398"/>
      <c r="B3008" s="398"/>
      <c r="C3008" s="398"/>
      <c r="D3008" s="398"/>
      <c r="E3008" s="398"/>
      <c r="F3008" s="398"/>
      <c r="G3008" s="398"/>
    </row>
    <row r="3009" spans="1:7">
      <c r="A3009" s="398"/>
      <c r="B3009" s="398"/>
      <c r="C3009" s="398"/>
      <c r="D3009" s="398"/>
      <c r="E3009" s="398"/>
      <c r="F3009" s="398"/>
      <c r="G3009" s="398"/>
    </row>
    <row r="3010" spans="1:7">
      <c r="A3010" s="398"/>
      <c r="B3010" s="398"/>
      <c r="C3010" s="398"/>
      <c r="D3010" s="398"/>
      <c r="E3010" s="398"/>
      <c r="F3010" s="398"/>
      <c r="G3010" s="398"/>
    </row>
    <row r="3011" spans="1:7">
      <c r="A3011" s="398"/>
      <c r="B3011" s="398"/>
      <c r="C3011" s="398"/>
      <c r="D3011" s="398"/>
      <c r="E3011" s="398"/>
      <c r="F3011" s="398"/>
      <c r="G3011" s="398"/>
    </row>
    <row r="3012" spans="1:7">
      <c r="A3012" s="398"/>
      <c r="B3012" s="398"/>
      <c r="C3012" s="398"/>
      <c r="D3012" s="398"/>
      <c r="E3012" s="398"/>
      <c r="F3012" s="398"/>
      <c r="G3012" s="398"/>
    </row>
    <row r="3013" spans="1:7">
      <c r="A3013" s="398"/>
      <c r="B3013" s="398"/>
      <c r="C3013" s="398"/>
      <c r="D3013" s="398"/>
      <c r="E3013" s="398"/>
      <c r="F3013" s="398"/>
      <c r="G3013" s="398"/>
    </row>
    <row r="3014" spans="1:7">
      <c r="A3014" s="139"/>
      <c r="B3014" s="139"/>
      <c r="C3014" s="139"/>
      <c r="D3014" s="139"/>
      <c r="E3014" s="139"/>
      <c r="F3014" s="139"/>
      <c r="G3014" s="139"/>
    </row>
    <row r="3015" spans="1:7">
      <c r="A3015" s="139"/>
      <c r="B3015" s="139"/>
      <c r="C3015" s="139"/>
      <c r="D3015" s="139"/>
      <c r="E3015" s="139"/>
      <c r="F3015" s="139"/>
      <c r="G3015" s="139"/>
    </row>
    <row r="3016" spans="1:7" ht="17.45">
      <c r="A3016" s="233" t="s">
        <v>383</v>
      </c>
      <c r="B3016" s="23" t="s">
        <v>278</v>
      </c>
      <c r="C3016" s="23" t="s">
        <v>279</v>
      </c>
      <c r="D3016" s="139"/>
      <c r="E3016" s="139"/>
      <c r="F3016" s="139"/>
      <c r="G3016" s="139"/>
    </row>
    <row r="3017" spans="1:7">
      <c r="A3017" s="23" t="s">
        <v>372</v>
      </c>
      <c r="B3017" s="23">
        <v>0.23103000000000001</v>
      </c>
      <c r="C3017" s="23" t="s">
        <v>128</v>
      </c>
      <c r="D3017" s="139"/>
      <c r="E3017" s="139"/>
      <c r="F3017" s="139"/>
      <c r="G3017" s="139"/>
    </row>
    <row r="3018" spans="1:7">
      <c r="A3018" s="23" t="s">
        <v>290</v>
      </c>
      <c r="B3018" s="23">
        <v>3227.51</v>
      </c>
      <c r="C3018" s="23" t="s">
        <v>98</v>
      </c>
    </row>
    <row r="3019" spans="1:7">
      <c r="A3019" s="23"/>
      <c r="B3019" s="23"/>
      <c r="C3019" s="23"/>
    </row>
    <row r="3021" spans="1:7">
      <c r="A3021" s="398"/>
      <c r="B3021" s="398"/>
      <c r="C3021" s="398"/>
      <c r="D3021" s="398"/>
      <c r="E3021" s="398"/>
      <c r="F3021" s="398"/>
      <c r="G3021" s="398"/>
    </row>
    <row r="3022" spans="1:7">
      <c r="A3022" s="398"/>
      <c r="B3022" s="398"/>
      <c r="C3022" s="398"/>
      <c r="D3022" s="398"/>
      <c r="E3022" s="398"/>
      <c r="F3022" s="398"/>
      <c r="G3022" s="398"/>
    </row>
    <row r="3023" spans="1:7">
      <c r="A3023" s="398"/>
      <c r="B3023" s="398"/>
      <c r="C3023" s="398"/>
      <c r="D3023" s="398"/>
      <c r="E3023" s="398"/>
      <c r="F3023" s="398"/>
      <c r="G3023" s="398"/>
    </row>
    <row r="3024" spans="1:7">
      <c r="A3024" s="398"/>
      <c r="B3024" s="398"/>
      <c r="C3024" s="398"/>
      <c r="D3024" s="398"/>
      <c r="E3024" s="398"/>
      <c r="F3024" s="398"/>
      <c r="G3024" s="398"/>
    </row>
    <row r="3025" spans="1:7">
      <c r="A3025" s="398"/>
      <c r="B3025" s="398"/>
      <c r="C3025" s="398"/>
      <c r="D3025" s="398"/>
      <c r="E3025" s="398"/>
      <c r="F3025" s="398"/>
      <c r="G3025" s="398"/>
    </row>
    <row r="3026" spans="1:7">
      <c r="A3026" s="398"/>
      <c r="B3026" s="398"/>
      <c r="C3026" s="398"/>
      <c r="D3026" s="398"/>
      <c r="E3026" s="398"/>
      <c r="F3026" s="398"/>
      <c r="G3026" s="398"/>
    </row>
    <row r="3027" spans="1:7">
      <c r="A3027" s="398"/>
      <c r="B3027" s="398"/>
      <c r="C3027" s="398"/>
      <c r="D3027" s="398"/>
      <c r="E3027" s="398"/>
      <c r="F3027" s="398"/>
      <c r="G3027" s="398"/>
    </row>
    <row r="3028" spans="1:7">
      <c r="A3028" s="398"/>
      <c r="B3028" s="398"/>
      <c r="C3028" s="398"/>
      <c r="D3028" s="398"/>
      <c r="E3028" s="398"/>
      <c r="F3028" s="398"/>
      <c r="G3028" s="398"/>
    </row>
    <row r="3029" spans="1:7">
      <c r="A3029" s="398"/>
      <c r="B3029" s="398"/>
      <c r="C3029" s="398"/>
      <c r="D3029" s="398"/>
      <c r="E3029" s="398"/>
      <c r="F3029" s="398"/>
      <c r="G3029" s="398"/>
    </row>
    <row r="3030" spans="1:7">
      <c r="A3030" s="398"/>
      <c r="B3030" s="398"/>
      <c r="C3030" s="398"/>
      <c r="D3030" s="398"/>
      <c r="E3030" s="398"/>
      <c r="F3030" s="398"/>
      <c r="G3030" s="398"/>
    </row>
    <row r="3031" spans="1:7">
      <c r="A3031" s="398"/>
      <c r="B3031" s="398"/>
      <c r="C3031" s="398"/>
      <c r="D3031" s="398"/>
      <c r="E3031" s="398"/>
      <c r="F3031" s="398"/>
      <c r="G3031" s="398"/>
    </row>
    <row r="3032" spans="1:7">
      <c r="A3032" s="398"/>
      <c r="B3032" s="398"/>
      <c r="C3032" s="398"/>
      <c r="D3032" s="398"/>
      <c r="E3032" s="398"/>
      <c r="F3032" s="398"/>
      <c r="G3032" s="398"/>
    </row>
    <row r="3033" spans="1:7">
      <c r="A3033" s="398"/>
      <c r="B3033" s="398"/>
      <c r="C3033" s="398"/>
      <c r="D3033" s="398"/>
      <c r="E3033" s="398"/>
      <c r="F3033" s="398"/>
      <c r="G3033" s="398"/>
    </row>
    <row r="3034" spans="1:7">
      <c r="A3034" s="398"/>
      <c r="B3034" s="398"/>
      <c r="C3034" s="398"/>
      <c r="D3034" s="398"/>
      <c r="E3034" s="398"/>
      <c r="F3034" s="398"/>
      <c r="G3034" s="398"/>
    </row>
    <row r="3035" spans="1:7">
      <c r="A3035" s="398"/>
      <c r="B3035" s="398"/>
      <c r="C3035" s="398"/>
      <c r="D3035" s="398"/>
      <c r="E3035" s="398"/>
      <c r="F3035" s="398"/>
      <c r="G3035" s="398"/>
    </row>
    <row r="3036" spans="1:7">
      <c r="A3036" s="398"/>
      <c r="B3036" s="398"/>
      <c r="C3036" s="398"/>
      <c r="D3036" s="398"/>
      <c r="E3036" s="398"/>
      <c r="F3036" s="398"/>
      <c r="G3036" s="398"/>
    </row>
    <row r="3037" spans="1:7">
      <c r="A3037" s="398"/>
      <c r="B3037" s="398"/>
      <c r="C3037" s="398"/>
      <c r="D3037" s="398"/>
      <c r="E3037" s="398"/>
      <c r="F3037" s="398"/>
      <c r="G3037" s="398"/>
    </row>
    <row r="3038" spans="1:7">
      <c r="A3038" s="398"/>
      <c r="B3038" s="398"/>
      <c r="C3038" s="398"/>
      <c r="D3038" s="398"/>
      <c r="E3038" s="398"/>
      <c r="F3038" s="398"/>
      <c r="G3038" s="398"/>
    </row>
    <row r="3039" spans="1:7">
      <c r="A3039" s="398"/>
      <c r="B3039" s="398"/>
      <c r="C3039" s="398"/>
      <c r="D3039" s="398"/>
      <c r="E3039" s="398"/>
      <c r="F3039" s="398"/>
      <c r="G3039" s="398"/>
    </row>
    <row r="3040" spans="1:7">
      <c r="A3040" s="398"/>
      <c r="B3040" s="398"/>
      <c r="C3040" s="398"/>
      <c r="D3040" s="398"/>
      <c r="E3040" s="398"/>
      <c r="F3040" s="398"/>
      <c r="G3040" s="398"/>
    </row>
    <row r="3041" spans="1:7">
      <c r="A3041" s="398"/>
      <c r="B3041" s="398"/>
      <c r="C3041" s="398"/>
      <c r="D3041" s="398"/>
      <c r="E3041" s="398"/>
      <c r="F3041" s="398"/>
      <c r="G3041" s="398"/>
    </row>
    <row r="3042" spans="1:7">
      <c r="A3042" s="398"/>
      <c r="B3042" s="398"/>
      <c r="C3042" s="398"/>
      <c r="D3042" s="398"/>
      <c r="E3042" s="398"/>
      <c r="F3042" s="398"/>
      <c r="G3042" s="398"/>
    </row>
    <row r="3043" spans="1:7">
      <c r="A3043" s="398"/>
      <c r="B3043" s="398"/>
      <c r="C3043" s="398"/>
      <c r="D3043" s="398"/>
      <c r="E3043" s="398"/>
      <c r="F3043" s="398"/>
      <c r="G3043" s="398"/>
    </row>
    <row r="3044" spans="1:7">
      <c r="A3044" s="398"/>
      <c r="B3044" s="398"/>
      <c r="C3044" s="398"/>
      <c r="D3044" s="398"/>
      <c r="E3044" s="398"/>
      <c r="F3044" s="398"/>
      <c r="G3044" s="398"/>
    </row>
    <row r="3045" spans="1:7">
      <c r="A3045" s="398"/>
      <c r="B3045" s="398"/>
      <c r="C3045" s="398"/>
      <c r="D3045" s="398"/>
      <c r="E3045" s="398"/>
      <c r="F3045" s="398"/>
      <c r="G3045" s="398"/>
    </row>
    <row r="3046" spans="1:7">
      <c r="A3046" s="398"/>
      <c r="B3046" s="398"/>
      <c r="C3046" s="398"/>
      <c r="D3046" s="398"/>
      <c r="E3046" s="398"/>
      <c r="F3046" s="398"/>
      <c r="G3046" s="398"/>
    </row>
    <row r="3047" spans="1:7">
      <c r="A3047" s="398"/>
      <c r="B3047" s="398"/>
      <c r="C3047" s="398"/>
      <c r="D3047" s="398"/>
      <c r="E3047" s="398"/>
      <c r="F3047" s="398"/>
      <c r="G3047" s="398"/>
    </row>
    <row r="3048" spans="1:7">
      <c r="A3048" s="398"/>
      <c r="B3048" s="398"/>
      <c r="C3048" s="398"/>
      <c r="D3048" s="398"/>
      <c r="E3048" s="398"/>
      <c r="F3048" s="398"/>
      <c r="G3048" s="398"/>
    </row>
    <row r="3049" spans="1:7">
      <c r="A3049" s="398"/>
      <c r="B3049" s="398"/>
      <c r="C3049" s="398"/>
      <c r="D3049" s="398"/>
      <c r="E3049" s="398"/>
      <c r="F3049" s="398"/>
      <c r="G3049" s="398"/>
    </row>
    <row r="3050" spans="1:7">
      <c r="A3050" s="398"/>
      <c r="B3050" s="398"/>
      <c r="C3050" s="398"/>
      <c r="D3050" s="398"/>
      <c r="E3050" s="398"/>
      <c r="F3050" s="398"/>
      <c r="G3050" s="398"/>
    </row>
    <row r="3051" spans="1:7">
      <c r="A3051" s="398"/>
      <c r="B3051" s="398"/>
      <c r="C3051" s="398"/>
      <c r="D3051" s="398"/>
      <c r="E3051" s="398"/>
      <c r="F3051" s="398"/>
      <c r="G3051" s="398"/>
    </row>
    <row r="3052" spans="1:7">
      <c r="A3052" s="398"/>
      <c r="B3052" s="398"/>
      <c r="C3052" s="398"/>
      <c r="D3052" s="398"/>
      <c r="E3052" s="398"/>
      <c r="F3052" s="398"/>
      <c r="G3052" s="398"/>
    </row>
    <row r="3053" spans="1:7">
      <c r="A3053" s="398"/>
      <c r="B3053" s="398"/>
      <c r="C3053" s="398"/>
      <c r="D3053" s="398"/>
      <c r="E3053" s="398"/>
      <c r="F3053" s="398"/>
      <c r="G3053" s="398"/>
    </row>
    <row r="3054" spans="1:7">
      <c r="A3054" s="398"/>
      <c r="B3054" s="398"/>
      <c r="C3054" s="398"/>
      <c r="D3054" s="398"/>
      <c r="E3054" s="398"/>
      <c r="F3054" s="398"/>
      <c r="G3054" s="398"/>
    </row>
    <row r="3055" spans="1:7">
      <c r="A3055" s="398"/>
      <c r="B3055" s="398"/>
      <c r="C3055" s="398"/>
      <c r="D3055" s="398"/>
      <c r="E3055" s="398"/>
      <c r="F3055" s="398"/>
      <c r="G3055" s="398"/>
    </row>
    <row r="3056" spans="1:7">
      <c r="A3056" s="398"/>
      <c r="B3056" s="398"/>
      <c r="C3056" s="398"/>
      <c r="D3056" s="398"/>
      <c r="E3056" s="398"/>
      <c r="F3056" s="398"/>
      <c r="G3056" s="398"/>
    </row>
    <row r="3057" spans="1:7">
      <c r="A3057" s="398"/>
      <c r="B3057" s="398"/>
      <c r="C3057" s="398"/>
      <c r="D3057" s="398"/>
      <c r="E3057" s="398"/>
      <c r="F3057" s="398"/>
      <c r="G3057" s="398"/>
    </row>
    <row r="3058" spans="1:7">
      <c r="A3058" s="398"/>
      <c r="B3058" s="398"/>
      <c r="C3058" s="398"/>
      <c r="D3058" s="398"/>
      <c r="E3058" s="398"/>
      <c r="F3058" s="398"/>
      <c r="G3058" s="398"/>
    </row>
    <row r="3059" spans="1:7">
      <c r="A3059" s="398"/>
      <c r="B3059" s="398"/>
      <c r="C3059" s="398"/>
      <c r="D3059" s="398"/>
      <c r="E3059" s="398"/>
      <c r="F3059" s="398"/>
      <c r="G3059" s="398"/>
    </row>
    <row r="3060" spans="1:7">
      <c r="A3060" s="398"/>
      <c r="B3060" s="398"/>
      <c r="C3060" s="398"/>
      <c r="D3060" s="398"/>
      <c r="E3060" s="398"/>
      <c r="F3060" s="398"/>
      <c r="G3060" s="398"/>
    </row>
    <row r="3061" spans="1:7">
      <c r="A3061" s="398"/>
      <c r="B3061" s="398"/>
      <c r="C3061" s="398"/>
      <c r="D3061" s="398"/>
      <c r="E3061" s="398"/>
      <c r="F3061" s="398"/>
      <c r="G3061" s="398"/>
    </row>
    <row r="3062" spans="1:7">
      <c r="A3062" s="139"/>
      <c r="B3062" s="139"/>
      <c r="C3062" s="139"/>
      <c r="D3062" s="139"/>
      <c r="E3062" s="139"/>
      <c r="F3062" s="139"/>
      <c r="G3062" s="139"/>
    </row>
    <row r="3063" spans="1:7">
      <c r="A3063" s="139"/>
      <c r="B3063" s="139"/>
      <c r="C3063" s="139"/>
      <c r="D3063" s="139"/>
      <c r="E3063" s="139"/>
      <c r="F3063" s="139"/>
      <c r="G3063" s="139"/>
    </row>
    <row r="3064" spans="1:7" ht="17.45">
      <c r="A3064" s="233" t="s">
        <v>384</v>
      </c>
      <c r="B3064" s="23" t="s">
        <v>278</v>
      </c>
      <c r="C3064" s="23" t="s">
        <v>279</v>
      </c>
    </row>
    <row r="3065" spans="1:7">
      <c r="A3065" s="23" t="s">
        <v>372</v>
      </c>
      <c r="B3065" s="23">
        <v>0.13985</v>
      </c>
      <c r="C3065" s="23" t="s">
        <v>128</v>
      </c>
    </row>
    <row r="3066" spans="1:7">
      <c r="A3066" s="23" t="s">
        <v>290</v>
      </c>
      <c r="B3066" s="23">
        <v>2816.73</v>
      </c>
      <c r="C3066" s="23" t="s">
        <v>98</v>
      </c>
    </row>
    <row r="3067" spans="1:7">
      <c r="A3067" s="23"/>
      <c r="B3067" s="23"/>
      <c r="C3067" s="23"/>
    </row>
    <row r="3068" spans="1:7">
      <c r="A3068" s="23"/>
      <c r="B3068" s="23"/>
      <c r="C3068" s="23"/>
    </row>
    <row r="3069" spans="1:7">
      <c r="A3069" s="399"/>
      <c r="B3069" s="399"/>
      <c r="C3069" s="399"/>
      <c r="D3069" s="399"/>
      <c r="E3069" s="399"/>
      <c r="F3069" s="399"/>
      <c r="G3069" s="399"/>
    </row>
    <row r="3070" spans="1:7">
      <c r="A3070" s="399"/>
      <c r="B3070" s="399"/>
      <c r="C3070" s="399"/>
      <c r="D3070" s="399"/>
      <c r="E3070" s="399"/>
      <c r="F3070" s="399"/>
      <c r="G3070" s="399"/>
    </row>
    <row r="3071" spans="1:7">
      <c r="A3071" s="399"/>
      <c r="B3071" s="399"/>
      <c r="C3071" s="399"/>
      <c r="D3071" s="399"/>
      <c r="E3071" s="399"/>
      <c r="F3071" s="399"/>
      <c r="G3071" s="399"/>
    </row>
    <row r="3072" spans="1:7">
      <c r="A3072" s="399"/>
      <c r="B3072" s="399"/>
      <c r="C3072" s="399"/>
      <c r="D3072" s="399"/>
      <c r="E3072" s="399"/>
      <c r="F3072" s="399"/>
      <c r="G3072" s="399"/>
    </row>
    <row r="3073" spans="1:7">
      <c r="A3073" s="399"/>
      <c r="B3073" s="399"/>
      <c r="C3073" s="399"/>
      <c r="D3073" s="399"/>
      <c r="E3073" s="399"/>
      <c r="F3073" s="399"/>
      <c r="G3073" s="399"/>
    </row>
    <row r="3074" spans="1:7">
      <c r="A3074" s="399"/>
      <c r="B3074" s="399"/>
      <c r="C3074" s="399"/>
      <c r="D3074" s="399"/>
      <c r="E3074" s="399"/>
      <c r="F3074" s="399"/>
      <c r="G3074" s="399"/>
    </row>
    <row r="3075" spans="1:7">
      <c r="A3075" s="399"/>
      <c r="B3075" s="399"/>
      <c r="C3075" s="399"/>
      <c r="D3075" s="399"/>
      <c r="E3075" s="399"/>
      <c r="F3075" s="399"/>
      <c r="G3075" s="399"/>
    </row>
    <row r="3076" spans="1:7">
      <c r="A3076" s="399"/>
      <c r="B3076" s="399"/>
      <c r="C3076" s="399"/>
      <c r="D3076" s="399"/>
      <c r="E3076" s="399"/>
      <c r="F3076" s="399"/>
      <c r="G3076" s="399"/>
    </row>
    <row r="3077" spans="1:7">
      <c r="A3077" s="399"/>
      <c r="B3077" s="399"/>
      <c r="C3077" s="399"/>
      <c r="D3077" s="399"/>
      <c r="E3077" s="399"/>
      <c r="F3077" s="399"/>
      <c r="G3077" s="399"/>
    </row>
    <row r="3078" spans="1:7">
      <c r="A3078" s="399"/>
      <c r="B3078" s="399"/>
      <c r="C3078" s="399"/>
      <c r="D3078" s="399"/>
      <c r="E3078" s="399"/>
      <c r="F3078" s="399"/>
      <c r="G3078" s="399"/>
    </row>
    <row r="3079" spans="1:7">
      <c r="A3079" s="399"/>
      <c r="B3079" s="399"/>
      <c r="C3079" s="399"/>
      <c r="D3079" s="399"/>
      <c r="E3079" s="399"/>
      <c r="F3079" s="399"/>
      <c r="G3079" s="399"/>
    </row>
    <row r="3080" spans="1:7">
      <c r="A3080" s="399"/>
      <c r="B3080" s="399"/>
      <c r="C3080" s="399"/>
      <c r="D3080" s="399"/>
      <c r="E3080" s="399"/>
      <c r="F3080" s="399"/>
      <c r="G3080" s="399"/>
    </row>
    <row r="3081" spans="1:7">
      <c r="A3081" s="399"/>
      <c r="B3081" s="399"/>
      <c r="C3081" s="399"/>
      <c r="D3081" s="399"/>
      <c r="E3081" s="399"/>
      <c r="F3081" s="399"/>
      <c r="G3081" s="399"/>
    </row>
    <row r="3082" spans="1:7">
      <c r="A3082" s="399"/>
      <c r="B3082" s="399"/>
      <c r="C3082" s="399"/>
      <c r="D3082" s="399"/>
      <c r="E3082" s="399"/>
      <c r="F3082" s="399"/>
      <c r="G3082" s="399"/>
    </row>
    <row r="3083" spans="1:7">
      <c r="A3083" s="399"/>
      <c r="B3083" s="399"/>
      <c r="C3083" s="399"/>
      <c r="D3083" s="399"/>
      <c r="E3083" s="399"/>
      <c r="F3083" s="399"/>
      <c r="G3083" s="399"/>
    </row>
    <row r="3084" spans="1:7">
      <c r="A3084" s="399"/>
      <c r="B3084" s="399"/>
      <c r="C3084" s="399"/>
      <c r="D3084" s="399"/>
      <c r="E3084" s="399"/>
      <c r="F3084" s="399"/>
      <c r="G3084" s="399"/>
    </row>
    <row r="3085" spans="1:7">
      <c r="A3085" s="399"/>
      <c r="B3085" s="399"/>
      <c r="C3085" s="399"/>
      <c r="D3085" s="399"/>
      <c r="E3085" s="399"/>
      <c r="F3085" s="399"/>
      <c r="G3085" s="399"/>
    </row>
    <row r="3086" spans="1:7">
      <c r="A3086" s="399"/>
      <c r="B3086" s="399"/>
      <c r="C3086" s="399"/>
      <c r="D3086" s="399"/>
      <c r="E3086" s="399"/>
      <c r="F3086" s="399"/>
      <c r="G3086" s="399"/>
    </row>
    <row r="3087" spans="1:7">
      <c r="A3087" s="399"/>
      <c r="B3087" s="399"/>
      <c r="C3087" s="399"/>
      <c r="D3087" s="399"/>
      <c r="E3087" s="399"/>
      <c r="F3087" s="399"/>
      <c r="G3087" s="399"/>
    </row>
    <row r="3088" spans="1:7">
      <c r="A3088" s="399"/>
      <c r="B3088" s="399"/>
      <c r="C3088" s="399"/>
      <c r="D3088" s="399"/>
      <c r="E3088" s="399"/>
      <c r="F3088" s="399"/>
      <c r="G3088" s="399"/>
    </row>
    <row r="3089" spans="1:7">
      <c r="A3089" s="399"/>
      <c r="B3089" s="399"/>
      <c r="C3089" s="399"/>
      <c r="D3089" s="399"/>
      <c r="E3089" s="399"/>
      <c r="F3089" s="399"/>
      <c r="G3089" s="399"/>
    </row>
    <row r="3090" spans="1:7">
      <c r="A3090" s="399"/>
      <c r="B3090" s="399"/>
      <c r="C3090" s="399"/>
      <c r="D3090" s="399"/>
      <c r="E3090" s="399"/>
      <c r="F3090" s="399"/>
      <c r="G3090" s="399"/>
    </row>
    <row r="3091" spans="1:7">
      <c r="A3091" s="399"/>
      <c r="B3091" s="399"/>
      <c r="C3091" s="399"/>
      <c r="D3091" s="399"/>
      <c r="E3091" s="399"/>
      <c r="F3091" s="399"/>
      <c r="G3091" s="399"/>
    </row>
    <row r="3092" spans="1:7">
      <c r="A3092" s="399"/>
      <c r="B3092" s="399"/>
      <c r="C3092" s="399"/>
      <c r="D3092" s="399"/>
      <c r="E3092" s="399"/>
      <c r="F3092" s="399"/>
      <c r="G3092" s="399"/>
    </row>
    <row r="3093" spans="1:7">
      <c r="A3093" s="399"/>
      <c r="B3093" s="399"/>
      <c r="C3093" s="399"/>
      <c r="D3093" s="399"/>
      <c r="E3093" s="399"/>
      <c r="F3093" s="399"/>
      <c r="G3093" s="399"/>
    </row>
    <row r="3094" spans="1:7">
      <c r="A3094" s="399"/>
      <c r="B3094" s="399"/>
      <c r="C3094" s="399"/>
      <c r="D3094" s="399"/>
      <c r="E3094" s="399"/>
      <c r="F3094" s="399"/>
      <c r="G3094" s="399"/>
    </row>
    <row r="3095" spans="1:7">
      <c r="A3095" s="399"/>
      <c r="B3095" s="399"/>
      <c r="C3095" s="399"/>
      <c r="D3095" s="399"/>
      <c r="E3095" s="399"/>
      <c r="F3095" s="399"/>
      <c r="G3095" s="399"/>
    </row>
    <row r="3096" spans="1:7">
      <c r="A3096" s="399"/>
      <c r="B3096" s="399"/>
      <c r="C3096" s="399"/>
      <c r="D3096" s="399"/>
      <c r="E3096" s="399"/>
      <c r="F3096" s="399"/>
      <c r="G3096" s="399"/>
    </row>
    <row r="3097" spans="1:7">
      <c r="A3097" s="399"/>
      <c r="B3097" s="399"/>
      <c r="C3097" s="399"/>
      <c r="D3097" s="399"/>
      <c r="E3097" s="399"/>
      <c r="F3097" s="399"/>
      <c r="G3097" s="399"/>
    </row>
    <row r="3098" spans="1:7">
      <c r="A3098" s="399"/>
      <c r="B3098" s="399"/>
      <c r="C3098" s="399"/>
      <c r="D3098" s="399"/>
      <c r="E3098" s="399"/>
      <c r="F3098" s="399"/>
      <c r="G3098" s="399"/>
    </row>
    <row r="3099" spans="1:7">
      <c r="A3099" s="399"/>
      <c r="B3099" s="399"/>
      <c r="C3099" s="399"/>
      <c r="D3099" s="399"/>
      <c r="E3099" s="399"/>
      <c r="F3099" s="399"/>
      <c r="G3099" s="399"/>
    </row>
    <row r="3100" spans="1:7">
      <c r="A3100" s="399"/>
      <c r="B3100" s="399"/>
      <c r="C3100" s="399"/>
      <c r="D3100" s="399"/>
      <c r="E3100" s="399"/>
      <c r="F3100" s="399"/>
      <c r="G3100" s="399"/>
    </row>
    <row r="3101" spans="1:7">
      <c r="A3101" s="399"/>
      <c r="B3101" s="399"/>
      <c r="C3101" s="399"/>
      <c r="D3101" s="399"/>
      <c r="E3101" s="399"/>
      <c r="F3101" s="399"/>
      <c r="G3101" s="399"/>
    </row>
    <row r="3102" spans="1:7">
      <c r="A3102" s="399"/>
      <c r="B3102" s="399"/>
      <c r="C3102" s="399"/>
      <c r="D3102" s="399"/>
      <c r="E3102" s="399"/>
      <c r="F3102" s="399"/>
      <c r="G3102" s="399"/>
    </row>
    <row r="3103" spans="1:7">
      <c r="A3103" s="399"/>
      <c r="B3103" s="399"/>
      <c r="C3103" s="399"/>
      <c r="D3103" s="399"/>
      <c r="E3103" s="399"/>
      <c r="F3103" s="399"/>
      <c r="G3103" s="399"/>
    </row>
    <row r="3104" spans="1:7">
      <c r="A3104" s="399"/>
      <c r="B3104" s="399"/>
      <c r="C3104" s="399"/>
      <c r="D3104" s="399"/>
      <c r="E3104" s="399"/>
      <c r="F3104" s="399"/>
      <c r="G3104" s="399"/>
    </row>
    <row r="3105" spans="1:7">
      <c r="A3105" s="399"/>
      <c r="B3105" s="399"/>
      <c r="C3105" s="399"/>
      <c r="D3105" s="399"/>
      <c r="E3105" s="399"/>
      <c r="F3105" s="399"/>
      <c r="G3105" s="399"/>
    </row>
    <row r="3106" spans="1:7">
      <c r="A3106" s="399"/>
      <c r="B3106" s="399"/>
      <c r="C3106" s="399"/>
      <c r="D3106" s="399"/>
      <c r="E3106" s="399"/>
      <c r="F3106" s="399"/>
      <c r="G3106" s="399"/>
    </row>
    <row r="3107" spans="1:7">
      <c r="A3107" s="399"/>
      <c r="B3107" s="399"/>
      <c r="C3107" s="399"/>
      <c r="D3107" s="399"/>
      <c r="E3107" s="399"/>
      <c r="F3107" s="399"/>
      <c r="G3107" s="399"/>
    </row>
    <row r="3108" spans="1:7">
      <c r="A3108" s="399"/>
      <c r="B3108" s="399"/>
      <c r="C3108" s="399"/>
      <c r="D3108" s="399"/>
      <c r="E3108" s="399"/>
      <c r="F3108" s="399"/>
      <c r="G3108" s="399"/>
    </row>
    <row r="3109" spans="1:7">
      <c r="A3109" s="399"/>
      <c r="B3109" s="399"/>
      <c r="C3109" s="399"/>
      <c r="D3109" s="399"/>
      <c r="E3109" s="399"/>
      <c r="F3109" s="399"/>
      <c r="G3109" s="399"/>
    </row>
    <row r="3110" spans="1:7">
      <c r="A3110" s="399"/>
      <c r="B3110" s="399"/>
      <c r="C3110" s="399"/>
      <c r="D3110" s="399"/>
      <c r="E3110" s="399"/>
      <c r="F3110" s="399"/>
      <c r="G3110" s="399"/>
    </row>
    <row r="3113" spans="1:7" ht="17.45">
      <c r="A3113" s="233" t="s">
        <v>385</v>
      </c>
      <c r="B3113" s="23" t="s">
        <v>278</v>
      </c>
      <c r="C3113" s="23" t="s">
        <v>279</v>
      </c>
    </row>
    <row r="3114" spans="1:7">
      <c r="A3114" s="23" t="s">
        <v>372</v>
      </c>
      <c r="B3114" s="23">
        <v>0.16073000000000001</v>
      </c>
      <c r="C3114" s="23" t="s">
        <v>128</v>
      </c>
    </row>
    <row r="3115" spans="1:7">
      <c r="A3115" s="23" t="s">
        <v>290</v>
      </c>
      <c r="B3115" s="23">
        <v>4287.7</v>
      </c>
      <c r="C3115" s="23" t="s">
        <v>98</v>
      </c>
    </row>
    <row r="3120" spans="1:7">
      <c r="A3120" s="398"/>
      <c r="B3120" s="398"/>
      <c r="C3120" s="398"/>
      <c r="D3120" s="398"/>
      <c r="E3120" s="398"/>
      <c r="F3120" s="398"/>
      <c r="G3120" s="398"/>
    </row>
    <row r="3121" spans="1:7">
      <c r="A3121" s="398"/>
      <c r="B3121" s="398"/>
      <c r="C3121" s="398"/>
      <c r="D3121" s="398"/>
      <c r="E3121" s="398"/>
      <c r="F3121" s="398"/>
      <c r="G3121" s="398"/>
    </row>
    <row r="3122" spans="1:7">
      <c r="A3122" s="398"/>
      <c r="B3122" s="398"/>
      <c r="C3122" s="398"/>
      <c r="D3122" s="398"/>
      <c r="E3122" s="398"/>
      <c r="F3122" s="398"/>
      <c r="G3122" s="398"/>
    </row>
    <row r="3123" spans="1:7">
      <c r="A3123" s="398"/>
      <c r="B3123" s="398"/>
      <c r="C3123" s="398"/>
      <c r="D3123" s="398"/>
      <c r="E3123" s="398"/>
      <c r="F3123" s="398"/>
      <c r="G3123" s="398"/>
    </row>
    <row r="3124" spans="1:7">
      <c r="A3124" s="398"/>
      <c r="B3124" s="398"/>
      <c r="C3124" s="398"/>
      <c r="D3124" s="398"/>
      <c r="E3124" s="398"/>
      <c r="F3124" s="398"/>
      <c r="G3124" s="398"/>
    </row>
    <row r="3125" spans="1:7">
      <c r="A3125" s="398"/>
      <c r="B3125" s="398"/>
      <c r="C3125" s="398"/>
      <c r="D3125" s="398"/>
      <c r="E3125" s="398"/>
      <c r="F3125" s="398"/>
      <c r="G3125" s="398"/>
    </row>
    <row r="3126" spans="1:7">
      <c r="A3126" s="398"/>
      <c r="B3126" s="398"/>
      <c r="C3126" s="398"/>
      <c r="D3126" s="398"/>
      <c r="E3126" s="398"/>
      <c r="F3126" s="398"/>
      <c r="G3126" s="398"/>
    </row>
    <row r="3127" spans="1:7">
      <c r="A3127" s="398"/>
      <c r="B3127" s="398"/>
      <c r="C3127" s="398"/>
      <c r="D3127" s="398"/>
      <c r="E3127" s="398"/>
      <c r="F3127" s="398"/>
      <c r="G3127" s="398"/>
    </row>
    <row r="3128" spans="1:7">
      <c r="A3128" s="398"/>
      <c r="B3128" s="398"/>
      <c r="C3128" s="398"/>
      <c r="D3128" s="398"/>
      <c r="E3128" s="398"/>
      <c r="F3128" s="398"/>
      <c r="G3128" s="398"/>
    </row>
    <row r="3129" spans="1:7">
      <c r="A3129" s="398"/>
      <c r="B3129" s="398"/>
      <c r="C3129" s="398"/>
      <c r="D3129" s="398"/>
      <c r="E3129" s="398"/>
      <c r="F3129" s="398"/>
      <c r="G3129" s="398"/>
    </row>
    <row r="3130" spans="1:7">
      <c r="A3130" s="398"/>
      <c r="B3130" s="398"/>
      <c r="C3130" s="398"/>
      <c r="D3130" s="398"/>
      <c r="E3130" s="398"/>
      <c r="F3130" s="398"/>
      <c r="G3130" s="398"/>
    </row>
    <row r="3131" spans="1:7">
      <c r="A3131" s="398"/>
      <c r="B3131" s="398"/>
      <c r="C3131" s="398"/>
      <c r="D3131" s="398"/>
      <c r="E3131" s="398"/>
      <c r="F3131" s="398"/>
      <c r="G3131" s="398"/>
    </row>
    <row r="3132" spans="1:7">
      <c r="A3132" s="398"/>
      <c r="B3132" s="398"/>
      <c r="C3132" s="398"/>
      <c r="D3132" s="398"/>
      <c r="E3132" s="398"/>
      <c r="F3132" s="398"/>
      <c r="G3132" s="398"/>
    </row>
    <row r="3133" spans="1:7">
      <c r="A3133" s="398"/>
      <c r="B3133" s="398"/>
      <c r="C3133" s="398"/>
      <c r="D3133" s="398"/>
      <c r="E3133" s="398"/>
      <c r="F3133" s="398"/>
      <c r="G3133" s="398"/>
    </row>
    <row r="3134" spans="1:7">
      <c r="A3134" s="398"/>
      <c r="B3134" s="398"/>
      <c r="C3134" s="398"/>
      <c r="D3134" s="398"/>
      <c r="E3134" s="398"/>
      <c r="F3134" s="398"/>
      <c r="G3134" s="398"/>
    </row>
    <row r="3135" spans="1:7">
      <c r="A3135" s="398"/>
      <c r="B3135" s="398"/>
      <c r="C3135" s="398"/>
      <c r="D3135" s="398"/>
      <c r="E3135" s="398"/>
      <c r="F3135" s="398"/>
      <c r="G3135" s="398"/>
    </row>
    <row r="3136" spans="1:7">
      <c r="A3136" s="398"/>
      <c r="B3136" s="398"/>
      <c r="C3136" s="398"/>
      <c r="D3136" s="398"/>
      <c r="E3136" s="398"/>
      <c r="F3136" s="398"/>
      <c r="G3136" s="398"/>
    </row>
    <row r="3137" spans="1:7">
      <c r="A3137" s="398"/>
      <c r="B3137" s="398"/>
      <c r="C3137" s="398"/>
      <c r="D3137" s="398"/>
      <c r="E3137" s="398"/>
      <c r="F3137" s="398"/>
      <c r="G3137" s="398"/>
    </row>
    <row r="3138" spans="1:7">
      <c r="A3138" s="398"/>
      <c r="B3138" s="398"/>
      <c r="C3138" s="398"/>
      <c r="D3138" s="398"/>
      <c r="E3138" s="398"/>
      <c r="F3138" s="398"/>
      <c r="G3138" s="398"/>
    </row>
    <row r="3139" spans="1:7">
      <c r="A3139" s="398"/>
      <c r="B3139" s="398"/>
      <c r="C3139" s="398"/>
      <c r="D3139" s="398"/>
      <c r="E3139" s="398"/>
      <c r="F3139" s="398"/>
      <c r="G3139" s="398"/>
    </row>
    <row r="3140" spans="1:7">
      <c r="A3140" s="398"/>
      <c r="B3140" s="398"/>
      <c r="C3140" s="398"/>
      <c r="D3140" s="398"/>
      <c r="E3140" s="398"/>
      <c r="F3140" s="398"/>
      <c r="G3140" s="398"/>
    </row>
    <row r="3141" spans="1:7">
      <c r="A3141" s="398"/>
      <c r="B3141" s="398"/>
      <c r="C3141" s="398"/>
      <c r="D3141" s="398"/>
      <c r="E3141" s="398"/>
      <c r="F3141" s="398"/>
      <c r="G3141" s="398"/>
    </row>
    <row r="3142" spans="1:7">
      <c r="A3142" s="398"/>
      <c r="B3142" s="398"/>
      <c r="C3142" s="398"/>
      <c r="D3142" s="398"/>
      <c r="E3142" s="398"/>
      <c r="F3142" s="398"/>
      <c r="G3142" s="398"/>
    </row>
    <row r="3143" spans="1:7">
      <c r="A3143" s="398"/>
      <c r="B3143" s="398"/>
      <c r="C3143" s="398"/>
      <c r="D3143" s="398"/>
      <c r="E3143" s="398"/>
      <c r="F3143" s="398"/>
      <c r="G3143" s="398"/>
    </row>
    <row r="3144" spans="1:7">
      <c r="A3144" s="398"/>
      <c r="B3144" s="398"/>
      <c r="C3144" s="398"/>
      <c r="D3144" s="398"/>
      <c r="E3144" s="398"/>
      <c r="F3144" s="398"/>
      <c r="G3144" s="398"/>
    </row>
    <row r="3145" spans="1:7">
      <c r="A3145" s="398"/>
      <c r="B3145" s="398"/>
      <c r="C3145" s="398"/>
      <c r="D3145" s="398"/>
      <c r="E3145" s="398"/>
      <c r="F3145" s="398"/>
      <c r="G3145" s="398"/>
    </row>
    <row r="3146" spans="1:7">
      <c r="A3146" s="398"/>
      <c r="B3146" s="398"/>
      <c r="C3146" s="398"/>
      <c r="D3146" s="398"/>
      <c r="E3146" s="398"/>
      <c r="F3146" s="398"/>
      <c r="G3146" s="398"/>
    </row>
    <row r="3147" spans="1:7">
      <c r="A3147" s="398"/>
      <c r="B3147" s="398"/>
      <c r="C3147" s="398"/>
      <c r="D3147" s="398"/>
      <c r="E3147" s="398"/>
      <c r="F3147" s="398"/>
      <c r="G3147" s="398"/>
    </row>
    <row r="3148" spans="1:7">
      <c r="A3148" s="398"/>
      <c r="B3148" s="398"/>
      <c r="C3148" s="398"/>
      <c r="D3148" s="398"/>
      <c r="E3148" s="398"/>
      <c r="F3148" s="398"/>
      <c r="G3148" s="398"/>
    </row>
    <row r="3149" spans="1:7">
      <c r="A3149" s="398"/>
      <c r="B3149" s="398"/>
      <c r="C3149" s="398"/>
      <c r="D3149" s="398"/>
      <c r="E3149" s="398"/>
      <c r="F3149" s="398"/>
      <c r="G3149" s="398"/>
    </row>
    <row r="3150" spans="1:7">
      <c r="A3150" s="398"/>
      <c r="B3150" s="398"/>
      <c r="C3150" s="398"/>
      <c r="D3150" s="398"/>
      <c r="E3150" s="398"/>
      <c r="F3150" s="398"/>
      <c r="G3150" s="398"/>
    </row>
    <row r="3151" spans="1:7">
      <c r="A3151" s="398"/>
      <c r="B3151" s="398"/>
      <c r="C3151" s="398"/>
      <c r="D3151" s="398"/>
      <c r="E3151" s="398"/>
      <c r="F3151" s="398"/>
      <c r="G3151" s="398"/>
    </row>
    <row r="3152" spans="1:7">
      <c r="A3152" s="398"/>
      <c r="B3152" s="398"/>
      <c r="C3152" s="398"/>
      <c r="D3152" s="398"/>
      <c r="E3152" s="398"/>
      <c r="F3152" s="398"/>
      <c r="G3152" s="398"/>
    </row>
    <row r="3153" spans="1:7">
      <c r="A3153" s="398"/>
      <c r="B3153" s="398"/>
      <c r="C3153" s="398"/>
      <c r="D3153" s="398"/>
      <c r="E3153" s="398"/>
      <c r="F3153" s="398"/>
      <c r="G3153" s="398"/>
    </row>
    <row r="3154" spans="1:7">
      <c r="A3154" s="398"/>
      <c r="B3154" s="398"/>
      <c r="C3154" s="398"/>
      <c r="D3154" s="398"/>
      <c r="E3154" s="398"/>
      <c r="F3154" s="398"/>
      <c r="G3154" s="398"/>
    </row>
    <row r="3155" spans="1:7">
      <c r="A3155" s="398"/>
      <c r="B3155" s="398"/>
      <c r="C3155" s="398"/>
      <c r="D3155" s="398"/>
      <c r="E3155" s="398"/>
      <c r="F3155" s="398"/>
      <c r="G3155" s="398"/>
    </row>
    <row r="3156" spans="1:7">
      <c r="A3156" s="398"/>
      <c r="B3156" s="398"/>
      <c r="C3156" s="398"/>
      <c r="D3156" s="398"/>
      <c r="E3156" s="398"/>
      <c r="F3156" s="398"/>
      <c r="G3156" s="398"/>
    </row>
    <row r="3157" spans="1:7">
      <c r="A3157" s="398"/>
      <c r="B3157" s="398"/>
      <c r="C3157" s="398"/>
      <c r="D3157" s="398"/>
      <c r="E3157" s="398"/>
      <c r="F3157" s="398"/>
      <c r="G3157" s="398"/>
    </row>
    <row r="3158" spans="1:7">
      <c r="A3158" s="398"/>
      <c r="B3158" s="398"/>
      <c r="C3158" s="398"/>
      <c r="D3158" s="398"/>
      <c r="E3158" s="398"/>
      <c r="F3158" s="398"/>
      <c r="G3158" s="398"/>
    </row>
    <row r="3159" spans="1:7">
      <c r="A3159" s="398"/>
      <c r="B3159" s="398"/>
      <c r="C3159" s="398"/>
      <c r="D3159" s="398"/>
      <c r="E3159" s="398"/>
      <c r="F3159" s="398"/>
      <c r="G3159" s="398"/>
    </row>
    <row r="3160" spans="1:7">
      <c r="A3160" s="398"/>
      <c r="B3160" s="398"/>
      <c r="C3160" s="398"/>
      <c r="D3160" s="398"/>
      <c r="E3160" s="398"/>
      <c r="F3160" s="398"/>
      <c r="G3160" s="398"/>
    </row>
    <row r="3163" spans="1:7" ht="17.45">
      <c r="A3163" s="233" t="s">
        <v>386</v>
      </c>
      <c r="B3163" s="23" t="s">
        <v>278</v>
      </c>
      <c r="C3163" s="23" t="s">
        <v>279</v>
      </c>
    </row>
    <row r="3164" spans="1:7">
      <c r="A3164" s="23" t="s">
        <v>372</v>
      </c>
      <c r="B3164" s="23">
        <v>0.14985999999999999</v>
      </c>
      <c r="C3164" s="23" t="s">
        <v>128</v>
      </c>
    </row>
    <row r="3165" spans="1:7">
      <c r="A3165" s="23" t="s">
        <v>290</v>
      </c>
      <c r="B3165" s="23">
        <v>2742.01</v>
      </c>
      <c r="C3165" s="23" t="s">
        <v>98</v>
      </c>
    </row>
    <row r="3170" spans="1:7">
      <c r="A3170" s="398"/>
      <c r="B3170" s="398"/>
      <c r="C3170" s="398"/>
      <c r="D3170" s="398"/>
      <c r="E3170" s="398"/>
      <c r="F3170" s="398"/>
      <c r="G3170" s="398"/>
    </row>
    <row r="3171" spans="1:7">
      <c r="A3171" s="398"/>
      <c r="B3171" s="398"/>
      <c r="C3171" s="398"/>
      <c r="D3171" s="398"/>
      <c r="E3171" s="398"/>
      <c r="F3171" s="398"/>
      <c r="G3171" s="398"/>
    </row>
    <row r="3172" spans="1:7">
      <c r="A3172" s="398"/>
      <c r="B3172" s="398"/>
      <c r="C3172" s="398"/>
      <c r="D3172" s="398"/>
      <c r="E3172" s="398"/>
      <c r="F3172" s="398"/>
      <c r="G3172" s="398"/>
    </row>
    <row r="3173" spans="1:7">
      <c r="A3173" s="398"/>
      <c r="B3173" s="398"/>
      <c r="C3173" s="398"/>
      <c r="D3173" s="398"/>
      <c r="E3173" s="398"/>
      <c r="F3173" s="398"/>
      <c r="G3173" s="398"/>
    </row>
    <row r="3174" spans="1:7">
      <c r="A3174" s="398"/>
      <c r="B3174" s="398"/>
      <c r="C3174" s="398"/>
      <c r="D3174" s="398"/>
      <c r="E3174" s="398"/>
      <c r="F3174" s="398"/>
      <c r="G3174" s="398"/>
    </row>
    <row r="3175" spans="1:7">
      <c r="A3175" s="398"/>
      <c r="B3175" s="398"/>
      <c r="C3175" s="398"/>
      <c r="D3175" s="398"/>
      <c r="E3175" s="398"/>
      <c r="F3175" s="398"/>
      <c r="G3175" s="398"/>
    </row>
    <row r="3176" spans="1:7">
      <c r="A3176" s="398"/>
      <c r="B3176" s="398"/>
      <c r="C3176" s="398"/>
      <c r="D3176" s="398"/>
      <c r="E3176" s="398"/>
      <c r="F3176" s="398"/>
      <c r="G3176" s="398"/>
    </row>
    <row r="3177" spans="1:7">
      <c r="A3177" s="398"/>
      <c r="B3177" s="398"/>
      <c r="C3177" s="398"/>
      <c r="D3177" s="398"/>
      <c r="E3177" s="398"/>
      <c r="F3177" s="398"/>
      <c r="G3177" s="398"/>
    </row>
    <row r="3178" spans="1:7">
      <c r="A3178" s="398"/>
      <c r="B3178" s="398"/>
      <c r="C3178" s="398"/>
      <c r="D3178" s="398"/>
      <c r="E3178" s="398"/>
      <c r="F3178" s="398"/>
      <c r="G3178" s="398"/>
    </row>
    <row r="3179" spans="1:7">
      <c r="A3179" s="398"/>
      <c r="B3179" s="398"/>
      <c r="C3179" s="398"/>
      <c r="D3179" s="398"/>
      <c r="E3179" s="398"/>
      <c r="F3179" s="398"/>
      <c r="G3179" s="398"/>
    </row>
    <row r="3180" spans="1:7">
      <c r="A3180" s="398"/>
      <c r="B3180" s="398"/>
      <c r="C3180" s="398"/>
      <c r="D3180" s="398"/>
      <c r="E3180" s="398"/>
      <c r="F3180" s="398"/>
      <c r="G3180" s="398"/>
    </row>
    <row r="3181" spans="1:7">
      <c r="A3181" s="398"/>
      <c r="B3181" s="398"/>
      <c r="C3181" s="398"/>
      <c r="D3181" s="398"/>
      <c r="E3181" s="398"/>
      <c r="F3181" s="398"/>
      <c r="G3181" s="398"/>
    </row>
    <row r="3182" spans="1:7">
      <c r="A3182" s="398"/>
      <c r="B3182" s="398"/>
      <c r="C3182" s="398"/>
      <c r="D3182" s="398"/>
      <c r="E3182" s="398"/>
      <c r="F3182" s="398"/>
      <c r="G3182" s="398"/>
    </row>
    <row r="3183" spans="1:7">
      <c r="A3183" s="398"/>
      <c r="B3183" s="398"/>
      <c r="C3183" s="398"/>
      <c r="D3183" s="398"/>
      <c r="E3183" s="398"/>
      <c r="F3183" s="398"/>
      <c r="G3183" s="398"/>
    </row>
    <row r="3184" spans="1:7">
      <c r="A3184" s="398"/>
      <c r="B3184" s="398"/>
      <c r="C3184" s="398"/>
      <c r="D3184" s="398"/>
      <c r="E3184" s="398"/>
      <c r="F3184" s="398"/>
      <c r="G3184" s="398"/>
    </row>
    <row r="3185" spans="1:7">
      <c r="A3185" s="398"/>
      <c r="B3185" s="398"/>
      <c r="C3185" s="398"/>
      <c r="D3185" s="398"/>
      <c r="E3185" s="398"/>
      <c r="F3185" s="398"/>
      <c r="G3185" s="398"/>
    </row>
    <row r="3186" spans="1:7">
      <c r="A3186" s="398"/>
      <c r="B3186" s="398"/>
      <c r="C3186" s="398"/>
      <c r="D3186" s="398"/>
      <c r="E3186" s="398"/>
      <c r="F3186" s="398"/>
      <c r="G3186" s="398"/>
    </row>
    <row r="3187" spans="1:7">
      <c r="A3187" s="398"/>
      <c r="B3187" s="398"/>
      <c r="C3187" s="398"/>
      <c r="D3187" s="398"/>
      <c r="E3187" s="398"/>
      <c r="F3187" s="398"/>
      <c r="G3187" s="398"/>
    </row>
    <row r="3188" spans="1:7">
      <c r="A3188" s="398"/>
      <c r="B3188" s="398"/>
      <c r="C3188" s="398"/>
      <c r="D3188" s="398"/>
      <c r="E3188" s="398"/>
      <c r="F3188" s="398"/>
      <c r="G3188" s="398"/>
    </row>
    <row r="3189" spans="1:7">
      <c r="A3189" s="398"/>
      <c r="B3189" s="398"/>
      <c r="C3189" s="398"/>
      <c r="D3189" s="398"/>
      <c r="E3189" s="398"/>
      <c r="F3189" s="398"/>
      <c r="G3189" s="398"/>
    </row>
    <row r="3190" spans="1:7">
      <c r="A3190" s="398"/>
      <c r="B3190" s="398"/>
      <c r="C3190" s="398"/>
      <c r="D3190" s="398"/>
      <c r="E3190" s="398"/>
      <c r="F3190" s="398"/>
      <c r="G3190" s="398"/>
    </row>
    <row r="3191" spans="1:7">
      <c r="A3191" s="398"/>
      <c r="B3191" s="398"/>
      <c r="C3191" s="398"/>
      <c r="D3191" s="398"/>
      <c r="E3191" s="398"/>
      <c r="F3191" s="398"/>
      <c r="G3191" s="398"/>
    </row>
    <row r="3192" spans="1:7">
      <c r="A3192" s="398"/>
      <c r="B3192" s="398"/>
      <c r="C3192" s="398"/>
      <c r="D3192" s="398"/>
      <c r="E3192" s="398"/>
      <c r="F3192" s="398"/>
      <c r="G3192" s="398"/>
    </row>
    <row r="3193" spans="1:7">
      <c r="A3193" s="398"/>
      <c r="B3193" s="398"/>
      <c r="C3193" s="398"/>
      <c r="D3193" s="398"/>
      <c r="E3193" s="398"/>
      <c r="F3193" s="398"/>
      <c r="G3193" s="398"/>
    </row>
    <row r="3194" spans="1:7">
      <c r="A3194" s="398"/>
      <c r="B3194" s="398"/>
      <c r="C3194" s="398"/>
      <c r="D3194" s="398"/>
      <c r="E3194" s="398"/>
      <c r="F3194" s="398"/>
      <c r="G3194" s="398"/>
    </row>
    <row r="3195" spans="1:7">
      <c r="A3195" s="398"/>
      <c r="B3195" s="398"/>
      <c r="C3195" s="398"/>
      <c r="D3195" s="398"/>
      <c r="E3195" s="398"/>
      <c r="F3195" s="398"/>
      <c r="G3195" s="398"/>
    </row>
    <row r="3196" spans="1:7">
      <c r="A3196" s="398"/>
      <c r="B3196" s="398"/>
      <c r="C3196" s="398"/>
      <c r="D3196" s="398"/>
      <c r="E3196" s="398"/>
      <c r="F3196" s="398"/>
      <c r="G3196" s="398"/>
    </row>
    <row r="3197" spans="1:7">
      <c r="A3197" s="398"/>
      <c r="B3197" s="398"/>
      <c r="C3197" s="398"/>
      <c r="D3197" s="398"/>
      <c r="E3197" s="398"/>
      <c r="F3197" s="398"/>
      <c r="G3197" s="398"/>
    </row>
    <row r="3198" spans="1:7">
      <c r="A3198" s="398"/>
      <c r="B3198" s="398"/>
      <c r="C3198" s="398"/>
      <c r="D3198" s="398"/>
      <c r="E3198" s="398"/>
      <c r="F3198" s="398"/>
      <c r="G3198" s="398"/>
    </row>
    <row r="3199" spans="1:7">
      <c r="A3199" s="398"/>
      <c r="B3199" s="398"/>
      <c r="C3199" s="398"/>
      <c r="D3199" s="398"/>
      <c r="E3199" s="398"/>
      <c r="F3199" s="398"/>
      <c r="G3199" s="398"/>
    </row>
    <row r="3200" spans="1:7">
      <c r="A3200" s="398"/>
      <c r="B3200" s="398"/>
      <c r="C3200" s="398"/>
      <c r="D3200" s="398"/>
      <c r="E3200" s="398"/>
      <c r="F3200" s="398"/>
      <c r="G3200" s="398"/>
    </row>
    <row r="3201" spans="1:7">
      <c r="A3201" s="398"/>
      <c r="B3201" s="398"/>
      <c r="C3201" s="398"/>
      <c r="D3201" s="398"/>
      <c r="E3201" s="398"/>
      <c r="F3201" s="398"/>
      <c r="G3201" s="398"/>
    </row>
    <row r="3202" spans="1:7">
      <c r="A3202" s="398"/>
      <c r="B3202" s="398"/>
      <c r="C3202" s="398"/>
      <c r="D3202" s="398"/>
      <c r="E3202" s="398"/>
      <c r="F3202" s="398"/>
      <c r="G3202" s="398"/>
    </row>
    <row r="3203" spans="1:7">
      <c r="A3203" s="398"/>
      <c r="B3203" s="398"/>
      <c r="C3203" s="398"/>
      <c r="D3203" s="398"/>
      <c r="E3203" s="398"/>
      <c r="F3203" s="398"/>
      <c r="G3203" s="398"/>
    </row>
    <row r="3204" spans="1:7">
      <c r="A3204" s="398"/>
      <c r="B3204" s="398"/>
      <c r="C3204" s="398"/>
      <c r="D3204" s="398"/>
      <c r="E3204" s="398"/>
      <c r="F3204" s="398"/>
      <c r="G3204" s="398"/>
    </row>
    <row r="3205" spans="1:7">
      <c r="A3205" s="398"/>
      <c r="B3205" s="398"/>
      <c r="C3205" s="398"/>
      <c r="D3205" s="398"/>
      <c r="E3205" s="398"/>
      <c r="F3205" s="398"/>
      <c r="G3205" s="398"/>
    </row>
    <row r="3206" spans="1:7">
      <c r="A3206" s="398"/>
      <c r="B3206" s="398"/>
      <c r="C3206" s="398"/>
      <c r="D3206" s="398"/>
      <c r="E3206" s="398"/>
      <c r="F3206" s="398"/>
      <c r="G3206" s="398"/>
    </row>
    <row r="3207" spans="1:7">
      <c r="A3207" s="398"/>
      <c r="B3207" s="398"/>
      <c r="C3207" s="398"/>
      <c r="D3207" s="398"/>
      <c r="E3207" s="398"/>
      <c r="F3207" s="398"/>
      <c r="G3207" s="398"/>
    </row>
    <row r="3208" spans="1:7">
      <c r="A3208" s="398"/>
      <c r="B3208" s="398"/>
      <c r="C3208" s="398"/>
      <c r="D3208" s="398"/>
      <c r="E3208" s="398"/>
      <c r="F3208" s="398"/>
      <c r="G3208" s="398"/>
    </row>
    <row r="3209" spans="1:7">
      <c r="A3209" s="398"/>
      <c r="B3209" s="398"/>
      <c r="C3209" s="398"/>
      <c r="D3209" s="398"/>
      <c r="E3209" s="398"/>
      <c r="F3209" s="398"/>
      <c r="G3209" s="398"/>
    </row>
    <row r="3210" spans="1:7">
      <c r="A3210" s="398"/>
      <c r="B3210" s="398"/>
      <c r="C3210" s="398"/>
      <c r="D3210" s="398"/>
      <c r="E3210" s="398"/>
      <c r="F3210" s="398"/>
      <c r="G3210" s="398"/>
    </row>
    <row r="3213" spans="1:7" ht="17.45">
      <c r="A3213" s="233" t="s">
        <v>387</v>
      </c>
      <c r="B3213" s="23" t="s">
        <v>278</v>
      </c>
      <c r="C3213" s="23" t="s">
        <v>279</v>
      </c>
    </row>
    <row r="3214" spans="1:7">
      <c r="A3214" s="23" t="s">
        <v>372</v>
      </c>
      <c r="B3214" s="23">
        <v>0.12753999999999999</v>
      </c>
      <c r="C3214" s="23" t="s">
        <v>128</v>
      </c>
    </row>
    <row r="3215" spans="1:7">
      <c r="A3215" s="23" t="s">
        <v>290</v>
      </c>
      <c r="B3215" s="23">
        <v>3910.26</v>
      </c>
      <c r="C3215" s="23" t="s">
        <v>98</v>
      </c>
    </row>
    <row r="3220" spans="1:7">
      <c r="A3220" s="398"/>
      <c r="B3220" s="398"/>
      <c r="C3220" s="398"/>
      <c r="D3220" s="398"/>
      <c r="E3220" s="398"/>
      <c r="F3220" s="398"/>
      <c r="G3220" s="398"/>
    </row>
    <row r="3221" spans="1:7">
      <c r="A3221" s="398"/>
      <c r="B3221" s="398"/>
      <c r="C3221" s="398"/>
      <c r="D3221" s="398"/>
      <c r="E3221" s="398"/>
      <c r="F3221" s="398"/>
      <c r="G3221" s="398"/>
    </row>
    <row r="3222" spans="1:7">
      <c r="A3222" s="398"/>
      <c r="B3222" s="398"/>
      <c r="C3222" s="398"/>
      <c r="D3222" s="398"/>
      <c r="E3222" s="398"/>
      <c r="F3222" s="398"/>
      <c r="G3222" s="398"/>
    </row>
    <row r="3223" spans="1:7">
      <c r="A3223" s="398"/>
      <c r="B3223" s="398"/>
      <c r="C3223" s="398"/>
      <c r="D3223" s="398"/>
      <c r="E3223" s="398"/>
      <c r="F3223" s="398"/>
      <c r="G3223" s="398"/>
    </row>
    <row r="3224" spans="1:7">
      <c r="A3224" s="398"/>
      <c r="B3224" s="398"/>
      <c r="C3224" s="398"/>
      <c r="D3224" s="398"/>
      <c r="E3224" s="398"/>
      <c r="F3224" s="398"/>
      <c r="G3224" s="398"/>
    </row>
    <row r="3225" spans="1:7">
      <c r="A3225" s="398"/>
      <c r="B3225" s="398"/>
      <c r="C3225" s="398"/>
      <c r="D3225" s="398"/>
      <c r="E3225" s="398"/>
      <c r="F3225" s="398"/>
      <c r="G3225" s="398"/>
    </row>
    <row r="3226" spans="1:7">
      <c r="A3226" s="398"/>
      <c r="B3226" s="398"/>
      <c r="C3226" s="398"/>
      <c r="D3226" s="398"/>
      <c r="E3226" s="398"/>
      <c r="F3226" s="398"/>
      <c r="G3226" s="398"/>
    </row>
    <row r="3227" spans="1:7">
      <c r="A3227" s="398"/>
      <c r="B3227" s="398"/>
      <c r="C3227" s="398"/>
      <c r="D3227" s="398"/>
      <c r="E3227" s="398"/>
      <c r="F3227" s="398"/>
      <c r="G3227" s="398"/>
    </row>
    <row r="3228" spans="1:7">
      <c r="A3228" s="398"/>
      <c r="B3228" s="398"/>
      <c r="C3228" s="398"/>
      <c r="D3228" s="398"/>
      <c r="E3228" s="398"/>
      <c r="F3228" s="398"/>
      <c r="G3228" s="398"/>
    </row>
    <row r="3229" spans="1:7">
      <c r="A3229" s="398"/>
      <c r="B3229" s="398"/>
      <c r="C3229" s="398"/>
      <c r="D3229" s="398"/>
      <c r="E3229" s="398"/>
      <c r="F3229" s="398"/>
      <c r="G3229" s="398"/>
    </row>
    <row r="3230" spans="1:7">
      <c r="A3230" s="398"/>
      <c r="B3230" s="398"/>
      <c r="C3230" s="398"/>
      <c r="D3230" s="398"/>
      <c r="E3230" s="398"/>
      <c r="F3230" s="398"/>
      <c r="G3230" s="398"/>
    </row>
    <row r="3231" spans="1:7">
      <c r="A3231" s="398"/>
      <c r="B3231" s="398"/>
      <c r="C3231" s="398"/>
      <c r="D3231" s="398"/>
      <c r="E3231" s="398"/>
      <c r="F3231" s="398"/>
      <c r="G3231" s="398"/>
    </row>
    <row r="3232" spans="1:7">
      <c r="A3232" s="398"/>
      <c r="B3232" s="398"/>
      <c r="C3232" s="398"/>
      <c r="D3232" s="398"/>
      <c r="E3232" s="398"/>
      <c r="F3232" s="398"/>
      <c r="G3232" s="398"/>
    </row>
    <row r="3233" spans="1:7">
      <c r="A3233" s="398"/>
      <c r="B3233" s="398"/>
      <c r="C3233" s="398"/>
      <c r="D3233" s="398"/>
      <c r="E3233" s="398"/>
      <c r="F3233" s="398"/>
      <c r="G3233" s="398"/>
    </row>
    <row r="3234" spans="1:7">
      <c r="A3234" s="398"/>
      <c r="B3234" s="398"/>
      <c r="C3234" s="398"/>
      <c r="D3234" s="398"/>
      <c r="E3234" s="398"/>
      <c r="F3234" s="398"/>
      <c r="G3234" s="398"/>
    </row>
    <row r="3235" spans="1:7">
      <c r="A3235" s="398"/>
      <c r="B3235" s="398"/>
      <c r="C3235" s="398"/>
      <c r="D3235" s="398"/>
      <c r="E3235" s="398"/>
      <c r="F3235" s="398"/>
      <c r="G3235" s="398"/>
    </row>
    <row r="3236" spans="1:7">
      <c r="A3236" s="398"/>
      <c r="B3236" s="398"/>
      <c r="C3236" s="398"/>
      <c r="D3236" s="398"/>
      <c r="E3236" s="398"/>
      <c r="F3236" s="398"/>
      <c r="G3236" s="398"/>
    </row>
    <row r="3237" spans="1:7">
      <c r="A3237" s="398"/>
      <c r="B3237" s="398"/>
      <c r="C3237" s="398"/>
      <c r="D3237" s="398"/>
      <c r="E3237" s="398"/>
      <c r="F3237" s="398"/>
      <c r="G3237" s="398"/>
    </row>
    <row r="3238" spans="1:7">
      <c r="A3238" s="398"/>
      <c r="B3238" s="398"/>
      <c r="C3238" s="398"/>
      <c r="D3238" s="398"/>
      <c r="E3238" s="398"/>
      <c r="F3238" s="398"/>
      <c r="G3238" s="398"/>
    </row>
    <row r="3239" spans="1:7">
      <c r="A3239" s="398"/>
      <c r="B3239" s="398"/>
      <c r="C3239" s="398"/>
      <c r="D3239" s="398"/>
      <c r="E3239" s="398"/>
      <c r="F3239" s="398"/>
      <c r="G3239" s="398"/>
    </row>
    <row r="3240" spans="1:7">
      <c r="A3240" s="398"/>
      <c r="B3240" s="398"/>
      <c r="C3240" s="398"/>
      <c r="D3240" s="398"/>
      <c r="E3240" s="398"/>
      <c r="F3240" s="398"/>
      <c r="G3240" s="398"/>
    </row>
    <row r="3241" spans="1:7">
      <c r="A3241" s="398"/>
      <c r="B3241" s="398"/>
      <c r="C3241" s="398"/>
      <c r="D3241" s="398"/>
      <c r="E3241" s="398"/>
      <c r="F3241" s="398"/>
      <c r="G3241" s="398"/>
    </row>
    <row r="3242" spans="1:7">
      <c r="A3242" s="398"/>
      <c r="B3242" s="398"/>
      <c r="C3242" s="398"/>
      <c r="D3242" s="398"/>
      <c r="E3242" s="398"/>
      <c r="F3242" s="398"/>
      <c r="G3242" s="398"/>
    </row>
    <row r="3243" spans="1:7">
      <c r="A3243" s="398"/>
      <c r="B3243" s="398"/>
      <c r="C3243" s="398"/>
      <c r="D3243" s="398"/>
      <c r="E3243" s="398"/>
      <c r="F3243" s="398"/>
      <c r="G3243" s="398"/>
    </row>
    <row r="3244" spans="1:7">
      <c r="A3244" s="398"/>
      <c r="B3244" s="398"/>
      <c r="C3244" s="398"/>
      <c r="D3244" s="398"/>
      <c r="E3244" s="398"/>
      <c r="F3244" s="398"/>
      <c r="G3244" s="398"/>
    </row>
    <row r="3245" spans="1:7">
      <c r="A3245" s="398"/>
      <c r="B3245" s="398"/>
      <c r="C3245" s="398"/>
      <c r="D3245" s="398"/>
      <c r="E3245" s="398"/>
      <c r="F3245" s="398"/>
      <c r="G3245" s="398"/>
    </row>
    <row r="3246" spans="1:7">
      <c r="A3246" s="398"/>
      <c r="B3246" s="398"/>
      <c r="C3246" s="398"/>
      <c r="D3246" s="398"/>
      <c r="E3246" s="398"/>
      <c r="F3246" s="398"/>
      <c r="G3246" s="398"/>
    </row>
    <row r="3247" spans="1:7">
      <c r="A3247" s="398"/>
      <c r="B3247" s="398"/>
      <c r="C3247" s="398"/>
      <c r="D3247" s="398"/>
      <c r="E3247" s="398"/>
      <c r="F3247" s="398"/>
      <c r="G3247" s="398"/>
    </row>
    <row r="3248" spans="1:7">
      <c r="A3248" s="398"/>
      <c r="B3248" s="398"/>
      <c r="C3248" s="398"/>
      <c r="D3248" s="398"/>
      <c r="E3248" s="398"/>
      <c r="F3248" s="398"/>
      <c r="G3248" s="398"/>
    </row>
    <row r="3249" spans="1:7">
      <c r="A3249" s="398"/>
      <c r="B3249" s="398"/>
      <c r="C3249" s="398"/>
      <c r="D3249" s="398"/>
      <c r="E3249" s="398"/>
      <c r="F3249" s="398"/>
      <c r="G3249" s="398"/>
    </row>
    <row r="3250" spans="1:7">
      <c r="A3250" s="398"/>
      <c r="B3250" s="398"/>
      <c r="C3250" s="398"/>
      <c r="D3250" s="398"/>
      <c r="E3250" s="398"/>
      <c r="F3250" s="398"/>
      <c r="G3250" s="398"/>
    </row>
    <row r="3251" spans="1:7">
      <c r="A3251" s="398"/>
      <c r="B3251" s="398"/>
      <c r="C3251" s="398"/>
      <c r="D3251" s="398"/>
      <c r="E3251" s="398"/>
      <c r="F3251" s="398"/>
      <c r="G3251" s="398"/>
    </row>
    <row r="3252" spans="1:7">
      <c r="A3252" s="398"/>
      <c r="B3252" s="398"/>
      <c r="C3252" s="398"/>
      <c r="D3252" s="398"/>
      <c r="E3252" s="398"/>
      <c r="F3252" s="398"/>
      <c r="G3252" s="398"/>
    </row>
    <row r="3253" spans="1:7">
      <c r="A3253" s="398"/>
      <c r="B3253" s="398"/>
      <c r="C3253" s="398"/>
      <c r="D3253" s="398"/>
      <c r="E3253" s="398"/>
      <c r="F3253" s="398"/>
      <c r="G3253" s="398"/>
    </row>
    <row r="3254" spans="1:7">
      <c r="A3254" s="398"/>
      <c r="B3254" s="398"/>
      <c r="C3254" s="398"/>
      <c r="D3254" s="398"/>
      <c r="E3254" s="398"/>
      <c r="F3254" s="398"/>
      <c r="G3254" s="398"/>
    </row>
    <row r="3255" spans="1:7">
      <c r="A3255" s="398"/>
      <c r="B3255" s="398"/>
      <c r="C3255" s="398"/>
      <c r="D3255" s="398"/>
      <c r="E3255" s="398"/>
      <c r="F3255" s="398"/>
      <c r="G3255" s="398"/>
    </row>
    <row r="3256" spans="1:7">
      <c r="A3256" s="398"/>
      <c r="B3256" s="398"/>
      <c r="C3256" s="398"/>
      <c r="D3256" s="398"/>
      <c r="E3256" s="398"/>
      <c r="F3256" s="398"/>
      <c r="G3256" s="398"/>
    </row>
    <row r="3257" spans="1:7">
      <c r="A3257" s="398"/>
      <c r="B3257" s="398"/>
      <c r="C3257" s="398"/>
      <c r="D3257" s="398"/>
      <c r="E3257" s="398"/>
      <c r="F3257" s="398"/>
      <c r="G3257" s="398"/>
    </row>
    <row r="3258" spans="1:7">
      <c r="A3258" s="398"/>
      <c r="B3258" s="398"/>
      <c r="C3258" s="398"/>
      <c r="D3258" s="398"/>
      <c r="E3258" s="398"/>
      <c r="F3258" s="398"/>
      <c r="G3258" s="398"/>
    </row>
    <row r="3259" spans="1:7">
      <c r="A3259" s="398"/>
      <c r="B3259" s="398"/>
      <c r="C3259" s="398"/>
      <c r="D3259" s="398"/>
      <c r="E3259" s="398"/>
      <c r="F3259" s="398"/>
      <c r="G3259" s="398"/>
    </row>
    <row r="3260" spans="1:7">
      <c r="A3260" s="398"/>
      <c r="B3260" s="398"/>
      <c r="C3260" s="398"/>
      <c r="D3260" s="398"/>
      <c r="E3260" s="398"/>
      <c r="F3260" s="398"/>
      <c r="G3260" s="398"/>
    </row>
    <row r="3263" spans="1:7" ht="17.45">
      <c r="A3263" s="233" t="s">
        <v>388</v>
      </c>
      <c r="B3263" s="23" t="s">
        <v>278</v>
      </c>
      <c r="C3263" s="23" t="s">
        <v>279</v>
      </c>
    </row>
    <row r="3264" spans="1:7">
      <c r="A3264" s="23" t="s">
        <v>372</v>
      </c>
      <c r="B3264" s="23">
        <v>0.12105</v>
      </c>
      <c r="C3264" s="23" t="s">
        <v>128</v>
      </c>
    </row>
    <row r="3265" spans="1:7">
      <c r="A3265" s="23" t="s">
        <v>290</v>
      </c>
      <c r="B3265" s="23">
        <v>3305.5</v>
      </c>
      <c r="C3265" s="23" t="s">
        <v>98</v>
      </c>
    </row>
    <row r="3270" spans="1:7">
      <c r="A3270" s="398"/>
      <c r="B3270" s="398"/>
      <c r="C3270" s="398"/>
      <c r="D3270" s="398"/>
      <c r="E3270" s="398"/>
      <c r="F3270" s="398"/>
      <c r="G3270" s="398"/>
    </row>
    <row r="3271" spans="1:7">
      <c r="A3271" s="398"/>
      <c r="B3271" s="398"/>
      <c r="C3271" s="398"/>
      <c r="D3271" s="398"/>
      <c r="E3271" s="398"/>
      <c r="F3271" s="398"/>
      <c r="G3271" s="398"/>
    </row>
    <row r="3272" spans="1:7">
      <c r="A3272" s="398"/>
      <c r="B3272" s="398"/>
      <c r="C3272" s="398"/>
      <c r="D3272" s="398"/>
      <c r="E3272" s="398"/>
      <c r="F3272" s="398"/>
      <c r="G3272" s="398"/>
    </row>
    <row r="3273" spans="1:7">
      <c r="A3273" s="398"/>
      <c r="B3273" s="398"/>
      <c r="C3273" s="398"/>
      <c r="D3273" s="398"/>
      <c r="E3273" s="398"/>
      <c r="F3273" s="398"/>
      <c r="G3273" s="398"/>
    </row>
    <row r="3274" spans="1:7">
      <c r="A3274" s="398"/>
      <c r="B3274" s="398"/>
      <c r="C3274" s="398"/>
      <c r="D3274" s="398"/>
      <c r="E3274" s="398"/>
      <c r="F3274" s="398"/>
      <c r="G3274" s="398"/>
    </row>
    <row r="3275" spans="1:7">
      <c r="A3275" s="398"/>
      <c r="B3275" s="398"/>
      <c r="C3275" s="398"/>
      <c r="D3275" s="398"/>
      <c r="E3275" s="398"/>
      <c r="F3275" s="398"/>
      <c r="G3275" s="398"/>
    </row>
    <row r="3276" spans="1:7">
      <c r="A3276" s="398"/>
      <c r="B3276" s="398"/>
      <c r="C3276" s="398"/>
      <c r="D3276" s="398"/>
      <c r="E3276" s="398"/>
      <c r="F3276" s="398"/>
      <c r="G3276" s="398"/>
    </row>
    <row r="3277" spans="1:7">
      <c r="A3277" s="398"/>
      <c r="B3277" s="398"/>
      <c r="C3277" s="398"/>
      <c r="D3277" s="398"/>
      <c r="E3277" s="398"/>
      <c r="F3277" s="398"/>
      <c r="G3277" s="398"/>
    </row>
    <row r="3278" spans="1:7">
      <c r="A3278" s="398"/>
      <c r="B3278" s="398"/>
      <c r="C3278" s="398"/>
      <c r="D3278" s="398"/>
      <c r="E3278" s="398"/>
      <c r="F3278" s="398"/>
      <c r="G3278" s="398"/>
    </row>
    <row r="3279" spans="1:7">
      <c r="A3279" s="398"/>
      <c r="B3279" s="398"/>
      <c r="C3279" s="398"/>
      <c r="D3279" s="398"/>
      <c r="E3279" s="398"/>
      <c r="F3279" s="398"/>
      <c r="G3279" s="398"/>
    </row>
    <row r="3280" spans="1:7">
      <c r="A3280" s="398"/>
      <c r="B3280" s="398"/>
      <c r="C3280" s="398"/>
      <c r="D3280" s="398"/>
      <c r="E3280" s="398"/>
      <c r="F3280" s="398"/>
      <c r="G3280" s="398"/>
    </row>
    <row r="3281" spans="1:7">
      <c r="A3281" s="398"/>
      <c r="B3281" s="398"/>
      <c r="C3281" s="398"/>
      <c r="D3281" s="398"/>
      <c r="E3281" s="398"/>
      <c r="F3281" s="398"/>
      <c r="G3281" s="398"/>
    </row>
    <row r="3282" spans="1:7">
      <c r="A3282" s="398"/>
      <c r="B3282" s="398"/>
      <c r="C3282" s="398"/>
      <c r="D3282" s="398"/>
      <c r="E3282" s="398"/>
      <c r="F3282" s="398"/>
      <c r="G3282" s="398"/>
    </row>
    <row r="3283" spans="1:7">
      <c r="A3283" s="398"/>
      <c r="B3283" s="398"/>
      <c r="C3283" s="398"/>
      <c r="D3283" s="398"/>
      <c r="E3283" s="398"/>
      <c r="F3283" s="398"/>
      <c r="G3283" s="398"/>
    </row>
    <row r="3284" spans="1:7">
      <c r="A3284" s="398"/>
      <c r="B3284" s="398"/>
      <c r="C3284" s="398"/>
      <c r="D3284" s="398"/>
      <c r="E3284" s="398"/>
      <c r="F3284" s="398"/>
      <c r="G3284" s="398"/>
    </row>
    <row r="3285" spans="1:7">
      <c r="A3285" s="398"/>
      <c r="B3285" s="398"/>
      <c r="C3285" s="398"/>
      <c r="D3285" s="398"/>
      <c r="E3285" s="398"/>
      <c r="F3285" s="398"/>
      <c r="G3285" s="398"/>
    </row>
    <row r="3286" spans="1:7">
      <c r="A3286" s="398"/>
      <c r="B3286" s="398"/>
      <c r="C3286" s="398"/>
      <c r="D3286" s="398"/>
      <c r="E3286" s="398"/>
      <c r="F3286" s="398"/>
      <c r="G3286" s="398"/>
    </row>
    <row r="3287" spans="1:7">
      <c r="A3287" s="398"/>
      <c r="B3287" s="398"/>
      <c r="C3287" s="398"/>
      <c r="D3287" s="398"/>
      <c r="E3287" s="398"/>
      <c r="F3287" s="398"/>
      <c r="G3287" s="398"/>
    </row>
    <row r="3288" spans="1:7">
      <c r="A3288" s="398"/>
      <c r="B3288" s="398"/>
      <c r="C3288" s="398"/>
      <c r="D3288" s="398"/>
      <c r="E3288" s="398"/>
      <c r="F3288" s="398"/>
      <c r="G3288" s="398"/>
    </row>
    <row r="3289" spans="1:7">
      <c r="A3289" s="398"/>
      <c r="B3289" s="398"/>
      <c r="C3289" s="398"/>
      <c r="D3289" s="398"/>
      <c r="E3289" s="398"/>
      <c r="F3289" s="398"/>
      <c r="G3289" s="398"/>
    </row>
    <row r="3290" spans="1:7">
      <c r="A3290" s="398"/>
      <c r="B3290" s="398"/>
      <c r="C3290" s="398"/>
      <c r="D3290" s="398"/>
      <c r="E3290" s="398"/>
      <c r="F3290" s="398"/>
      <c r="G3290" s="398"/>
    </row>
    <row r="3291" spans="1:7">
      <c r="A3291" s="398"/>
      <c r="B3291" s="398"/>
      <c r="C3291" s="398"/>
      <c r="D3291" s="398"/>
      <c r="E3291" s="398"/>
      <c r="F3291" s="398"/>
      <c r="G3291" s="398"/>
    </row>
    <row r="3292" spans="1:7">
      <c r="A3292" s="398"/>
      <c r="B3292" s="398"/>
      <c r="C3292" s="398"/>
      <c r="D3292" s="398"/>
      <c r="E3292" s="398"/>
      <c r="F3292" s="398"/>
      <c r="G3292" s="398"/>
    </row>
    <row r="3293" spans="1:7">
      <c r="A3293" s="398"/>
      <c r="B3293" s="398"/>
      <c r="C3293" s="398"/>
      <c r="D3293" s="398"/>
      <c r="E3293" s="398"/>
      <c r="F3293" s="398"/>
      <c r="G3293" s="398"/>
    </row>
    <row r="3294" spans="1:7">
      <c r="A3294" s="398"/>
      <c r="B3294" s="398"/>
      <c r="C3294" s="398"/>
      <c r="D3294" s="398"/>
      <c r="E3294" s="398"/>
      <c r="F3294" s="398"/>
      <c r="G3294" s="398"/>
    </row>
    <row r="3295" spans="1:7">
      <c r="A3295" s="398"/>
      <c r="B3295" s="398"/>
      <c r="C3295" s="398"/>
      <c r="D3295" s="398"/>
      <c r="E3295" s="398"/>
      <c r="F3295" s="398"/>
      <c r="G3295" s="398"/>
    </row>
    <row r="3296" spans="1:7">
      <c r="A3296" s="398"/>
      <c r="B3296" s="398"/>
      <c r="C3296" s="398"/>
      <c r="D3296" s="398"/>
      <c r="E3296" s="398"/>
      <c r="F3296" s="398"/>
      <c r="G3296" s="398"/>
    </row>
    <row r="3297" spans="1:7">
      <c r="A3297" s="398"/>
      <c r="B3297" s="398"/>
      <c r="C3297" s="398"/>
      <c r="D3297" s="398"/>
      <c r="E3297" s="398"/>
      <c r="F3297" s="398"/>
      <c r="G3297" s="398"/>
    </row>
    <row r="3298" spans="1:7">
      <c r="A3298" s="398"/>
      <c r="B3298" s="398"/>
      <c r="C3298" s="398"/>
      <c r="D3298" s="398"/>
      <c r="E3298" s="398"/>
      <c r="F3298" s="398"/>
      <c r="G3298" s="398"/>
    </row>
    <row r="3299" spans="1:7">
      <c r="A3299" s="398"/>
      <c r="B3299" s="398"/>
      <c r="C3299" s="398"/>
      <c r="D3299" s="398"/>
      <c r="E3299" s="398"/>
      <c r="F3299" s="398"/>
      <c r="G3299" s="398"/>
    </row>
    <row r="3300" spans="1:7">
      <c r="A3300" s="398"/>
      <c r="B3300" s="398"/>
      <c r="C3300" s="398"/>
      <c r="D3300" s="398"/>
      <c r="E3300" s="398"/>
      <c r="F3300" s="398"/>
      <c r="G3300" s="398"/>
    </row>
    <row r="3301" spans="1:7">
      <c r="A3301" s="398"/>
      <c r="B3301" s="398"/>
      <c r="C3301" s="398"/>
      <c r="D3301" s="398"/>
      <c r="E3301" s="398"/>
      <c r="F3301" s="398"/>
      <c r="G3301" s="398"/>
    </row>
    <row r="3302" spans="1:7">
      <c r="A3302" s="398"/>
      <c r="B3302" s="398"/>
      <c r="C3302" s="398"/>
      <c r="D3302" s="398"/>
      <c r="E3302" s="398"/>
      <c r="F3302" s="398"/>
      <c r="G3302" s="398"/>
    </row>
    <row r="3303" spans="1:7">
      <c r="A3303" s="398"/>
      <c r="B3303" s="398"/>
      <c r="C3303" s="398"/>
      <c r="D3303" s="398"/>
      <c r="E3303" s="398"/>
      <c r="F3303" s="398"/>
      <c r="G3303" s="398"/>
    </row>
    <row r="3304" spans="1:7">
      <c r="A3304" s="398"/>
      <c r="B3304" s="398"/>
      <c r="C3304" s="398"/>
      <c r="D3304" s="398"/>
      <c r="E3304" s="398"/>
      <c r="F3304" s="398"/>
      <c r="G3304" s="398"/>
    </row>
    <row r="3305" spans="1:7">
      <c r="A3305" s="398"/>
      <c r="B3305" s="398"/>
      <c r="C3305" s="398"/>
      <c r="D3305" s="398"/>
      <c r="E3305" s="398"/>
      <c r="F3305" s="398"/>
      <c r="G3305" s="398"/>
    </row>
    <row r="3306" spans="1:7">
      <c r="A3306" s="398"/>
      <c r="B3306" s="398"/>
      <c r="C3306" s="398"/>
      <c r="D3306" s="398"/>
      <c r="E3306" s="398"/>
      <c r="F3306" s="398"/>
      <c r="G3306" s="398"/>
    </row>
    <row r="3307" spans="1:7">
      <c r="A3307" s="398"/>
      <c r="B3307" s="398"/>
      <c r="C3307" s="398"/>
      <c r="D3307" s="398"/>
      <c r="E3307" s="398"/>
      <c r="F3307" s="398"/>
      <c r="G3307" s="398"/>
    </row>
    <row r="3308" spans="1:7">
      <c r="A3308" s="398"/>
      <c r="B3308" s="398"/>
      <c r="C3308" s="398"/>
      <c r="D3308" s="398"/>
      <c r="E3308" s="398"/>
      <c r="F3308" s="398"/>
      <c r="G3308" s="398"/>
    </row>
    <row r="3309" spans="1:7">
      <c r="A3309" s="398"/>
      <c r="B3309" s="398"/>
      <c r="C3309" s="398"/>
      <c r="D3309" s="398"/>
      <c r="E3309" s="398"/>
      <c r="F3309" s="398"/>
      <c r="G3309" s="398"/>
    </row>
    <row r="3310" spans="1:7">
      <c r="A3310" s="398"/>
      <c r="B3310" s="398"/>
      <c r="C3310" s="398"/>
      <c r="D3310" s="398"/>
      <c r="E3310" s="398"/>
      <c r="F3310" s="398"/>
      <c r="G3310" s="398"/>
    </row>
    <row r="3313" spans="1:7" ht="17.45">
      <c r="A3313" s="233" t="s">
        <v>389</v>
      </c>
      <c r="B3313" s="23" t="s">
        <v>278</v>
      </c>
      <c r="C3313" s="23" t="s">
        <v>279</v>
      </c>
    </row>
    <row r="3314" spans="1:7">
      <c r="A3314" s="23" t="s">
        <v>372</v>
      </c>
      <c r="B3314" s="23">
        <v>0.19839000000000001</v>
      </c>
      <c r="C3314" s="23" t="s">
        <v>128</v>
      </c>
    </row>
    <row r="3315" spans="1:7">
      <c r="A3315" s="23" t="s">
        <v>290</v>
      </c>
      <c r="B3315" s="23">
        <v>3475.34</v>
      </c>
      <c r="C3315" s="23" t="s">
        <v>98</v>
      </c>
    </row>
    <row r="3320" spans="1:7">
      <c r="A3320" s="398"/>
      <c r="B3320" s="398"/>
      <c r="C3320" s="398"/>
      <c r="D3320" s="398"/>
      <c r="E3320" s="398"/>
      <c r="F3320" s="398"/>
      <c r="G3320" s="398"/>
    </row>
    <row r="3321" spans="1:7">
      <c r="A3321" s="398"/>
      <c r="B3321" s="398"/>
      <c r="C3321" s="398"/>
      <c r="D3321" s="398"/>
      <c r="E3321" s="398"/>
      <c r="F3321" s="398"/>
      <c r="G3321" s="398"/>
    </row>
    <row r="3322" spans="1:7">
      <c r="A3322" s="398"/>
      <c r="B3322" s="398"/>
      <c r="C3322" s="398"/>
      <c r="D3322" s="398"/>
      <c r="E3322" s="398"/>
      <c r="F3322" s="398"/>
      <c r="G3322" s="398"/>
    </row>
    <row r="3323" spans="1:7">
      <c r="A3323" s="398"/>
      <c r="B3323" s="398"/>
      <c r="C3323" s="398"/>
      <c r="D3323" s="398"/>
      <c r="E3323" s="398"/>
      <c r="F3323" s="398"/>
      <c r="G3323" s="398"/>
    </row>
    <row r="3324" spans="1:7">
      <c r="A3324" s="398"/>
      <c r="B3324" s="398"/>
      <c r="C3324" s="398"/>
      <c r="D3324" s="398"/>
      <c r="E3324" s="398"/>
      <c r="F3324" s="398"/>
      <c r="G3324" s="398"/>
    </row>
    <row r="3325" spans="1:7">
      <c r="A3325" s="398"/>
      <c r="B3325" s="398"/>
      <c r="C3325" s="398"/>
      <c r="D3325" s="398"/>
      <c r="E3325" s="398"/>
      <c r="F3325" s="398"/>
      <c r="G3325" s="398"/>
    </row>
    <row r="3326" spans="1:7">
      <c r="A3326" s="398"/>
      <c r="B3326" s="398"/>
      <c r="C3326" s="398"/>
      <c r="D3326" s="398"/>
      <c r="E3326" s="398"/>
      <c r="F3326" s="398"/>
      <c r="G3326" s="398"/>
    </row>
    <row r="3327" spans="1:7">
      <c r="A3327" s="398"/>
      <c r="B3327" s="398"/>
      <c r="C3327" s="398"/>
      <c r="D3327" s="398"/>
      <c r="E3327" s="398"/>
      <c r="F3327" s="398"/>
      <c r="G3327" s="398"/>
    </row>
    <row r="3328" spans="1:7">
      <c r="A3328" s="398"/>
      <c r="B3328" s="398"/>
      <c r="C3328" s="398"/>
      <c r="D3328" s="398"/>
      <c r="E3328" s="398"/>
      <c r="F3328" s="398"/>
      <c r="G3328" s="398"/>
    </row>
    <row r="3329" spans="1:7">
      <c r="A3329" s="398"/>
      <c r="B3329" s="398"/>
      <c r="C3329" s="398"/>
      <c r="D3329" s="398"/>
      <c r="E3329" s="398"/>
      <c r="F3329" s="398"/>
      <c r="G3329" s="398"/>
    </row>
    <row r="3330" spans="1:7">
      <c r="A3330" s="398"/>
      <c r="B3330" s="398"/>
      <c r="C3330" s="398"/>
      <c r="D3330" s="398"/>
      <c r="E3330" s="398"/>
      <c r="F3330" s="398"/>
      <c r="G3330" s="398"/>
    </row>
    <row r="3331" spans="1:7">
      <c r="A3331" s="398"/>
      <c r="B3331" s="398"/>
      <c r="C3331" s="398"/>
      <c r="D3331" s="398"/>
      <c r="E3331" s="398"/>
      <c r="F3331" s="398"/>
      <c r="G3331" s="398"/>
    </row>
    <row r="3332" spans="1:7">
      <c r="A3332" s="398"/>
      <c r="B3332" s="398"/>
      <c r="C3332" s="398"/>
      <c r="D3332" s="398"/>
      <c r="E3332" s="398"/>
      <c r="F3332" s="398"/>
      <c r="G3332" s="398"/>
    </row>
    <row r="3333" spans="1:7">
      <c r="A3333" s="398"/>
      <c r="B3333" s="398"/>
      <c r="C3333" s="398"/>
      <c r="D3333" s="398"/>
      <c r="E3333" s="398"/>
      <c r="F3333" s="398"/>
      <c r="G3333" s="398"/>
    </row>
    <row r="3334" spans="1:7">
      <c r="A3334" s="398"/>
      <c r="B3334" s="398"/>
      <c r="C3334" s="398"/>
      <c r="D3334" s="398"/>
      <c r="E3334" s="398"/>
      <c r="F3334" s="398"/>
      <c r="G3334" s="398"/>
    </row>
    <row r="3335" spans="1:7">
      <c r="A3335" s="398"/>
      <c r="B3335" s="398"/>
      <c r="C3335" s="398"/>
      <c r="D3335" s="398"/>
      <c r="E3335" s="398"/>
      <c r="F3335" s="398"/>
      <c r="G3335" s="398"/>
    </row>
    <row r="3336" spans="1:7">
      <c r="A3336" s="398"/>
      <c r="B3336" s="398"/>
      <c r="C3336" s="398"/>
      <c r="D3336" s="398"/>
      <c r="E3336" s="398"/>
      <c r="F3336" s="398"/>
      <c r="G3336" s="398"/>
    </row>
    <row r="3337" spans="1:7">
      <c r="A3337" s="398"/>
      <c r="B3337" s="398"/>
      <c r="C3337" s="398"/>
      <c r="D3337" s="398"/>
      <c r="E3337" s="398"/>
      <c r="F3337" s="398"/>
      <c r="G3337" s="398"/>
    </row>
    <row r="3338" spans="1:7">
      <c r="A3338" s="398"/>
      <c r="B3338" s="398"/>
      <c r="C3338" s="398"/>
      <c r="D3338" s="398"/>
      <c r="E3338" s="398"/>
      <c r="F3338" s="398"/>
      <c r="G3338" s="398"/>
    </row>
    <row r="3339" spans="1:7">
      <c r="A3339" s="398"/>
      <c r="B3339" s="398"/>
      <c r="C3339" s="398"/>
      <c r="D3339" s="398"/>
      <c r="E3339" s="398"/>
      <c r="F3339" s="398"/>
      <c r="G3339" s="398"/>
    </row>
    <row r="3340" spans="1:7">
      <c r="A3340" s="398"/>
      <c r="B3340" s="398"/>
      <c r="C3340" s="398"/>
      <c r="D3340" s="398"/>
      <c r="E3340" s="398"/>
      <c r="F3340" s="398"/>
      <c r="G3340" s="398"/>
    </row>
    <row r="3341" spans="1:7">
      <c r="A3341" s="398"/>
      <c r="B3341" s="398"/>
      <c r="C3341" s="398"/>
      <c r="D3341" s="398"/>
      <c r="E3341" s="398"/>
      <c r="F3341" s="398"/>
      <c r="G3341" s="398"/>
    </row>
    <row r="3342" spans="1:7">
      <c r="A3342" s="398"/>
      <c r="B3342" s="398"/>
      <c r="C3342" s="398"/>
      <c r="D3342" s="398"/>
      <c r="E3342" s="398"/>
      <c r="F3342" s="398"/>
      <c r="G3342" s="398"/>
    </row>
    <row r="3343" spans="1:7">
      <c r="A3343" s="398"/>
      <c r="B3343" s="398"/>
      <c r="C3343" s="398"/>
      <c r="D3343" s="398"/>
      <c r="E3343" s="398"/>
      <c r="F3343" s="398"/>
      <c r="G3343" s="398"/>
    </row>
    <row r="3344" spans="1:7">
      <c r="A3344" s="398"/>
      <c r="B3344" s="398"/>
      <c r="C3344" s="398"/>
      <c r="D3344" s="398"/>
      <c r="E3344" s="398"/>
      <c r="F3344" s="398"/>
      <c r="G3344" s="398"/>
    </row>
    <row r="3345" spans="1:7">
      <c r="A3345" s="398"/>
      <c r="B3345" s="398"/>
      <c r="C3345" s="398"/>
      <c r="D3345" s="398"/>
      <c r="E3345" s="398"/>
      <c r="F3345" s="398"/>
      <c r="G3345" s="398"/>
    </row>
    <row r="3346" spans="1:7">
      <c r="A3346" s="398"/>
      <c r="B3346" s="398"/>
      <c r="C3346" s="398"/>
      <c r="D3346" s="398"/>
      <c r="E3346" s="398"/>
      <c r="F3346" s="398"/>
      <c r="G3346" s="398"/>
    </row>
    <row r="3347" spans="1:7">
      <c r="A3347" s="398"/>
      <c r="B3347" s="398"/>
      <c r="C3347" s="398"/>
      <c r="D3347" s="398"/>
      <c r="E3347" s="398"/>
      <c r="F3347" s="398"/>
      <c r="G3347" s="398"/>
    </row>
    <row r="3348" spans="1:7">
      <c r="A3348" s="398"/>
      <c r="B3348" s="398"/>
      <c r="C3348" s="398"/>
      <c r="D3348" s="398"/>
      <c r="E3348" s="398"/>
      <c r="F3348" s="398"/>
      <c r="G3348" s="398"/>
    </row>
    <row r="3349" spans="1:7">
      <c r="A3349" s="398"/>
      <c r="B3349" s="398"/>
      <c r="C3349" s="398"/>
      <c r="D3349" s="398"/>
      <c r="E3349" s="398"/>
      <c r="F3349" s="398"/>
      <c r="G3349" s="398"/>
    </row>
    <row r="3350" spans="1:7">
      <c r="A3350" s="398"/>
      <c r="B3350" s="398"/>
      <c r="C3350" s="398"/>
      <c r="D3350" s="398"/>
      <c r="E3350" s="398"/>
      <c r="F3350" s="398"/>
      <c r="G3350" s="398"/>
    </row>
    <row r="3351" spans="1:7">
      <c r="A3351" s="398"/>
      <c r="B3351" s="398"/>
      <c r="C3351" s="398"/>
      <c r="D3351" s="398"/>
      <c r="E3351" s="398"/>
      <c r="F3351" s="398"/>
      <c r="G3351" s="398"/>
    </row>
    <row r="3352" spans="1:7">
      <c r="A3352" s="398"/>
      <c r="B3352" s="398"/>
      <c r="C3352" s="398"/>
      <c r="D3352" s="398"/>
      <c r="E3352" s="398"/>
      <c r="F3352" s="398"/>
      <c r="G3352" s="398"/>
    </row>
    <row r="3353" spans="1:7">
      <c r="A3353" s="398"/>
      <c r="B3353" s="398"/>
      <c r="C3353" s="398"/>
      <c r="D3353" s="398"/>
      <c r="E3353" s="398"/>
      <c r="F3353" s="398"/>
      <c r="G3353" s="398"/>
    </row>
    <row r="3354" spans="1:7">
      <c r="A3354" s="398"/>
      <c r="B3354" s="398"/>
      <c r="C3354" s="398"/>
      <c r="D3354" s="398"/>
      <c r="E3354" s="398"/>
      <c r="F3354" s="398"/>
      <c r="G3354" s="398"/>
    </row>
    <row r="3355" spans="1:7">
      <c r="A3355" s="398"/>
      <c r="B3355" s="398"/>
      <c r="C3355" s="398"/>
      <c r="D3355" s="398"/>
      <c r="E3355" s="398"/>
      <c r="F3355" s="398"/>
      <c r="G3355" s="398"/>
    </row>
    <row r="3356" spans="1:7">
      <c r="A3356" s="398"/>
      <c r="B3356" s="398"/>
      <c r="C3356" s="398"/>
      <c r="D3356" s="398"/>
      <c r="E3356" s="398"/>
      <c r="F3356" s="398"/>
      <c r="G3356" s="398"/>
    </row>
    <row r="3357" spans="1:7">
      <c r="A3357" s="398"/>
      <c r="B3357" s="398"/>
      <c r="C3357" s="398"/>
      <c r="D3357" s="398"/>
      <c r="E3357" s="398"/>
      <c r="F3357" s="398"/>
      <c r="G3357" s="398"/>
    </row>
    <row r="3358" spans="1:7">
      <c r="A3358" s="398"/>
      <c r="B3358" s="398"/>
      <c r="C3358" s="398"/>
      <c r="D3358" s="398"/>
      <c r="E3358" s="398"/>
      <c r="F3358" s="398"/>
      <c r="G3358" s="398"/>
    </row>
    <row r="3359" spans="1:7">
      <c r="A3359" s="398"/>
      <c r="B3359" s="398"/>
      <c r="C3359" s="398"/>
      <c r="D3359" s="398"/>
      <c r="E3359" s="398"/>
      <c r="F3359" s="398"/>
      <c r="G3359" s="398"/>
    </row>
    <row r="3360" spans="1:7">
      <c r="A3360" s="398"/>
      <c r="B3360" s="398"/>
      <c r="C3360" s="398"/>
      <c r="D3360" s="398"/>
      <c r="E3360" s="398"/>
      <c r="F3360" s="398"/>
      <c r="G3360" s="398"/>
    </row>
    <row r="3363" spans="1:7" ht="17.45">
      <c r="A3363" s="233" t="s">
        <v>390</v>
      </c>
      <c r="B3363" s="23" t="s">
        <v>278</v>
      </c>
      <c r="C3363" s="23" t="s">
        <v>279</v>
      </c>
    </row>
    <row r="3364" spans="1:7">
      <c r="A3364" s="23" t="s">
        <v>372</v>
      </c>
      <c r="B3364" s="23">
        <v>0.18357999999999999</v>
      </c>
      <c r="C3364" s="23" t="s">
        <v>128</v>
      </c>
    </row>
    <row r="3365" spans="1:7">
      <c r="A3365" s="23" t="s">
        <v>290</v>
      </c>
      <c r="B3365" s="23">
        <v>3389.78</v>
      </c>
      <c r="C3365" s="23" t="s">
        <v>98</v>
      </c>
    </row>
    <row r="3370" spans="1:7">
      <c r="A3370" s="398"/>
      <c r="B3370" s="398"/>
      <c r="C3370" s="398"/>
      <c r="D3370" s="398"/>
      <c r="E3370" s="398"/>
      <c r="F3370" s="398"/>
      <c r="G3370" s="398"/>
    </row>
    <row r="3371" spans="1:7">
      <c r="A3371" s="398"/>
      <c r="B3371" s="398"/>
      <c r="C3371" s="398"/>
      <c r="D3371" s="398"/>
      <c r="E3371" s="398"/>
      <c r="F3371" s="398"/>
      <c r="G3371" s="398"/>
    </row>
    <row r="3372" spans="1:7">
      <c r="A3372" s="398"/>
      <c r="B3372" s="398"/>
      <c r="C3372" s="398"/>
      <c r="D3372" s="398"/>
      <c r="E3372" s="398"/>
      <c r="F3372" s="398"/>
      <c r="G3372" s="398"/>
    </row>
    <row r="3373" spans="1:7">
      <c r="A3373" s="398"/>
      <c r="B3373" s="398"/>
      <c r="C3373" s="398"/>
      <c r="D3373" s="398"/>
      <c r="E3373" s="398"/>
      <c r="F3373" s="398"/>
      <c r="G3373" s="398"/>
    </row>
    <row r="3374" spans="1:7">
      <c r="A3374" s="398"/>
      <c r="B3374" s="398"/>
      <c r="C3374" s="398"/>
      <c r="D3374" s="398"/>
      <c r="E3374" s="398"/>
      <c r="F3374" s="398"/>
      <c r="G3374" s="398"/>
    </row>
    <row r="3375" spans="1:7">
      <c r="A3375" s="398"/>
      <c r="B3375" s="398"/>
      <c r="C3375" s="398"/>
      <c r="D3375" s="398"/>
      <c r="E3375" s="398"/>
      <c r="F3375" s="398"/>
      <c r="G3375" s="398"/>
    </row>
    <row r="3376" spans="1:7">
      <c r="A3376" s="398"/>
      <c r="B3376" s="398"/>
      <c r="C3376" s="398"/>
      <c r="D3376" s="398"/>
      <c r="E3376" s="398"/>
      <c r="F3376" s="398"/>
      <c r="G3376" s="398"/>
    </row>
    <row r="3377" spans="1:7">
      <c r="A3377" s="398"/>
      <c r="B3377" s="398"/>
      <c r="C3377" s="398"/>
      <c r="D3377" s="398"/>
      <c r="E3377" s="398"/>
      <c r="F3377" s="398"/>
      <c r="G3377" s="398"/>
    </row>
    <row r="3378" spans="1:7">
      <c r="A3378" s="398"/>
      <c r="B3378" s="398"/>
      <c r="C3378" s="398"/>
      <c r="D3378" s="398"/>
      <c r="E3378" s="398"/>
      <c r="F3378" s="398"/>
      <c r="G3378" s="398"/>
    </row>
    <row r="3379" spans="1:7">
      <c r="A3379" s="398"/>
      <c r="B3379" s="398"/>
      <c r="C3379" s="398"/>
      <c r="D3379" s="398"/>
      <c r="E3379" s="398"/>
      <c r="F3379" s="398"/>
      <c r="G3379" s="398"/>
    </row>
    <row r="3380" spans="1:7">
      <c r="A3380" s="398"/>
      <c r="B3380" s="398"/>
      <c r="C3380" s="398"/>
      <c r="D3380" s="398"/>
      <c r="E3380" s="398"/>
      <c r="F3380" s="398"/>
      <c r="G3380" s="398"/>
    </row>
    <row r="3381" spans="1:7">
      <c r="A3381" s="398"/>
      <c r="B3381" s="398"/>
      <c r="C3381" s="398"/>
      <c r="D3381" s="398"/>
      <c r="E3381" s="398"/>
      <c r="F3381" s="398"/>
      <c r="G3381" s="398"/>
    </row>
    <row r="3382" spans="1:7">
      <c r="A3382" s="398"/>
      <c r="B3382" s="398"/>
      <c r="C3382" s="398"/>
      <c r="D3382" s="398"/>
      <c r="E3382" s="398"/>
      <c r="F3382" s="398"/>
      <c r="G3382" s="398"/>
    </row>
    <row r="3383" spans="1:7">
      <c r="A3383" s="398"/>
      <c r="B3383" s="398"/>
      <c r="C3383" s="398"/>
      <c r="D3383" s="398"/>
      <c r="E3383" s="398"/>
      <c r="F3383" s="398"/>
      <c r="G3383" s="398"/>
    </row>
    <row r="3384" spans="1:7">
      <c r="A3384" s="398"/>
      <c r="B3384" s="398"/>
      <c r="C3384" s="398"/>
      <c r="D3384" s="398"/>
      <c r="E3384" s="398"/>
      <c r="F3384" s="398"/>
      <c r="G3384" s="398"/>
    </row>
    <row r="3385" spans="1:7">
      <c r="A3385" s="398"/>
      <c r="B3385" s="398"/>
      <c r="C3385" s="398"/>
      <c r="D3385" s="398"/>
      <c r="E3385" s="398"/>
      <c r="F3385" s="398"/>
      <c r="G3385" s="398"/>
    </row>
    <row r="3386" spans="1:7">
      <c r="A3386" s="398"/>
      <c r="B3386" s="398"/>
      <c r="C3386" s="398"/>
      <c r="D3386" s="398"/>
      <c r="E3386" s="398"/>
      <c r="F3386" s="398"/>
      <c r="G3386" s="398"/>
    </row>
    <row r="3387" spans="1:7">
      <c r="A3387" s="398"/>
      <c r="B3387" s="398"/>
      <c r="C3387" s="398"/>
      <c r="D3387" s="398"/>
      <c r="E3387" s="398"/>
      <c r="F3387" s="398"/>
      <c r="G3387" s="398"/>
    </row>
    <row r="3388" spans="1:7">
      <c r="A3388" s="398"/>
      <c r="B3388" s="398"/>
      <c r="C3388" s="398"/>
      <c r="D3388" s="398"/>
      <c r="E3388" s="398"/>
      <c r="F3388" s="398"/>
      <c r="G3388" s="398"/>
    </row>
    <row r="3389" spans="1:7">
      <c r="A3389" s="398"/>
      <c r="B3389" s="398"/>
      <c r="C3389" s="398"/>
      <c r="D3389" s="398"/>
      <c r="E3389" s="398"/>
      <c r="F3389" s="398"/>
      <c r="G3389" s="398"/>
    </row>
    <row r="3390" spans="1:7">
      <c r="A3390" s="398"/>
      <c r="B3390" s="398"/>
      <c r="C3390" s="398"/>
      <c r="D3390" s="398"/>
      <c r="E3390" s="398"/>
      <c r="F3390" s="398"/>
      <c r="G3390" s="398"/>
    </row>
    <row r="3391" spans="1:7">
      <c r="A3391" s="398"/>
      <c r="B3391" s="398"/>
      <c r="C3391" s="398"/>
      <c r="D3391" s="398"/>
      <c r="E3391" s="398"/>
      <c r="F3391" s="398"/>
      <c r="G3391" s="398"/>
    </row>
    <row r="3392" spans="1:7">
      <c r="A3392" s="398"/>
      <c r="B3392" s="398"/>
      <c r="C3392" s="398"/>
      <c r="D3392" s="398"/>
      <c r="E3392" s="398"/>
      <c r="F3392" s="398"/>
      <c r="G3392" s="398"/>
    </row>
    <row r="3393" spans="1:7">
      <c r="A3393" s="398"/>
      <c r="B3393" s="398"/>
      <c r="C3393" s="398"/>
      <c r="D3393" s="398"/>
      <c r="E3393" s="398"/>
      <c r="F3393" s="398"/>
      <c r="G3393" s="398"/>
    </row>
    <row r="3394" spans="1:7">
      <c r="A3394" s="398"/>
      <c r="B3394" s="398"/>
      <c r="C3394" s="398"/>
      <c r="D3394" s="398"/>
      <c r="E3394" s="398"/>
      <c r="F3394" s="398"/>
      <c r="G3394" s="398"/>
    </row>
    <row r="3395" spans="1:7">
      <c r="A3395" s="398"/>
      <c r="B3395" s="398"/>
      <c r="C3395" s="398"/>
      <c r="D3395" s="398"/>
      <c r="E3395" s="398"/>
      <c r="F3395" s="398"/>
      <c r="G3395" s="398"/>
    </row>
    <row r="3396" spans="1:7">
      <c r="A3396" s="398"/>
      <c r="B3396" s="398"/>
      <c r="C3396" s="398"/>
      <c r="D3396" s="398"/>
      <c r="E3396" s="398"/>
      <c r="F3396" s="398"/>
      <c r="G3396" s="398"/>
    </row>
    <row r="3397" spans="1:7">
      <c r="A3397" s="398"/>
      <c r="B3397" s="398"/>
      <c r="C3397" s="398"/>
      <c r="D3397" s="398"/>
      <c r="E3397" s="398"/>
      <c r="F3397" s="398"/>
      <c r="G3397" s="398"/>
    </row>
    <row r="3398" spans="1:7">
      <c r="A3398" s="398"/>
      <c r="B3398" s="398"/>
      <c r="C3398" s="398"/>
      <c r="D3398" s="398"/>
      <c r="E3398" s="398"/>
      <c r="F3398" s="398"/>
      <c r="G3398" s="398"/>
    </row>
    <row r="3399" spans="1:7">
      <c r="A3399" s="398"/>
      <c r="B3399" s="398"/>
      <c r="C3399" s="398"/>
      <c r="D3399" s="398"/>
      <c r="E3399" s="398"/>
      <c r="F3399" s="398"/>
      <c r="G3399" s="398"/>
    </row>
    <row r="3400" spans="1:7">
      <c r="A3400" s="398"/>
      <c r="B3400" s="398"/>
      <c r="C3400" s="398"/>
      <c r="D3400" s="398"/>
      <c r="E3400" s="398"/>
      <c r="F3400" s="398"/>
      <c r="G3400" s="398"/>
    </row>
    <row r="3401" spans="1:7">
      <c r="A3401" s="398"/>
      <c r="B3401" s="398"/>
      <c r="C3401" s="398"/>
      <c r="D3401" s="398"/>
      <c r="E3401" s="398"/>
      <c r="F3401" s="398"/>
      <c r="G3401" s="398"/>
    </row>
    <row r="3402" spans="1:7">
      <c r="A3402" s="398"/>
      <c r="B3402" s="398"/>
      <c r="C3402" s="398"/>
      <c r="D3402" s="398"/>
      <c r="E3402" s="398"/>
      <c r="F3402" s="398"/>
      <c r="G3402" s="398"/>
    </row>
    <row r="3403" spans="1:7">
      <c r="A3403" s="398"/>
      <c r="B3403" s="398"/>
      <c r="C3403" s="398"/>
      <c r="D3403" s="398"/>
      <c r="E3403" s="398"/>
      <c r="F3403" s="398"/>
      <c r="G3403" s="398"/>
    </row>
    <row r="3404" spans="1:7">
      <c r="A3404" s="398"/>
      <c r="B3404" s="398"/>
      <c r="C3404" s="398"/>
      <c r="D3404" s="398"/>
      <c r="E3404" s="398"/>
      <c r="F3404" s="398"/>
      <c r="G3404" s="398"/>
    </row>
    <row r="3405" spans="1:7">
      <c r="A3405" s="398"/>
      <c r="B3405" s="398"/>
      <c r="C3405" s="398"/>
      <c r="D3405" s="398"/>
      <c r="E3405" s="398"/>
      <c r="F3405" s="398"/>
      <c r="G3405" s="398"/>
    </row>
    <row r="3406" spans="1:7">
      <c r="A3406" s="398"/>
      <c r="B3406" s="398"/>
      <c r="C3406" s="398"/>
      <c r="D3406" s="398"/>
      <c r="E3406" s="398"/>
      <c r="F3406" s="398"/>
      <c r="G3406" s="398"/>
    </row>
    <row r="3407" spans="1:7">
      <c r="A3407" s="398"/>
      <c r="B3407" s="398"/>
      <c r="C3407" s="398"/>
      <c r="D3407" s="398"/>
      <c r="E3407" s="398"/>
      <c r="F3407" s="398"/>
      <c r="G3407" s="398"/>
    </row>
    <row r="3408" spans="1:7">
      <c r="A3408" s="398"/>
      <c r="B3408" s="398"/>
      <c r="C3408" s="398"/>
      <c r="D3408" s="398"/>
      <c r="E3408" s="398"/>
      <c r="F3408" s="398"/>
      <c r="G3408" s="398"/>
    </row>
    <row r="3409" spans="1:7">
      <c r="A3409" s="398"/>
      <c r="B3409" s="398"/>
      <c r="C3409" s="398"/>
      <c r="D3409" s="398"/>
      <c r="E3409" s="398"/>
      <c r="F3409" s="398"/>
      <c r="G3409" s="398"/>
    </row>
    <row r="3410" spans="1:7">
      <c r="A3410" s="398"/>
      <c r="B3410" s="398"/>
      <c r="C3410" s="398"/>
      <c r="D3410" s="398"/>
      <c r="E3410" s="398"/>
      <c r="F3410" s="398"/>
      <c r="G3410" s="398"/>
    </row>
    <row r="3413" spans="1:7" ht="17.45">
      <c r="A3413" s="233" t="s">
        <v>391</v>
      </c>
      <c r="B3413" s="23" t="s">
        <v>278</v>
      </c>
      <c r="C3413" s="23" t="s">
        <v>279</v>
      </c>
    </row>
    <row r="3414" spans="1:7">
      <c r="A3414" s="23" t="s">
        <v>372</v>
      </c>
      <c r="B3414" s="23">
        <v>0.20695</v>
      </c>
      <c r="C3414" s="23" t="s">
        <v>128</v>
      </c>
    </row>
    <row r="3415" spans="1:7">
      <c r="A3415" s="23" t="s">
        <v>290</v>
      </c>
      <c r="B3415" s="23">
        <v>4453.6400000000003</v>
      </c>
      <c r="C3415" s="23" t="s">
        <v>98</v>
      </c>
    </row>
    <row r="3420" spans="1:7">
      <c r="A3420" s="398"/>
      <c r="B3420" s="398"/>
      <c r="C3420" s="398"/>
      <c r="D3420" s="398"/>
      <c r="E3420" s="398"/>
      <c r="F3420" s="398"/>
      <c r="G3420" s="398"/>
    </row>
    <row r="3421" spans="1:7">
      <c r="A3421" s="398"/>
      <c r="B3421" s="398"/>
      <c r="C3421" s="398"/>
      <c r="D3421" s="398"/>
      <c r="E3421" s="398"/>
      <c r="F3421" s="398"/>
      <c r="G3421" s="398"/>
    </row>
    <row r="3422" spans="1:7">
      <c r="A3422" s="398"/>
      <c r="B3422" s="398"/>
      <c r="C3422" s="398"/>
      <c r="D3422" s="398"/>
      <c r="E3422" s="398"/>
      <c r="F3422" s="398"/>
      <c r="G3422" s="398"/>
    </row>
    <row r="3423" spans="1:7">
      <c r="A3423" s="398"/>
      <c r="B3423" s="398"/>
      <c r="C3423" s="398"/>
      <c r="D3423" s="398"/>
      <c r="E3423" s="398"/>
      <c r="F3423" s="398"/>
      <c r="G3423" s="398"/>
    </row>
    <row r="3424" spans="1:7">
      <c r="A3424" s="398"/>
      <c r="B3424" s="398"/>
      <c r="C3424" s="398"/>
      <c r="D3424" s="398"/>
      <c r="E3424" s="398"/>
      <c r="F3424" s="398"/>
      <c r="G3424" s="398"/>
    </row>
    <row r="3425" spans="1:7">
      <c r="A3425" s="398"/>
      <c r="B3425" s="398"/>
      <c r="C3425" s="398"/>
      <c r="D3425" s="398"/>
      <c r="E3425" s="398"/>
      <c r="F3425" s="398"/>
      <c r="G3425" s="398"/>
    </row>
    <row r="3426" spans="1:7">
      <c r="A3426" s="398"/>
      <c r="B3426" s="398"/>
      <c r="C3426" s="398"/>
      <c r="D3426" s="398"/>
      <c r="E3426" s="398"/>
      <c r="F3426" s="398"/>
      <c r="G3426" s="398"/>
    </row>
    <row r="3427" spans="1:7">
      <c r="A3427" s="398"/>
      <c r="B3427" s="398"/>
      <c r="C3427" s="398"/>
      <c r="D3427" s="398"/>
      <c r="E3427" s="398"/>
      <c r="F3427" s="398"/>
      <c r="G3427" s="398"/>
    </row>
    <row r="3428" spans="1:7">
      <c r="A3428" s="398"/>
      <c r="B3428" s="398"/>
      <c r="C3428" s="398"/>
      <c r="D3428" s="398"/>
      <c r="E3428" s="398"/>
      <c r="F3428" s="398"/>
      <c r="G3428" s="398"/>
    </row>
    <row r="3429" spans="1:7">
      <c r="A3429" s="398"/>
      <c r="B3429" s="398"/>
      <c r="C3429" s="398"/>
      <c r="D3429" s="398"/>
      <c r="E3429" s="398"/>
      <c r="F3429" s="398"/>
      <c r="G3429" s="398"/>
    </row>
    <row r="3430" spans="1:7">
      <c r="A3430" s="398"/>
      <c r="B3430" s="398"/>
      <c r="C3430" s="398"/>
      <c r="D3430" s="398"/>
      <c r="E3430" s="398"/>
      <c r="F3430" s="398"/>
      <c r="G3430" s="398"/>
    </row>
    <row r="3431" spans="1:7">
      <c r="A3431" s="398"/>
      <c r="B3431" s="398"/>
      <c r="C3431" s="398"/>
      <c r="D3431" s="398"/>
      <c r="E3431" s="398"/>
      <c r="F3431" s="398"/>
      <c r="G3431" s="398"/>
    </row>
    <row r="3432" spans="1:7">
      <c r="A3432" s="398"/>
      <c r="B3432" s="398"/>
      <c r="C3432" s="398"/>
      <c r="D3432" s="398"/>
      <c r="E3432" s="398"/>
      <c r="F3432" s="398"/>
      <c r="G3432" s="398"/>
    </row>
    <row r="3433" spans="1:7">
      <c r="A3433" s="398"/>
      <c r="B3433" s="398"/>
      <c r="C3433" s="398"/>
      <c r="D3433" s="398"/>
      <c r="E3433" s="398"/>
      <c r="F3433" s="398"/>
      <c r="G3433" s="398"/>
    </row>
    <row r="3434" spans="1:7">
      <c r="A3434" s="398"/>
      <c r="B3434" s="398"/>
      <c r="C3434" s="398"/>
      <c r="D3434" s="398"/>
      <c r="E3434" s="398"/>
      <c r="F3434" s="398"/>
      <c r="G3434" s="398"/>
    </row>
    <row r="3435" spans="1:7">
      <c r="A3435" s="398"/>
      <c r="B3435" s="398"/>
      <c r="C3435" s="398"/>
      <c r="D3435" s="398"/>
      <c r="E3435" s="398"/>
      <c r="F3435" s="398"/>
      <c r="G3435" s="398"/>
    </row>
    <row r="3436" spans="1:7">
      <c r="A3436" s="398"/>
      <c r="B3436" s="398"/>
      <c r="C3436" s="398"/>
      <c r="D3436" s="398"/>
      <c r="E3436" s="398"/>
      <c r="F3436" s="398"/>
      <c r="G3436" s="398"/>
    </row>
    <row r="3437" spans="1:7">
      <c r="A3437" s="398"/>
      <c r="B3437" s="398"/>
      <c r="C3437" s="398"/>
      <c r="D3437" s="398"/>
      <c r="E3437" s="398"/>
      <c r="F3437" s="398"/>
      <c r="G3437" s="398"/>
    </row>
    <row r="3438" spans="1:7">
      <c r="A3438" s="398"/>
      <c r="B3438" s="398"/>
      <c r="C3438" s="398"/>
      <c r="D3438" s="398"/>
      <c r="E3438" s="398"/>
      <c r="F3438" s="398"/>
      <c r="G3438" s="398"/>
    </row>
    <row r="3439" spans="1:7">
      <c r="A3439" s="398"/>
      <c r="B3439" s="398"/>
      <c r="C3439" s="398"/>
      <c r="D3439" s="398"/>
      <c r="E3439" s="398"/>
      <c r="F3439" s="398"/>
      <c r="G3439" s="398"/>
    </row>
    <row r="3440" spans="1:7">
      <c r="A3440" s="398"/>
      <c r="B3440" s="398"/>
      <c r="C3440" s="398"/>
      <c r="D3440" s="398"/>
      <c r="E3440" s="398"/>
      <c r="F3440" s="398"/>
      <c r="G3440" s="398"/>
    </row>
    <row r="3441" spans="1:7">
      <c r="A3441" s="398"/>
      <c r="B3441" s="398"/>
      <c r="C3441" s="398"/>
      <c r="D3441" s="398"/>
      <c r="E3441" s="398"/>
      <c r="F3441" s="398"/>
      <c r="G3441" s="398"/>
    </row>
    <row r="3442" spans="1:7">
      <c r="A3442" s="398"/>
      <c r="B3442" s="398"/>
      <c r="C3442" s="398"/>
      <c r="D3442" s="398"/>
      <c r="E3442" s="398"/>
      <c r="F3442" s="398"/>
      <c r="G3442" s="398"/>
    </row>
    <row r="3443" spans="1:7">
      <c r="A3443" s="398"/>
      <c r="B3443" s="398"/>
      <c r="C3443" s="398"/>
      <c r="D3443" s="398"/>
      <c r="E3443" s="398"/>
      <c r="F3443" s="398"/>
      <c r="G3443" s="398"/>
    </row>
    <row r="3444" spans="1:7">
      <c r="A3444" s="398"/>
      <c r="B3444" s="398"/>
      <c r="C3444" s="398"/>
      <c r="D3444" s="398"/>
      <c r="E3444" s="398"/>
      <c r="F3444" s="398"/>
      <c r="G3444" s="398"/>
    </row>
    <row r="3445" spans="1:7">
      <c r="A3445" s="398"/>
      <c r="B3445" s="398"/>
      <c r="C3445" s="398"/>
      <c r="D3445" s="398"/>
      <c r="E3445" s="398"/>
      <c r="F3445" s="398"/>
      <c r="G3445" s="398"/>
    </row>
    <row r="3446" spans="1:7">
      <c r="A3446" s="398"/>
      <c r="B3446" s="398"/>
      <c r="C3446" s="398"/>
      <c r="D3446" s="398"/>
      <c r="E3446" s="398"/>
      <c r="F3446" s="398"/>
      <c r="G3446" s="398"/>
    </row>
    <row r="3447" spans="1:7">
      <c r="A3447" s="398"/>
      <c r="B3447" s="398"/>
      <c r="C3447" s="398"/>
      <c r="D3447" s="398"/>
      <c r="E3447" s="398"/>
      <c r="F3447" s="398"/>
      <c r="G3447" s="398"/>
    </row>
    <row r="3448" spans="1:7">
      <c r="A3448" s="398"/>
      <c r="B3448" s="398"/>
      <c r="C3448" s="398"/>
      <c r="D3448" s="398"/>
      <c r="E3448" s="398"/>
      <c r="F3448" s="398"/>
      <c r="G3448" s="398"/>
    </row>
    <row r="3449" spans="1:7">
      <c r="A3449" s="398"/>
      <c r="B3449" s="398"/>
      <c r="C3449" s="398"/>
      <c r="D3449" s="398"/>
      <c r="E3449" s="398"/>
      <c r="F3449" s="398"/>
      <c r="G3449" s="398"/>
    </row>
    <row r="3450" spans="1:7">
      <c r="A3450" s="398"/>
      <c r="B3450" s="398"/>
      <c r="C3450" s="398"/>
      <c r="D3450" s="398"/>
      <c r="E3450" s="398"/>
      <c r="F3450" s="398"/>
      <c r="G3450" s="398"/>
    </row>
    <row r="3451" spans="1:7">
      <c r="A3451" s="398"/>
      <c r="B3451" s="398"/>
      <c r="C3451" s="398"/>
      <c r="D3451" s="398"/>
      <c r="E3451" s="398"/>
      <c r="F3451" s="398"/>
      <c r="G3451" s="398"/>
    </row>
    <row r="3452" spans="1:7">
      <c r="A3452" s="398"/>
      <c r="B3452" s="398"/>
      <c r="C3452" s="398"/>
      <c r="D3452" s="398"/>
      <c r="E3452" s="398"/>
      <c r="F3452" s="398"/>
      <c r="G3452" s="398"/>
    </row>
    <row r="3453" spans="1:7">
      <c r="A3453" s="398"/>
      <c r="B3453" s="398"/>
      <c r="C3453" s="398"/>
      <c r="D3453" s="398"/>
      <c r="E3453" s="398"/>
      <c r="F3453" s="398"/>
      <c r="G3453" s="398"/>
    </row>
    <row r="3454" spans="1:7">
      <c r="A3454" s="398"/>
      <c r="B3454" s="398"/>
      <c r="C3454" s="398"/>
      <c r="D3454" s="398"/>
      <c r="E3454" s="398"/>
      <c r="F3454" s="398"/>
      <c r="G3454" s="398"/>
    </row>
    <row r="3455" spans="1:7">
      <c r="A3455" s="398"/>
      <c r="B3455" s="398"/>
      <c r="C3455" s="398"/>
      <c r="D3455" s="398"/>
      <c r="E3455" s="398"/>
      <c r="F3455" s="398"/>
      <c r="G3455" s="398"/>
    </row>
    <row r="3456" spans="1:7">
      <c r="A3456" s="398"/>
      <c r="B3456" s="398"/>
      <c r="C3456" s="398"/>
      <c r="D3456" s="398"/>
      <c r="E3456" s="398"/>
      <c r="F3456" s="398"/>
      <c r="G3456" s="398"/>
    </row>
    <row r="3457" spans="1:7">
      <c r="A3457" s="398"/>
      <c r="B3457" s="398"/>
      <c r="C3457" s="398"/>
      <c r="D3457" s="398"/>
      <c r="E3457" s="398"/>
      <c r="F3457" s="398"/>
      <c r="G3457" s="398"/>
    </row>
    <row r="3458" spans="1:7">
      <c r="A3458" s="398"/>
      <c r="B3458" s="398"/>
      <c r="C3458" s="398"/>
      <c r="D3458" s="398"/>
      <c r="E3458" s="398"/>
      <c r="F3458" s="398"/>
      <c r="G3458" s="398"/>
    </row>
    <row r="3459" spans="1:7">
      <c r="A3459" s="398"/>
      <c r="B3459" s="398"/>
      <c r="C3459" s="398"/>
      <c r="D3459" s="398"/>
      <c r="E3459" s="398"/>
      <c r="F3459" s="398"/>
      <c r="G3459" s="398"/>
    </row>
    <row r="3460" spans="1:7">
      <c r="A3460" s="398"/>
      <c r="B3460" s="398"/>
      <c r="C3460" s="398"/>
      <c r="D3460" s="398"/>
      <c r="E3460" s="398"/>
      <c r="F3460" s="398"/>
      <c r="G3460" s="398"/>
    </row>
    <row r="3463" spans="1:7" ht="17.45">
      <c r="A3463" s="233" t="s">
        <v>392</v>
      </c>
      <c r="B3463" s="23" t="s">
        <v>278</v>
      </c>
      <c r="C3463" s="23" t="s">
        <v>279</v>
      </c>
    </row>
    <row r="3464" spans="1:7">
      <c r="A3464" s="23" t="s">
        <v>372</v>
      </c>
      <c r="B3464" s="23">
        <v>0.19127</v>
      </c>
      <c r="C3464" s="23" t="s">
        <v>128</v>
      </c>
    </row>
    <row r="3465" spans="1:7">
      <c r="A3465" s="23" t="s">
        <v>290</v>
      </c>
      <c r="B3465" s="23">
        <v>3358.67</v>
      </c>
      <c r="C3465" s="23" t="s">
        <v>98</v>
      </c>
    </row>
    <row r="3470" spans="1:7">
      <c r="A3470" s="398"/>
      <c r="B3470" s="398"/>
      <c r="C3470" s="398"/>
      <c r="D3470" s="398"/>
      <c r="E3470" s="398"/>
      <c r="F3470" s="398"/>
      <c r="G3470" s="398"/>
    </row>
    <row r="3471" spans="1:7">
      <c r="A3471" s="398"/>
      <c r="B3471" s="398"/>
      <c r="C3471" s="398"/>
      <c r="D3471" s="398"/>
      <c r="E3471" s="398"/>
      <c r="F3471" s="398"/>
      <c r="G3471" s="398"/>
    </row>
    <row r="3472" spans="1:7">
      <c r="A3472" s="398"/>
      <c r="B3472" s="398"/>
      <c r="C3472" s="398"/>
      <c r="D3472" s="398"/>
      <c r="E3472" s="398"/>
      <c r="F3472" s="398"/>
      <c r="G3472" s="398"/>
    </row>
    <row r="3473" spans="1:7">
      <c r="A3473" s="398"/>
      <c r="B3473" s="398"/>
      <c r="C3473" s="398"/>
      <c r="D3473" s="398"/>
      <c r="E3473" s="398"/>
      <c r="F3473" s="398"/>
      <c r="G3473" s="398"/>
    </row>
    <row r="3474" spans="1:7">
      <c r="A3474" s="398"/>
      <c r="B3474" s="398"/>
      <c r="C3474" s="398"/>
      <c r="D3474" s="398"/>
      <c r="E3474" s="398"/>
      <c r="F3474" s="398"/>
      <c r="G3474" s="398"/>
    </row>
    <row r="3475" spans="1:7">
      <c r="A3475" s="398"/>
      <c r="B3475" s="398"/>
      <c r="C3475" s="398"/>
      <c r="D3475" s="398"/>
      <c r="E3475" s="398"/>
      <c r="F3475" s="398"/>
      <c r="G3475" s="398"/>
    </row>
    <row r="3476" spans="1:7">
      <c r="A3476" s="398"/>
      <c r="B3476" s="398"/>
      <c r="C3476" s="398"/>
      <c r="D3476" s="398"/>
      <c r="E3476" s="398"/>
      <c r="F3476" s="398"/>
      <c r="G3476" s="398"/>
    </row>
    <row r="3477" spans="1:7">
      <c r="A3477" s="398"/>
      <c r="B3477" s="398"/>
      <c r="C3477" s="398"/>
      <c r="D3477" s="398"/>
      <c r="E3477" s="398"/>
      <c r="F3477" s="398"/>
      <c r="G3477" s="398"/>
    </row>
    <row r="3478" spans="1:7">
      <c r="A3478" s="398"/>
      <c r="B3478" s="398"/>
      <c r="C3478" s="398"/>
      <c r="D3478" s="398"/>
      <c r="E3478" s="398"/>
      <c r="F3478" s="398"/>
      <c r="G3478" s="398"/>
    </row>
    <row r="3479" spans="1:7">
      <c r="A3479" s="398"/>
      <c r="B3479" s="398"/>
      <c r="C3479" s="398"/>
      <c r="D3479" s="398"/>
      <c r="E3479" s="398"/>
      <c r="F3479" s="398"/>
      <c r="G3479" s="398"/>
    </row>
    <row r="3480" spans="1:7">
      <c r="A3480" s="398"/>
      <c r="B3480" s="398"/>
      <c r="C3480" s="398"/>
      <c r="D3480" s="398"/>
      <c r="E3480" s="398"/>
      <c r="F3480" s="398"/>
      <c r="G3480" s="398"/>
    </row>
    <row r="3481" spans="1:7">
      <c r="A3481" s="398"/>
      <c r="B3481" s="398"/>
      <c r="C3481" s="398"/>
      <c r="D3481" s="398"/>
      <c r="E3481" s="398"/>
      <c r="F3481" s="398"/>
      <c r="G3481" s="398"/>
    </row>
    <row r="3482" spans="1:7">
      <c r="A3482" s="398"/>
      <c r="B3482" s="398"/>
      <c r="C3482" s="398"/>
      <c r="D3482" s="398"/>
      <c r="E3482" s="398"/>
      <c r="F3482" s="398"/>
      <c r="G3482" s="398"/>
    </row>
    <row r="3483" spans="1:7">
      <c r="A3483" s="398"/>
      <c r="B3483" s="398"/>
      <c r="C3483" s="398"/>
      <c r="D3483" s="398"/>
      <c r="E3483" s="398"/>
      <c r="F3483" s="398"/>
      <c r="G3483" s="398"/>
    </row>
    <row r="3484" spans="1:7">
      <c r="A3484" s="398"/>
      <c r="B3484" s="398"/>
      <c r="C3484" s="398"/>
      <c r="D3484" s="398"/>
      <c r="E3484" s="398"/>
      <c r="F3484" s="398"/>
      <c r="G3484" s="398"/>
    </row>
    <row r="3485" spans="1:7">
      <c r="A3485" s="398"/>
      <c r="B3485" s="398"/>
      <c r="C3485" s="398"/>
      <c r="D3485" s="398"/>
      <c r="E3485" s="398"/>
      <c r="F3485" s="398"/>
      <c r="G3485" s="398"/>
    </row>
    <row r="3486" spans="1:7">
      <c r="A3486" s="398"/>
      <c r="B3486" s="398"/>
      <c r="C3486" s="398"/>
      <c r="D3486" s="398"/>
      <c r="E3486" s="398"/>
      <c r="F3486" s="398"/>
      <c r="G3486" s="398"/>
    </row>
    <row r="3487" spans="1:7">
      <c r="A3487" s="398"/>
      <c r="B3487" s="398"/>
      <c r="C3487" s="398"/>
      <c r="D3487" s="398"/>
      <c r="E3487" s="398"/>
      <c r="F3487" s="398"/>
      <c r="G3487" s="398"/>
    </row>
    <row r="3488" spans="1:7">
      <c r="A3488" s="398"/>
      <c r="B3488" s="398"/>
      <c r="C3488" s="398"/>
      <c r="D3488" s="398"/>
      <c r="E3488" s="398"/>
      <c r="F3488" s="398"/>
      <c r="G3488" s="398"/>
    </row>
    <row r="3489" spans="1:7">
      <c r="A3489" s="398"/>
      <c r="B3489" s="398"/>
      <c r="C3489" s="398"/>
      <c r="D3489" s="398"/>
      <c r="E3489" s="398"/>
      <c r="F3489" s="398"/>
      <c r="G3489" s="398"/>
    </row>
    <row r="3490" spans="1:7">
      <c r="A3490" s="398"/>
      <c r="B3490" s="398"/>
      <c r="C3490" s="398"/>
      <c r="D3490" s="398"/>
      <c r="E3490" s="398"/>
      <c r="F3490" s="398"/>
      <c r="G3490" s="398"/>
    </row>
    <row r="3491" spans="1:7">
      <c r="A3491" s="398"/>
      <c r="B3491" s="398"/>
      <c r="C3491" s="398"/>
      <c r="D3491" s="398"/>
      <c r="E3491" s="398"/>
      <c r="F3491" s="398"/>
      <c r="G3491" s="398"/>
    </row>
    <row r="3492" spans="1:7">
      <c r="A3492" s="398"/>
      <c r="B3492" s="398"/>
      <c r="C3492" s="398"/>
      <c r="D3492" s="398"/>
      <c r="E3492" s="398"/>
      <c r="F3492" s="398"/>
      <c r="G3492" s="398"/>
    </row>
    <row r="3493" spans="1:7">
      <c r="A3493" s="398"/>
      <c r="B3493" s="398"/>
      <c r="C3493" s="398"/>
      <c r="D3493" s="398"/>
      <c r="E3493" s="398"/>
      <c r="F3493" s="398"/>
      <c r="G3493" s="398"/>
    </row>
    <row r="3494" spans="1:7">
      <c r="A3494" s="398"/>
      <c r="B3494" s="398"/>
      <c r="C3494" s="398"/>
      <c r="D3494" s="398"/>
      <c r="E3494" s="398"/>
      <c r="F3494" s="398"/>
      <c r="G3494" s="398"/>
    </row>
    <row r="3495" spans="1:7">
      <c r="A3495" s="398"/>
      <c r="B3495" s="398"/>
      <c r="C3495" s="398"/>
      <c r="D3495" s="398"/>
      <c r="E3495" s="398"/>
      <c r="F3495" s="398"/>
      <c r="G3495" s="398"/>
    </row>
    <row r="3496" spans="1:7">
      <c r="A3496" s="398"/>
      <c r="B3496" s="398"/>
      <c r="C3496" s="398"/>
      <c r="D3496" s="398"/>
      <c r="E3496" s="398"/>
      <c r="F3496" s="398"/>
      <c r="G3496" s="398"/>
    </row>
    <row r="3497" spans="1:7">
      <c r="A3497" s="398"/>
      <c r="B3497" s="398"/>
      <c r="C3497" s="398"/>
      <c r="D3497" s="398"/>
      <c r="E3497" s="398"/>
      <c r="F3497" s="398"/>
      <c r="G3497" s="398"/>
    </row>
    <row r="3498" spans="1:7">
      <c r="A3498" s="398"/>
      <c r="B3498" s="398"/>
      <c r="C3498" s="398"/>
      <c r="D3498" s="398"/>
      <c r="E3498" s="398"/>
      <c r="F3498" s="398"/>
      <c r="G3498" s="398"/>
    </row>
    <row r="3499" spans="1:7">
      <c r="A3499" s="398"/>
      <c r="B3499" s="398"/>
      <c r="C3499" s="398"/>
      <c r="D3499" s="398"/>
      <c r="E3499" s="398"/>
      <c r="F3499" s="398"/>
      <c r="G3499" s="398"/>
    </row>
    <row r="3500" spans="1:7">
      <c r="A3500" s="398"/>
      <c r="B3500" s="398"/>
      <c r="C3500" s="398"/>
      <c r="D3500" s="398"/>
      <c r="E3500" s="398"/>
      <c r="F3500" s="398"/>
      <c r="G3500" s="398"/>
    </row>
    <row r="3501" spans="1:7">
      <c r="A3501" s="398"/>
      <c r="B3501" s="398"/>
      <c r="C3501" s="398"/>
      <c r="D3501" s="398"/>
      <c r="E3501" s="398"/>
      <c r="F3501" s="398"/>
      <c r="G3501" s="398"/>
    </row>
    <row r="3502" spans="1:7">
      <c r="A3502" s="398"/>
      <c r="B3502" s="398"/>
      <c r="C3502" s="398"/>
      <c r="D3502" s="398"/>
      <c r="E3502" s="398"/>
      <c r="F3502" s="398"/>
      <c r="G3502" s="398"/>
    </row>
    <row r="3503" spans="1:7">
      <c r="A3503" s="398"/>
      <c r="B3503" s="398"/>
      <c r="C3503" s="398"/>
      <c r="D3503" s="398"/>
      <c r="E3503" s="398"/>
      <c r="F3503" s="398"/>
      <c r="G3503" s="398"/>
    </row>
    <row r="3504" spans="1:7">
      <c r="A3504" s="398"/>
      <c r="B3504" s="398"/>
      <c r="C3504" s="398"/>
      <c r="D3504" s="398"/>
      <c r="E3504" s="398"/>
      <c r="F3504" s="398"/>
      <c r="G3504" s="398"/>
    </row>
    <row r="3505" spans="1:7">
      <c r="A3505" s="398"/>
      <c r="B3505" s="398"/>
      <c r="C3505" s="398"/>
      <c r="D3505" s="398"/>
      <c r="E3505" s="398"/>
      <c r="F3505" s="398"/>
      <c r="G3505" s="398"/>
    </row>
    <row r="3506" spans="1:7">
      <c r="A3506" s="398"/>
      <c r="B3506" s="398"/>
      <c r="C3506" s="398"/>
      <c r="D3506" s="398"/>
      <c r="E3506" s="398"/>
      <c r="F3506" s="398"/>
      <c r="G3506" s="398"/>
    </row>
    <row r="3507" spans="1:7">
      <c r="A3507" s="398"/>
      <c r="B3507" s="398"/>
      <c r="C3507" s="398"/>
      <c r="D3507" s="398"/>
      <c r="E3507" s="398"/>
      <c r="F3507" s="398"/>
      <c r="G3507" s="398"/>
    </row>
    <row r="3508" spans="1:7">
      <c r="A3508" s="398"/>
      <c r="B3508" s="398"/>
      <c r="C3508" s="398"/>
      <c r="D3508" s="398"/>
      <c r="E3508" s="398"/>
      <c r="F3508" s="398"/>
      <c r="G3508" s="398"/>
    </row>
    <row r="3509" spans="1:7">
      <c r="A3509" s="398"/>
      <c r="B3509" s="398"/>
      <c r="C3509" s="398"/>
      <c r="D3509" s="398"/>
      <c r="E3509" s="398"/>
      <c r="F3509" s="398"/>
      <c r="G3509" s="398"/>
    </row>
    <row r="3510" spans="1:7">
      <c r="A3510" s="398"/>
      <c r="B3510" s="398"/>
      <c r="C3510" s="398"/>
      <c r="D3510" s="398"/>
      <c r="E3510" s="398"/>
      <c r="F3510" s="398"/>
      <c r="G3510" s="398"/>
    </row>
    <row r="3513" spans="1:7" ht="17.45">
      <c r="A3513" s="233" t="s">
        <v>393</v>
      </c>
      <c r="B3513" s="23" t="s">
        <v>278</v>
      </c>
      <c r="C3513" s="23" t="s">
        <v>279</v>
      </c>
    </row>
    <row r="3514" spans="1:7">
      <c r="A3514" s="23" t="s">
        <v>372</v>
      </c>
      <c r="B3514" s="23">
        <v>0.17867</v>
      </c>
      <c r="C3514" s="23" t="s">
        <v>128</v>
      </c>
    </row>
    <row r="3515" spans="1:7">
      <c r="A3515" s="23" t="s">
        <v>290</v>
      </c>
      <c r="B3515" s="23">
        <v>3663.99</v>
      </c>
      <c r="C3515" s="23" t="s">
        <v>98</v>
      </c>
    </row>
    <row r="3520" spans="1:7">
      <c r="A3520" s="398"/>
      <c r="B3520" s="398"/>
      <c r="C3520" s="398"/>
      <c r="D3520" s="398"/>
      <c r="E3520" s="398"/>
      <c r="F3520" s="398"/>
      <c r="G3520" s="398"/>
    </row>
    <row r="3521" spans="1:7">
      <c r="A3521" s="398"/>
      <c r="B3521" s="398"/>
      <c r="C3521" s="398"/>
      <c r="D3521" s="398"/>
      <c r="E3521" s="398"/>
      <c r="F3521" s="398"/>
      <c r="G3521" s="398"/>
    </row>
    <row r="3522" spans="1:7">
      <c r="A3522" s="398"/>
      <c r="B3522" s="398"/>
      <c r="C3522" s="398"/>
      <c r="D3522" s="398"/>
      <c r="E3522" s="398"/>
      <c r="F3522" s="398"/>
      <c r="G3522" s="398"/>
    </row>
    <row r="3523" spans="1:7">
      <c r="A3523" s="398"/>
      <c r="B3523" s="398"/>
      <c r="C3523" s="398"/>
      <c r="D3523" s="398"/>
      <c r="E3523" s="398"/>
      <c r="F3523" s="398"/>
      <c r="G3523" s="398"/>
    </row>
    <row r="3524" spans="1:7">
      <c r="A3524" s="398"/>
      <c r="B3524" s="398"/>
      <c r="C3524" s="398"/>
      <c r="D3524" s="398"/>
      <c r="E3524" s="398"/>
      <c r="F3524" s="398"/>
      <c r="G3524" s="398"/>
    </row>
    <row r="3525" spans="1:7">
      <c r="A3525" s="398"/>
      <c r="B3525" s="398"/>
      <c r="C3525" s="398"/>
      <c r="D3525" s="398"/>
      <c r="E3525" s="398"/>
      <c r="F3525" s="398"/>
      <c r="G3525" s="398"/>
    </row>
    <row r="3526" spans="1:7">
      <c r="A3526" s="398"/>
      <c r="B3526" s="398"/>
      <c r="C3526" s="398"/>
      <c r="D3526" s="398"/>
      <c r="E3526" s="398"/>
      <c r="F3526" s="398"/>
      <c r="G3526" s="398"/>
    </row>
    <row r="3527" spans="1:7">
      <c r="A3527" s="398"/>
      <c r="B3527" s="398"/>
      <c r="C3527" s="398"/>
      <c r="D3527" s="398"/>
      <c r="E3527" s="398"/>
      <c r="F3527" s="398"/>
      <c r="G3527" s="398"/>
    </row>
    <row r="3528" spans="1:7">
      <c r="A3528" s="398"/>
      <c r="B3528" s="398"/>
      <c r="C3528" s="398"/>
      <c r="D3528" s="398"/>
      <c r="E3528" s="398"/>
      <c r="F3528" s="398"/>
      <c r="G3528" s="398"/>
    </row>
    <row r="3529" spans="1:7">
      <c r="A3529" s="398"/>
      <c r="B3529" s="398"/>
      <c r="C3529" s="398"/>
      <c r="D3529" s="398"/>
      <c r="E3529" s="398"/>
      <c r="F3529" s="398"/>
      <c r="G3529" s="398"/>
    </row>
    <row r="3530" spans="1:7">
      <c r="A3530" s="398"/>
      <c r="B3530" s="398"/>
      <c r="C3530" s="398"/>
      <c r="D3530" s="398"/>
      <c r="E3530" s="398"/>
      <c r="F3530" s="398"/>
      <c r="G3530" s="398"/>
    </row>
    <row r="3531" spans="1:7">
      <c r="A3531" s="398"/>
      <c r="B3531" s="398"/>
      <c r="C3531" s="398"/>
      <c r="D3531" s="398"/>
      <c r="E3531" s="398"/>
      <c r="F3531" s="398"/>
      <c r="G3531" s="398"/>
    </row>
    <row r="3532" spans="1:7">
      <c r="A3532" s="398"/>
      <c r="B3532" s="398"/>
      <c r="C3532" s="398"/>
      <c r="D3532" s="398"/>
      <c r="E3532" s="398"/>
      <c r="F3532" s="398"/>
      <c r="G3532" s="398"/>
    </row>
    <row r="3533" spans="1:7">
      <c r="A3533" s="398"/>
      <c r="B3533" s="398"/>
      <c r="C3533" s="398"/>
      <c r="D3533" s="398"/>
      <c r="E3533" s="398"/>
      <c r="F3533" s="398"/>
      <c r="G3533" s="398"/>
    </row>
    <row r="3534" spans="1:7">
      <c r="A3534" s="398"/>
      <c r="B3534" s="398"/>
      <c r="C3534" s="398"/>
      <c r="D3534" s="398"/>
      <c r="E3534" s="398"/>
      <c r="F3534" s="398"/>
      <c r="G3534" s="398"/>
    </row>
    <row r="3535" spans="1:7">
      <c r="A3535" s="398"/>
      <c r="B3535" s="398"/>
      <c r="C3535" s="398"/>
      <c r="D3535" s="398"/>
      <c r="E3535" s="398"/>
      <c r="F3535" s="398"/>
      <c r="G3535" s="398"/>
    </row>
    <row r="3536" spans="1:7">
      <c r="A3536" s="398"/>
      <c r="B3536" s="398"/>
      <c r="C3536" s="398"/>
      <c r="D3536" s="398"/>
      <c r="E3536" s="398"/>
      <c r="F3536" s="398"/>
      <c r="G3536" s="398"/>
    </row>
    <row r="3537" spans="1:7">
      <c r="A3537" s="398"/>
      <c r="B3537" s="398"/>
      <c r="C3537" s="398"/>
      <c r="D3537" s="398"/>
      <c r="E3537" s="398"/>
      <c r="F3537" s="398"/>
      <c r="G3537" s="398"/>
    </row>
    <row r="3538" spans="1:7">
      <c r="A3538" s="398"/>
      <c r="B3538" s="398"/>
      <c r="C3538" s="398"/>
      <c r="D3538" s="398"/>
      <c r="E3538" s="398"/>
      <c r="F3538" s="398"/>
      <c r="G3538" s="398"/>
    </row>
    <row r="3539" spans="1:7">
      <c r="A3539" s="398"/>
      <c r="B3539" s="398"/>
      <c r="C3539" s="398"/>
      <c r="D3539" s="398"/>
      <c r="E3539" s="398"/>
      <c r="F3539" s="398"/>
      <c r="G3539" s="398"/>
    </row>
    <row r="3540" spans="1:7">
      <c r="A3540" s="398"/>
      <c r="B3540" s="398"/>
      <c r="C3540" s="398"/>
      <c r="D3540" s="398"/>
      <c r="E3540" s="398"/>
      <c r="F3540" s="398"/>
      <c r="G3540" s="398"/>
    </row>
    <row r="3541" spans="1:7">
      <c r="A3541" s="398"/>
      <c r="B3541" s="398"/>
      <c r="C3541" s="398"/>
      <c r="D3541" s="398"/>
      <c r="E3541" s="398"/>
      <c r="F3541" s="398"/>
      <c r="G3541" s="398"/>
    </row>
    <row r="3542" spans="1:7">
      <c r="A3542" s="398"/>
      <c r="B3542" s="398"/>
      <c r="C3542" s="398"/>
      <c r="D3542" s="398"/>
      <c r="E3542" s="398"/>
      <c r="F3542" s="398"/>
      <c r="G3542" s="398"/>
    </row>
    <row r="3543" spans="1:7">
      <c r="A3543" s="398"/>
      <c r="B3543" s="398"/>
      <c r="C3543" s="398"/>
      <c r="D3543" s="398"/>
      <c r="E3543" s="398"/>
      <c r="F3543" s="398"/>
      <c r="G3543" s="398"/>
    </row>
    <row r="3544" spans="1:7">
      <c r="A3544" s="398"/>
      <c r="B3544" s="398"/>
      <c r="C3544" s="398"/>
      <c r="D3544" s="398"/>
      <c r="E3544" s="398"/>
      <c r="F3544" s="398"/>
      <c r="G3544" s="398"/>
    </row>
    <row r="3545" spans="1:7">
      <c r="A3545" s="398"/>
      <c r="B3545" s="398"/>
      <c r="C3545" s="398"/>
      <c r="D3545" s="398"/>
      <c r="E3545" s="398"/>
      <c r="F3545" s="398"/>
      <c r="G3545" s="398"/>
    </row>
    <row r="3546" spans="1:7">
      <c r="A3546" s="398"/>
      <c r="B3546" s="398"/>
      <c r="C3546" s="398"/>
      <c r="D3546" s="398"/>
      <c r="E3546" s="398"/>
      <c r="F3546" s="398"/>
      <c r="G3546" s="398"/>
    </row>
    <row r="3547" spans="1:7">
      <c r="A3547" s="398"/>
      <c r="B3547" s="398"/>
      <c r="C3547" s="398"/>
      <c r="D3547" s="398"/>
      <c r="E3547" s="398"/>
      <c r="F3547" s="398"/>
      <c r="G3547" s="398"/>
    </row>
    <row r="3548" spans="1:7">
      <c r="A3548" s="398"/>
      <c r="B3548" s="398"/>
      <c r="C3548" s="398"/>
      <c r="D3548" s="398"/>
      <c r="E3548" s="398"/>
      <c r="F3548" s="398"/>
      <c r="G3548" s="398"/>
    </row>
    <row r="3549" spans="1:7">
      <c r="A3549" s="398"/>
      <c r="B3549" s="398"/>
      <c r="C3549" s="398"/>
      <c r="D3549" s="398"/>
      <c r="E3549" s="398"/>
      <c r="F3549" s="398"/>
      <c r="G3549" s="398"/>
    </row>
    <row r="3550" spans="1:7">
      <c r="A3550" s="398"/>
      <c r="B3550" s="398"/>
      <c r="C3550" s="398"/>
      <c r="D3550" s="398"/>
      <c r="E3550" s="398"/>
      <c r="F3550" s="398"/>
      <c r="G3550" s="398"/>
    </row>
    <row r="3551" spans="1:7">
      <c r="A3551" s="398"/>
      <c r="B3551" s="398"/>
      <c r="C3551" s="398"/>
      <c r="D3551" s="398"/>
      <c r="E3551" s="398"/>
      <c r="F3551" s="398"/>
      <c r="G3551" s="398"/>
    </row>
    <row r="3552" spans="1:7">
      <c r="A3552" s="398"/>
      <c r="B3552" s="398"/>
      <c r="C3552" s="398"/>
      <c r="D3552" s="398"/>
      <c r="E3552" s="398"/>
      <c r="F3552" s="398"/>
      <c r="G3552" s="398"/>
    </row>
    <row r="3553" spans="1:7">
      <c r="A3553" s="398"/>
      <c r="B3553" s="398"/>
      <c r="C3553" s="398"/>
      <c r="D3553" s="398"/>
      <c r="E3553" s="398"/>
      <c r="F3553" s="398"/>
      <c r="G3553" s="398"/>
    </row>
    <row r="3554" spans="1:7">
      <c r="A3554" s="398"/>
      <c r="B3554" s="398"/>
      <c r="C3554" s="398"/>
      <c r="D3554" s="398"/>
      <c r="E3554" s="398"/>
      <c r="F3554" s="398"/>
      <c r="G3554" s="398"/>
    </row>
    <row r="3555" spans="1:7">
      <c r="A3555" s="398"/>
      <c r="B3555" s="398"/>
      <c r="C3555" s="398"/>
      <c r="D3555" s="398"/>
      <c r="E3555" s="398"/>
      <c r="F3555" s="398"/>
      <c r="G3555" s="398"/>
    </row>
    <row r="3556" spans="1:7">
      <c r="A3556" s="398"/>
      <c r="B3556" s="398"/>
      <c r="C3556" s="398"/>
      <c r="D3556" s="398"/>
      <c r="E3556" s="398"/>
      <c r="F3556" s="398"/>
      <c r="G3556" s="398"/>
    </row>
    <row r="3557" spans="1:7">
      <c r="A3557" s="398"/>
      <c r="B3557" s="398"/>
      <c r="C3557" s="398"/>
      <c r="D3557" s="398"/>
      <c r="E3557" s="398"/>
      <c r="F3557" s="398"/>
      <c r="G3557" s="398"/>
    </row>
    <row r="3558" spans="1:7">
      <c r="A3558" s="398"/>
      <c r="B3558" s="398"/>
      <c r="C3558" s="398"/>
      <c r="D3558" s="398"/>
      <c r="E3558" s="398"/>
      <c r="F3558" s="398"/>
      <c r="G3558" s="398"/>
    </row>
    <row r="3559" spans="1:7">
      <c r="A3559" s="398"/>
      <c r="B3559" s="398"/>
      <c r="C3559" s="398"/>
      <c r="D3559" s="398"/>
      <c r="E3559" s="398"/>
      <c r="F3559" s="398"/>
      <c r="G3559" s="398"/>
    </row>
    <row r="3560" spans="1:7">
      <c r="A3560" s="398"/>
      <c r="B3560" s="398"/>
      <c r="C3560" s="398"/>
      <c r="D3560" s="398"/>
      <c r="E3560" s="398"/>
      <c r="F3560" s="398"/>
      <c r="G3560" s="398"/>
    </row>
    <row r="3563" spans="1:7" ht="17.45">
      <c r="A3563" s="233" t="s">
        <v>394</v>
      </c>
      <c r="B3563" s="23" t="s">
        <v>278</v>
      </c>
      <c r="C3563" s="23" t="s">
        <v>279</v>
      </c>
    </row>
    <row r="3564" spans="1:7">
      <c r="A3564" s="23" t="s">
        <v>372</v>
      </c>
      <c r="B3564" s="23">
        <v>0.17271</v>
      </c>
      <c r="C3564" s="23" t="s">
        <v>128</v>
      </c>
    </row>
    <row r="3565" spans="1:7">
      <c r="A3565" s="23" t="s">
        <v>290</v>
      </c>
      <c r="B3565" s="23">
        <v>3324.81</v>
      </c>
      <c r="C3565" s="23" t="s">
        <v>98</v>
      </c>
    </row>
    <row r="3570" spans="1:7">
      <c r="A3570" s="398"/>
      <c r="B3570" s="398"/>
      <c r="C3570" s="398"/>
      <c r="D3570" s="398"/>
      <c r="E3570" s="398"/>
      <c r="F3570" s="398"/>
      <c r="G3570" s="398"/>
    </row>
    <row r="3571" spans="1:7">
      <c r="A3571" s="398"/>
      <c r="B3571" s="398"/>
      <c r="C3571" s="398"/>
      <c r="D3571" s="398"/>
      <c r="E3571" s="398"/>
      <c r="F3571" s="398"/>
      <c r="G3571" s="398"/>
    </row>
    <row r="3572" spans="1:7">
      <c r="A3572" s="398"/>
      <c r="B3572" s="398"/>
      <c r="C3572" s="398"/>
      <c r="D3572" s="398"/>
      <c r="E3572" s="398"/>
      <c r="F3572" s="398"/>
      <c r="G3572" s="398"/>
    </row>
    <row r="3573" spans="1:7">
      <c r="A3573" s="398"/>
      <c r="B3573" s="398"/>
      <c r="C3573" s="398"/>
      <c r="D3573" s="398"/>
      <c r="E3573" s="398"/>
      <c r="F3573" s="398"/>
      <c r="G3573" s="398"/>
    </row>
    <row r="3574" spans="1:7">
      <c r="A3574" s="398"/>
      <c r="B3574" s="398"/>
      <c r="C3574" s="398"/>
      <c r="D3574" s="398"/>
      <c r="E3574" s="398"/>
      <c r="F3574" s="398"/>
      <c r="G3574" s="398"/>
    </row>
    <row r="3575" spans="1:7">
      <c r="A3575" s="398"/>
      <c r="B3575" s="398"/>
      <c r="C3575" s="398"/>
      <c r="D3575" s="398"/>
      <c r="E3575" s="398"/>
      <c r="F3575" s="398"/>
      <c r="G3575" s="398"/>
    </row>
    <row r="3576" spans="1:7">
      <c r="A3576" s="398"/>
      <c r="B3576" s="398"/>
      <c r="C3576" s="398"/>
      <c r="D3576" s="398"/>
      <c r="E3576" s="398"/>
      <c r="F3576" s="398"/>
      <c r="G3576" s="398"/>
    </row>
    <row r="3577" spans="1:7">
      <c r="A3577" s="398"/>
      <c r="B3577" s="398"/>
      <c r="C3577" s="398"/>
      <c r="D3577" s="398"/>
      <c r="E3577" s="398"/>
      <c r="F3577" s="398"/>
      <c r="G3577" s="398"/>
    </row>
    <row r="3578" spans="1:7">
      <c r="A3578" s="398"/>
      <c r="B3578" s="398"/>
      <c r="C3578" s="398"/>
      <c r="D3578" s="398"/>
      <c r="E3578" s="398"/>
      <c r="F3578" s="398"/>
      <c r="G3578" s="398"/>
    </row>
    <row r="3579" spans="1:7">
      <c r="A3579" s="398"/>
      <c r="B3579" s="398"/>
      <c r="C3579" s="398"/>
      <c r="D3579" s="398"/>
      <c r="E3579" s="398"/>
      <c r="F3579" s="398"/>
      <c r="G3579" s="398"/>
    </row>
    <row r="3580" spans="1:7">
      <c r="A3580" s="398"/>
      <c r="B3580" s="398"/>
      <c r="C3580" s="398"/>
      <c r="D3580" s="398"/>
      <c r="E3580" s="398"/>
      <c r="F3580" s="398"/>
      <c r="G3580" s="398"/>
    </row>
    <row r="3581" spans="1:7">
      <c r="A3581" s="398"/>
      <c r="B3581" s="398"/>
      <c r="C3581" s="398"/>
      <c r="D3581" s="398"/>
      <c r="E3581" s="398"/>
      <c r="F3581" s="398"/>
      <c r="G3581" s="398"/>
    </row>
    <row r="3582" spans="1:7">
      <c r="A3582" s="398"/>
      <c r="B3582" s="398"/>
      <c r="C3582" s="398"/>
      <c r="D3582" s="398"/>
      <c r="E3582" s="398"/>
      <c r="F3582" s="398"/>
      <c r="G3582" s="398"/>
    </row>
    <row r="3583" spans="1:7">
      <c r="A3583" s="398"/>
      <c r="B3583" s="398"/>
      <c r="C3583" s="398"/>
      <c r="D3583" s="398"/>
      <c r="E3583" s="398"/>
      <c r="F3583" s="398"/>
      <c r="G3583" s="398"/>
    </row>
    <row r="3584" spans="1:7">
      <c r="A3584" s="398"/>
      <c r="B3584" s="398"/>
      <c r="C3584" s="398"/>
      <c r="D3584" s="398"/>
      <c r="E3584" s="398"/>
      <c r="F3584" s="398"/>
      <c r="G3584" s="398"/>
    </row>
    <row r="3585" spans="1:7">
      <c r="A3585" s="398"/>
      <c r="B3585" s="398"/>
      <c r="C3585" s="398"/>
      <c r="D3585" s="398"/>
      <c r="E3585" s="398"/>
      <c r="F3585" s="398"/>
      <c r="G3585" s="398"/>
    </row>
    <row r="3586" spans="1:7">
      <c r="A3586" s="398"/>
      <c r="B3586" s="398"/>
      <c r="C3586" s="398"/>
      <c r="D3586" s="398"/>
      <c r="E3586" s="398"/>
      <c r="F3586" s="398"/>
      <c r="G3586" s="398"/>
    </row>
    <row r="3587" spans="1:7">
      <c r="A3587" s="398"/>
      <c r="B3587" s="398"/>
      <c r="C3587" s="398"/>
      <c r="D3587" s="398"/>
      <c r="E3587" s="398"/>
      <c r="F3587" s="398"/>
      <c r="G3587" s="398"/>
    </row>
    <row r="3588" spans="1:7">
      <c r="A3588" s="398"/>
      <c r="B3588" s="398"/>
      <c r="C3588" s="398"/>
      <c r="D3588" s="398"/>
      <c r="E3588" s="398"/>
      <c r="F3588" s="398"/>
      <c r="G3588" s="398"/>
    </row>
    <row r="3589" spans="1:7">
      <c r="A3589" s="398"/>
      <c r="B3589" s="398"/>
      <c r="C3589" s="398"/>
      <c r="D3589" s="398"/>
      <c r="E3589" s="398"/>
      <c r="F3589" s="398"/>
      <c r="G3589" s="398"/>
    </row>
    <row r="3590" spans="1:7">
      <c r="A3590" s="398"/>
      <c r="B3590" s="398"/>
      <c r="C3590" s="398"/>
      <c r="D3590" s="398"/>
      <c r="E3590" s="398"/>
      <c r="F3590" s="398"/>
      <c r="G3590" s="398"/>
    </row>
    <row r="3591" spans="1:7">
      <c r="A3591" s="398"/>
      <c r="B3591" s="398"/>
      <c r="C3591" s="398"/>
      <c r="D3591" s="398"/>
      <c r="E3591" s="398"/>
      <c r="F3591" s="398"/>
      <c r="G3591" s="398"/>
    </row>
    <row r="3592" spans="1:7">
      <c r="A3592" s="398"/>
      <c r="B3592" s="398"/>
      <c r="C3592" s="398"/>
      <c r="D3592" s="398"/>
      <c r="E3592" s="398"/>
      <c r="F3592" s="398"/>
      <c r="G3592" s="398"/>
    </row>
    <row r="3593" spans="1:7">
      <c r="A3593" s="398"/>
      <c r="B3593" s="398"/>
      <c r="C3593" s="398"/>
      <c r="D3593" s="398"/>
      <c r="E3593" s="398"/>
      <c r="F3593" s="398"/>
      <c r="G3593" s="398"/>
    </row>
    <row r="3594" spans="1:7">
      <c r="A3594" s="398"/>
      <c r="B3594" s="398"/>
      <c r="C3594" s="398"/>
      <c r="D3594" s="398"/>
      <c r="E3594" s="398"/>
      <c r="F3594" s="398"/>
      <c r="G3594" s="398"/>
    </row>
    <row r="3595" spans="1:7">
      <c r="A3595" s="398"/>
      <c r="B3595" s="398"/>
      <c r="C3595" s="398"/>
      <c r="D3595" s="398"/>
      <c r="E3595" s="398"/>
      <c r="F3595" s="398"/>
      <c r="G3595" s="398"/>
    </row>
    <row r="3596" spans="1:7">
      <c r="A3596" s="398"/>
      <c r="B3596" s="398"/>
      <c r="C3596" s="398"/>
      <c r="D3596" s="398"/>
      <c r="E3596" s="398"/>
      <c r="F3596" s="398"/>
      <c r="G3596" s="398"/>
    </row>
    <row r="3597" spans="1:7">
      <c r="A3597" s="398"/>
      <c r="B3597" s="398"/>
      <c r="C3597" s="398"/>
      <c r="D3597" s="398"/>
      <c r="E3597" s="398"/>
      <c r="F3597" s="398"/>
      <c r="G3597" s="398"/>
    </row>
    <row r="3598" spans="1:7">
      <c r="A3598" s="398"/>
      <c r="B3598" s="398"/>
      <c r="C3598" s="398"/>
      <c r="D3598" s="398"/>
      <c r="E3598" s="398"/>
      <c r="F3598" s="398"/>
      <c r="G3598" s="398"/>
    </row>
    <row r="3599" spans="1:7">
      <c r="A3599" s="398"/>
      <c r="B3599" s="398"/>
      <c r="C3599" s="398"/>
      <c r="D3599" s="398"/>
      <c r="E3599" s="398"/>
      <c r="F3599" s="398"/>
      <c r="G3599" s="398"/>
    </row>
    <row r="3600" spans="1:7">
      <c r="A3600" s="398"/>
      <c r="B3600" s="398"/>
      <c r="C3600" s="398"/>
      <c r="D3600" s="398"/>
      <c r="E3600" s="398"/>
      <c r="F3600" s="398"/>
      <c r="G3600" s="398"/>
    </row>
    <row r="3601" spans="1:7">
      <c r="A3601" s="398"/>
      <c r="B3601" s="398"/>
      <c r="C3601" s="398"/>
      <c r="D3601" s="398"/>
      <c r="E3601" s="398"/>
      <c r="F3601" s="398"/>
      <c r="G3601" s="398"/>
    </row>
    <row r="3602" spans="1:7">
      <c r="A3602" s="398"/>
      <c r="B3602" s="398"/>
      <c r="C3602" s="398"/>
      <c r="D3602" s="398"/>
      <c r="E3602" s="398"/>
      <c r="F3602" s="398"/>
      <c r="G3602" s="398"/>
    </row>
    <row r="3603" spans="1:7">
      <c r="A3603" s="398"/>
      <c r="B3603" s="398"/>
      <c r="C3603" s="398"/>
      <c r="D3603" s="398"/>
      <c r="E3603" s="398"/>
      <c r="F3603" s="398"/>
      <c r="G3603" s="398"/>
    </row>
    <row r="3604" spans="1:7">
      <c r="A3604" s="398"/>
      <c r="B3604" s="398"/>
      <c r="C3604" s="398"/>
      <c r="D3604" s="398"/>
      <c r="E3604" s="398"/>
      <c r="F3604" s="398"/>
      <c r="G3604" s="398"/>
    </row>
    <row r="3605" spans="1:7">
      <c r="A3605" s="398"/>
      <c r="B3605" s="398"/>
      <c r="C3605" s="398"/>
      <c r="D3605" s="398"/>
      <c r="E3605" s="398"/>
      <c r="F3605" s="398"/>
      <c r="G3605" s="398"/>
    </row>
    <row r="3606" spans="1:7">
      <c r="A3606" s="398"/>
      <c r="B3606" s="398"/>
      <c r="C3606" s="398"/>
      <c r="D3606" s="398"/>
      <c r="E3606" s="398"/>
      <c r="F3606" s="398"/>
      <c r="G3606" s="398"/>
    </row>
    <row r="3607" spans="1:7">
      <c r="A3607" s="398"/>
      <c r="B3607" s="398"/>
      <c r="C3607" s="398"/>
      <c r="D3607" s="398"/>
      <c r="E3607" s="398"/>
      <c r="F3607" s="398"/>
      <c r="G3607" s="398"/>
    </row>
    <row r="3608" spans="1:7">
      <c r="A3608" s="398"/>
      <c r="B3608" s="398"/>
      <c r="C3608" s="398"/>
      <c r="D3608" s="398"/>
      <c r="E3608" s="398"/>
      <c r="F3608" s="398"/>
      <c r="G3608" s="398"/>
    </row>
    <row r="3609" spans="1:7">
      <c r="A3609" s="398"/>
      <c r="B3609" s="398"/>
      <c r="C3609" s="398"/>
      <c r="D3609" s="398"/>
      <c r="E3609" s="398"/>
      <c r="F3609" s="398"/>
      <c r="G3609" s="398"/>
    </row>
    <row r="3610" spans="1:7">
      <c r="A3610" s="398"/>
      <c r="B3610" s="398"/>
      <c r="C3610" s="398"/>
      <c r="D3610" s="398"/>
      <c r="E3610" s="398"/>
      <c r="F3610" s="398"/>
      <c r="G3610" s="398"/>
    </row>
    <row r="3613" spans="1:7" ht="17.45">
      <c r="A3613" s="233" t="s">
        <v>395</v>
      </c>
      <c r="B3613" s="23" t="s">
        <v>278</v>
      </c>
      <c r="C3613" s="23" t="s">
        <v>279</v>
      </c>
    </row>
    <row r="3614" spans="1:7">
      <c r="A3614" s="23" t="s">
        <v>372</v>
      </c>
      <c r="B3614" s="23">
        <v>0.18537000000000001</v>
      </c>
      <c r="C3614" s="23" t="s">
        <v>128</v>
      </c>
    </row>
    <row r="3615" spans="1:7">
      <c r="A3615" s="23" t="s">
        <v>290</v>
      </c>
      <c r="B3615" s="23">
        <v>4335.01</v>
      </c>
      <c r="C3615" s="23" t="s">
        <v>98</v>
      </c>
    </row>
    <row r="3620" spans="1:7">
      <c r="A3620" s="398"/>
      <c r="B3620" s="398"/>
      <c r="C3620" s="398"/>
      <c r="D3620" s="398"/>
      <c r="E3620" s="398"/>
      <c r="F3620" s="398"/>
      <c r="G3620" s="398"/>
    </row>
    <row r="3621" spans="1:7">
      <c r="A3621" s="398"/>
      <c r="B3621" s="398"/>
      <c r="C3621" s="398"/>
      <c r="D3621" s="398"/>
      <c r="E3621" s="398"/>
      <c r="F3621" s="398"/>
      <c r="G3621" s="398"/>
    </row>
    <row r="3622" spans="1:7">
      <c r="A3622" s="398"/>
      <c r="B3622" s="398"/>
      <c r="C3622" s="398"/>
      <c r="D3622" s="398"/>
      <c r="E3622" s="398"/>
      <c r="F3622" s="398"/>
      <c r="G3622" s="398"/>
    </row>
    <row r="3623" spans="1:7">
      <c r="A3623" s="398"/>
      <c r="B3623" s="398"/>
      <c r="C3623" s="398"/>
      <c r="D3623" s="398"/>
      <c r="E3623" s="398"/>
      <c r="F3623" s="398"/>
      <c r="G3623" s="398"/>
    </row>
    <row r="3624" spans="1:7">
      <c r="A3624" s="398"/>
      <c r="B3624" s="398"/>
      <c r="C3624" s="398"/>
      <c r="D3624" s="398"/>
      <c r="E3624" s="398"/>
      <c r="F3624" s="398"/>
      <c r="G3624" s="398"/>
    </row>
    <row r="3625" spans="1:7">
      <c r="A3625" s="398"/>
      <c r="B3625" s="398"/>
      <c r="C3625" s="398"/>
      <c r="D3625" s="398"/>
      <c r="E3625" s="398"/>
      <c r="F3625" s="398"/>
      <c r="G3625" s="398"/>
    </row>
    <row r="3626" spans="1:7">
      <c r="A3626" s="398"/>
      <c r="B3626" s="398"/>
      <c r="C3626" s="398"/>
      <c r="D3626" s="398"/>
      <c r="E3626" s="398"/>
      <c r="F3626" s="398"/>
      <c r="G3626" s="398"/>
    </row>
    <row r="3627" spans="1:7">
      <c r="A3627" s="398"/>
      <c r="B3627" s="398"/>
      <c r="C3627" s="398"/>
      <c r="D3627" s="398"/>
      <c r="E3627" s="398"/>
      <c r="F3627" s="398"/>
      <c r="G3627" s="398"/>
    </row>
    <row r="3628" spans="1:7">
      <c r="A3628" s="398"/>
      <c r="B3628" s="398"/>
      <c r="C3628" s="398"/>
      <c r="D3628" s="398"/>
      <c r="E3628" s="398"/>
      <c r="F3628" s="398"/>
      <c r="G3628" s="398"/>
    </row>
    <row r="3629" spans="1:7">
      <c r="A3629" s="398"/>
      <c r="B3629" s="398"/>
      <c r="C3629" s="398"/>
      <c r="D3629" s="398"/>
      <c r="E3629" s="398"/>
      <c r="F3629" s="398"/>
      <c r="G3629" s="398"/>
    </row>
    <row r="3630" spans="1:7">
      <c r="A3630" s="398"/>
      <c r="B3630" s="398"/>
      <c r="C3630" s="398"/>
      <c r="D3630" s="398"/>
      <c r="E3630" s="398"/>
      <c r="F3630" s="398"/>
      <c r="G3630" s="398"/>
    </row>
    <row r="3631" spans="1:7">
      <c r="A3631" s="398"/>
      <c r="B3631" s="398"/>
      <c r="C3631" s="398"/>
      <c r="D3631" s="398"/>
      <c r="E3631" s="398"/>
      <c r="F3631" s="398"/>
      <c r="G3631" s="398"/>
    </row>
    <row r="3632" spans="1:7">
      <c r="A3632" s="398"/>
      <c r="B3632" s="398"/>
      <c r="C3632" s="398"/>
      <c r="D3632" s="398"/>
      <c r="E3632" s="398"/>
      <c r="F3632" s="398"/>
      <c r="G3632" s="398"/>
    </row>
    <row r="3633" spans="1:7">
      <c r="A3633" s="398"/>
      <c r="B3633" s="398"/>
      <c r="C3633" s="398"/>
      <c r="D3633" s="398"/>
      <c r="E3633" s="398"/>
      <c r="F3633" s="398"/>
      <c r="G3633" s="398"/>
    </row>
    <row r="3634" spans="1:7">
      <c r="A3634" s="398"/>
      <c r="B3634" s="398"/>
      <c r="C3634" s="398"/>
      <c r="D3634" s="398"/>
      <c r="E3634" s="398"/>
      <c r="F3634" s="398"/>
      <c r="G3634" s="398"/>
    </row>
    <row r="3635" spans="1:7">
      <c r="A3635" s="398"/>
      <c r="B3635" s="398"/>
      <c r="C3635" s="398"/>
      <c r="D3635" s="398"/>
      <c r="E3635" s="398"/>
      <c r="F3635" s="398"/>
      <c r="G3635" s="398"/>
    </row>
    <row r="3636" spans="1:7">
      <c r="A3636" s="398"/>
      <c r="B3636" s="398"/>
      <c r="C3636" s="398"/>
      <c r="D3636" s="398"/>
      <c r="E3636" s="398"/>
      <c r="F3636" s="398"/>
      <c r="G3636" s="398"/>
    </row>
    <row r="3637" spans="1:7">
      <c r="A3637" s="398"/>
      <c r="B3637" s="398"/>
      <c r="C3637" s="398"/>
      <c r="D3637" s="398"/>
      <c r="E3637" s="398"/>
      <c r="F3637" s="398"/>
      <c r="G3637" s="398"/>
    </row>
    <row r="3638" spans="1:7">
      <c r="A3638" s="398"/>
      <c r="B3638" s="398"/>
      <c r="C3638" s="398"/>
      <c r="D3638" s="398"/>
      <c r="E3638" s="398"/>
      <c r="F3638" s="398"/>
      <c r="G3638" s="398"/>
    </row>
    <row r="3639" spans="1:7">
      <c r="A3639" s="398"/>
      <c r="B3639" s="398"/>
      <c r="C3639" s="398"/>
      <c r="D3639" s="398"/>
      <c r="E3639" s="398"/>
      <c r="F3639" s="398"/>
      <c r="G3639" s="398"/>
    </row>
    <row r="3640" spans="1:7">
      <c r="A3640" s="398"/>
      <c r="B3640" s="398"/>
      <c r="C3640" s="398"/>
      <c r="D3640" s="398"/>
      <c r="E3640" s="398"/>
      <c r="F3640" s="398"/>
      <c r="G3640" s="398"/>
    </row>
    <row r="3641" spans="1:7">
      <c r="A3641" s="398"/>
      <c r="B3641" s="398"/>
      <c r="C3641" s="398"/>
      <c r="D3641" s="398"/>
      <c r="E3641" s="398"/>
      <c r="F3641" s="398"/>
      <c r="G3641" s="398"/>
    </row>
    <row r="3642" spans="1:7">
      <c r="A3642" s="398"/>
      <c r="B3642" s="398"/>
      <c r="C3642" s="398"/>
      <c r="D3642" s="398"/>
      <c r="E3642" s="398"/>
      <c r="F3642" s="398"/>
      <c r="G3642" s="398"/>
    </row>
    <row r="3643" spans="1:7">
      <c r="A3643" s="398"/>
      <c r="B3643" s="398"/>
      <c r="C3643" s="398"/>
      <c r="D3643" s="398"/>
      <c r="E3643" s="398"/>
      <c r="F3643" s="398"/>
      <c r="G3643" s="398"/>
    </row>
    <row r="3644" spans="1:7">
      <c r="A3644" s="398"/>
      <c r="B3644" s="398"/>
      <c r="C3644" s="398"/>
      <c r="D3644" s="398"/>
      <c r="E3644" s="398"/>
      <c r="F3644" s="398"/>
      <c r="G3644" s="398"/>
    </row>
    <row r="3645" spans="1:7">
      <c r="A3645" s="398"/>
      <c r="B3645" s="398"/>
      <c r="C3645" s="398"/>
      <c r="D3645" s="398"/>
      <c r="E3645" s="398"/>
      <c r="F3645" s="398"/>
      <c r="G3645" s="398"/>
    </row>
    <row r="3646" spans="1:7">
      <c r="A3646" s="398"/>
      <c r="B3646" s="398"/>
      <c r="C3646" s="398"/>
      <c r="D3646" s="398"/>
      <c r="E3646" s="398"/>
      <c r="F3646" s="398"/>
      <c r="G3646" s="398"/>
    </row>
    <row r="3647" spans="1:7">
      <c r="A3647" s="398"/>
      <c r="B3647" s="398"/>
      <c r="C3647" s="398"/>
      <c r="D3647" s="398"/>
      <c r="E3647" s="398"/>
      <c r="F3647" s="398"/>
      <c r="G3647" s="398"/>
    </row>
    <row r="3648" spans="1:7">
      <c r="A3648" s="398"/>
      <c r="B3648" s="398"/>
      <c r="C3648" s="398"/>
      <c r="D3648" s="398"/>
      <c r="E3648" s="398"/>
      <c r="F3648" s="398"/>
      <c r="G3648" s="398"/>
    </row>
    <row r="3649" spans="1:7">
      <c r="A3649" s="398"/>
      <c r="B3649" s="398"/>
      <c r="C3649" s="398"/>
      <c r="D3649" s="398"/>
      <c r="E3649" s="398"/>
      <c r="F3649" s="398"/>
      <c r="G3649" s="398"/>
    </row>
    <row r="3650" spans="1:7">
      <c r="A3650" s="398"/>
      <c r="B3650" s="398"/>
      <c r="C3650" s="398"/>
      <c r="D3650" s="398"/>
      <c r="E3650" s="398"/>
      <c r="F3650" s="398"/>
      <c r="G3650" s="398"/>
    </row>
    <row r="3651" spans="1:7">
      <c r="A3651" s="398"/>
      <c r="B3651" s="398"/>
      <c r="C3651" s="398"/>
      <c r="D3651" s="398"/>
      <c r="E3651" s="398"/>
      <c r="F3651" s="398"/>
      <c r="G3651" s="398"/>
    </row>
    <row r="3652" spans="1:7">
      <c r="A3652" s="398"/>
      <c r="B3652" s="398"/>
      <c r="C3652" s="398"/>
      <c r="D3652" s="398"/>
      <c r="E3652" s="398"/>
      <c r="F3652" s="398"/>
      <c r="G3652" s="398"/>
    </row>
    <row r="3653" spans="1:7">
      <c r="A3653" s="398"/>
      <c r="B3653" s="398"/>
      <c r="C3653" s="398"/>
      <c r="D3653" s="398"/>
      <c r="E3653" s="398"/>
      <c r="F3653" s="398"/>
      <c r="G3653" s="398"/>
    </row>
    <row r="3654" spans="1:7">
      <c r="A3654" s="398"/>
      <c r="B3654" s="398"/>
      <c r="C3654" s="398"/>
      <c r="D3654" s="398"/>
      <c r="E3654" s="398"/>
      <c r="F3654" s="398"/>
      <c r="G3654" s="398"/>
    </row>
    <row r="3655" spans="1:7">
      <c r="A3655" s="398"/>
      <c r="B3655" s="398"/>
      <c r="C3655" s="398"/>
      <c r="D3655" s="398"/>
      <c r="E3655" s="398"/>
      <c r="F3655" s="398"/>
      <c r="G3655" s="398"/>
    </row>
    <row r="3656" spans="1:7">
      <c r="A3656" s="398"/>
      <c r="B3656" s="398"/>
      <c r="C3656" s="398"/>
      <c r="D3656" s="398"/>
      <c r="E3656" s="398"/>
      <c r="F3656" s="398"/>
      <c r="G3656" s="398"/>
    </row>
    <row r="3657" spans="1:7">
      <c r="A3657" s="398"/>
      <c r="B3657" s="398"/>
      <c r="C3657" s="398"/>
      <c r="D3657" s="398"/>
      <c r="E3657" s="398"/>
      <c r="F3657" s="398"/>
      <c r="G3657" s="398"/>
    </row>
    <row r="3658" spans="1:7">
      <c r="A3658" s="398"/>
      <c r="B3658" s="398"/>
      <c r="C3658" s="398"/>
      <c r="D3658" s="398"/>
      <c r="E3658" s="398"/>
      <c r="F3658" s="398"/>
      <c r="G3658" s="398"/>
    </row>
    <row r="3659" spans="1:7">
      <c r="A3659" s="398"/>
      <c r="B3659" s="398"/>
      <c r="C3659" s="398"/>
      <c r="D3659" s="398"/>
      <c r="E3659" s="398"/>
      <c r="F3659" s="398"/>
      <c r="G3659" s="398"/>
    </row>
    <row r="3660" spans="1:7">
      <c r="A3660" s="398"/>
      <c r="B3660" s="398"/>
      <c r="C3660" s="398"/>
      <c r="D3660" s="398"/>
      <c r="E3660" s="398"/>
      <c r="F3660" s="398"/>
      <c r="G3660" s="398"/>
    </row>
    <row r="3663" spans="1:7" ht="17.45">
      <c r="A3663" s="233" t="s">
        <v>396</v>
      </c>
      <c r="B3663" s="23" t="s">
        <v>278</v>
      </c>
      <c r="C3663" s="23" t="s">
        <v>279</v>
      </c>
    </row>
    <row r="3664" spans="1:7">
      <c r="A3664" s="23" t="s">
        <v>372</v>
      </c>
      <c r="B3664" s="23">
        <v>0.16767000000000001</v>
      </c>
      <c r="C3664" s="23" t="s">
        <v>128</v>
      </c>
    </row>
    <row r="3665" spans="1:7">
      <c r="A3665" s="23" t="s">
        <v>290</v>
      </c>
      <c r="B3665" s="23">
        <v>2608.62</v>
      </c>
      <c r="C3665" s="23" t="s">
        <v>98</v>
      </c>
    </row>
    <row r="3670" spans="1:7">
      <c r="A3670" s="398"/>
      <c r="B3670" s="398"/>
      <c r="C3670" s="398"/>
      <c r="D3670" s="398"/>
      <c r="E3670" s="398"/>
      <c r="F3670" s="398"/>
      <c r="G3670" s="398"/>
    </row>
    <row r="3671" spans="1:7">
      <c r="A3671" s="398"/>
      <c r="B3671" s="398"/>
      <c r="C3671" s="398"/>
      <c r="D3671" s="398"/>
      <c r="E3671" s="398"/>
      <c r="F3671" s="398"/>
      <c r="G3671" s="398"/>
    </row>
    <row r="3672" spans="1:7">
      <c r="A3672" s="398"/>
      <c r="B3672" s="398"/>
      <c r="C3672" s="398"/>
      <c r="D3672" s="398"/>
      <c r="E3672" s="398"/>
      <c r="F3672" s="398"/>
      <c r="G3672" s="398"/>
    </row>
    <row r="3673" spans="1:7">
      <c r="A3673" s="398"/>
      <c r="B3673" s="398"/>
      <c r="C3673" s="398"/>
      <c r="D3673" s="398"/>
      <c r="E3673" s="398"/>
      <c r="F3673" s="398"/>
      <c r="G3673" s="398"/>
    </row>
    <row r="3674" spans="1:7">
      <c r="A3674" s="398"/>
      <c r="B3674" s="398"/>
      <c r="C3674" s="398"/>
      <c r="D3674" s="398"/>
      <c r="E3674" s="398"/>
      <c r="F3674" s="398"/>
      <c r="G3674" s="398"/>
    </row>
    <row r="3675" spans="1:7">
      <c r="A3675" s="398"/>
      <c r="B3675" s="398"/>
      <c r="C3675" s="398"/>
      <c r="D3675" s="398"/>
      <c r="E3675" s="398"/>
      <c r="F3675" s="398"/>
      <c r="G3675" s="398"/>
    </row>
    <row r="3676" spans="1:7">
      <c r="A3676" s="398"/>
      <c r="B3676" s="398"/>
      <c r="C3676" s="398"/>
      <c r="D3676" s="398"/>
      <c r="E3676" s="398"/>
      <c r="F3676" s="398"/>
      <c r="G3676" s="398"/>
    </row>
    <row r="3677" spans="1:7">
      <c r="A3677" s="398"/>
      <c r="B3677" s="398"/>
      <c r="C3677" s="398"/>
      <c r="D3677" s="398"/>
      <c r="E3677" s="398"/>
      <c r="F3677" s="398"/>
      <c r="G3677" s="398"/>
    </row>
    <row r="3678" spans="1:7">
      <c r="A3678" s="398"/>
      <c r="B3678" s="398"/>
      <c r="C3678" s="398"/>
      <c r="D3678" s="398"/>
      <c r="E3678" s="398"/>
      <c r="F3678" s="398"/>
      <c r="G3678" s="398"/>
    </row>
    <row r="3679" spans="1:7">
      <c r="A3679" s="398"/>
      <c r="B3679" s="398"/>
      <c r="C3679" s="398"/>
      <c r="D3679" s="398"/>
      <c r="E3679" s="398"/>
      <c r="F3679" s="398"/>
      <c r="G3679" s="398"/>
    </row>
    <row r="3680" spans="1:7">
      <c r="A3680" s="398"/>
      <c r="B3680" s="398"/>
      <c r="C3680" s="398"/>
      <c r="D3680" s="398"/>
      <c r="E3680" s="398"/>
      <c r="F3680" s="398"/>
      <c r="G3680" s="398"/>
    </row>
    <row r="3681" spans="1:7">
      <c r="A3681" s="398"/>
      <c r="B3681" s="398"/>
      <c r="C3681" s="398"/>
      <c r="D3681" s="398"/>
      <c r="E3681" s="398"/>
      <c r="F3681" s="398"/>
      <c r="G3681" s="398"/>
    </row>
    <row r="3682" spans="1:7">
      <c r="A3682" s="398"/>
      <c r="B3682" s="398"/>
      <c r="C3682" s="398"/>
      <c r="D3682" s="398"/>
      <c r="E3682" s="398"/>
      <c r="F3682" s="398"/>
      <c r="G3682" s="398"/>
    </row>
    <row r="3683" spans="1:7">
      <c r="A3683" s="398"/>
      <c r="B3683" s="398"/>
      <c r="C3683" s="398"/>
      <c r="D3683" s="398"/>
      <c r="E3683" s="398"/>
      <c r="F3683" s="398"/>
      <c r="G3683" s="398"/>
    </row>
    <row r="3684" spans="1:7">
      <c r="A3684" s="398"/>
      <c r="B3684" s="398"/>
      <c r="C3684" s="398"/>
      <c r="D3684" s="398"/>
      <c r="E3684" s="398"/>
      <c r="F3684" s="398"/>
      <c r="G3684" s="398"/>
    </row>
    <row r="3685" spans="1:7">
      <c r="A3685" s="398"/>
      <c r="B3685" s="398"/>
      <c r="C3685" s="398"/>
      <c r="D3685" s="398"/>
      <c r="E3685" s="398"/>
      <c r="F3685" s="398"/>
      <c r="G3685" s="398"/>
    </row>
    <row r="3686" spans="1:7">
      <c r="A3686" s="398"/>
      <c r="B3686" s="398"/>
      <c r="C3686" s="398"/>
      <c r="D3686" s="398"/>
      <c r="E3686" s="398"/>
      <c r="F3686" s="398"/>
      <c r="G3686" s="398"/>
    </row>
    <row r="3687" spans="1:7">
      <c r="A3687" s="398"/>
      <c r="B3687" s="398"/>
      <c r="C3687" s="398"/>
      <c r="D3687" s="398"/>
      <c r="E3687" s="398"/>
      <c r="F3687" s="398"/>
      <c r="G3687" s="398"/>
    </row>
    <row r="3688" spans="1:7">
      <c r="A3688" s="398"/>
      <c r="B3688" s="398"/>
      <c r="C3688" s="398"/>
      <c r="D3688" s="398"/>
      <c r="E3688" s="398"/>
      <c r="F3688" s="398"/>
      <c r="G3688" s="398"/>
    </row>
    <row r="3689" spans="1:7">
      <c r="A3689" s="398"/>
      <c r="B3689" s="398"/>
      <c r="C3689" s="398"/>
      <c r="D3689" s="398"/>
      <c r="E3689" s="398"/>
      <c r="F3689" s="398"/>
      <c r="G3689" s="398"/>
    </row>
    <row r="3690" spans="1:7">
      <c r="A3690" s="398"/>
      <c r="B3690" s="398"/>
      <c r="C3690" s="398"/>
      <c r="D3690" s="398"/>
      <c r="E3690" s="398"/>
      <c r="F3690" s="398"/>
      <c r="G3690" s="398"/>
    </row>
    <row r="3691" spans="1:7">
      <c r="A3691" s="398"/>
      <c r="B3691" s="398"/>
      <c r="C3691" s="398"/>
      <c r="D3691" s="398"/>
      <c r="E3691" s="398"/>
      <c r="F3691" s="398"/>
      <c r="G3691" s="398"/>
    </row>
    <row r="3692" spans="1:7">
      <c r="A3692" s="398"/>
      <c r="B3692" s="398"/>
      <c r="C3692" s="398"/>
      <c r="D3692" s="398"/>
      <c r="E3692" s="398"/>
      <c r="F3692" s="398"/>
      <c r="G3692" s="398"/>
    </row>
    <row r="3693" spans="1:7">
      <c r="A3693" s="398"/>
      <c r="B3693" s="398"/>
      <c r="C3693" s="398"/>
      <c r="D3693" s="398"/>
      <c r="E3693" s="398"/>
      <c r="F3693" s="398"/>
      <c r="G3693" s="398"/>
    </row>
    <row r="3694" spans="1:7">
      <c r="A3694" s="398"/>
      <c r="B3694" s="398"/>
      <c r="C3694" s="398"/>
      <c r="D3694" s="398"/>
      <c r="E3694" s="398"/>
      <c r="F3694" s="398"/>
      <c r="G3694" s="398"/>
    </row>
    <row r="3695" spans="1:7">
      <c r="A3695" s="398"/>
      <c r="B3695" s="398"/>
      <c r="C3695" s="398"/>
      <c r="D3695" s="398"/>
      <c r="E3695" s="398"/>
      <c r="F3695" s="398"/>
      <c r="G3695" s="398"/>
    </row>
    <row r="3696" spans="1:7">
      <c r="A3696" s="398"/>
      <c r="B3696" s="398"/>
      <c r="C3696" s="398"/>
      <c r="D3696" s="398"/>
      <c r="E3696" s="398"/>
      <c r="F3696" s="398"/>
      <c r="G3696" s="398"/>
    </row>
    <row r="3697" spans="1:7">
      <c r="A3697" s="398"/>
      <c r="B3697" s="398"/>
      <c r="C3697" s="398"/>
      <c r="D3697" s="398"/>
      <c r="E3697" s="398"/>
      <c r="F3697" s="398"/>
      <c r="G3697" s="398"/>
    </row>
    <row r="3698" spans="1:7">
      <c r="A3698" s="398"/>
      <c r="B3698" s="398"/>
      <c r="C3698" s="398"/>
      <c r="D3698" s="398"/>
      <c r="E3698" s="398"/>
      <c r="F3698" s="398"/>
      <c r="G3698" s="398"/>
    </row>
    <row r="3699" spans="1:7">
      <c r="A3699" s="398"/>
      <c r="B3699" s="398"/>
      <c r="C3699" s="398"/>
      <c r="D3699" s="398"/>
      <c r="E3699" s="398"/>
      <c r="F3699" s="398"/>
      <c r="G3699" s="398"/>
    </row>
    <row r="3700" spans="1:7">
      <c r="A3700" s="398"/>
      <c r="B3700" s="398"/>
      <c r="C3700" s="398"/>
      <c r="D3700" s="398"/>
      <c r="E3700" s="398"/>
      <c r="F3700" s="398"/>
      <c r="G3700" s="398"/>
    </row>
    <row r="3701" spans="1:7">
      <c r="A3701" s="398"/>
      <c r="B3701" s="398"/>
      <c r="C3701" s="398"/>
      <c r="D3701" s="398"/>
      <c r="E3701" s="398"/>
      <c r="F3701" s="398"/>
      <c r="G3701" s="398"/>
    </row>
    <row r="3702" spans="1:7">
      <c r="A3702" s="398"/>
      <c r="B3702" s="398"/>
      <c r="C3702" s="398"/>
      <c r="D3702" s="398"/>
      <c r="E3702" s="398"/>
      <c r="F3702" s="398"/>
      <c r="G3702" s="398"/>
    </row>
    <row r="3703" spans="1:7">
      <c r="A3703" s="398"/>
      <c r="B3703" s="398"/>
      <c r="C3703" s="398"/>
      <c r="D3703" s="398"/>
      <c r="E3703" s="398"/>
      <c r="F3703" s="398"/>
      <c r="G3703" s="398"/>
    </row>
    <row r="3704" spans="1:7">
      <c r="A3704" s="398"/>
      <c r="B3704" s="398"/>
      <c r="C3704" s="398"/>
      <c r="D3704" s="398"/>
      <c r="E3704" s="398"/>
      <c r="F3704" s="398"/>
      <c r="G3704" s="398"/>
    </row>
    <row r="3705" spans="1:7">
      <c r="A3705" s="398"/>
      <c r="B3705" s="398"/>
      <c r="C3705" s="398"/>
      <c r="D3705" s="398"/>
      <c r="E3705" s="398"/>
      <c r="F3705" s="398"/>
      <c r="G3705" s="398"/>
    </row>
    <row r="3706" spans="1:7">
      <c r="A3706" s="398"/>
      <c r="B3706" s="398"/>
      <c r="C3706" s="398"/>
      <c r="D3706" s="398"/>
      <c r="E3706" s="398"/>
      <c r="F3706" s="398"/>
      <c r="G3706" s="398"/>
    </row>
    <row r="3707" spans="1:7">
      <c r="A3707" s="398"/>
      <c r="B3707" s="398"/>
      <c r="C3707" s="398"/>
      <c r="D3707" s="398"/>
      <c r="E3707" s="398"/>
      <c r="F3707" s="398"/>
      <c r="G3707" s="398"/>
    </row>
    <row r="3708" spans="1:7">
      <c r="A3708" s="398"/>
      <c r="B3708" s="398"/>
      <c r="C3708" s="398"/>
      <c r="D3708" s="398"/>
      <c r="E3708" s="398"/>
      <c r="F3708" s="398"/>
      <c r="G3708" s="398"/>
    </row>
    <row r="3709" spans="1:7">
      <c r="A3709" s="398"/>
      <c r="B3709" s="398"/>
      <c r="C3709" s="398"/>
      <c r="D3709" s="398"/>
      <c r="E3709" s="398"/>
      <c r="F3709" s="398"/>
      <c r="G3709" s="398"/>
    </row>
    <row r="3710" spans="1:7">
      <c r="A3710" s="398"/>
      <c r="B3710" s="398"/>
      <c r="C3710" s="398"/>
      <c r="D3710" s="398"/>
      <c r="E3710" s="398"/>
      <c r="F3710" s="398"/>
      <c r="G3710" s="398"/>
    </row>
    <row r="3713" spans="1:7" ht="17.45">
      <c r="A3713" s="233" t="s">
        <v>397</v>
      </c>
      <c r="B3713" s="23" t="s">
        <v>278</v>
      </c>
      <c r="C3713" s="23" t="s">
        <v>279</v>
      </c>
    </row>
    <row r="3714" spans="1:7">
      <c r="A3714" s="23" t="s">
        <v>372</v>
      </c>
      <c r="B3714" s="23">
        <v>0.14679</v>
      </c>
      <c r="C3714" s="23" t="s">
        <v>128</v>
      </c>
    </row>
    <row r="3715" spans="1:7">
      <c r="A3715" s="23" t="s">
        <v>290</v>
      </c>
      <c r="B3715" s="23">
        <v>4347.22</v>
      </c>
      <c r="C3715" s="23" t="s">
        <v>98</v>
      </c>
    </row>
    <row r="3718" spans="1:7">
      <c r="A3718" s="398"/>
      <c r="B3718" s="398"/>
      <c r="C3718" s="398"/>
      <c r="D3718" s="398"/>
      <c r="E3718" s="398"/>
      <c r="F3718" s="398"/>
      <c r="G3718" s="398"/>
    </row>
    <row r="3719" spans="1:7">
      <c r="A3719" s="398"/>
      <c r="B3719" s="398"/>
      <c r="C3719" s="398"/>
      <c r="D3719" s="398"/>
      <c r="E3719" s="398"/>
      <c r="F3719" s="398"/>
      <c r="G3719" s="398"/>
    </row>
    <row r="3720" spans="1:7">
      <c r="A3720" s="398"/>
      <c r="B3720" s="398"/>
      <c r="C3720" s="398"/>
      <c r="D3720" s="398"/>
      <c r="E3720" s="398"/>
      <c r="F3720" s="398"/>
      <c r="G3720" s="398"/>
    </row>
    <row r="3721" spans="1:7">
      <c r="A3721" s="398"/>
      <c r="B3721" s="398"/>
      <c r="C3721" s="398"/>
      <c r="D3721" s="398"/>
      <c r="E3721" s="398"/>
      <c r="F3721" s="398"/>
      <c r="G3721" s="398"/>
    </row>
    <row r="3722" spans="1:7">
      <c r="A3722" s="398"/>
      <c r="B3722" s="398"/>
      <c r="C3722" s="398"/>
      <c r="D3722" s="398"/>
      <c r="E3722" s="398"/>
      <c r="F3722" s="398"/>
      <c r="G3722" s="398"/>
    </row>
    <row r="3723" spans="1:7">
      <c r="A3723" s="398"/>
      <c r="B3723" s="398"/>
      <c r="C3723" s="398"/>
      <c r="D3723" s="398"/>
      <c r="E3723" s="398"/>
      <c r="F3723" s="398"/>
      <c r="G3723" s="398"/>
    </row>
    <row r="3724" spans="1:7">
      <c r="A3724" s="398"/>
      <c r="B3724" s="398"/>
      <c r="C3724" s="398"/>
      <c r="D3724" s="398"/>
      <c r="E3724" s="398"/>
      <c r="F3724" s="398"/>
      <c r="G3724" s="398"/>
    </row>
    <row r="3725" spans="1:7">
      <c r="A3725" s="398"/>
      <c r="B3725" s="398"/>
      <c r="C3725" s="398"/>
      <c r="D3725" s="398"/>
      <c r="E3725" s="398"/>
      <c r="F3725" s="398"/>
      <c r="G3725" s="398"/>
    </row>
    <row r="3726" spans="1:7">
      <c r="A3726" s="398"/>
      <c r="B3726" s="398"/>
      <c r="C3726" s="398"/>
      <c r="D3726" s="398"/>
      <c r="E3726" s="398"/>
      <c r="F3726" s="398"/>
      <c r="G3726" s="398"/>
    </row>
    <row r="3727" spans="1:7">
      <c r="A3727" s="398"/>
      <c r="B3727" s="398"/>
      <c r="C3727" s="398"/>
      <c r="D3727" s="398"/>
      <c r="E3727" s="398"/>
      <c r="F3727" s="398"/>
      <c r="G3727" s="398"/>
    </row>
    <row r="3728" spans="1:7">
      <c r="A3728" s="398"/>
      <c r="B3728" s="398"/>
      <c r="C3728" s="398"/>
      <c r="D3728" s="398"/>
      <c r="E3728" s="398"/>
      <c r="F3728" s="398"/>
      <c r="G3728" s="398"/>
    </row>
    <row r="3729" spans="1:7">
      <c r="A3729" s="398"/>
      <c r="B3729" s="398"/>
      <c r="C3729" s="398"/>
      <c r="D3729" s="398"/>
      <c r="E3729" s="398"/>
      <c r="F3729" s="398"/>
      <c r="G3729" s="398"/>
    </row>
    <row r="3730" spans="1:7">
      <c r="A3730" s="398"/>
      <c r="B3730" s="398"/>
      <c r="C3730" s="398"/>
      <c r="D3730" s="398"/>
      <c r="E3730" s="398"/>
      <c r="F3730" s="398"/>
      <c r="G3730" s="398"/>
    </row>
    <row r="3731" spans="1:7">
      <c r="A3731" s="398"/>
      <c r="B3731" s="398"/>
      <c r="C3731" s="398"/>
      <c r="D3731" s="398"/>
      <c r="E3731" s="398"/>
      <c r="F3731" s="398"/>
      <c r="G3731" s="398"/>
    </row>
    <row r="3732" spans="1:7">
      <c r="A3732" s="398"/>
      <c r="B3732" s="398"/>
      <c r="C3732" s="398"/>
      <c r="D3732" s="398"/>
      <c r="E3732" s="398"/>
      <c r="F3732" s="398"/>
      <c r="G3732" s="398"/>
    </row>
    <row r="3733" spans="1:7">
      <c r="A3733" s="398"/>
      <c r="B3733" s="398"/>
      <c r="C3733" s="398"/>
      <c r="D3733" s="398"/>
      <c r="E3733" s="398"/>
      <c r="F3733" s="398"/>
      <c r="G3733" s="398"/>
    </row>
    <row r="3734" spans="1:7">
      <c r="A3734" s="398"/>
      <c r="B3734" s="398"/>
      <c r="C3734" s="398"/>
      <c r="D3734" s="398"/>
      <c r="E3734" s="398"/>
      <c r="F3734" s="398"/>
      <c r="G3734" s="398"/>
    </row>
    <row r="3735" spans="1:7">
      <c r="A3735" s="398"/>
      <c r="B3735" s="398"/>
      <c r="C3735" s="398"/>
      <c r="D3735" s="398"/>
      <c r="E3735" s="398"/>
      <c r="F3735" s="398"/>
      <c r="G3735" s="398"/>
    </row>
    <row r="3736" spans="1:7">
      <c r="A3736" s="398"/>
      <c r="B3736" s="398"/>
      <c r="C3736" s="398"/>
      <c r="D3736" s="398"/>
      <c r="E3736" s="398"/>
      <c r="F3736" s="398"/>
      <c r="G3736" s="398"/>
    </row>
    <row r="3737" spans="1:7">
      <c r="A3737" s="398"/>
      <c r="B3737" s="398"/>
      <c r="C3737" s="398"/>
      <c r="D3737" s="398"/>
      <c r="E3737" s="398"/>
      <c r="F3737" s="398"/>
      <c r="G3737" s="398"/>
    </row>
    <row r="3738" spans="1:7">
      <c r="A3738" s="398"/>
      <c r="B3738" s="398"/>
      <c r="C3738" s="398"/>
      <c r="D3738" s="398"/>
      <c r="E3738" s="398"/>
      <c r="F3738" s="398"/>
      <c r="G3738" s="398"/>
    </row>
    <row r="3739" spans="1:7">
      <c r="A3739" s="398"/>
      <c r="B3739" s="398"/>
      <c r="C3739" s="398"/>
      <c r="D3739" s="398"/>
      <c r="E3739" s="398"/>
      <c r="F3739" s="398"/>
      <c r="G3739" s="398"/>
    </row>
    <row r="3740" spans="1:7">
      <c r="A3740" s="398"/>
      <c r="B3740" s="398"/>
      <c r="C3740" s="398"/>
      <c r="D3740" s="398"/>
      <c r="E3740" s="398"/>
      <c r="F3740" s="398"/>
      <c r="G3740" s="398"/>
    </row>
    <row r="3741" spans="1:7">
      <c r="A3741" s="398"/>
      <c r="B3741" s="398"/>
      <c r="C3741" s="398"/>
      <c r="D3741" s="398"/>
      <c r="E3741" s="398"/>
      <c r="F3741" s="398"/>
      <c r="G3741" s="398"/>
    </row>
    <row r="3742" spans="1:7">
      <c r="A3742" s="398"/>
      <c r="B3742" s="398"/>
      <c r="C3742" s="398"/>
      <c r="D3742" s="398"/>
      <c r="E3742" s="398"/>
      <c r="F3742" s="398"/>
      <c r="G3742" s="398"/>
    </row>
    <row r="3743" spans="1:7">
      <c r="A3743" s="398"/>
      <c r="B3743" s="398"/>
      <c r="C3743" s="398"/>
      <c r="D3743" s="398"/>
      <c r="E3743" s="398"/>
      <c r="F3743" s="398"/>
      <c r="G3743" s="398"/>
    </row>
    <row r="3744" spans="1:7">
      <c r="A3744" s="398"/>
      <c r="B3744" s="398"/>
      <c r="C3744" s="398"/>
      <c r="D3744" s="398"/>
      <c r="E3744" s="398"/>
      <c r="F3744" s="398"/>
      <c r="G3744" s="398"/>
    </row>
    <row r="3745" spans="1:7">
      <c r="A3745" s="398"/>
      <c r="B3745" s="398"/>
      <c r="C3745" s="398"/>
      <c r="D3745" s="398"/>
      <c r="E3745" s="398"/>
      <c r="F3745" s="398"/>
      <c r="G3745" s="398"/>
    </row>
    <row r="3746" spans="1:7">
      <c r="A3746" s="398"/>
      <c r="B3746" s="398"/>
      <c r="C3746" s="398"/>
      <c r="D3746" s="398"/>
      <c r="E3746" s="398"/>
      <c r="F3746" s="398"/>
      <c r="G3746" s="398"/>
    </row>
    <row r="3747" spans="1:7">
      <c r="A3747" s="398"/>
      <c r="B3747" s="398"/>
      <c r="C3747" s="398"/>
      <c r="D3747" s="398"/>
      <c r="E3747" s="398"/>
      <c r="F3747" s="398"/>
      <c r="G3747" s="398"/>
    </row>
    <row r="3748" spans="1:7">
      <c r="A3748" s="398"/>
      <c r="B3748" s="398"/>
      <c r="C3748" s="398"/>
      <c r="D3748" s="398"/>
      <c r="E3748" s="398"/>
      <c r="F3748" s="398"/>
      <c r="G3748" s="398"/>
    </row>
    <row r="3749" spans="1:7">
      <c r="A3749" s="398"/>
      <c r="B3749" s="398"/>
      <c r="C3749" s="398"/>
      <c r="D3749" s="398"/>
      <c r="E3749" s="398"/>
      <c r="F3749" s="398"/>
      <c r="G3749" s="398"/>
    </row>
    <row r="3750" spans="1:7">
      <c r="A3750" s="398"/>
      <c r="B3750" s="398"/>
      <c r="C3750" s="398"/>
      <c r="D3750" s="398"/>
      <c r="E3750" s="398"/>
      <c r="F3750" s="398"/>
      <c r="G3750" s="398"/>
    </row>
    <row r="3751" spans="1:7">
      <c r="A3751" s="398"/>
      <c r="B3751" s="398"/>
      <c r="C3751" s="398"/>
      <c r="D3751" s="398"/>
      <c r="E3751" s="398"/>
      <c r="F3751" s="398"/>
      <c r="G3751" s="398"/>
    </row>
    <row r="3752" spans="1:7">
      <c r="A3752" s="398"/>
      <c r="B3752" s="398"/>
      <c r="C3752" s="398"/>
      <c r="D3752" s="398"/>
      <c r="E3752" s="398"/>
      <c r="F3752" s="398"/>
      <c r="G3752" s="398"/>
    </row>
    <row r="3753" spans="1:7">
      <c r="A3753" s="398"/>
      <c r="B3753" s="398"/>
      <c r="C3753" s="398"/>
      <c r="D3753" s="398"/>
      <c r="E3753" s="398"/>
      <c r="F3753" s="398"/>
      <c r="G3753" s="398"/>
    </row>
    <row r="3754" spans="1:7">
      <c r="A3754" s="398"/>
      <c r="B3754" s="398"/>
      <c r="C3754" s="398"/>
      <c r="D3754" s="398"/>
      <c r="E3754" s="398"/>
      <c r="F3754" s="398"/>
      <c r="G3754" s="398"/>
    </row>
    <row r="3755" spans="1:7">
      <c r="A3755" s="398"/>
      <c r="B3755" s="398"/>
      <c r="C3755" s="398"/>
      <c r="D3755" s="398"/>
      <c r="E3755" s="398"/>
      <c r="F3755" s="398"/>
      <c r="G3755" s="398"/>
    </row>
    <row r="3756" spans="1:7">
      <c r="A3756" s="398"/>
      <c r="B3756" s="398"/>
      <c r="C3756" s="398"/>
      <c r="D3756" s="398"/>
      <c r="E3756" s="398"/>
      <c r="F3756" s="398"/>
      <c r="G3756" s="398"/>
    </row>
    <row r="3757" spans="1:7">
      <c r="A3757" s="398"/>
      <c r="B3757" s="398"/>
      <c r="C3757" s="398"/>
      <c r="D3757" s="398"/>
      <c r="E3757" s="398"/>
      <c r="F3757" s="398"/>
      <c r="G3757" s="398"/>
    </row>
    <row r="3758" spans="1:7">
      <c r="A3758" s="398"/>
      <c r="B3758" s="398"/>
      <c r="C3758" s="398"/>
      <c r="D3758" s="398"/>
      <c r="E3758" s="398"/>
      <c r="F3758" s="398"/>
      <c r="G3758" s="398"/>
    </row>
    <row r="3761" spans="1:7" ht="17.45">
      <c r="A3761" s="185" t="s">
        <v>398</v>
      </c>
      <c r="B3761" s="23" t="s">
        <v>278</v>
      </c>
      <c r="C3761" s="23" t="s">
        <v>279</v>
      </c>
      <c r="D3761" s="15" t="s">
        <v>399</v>
      </c>
    </row>
    <row r="3762" spans="1:7">
      <c r="A3762" s="23" t="s">
        <v>372</v>
      </c>
      <c r="B3762" s="23">
        <v>0.28649999999999998</v>
      </c>
      <c r="C3762" s="23" t="s">
        <v>128</v>
      </c>
    </row>
    <row r="3763" spans="1:7">
      <c r="A3763" s="23" t="s">
        <v>290</v>
      </c>
      <c r="B3763" s="23">
        <v>2656.6</v>
      </c>
      <c r="C3763" s="23" t="s">
        <v>98</v>
      </c>
    </row>
    <row r="3766" spans="1:7">
      <c r="A3766" s="398"/>
      <c r="B3766" s="398"/>
      <c r="C3766" s="398"/>
      <c r="D3766" s="398"/>
      <c r="E3766" s="398"/>
      <c r="F3766" s="398"/>
      <c r="G3766" s="398"/>
    </row>
    <row r="3767" spans="1:7">
      <c r="A3767" s="398"/>
      <c r="B3767" s="398"/>
      <c r="C3767" s="398"/>
      <c r="D3767" s="398"/>
      <c r="E3767" s="398"/>
      <c r="F3767" s="398"/>
      <c r="G3767" s="398"/>
    </row>
    <row r="3768" spans="1:7">
      <c r="A3768" s="398"/>
      <c r="B3768" s="398"/>
      <c r="C3768" s="398"/>
      <c r="D3768" s="398"/>
      <c r="E3768" s="398"/>
      <c r="F3768" s="398"/>
      <c r="G3768" s="398"/>
    </row>
    <row r="3769" spans="1:7">
      <c r="A3769" s="398"/>
      <c r="B3769" s="398"/>
      <c r="C3769" s="398"/>
      <c r="D3769" s="398"/>
      <c r="E3769" s="398"/>
      <c r="F3769" s="398"/>
      <c r="G3769" s="398"/>
    </row>
    <row r="3770" spans="1:7">
      <c r="A3770" s="398"/>
      <c r="B3770" s="398"/>
      <c r="C3770" s="398"/>
      <c r="D3770" s="398"/>
      <c r="E3770" s="398"/>
      <c r="F3770" s="398"/>
      <c r="G3770" s="398"/>
    </row>
    <row r="3771" spans="1:7">
      <c r="A3771" s="398"/>
      <c r="B3771" s="398"/>
      <c r="C3771" s="398"/>
      <c r="D3771" s="398"/>
      <c r="E3771" s="398"/>
      <c r="F3771" s="398"/>
      <c r="G3771" s="398"/>
    </row>
    <row r="3772" spans="1:7">
      <c r="A3772" s="398"/>
      <c r="B3772" s="398"/>
      <c r="C3772" s="398"/>
      <c r="D3772" s="398"/>
      <c r="E3772" s="398"/>
      <c r="F3772" s="398"/>
      <c r="G3772" s="398"/>
    </row>
    <row r="3773" spans="1:7">
      <c r="A3773" s="398"/>
      <c r="B3773" s="398"/>
      <c r="C3773" s="398"/>
      <c r="D3773" s="398"/>
      <c r="E3773" s="398"/>
      <c r="F3773" s="398"/>
      <c r="G3773" s="398"/>
    </row>
    <row r="3774" spans="1:7">
      <c r="A3774" s="398"/>
      <c r="B3774" s="398"/>
      <c r="C3774" s="398"/>
      <c r="D3774" s="398"/>
      <c r="E3774" s="398"/>
      <c r="F3774" s="398"/>
      <c r="G3774" s="398"/>
    </row>
    <row r="3775" spans="1:7">
      <c r="A3775" s="398"/>
      <c r="B3775" s="398"/>
      <c r="C3775" s="398"/>
      <c r="D3775" s="398"/>
      <c r="E3775" s="398"/>
      <c r="F3775" s="398"/>
      <c r="G3775" s="398"/>
    </row>
    <row r="3776" spans="1:7">
      <c r="A3776" s="398"/>
      <c r="B3776" s="398"/>
      <c r="C3776" s="398"/>
      <c r="D3776" s="398"/>
      <c r="E3776" s="398"/>
      <c r="F3776" s="398"/>
      <c r="G3776" s="398"/>
    </row>
    <row r="3777" spans="1:7">
      <c r="A3777" s="398"/>
      <c r="B3777" s="398"/>
      <c r="C3777" s="398"/>
      <c r="D3777" s="398"/>
      <c r="E3777" s="398"/>
      <c r="F3777" s="398"/>
      <c r="G3777" s="398"/>
    </row>
    <row r="3778" spans="1:7">
      <c r="A3778" s="398"/>
      <c r="B3778" s="398"/>
      <c r="C3778" s="398"/>
      <c r="D3778" s="398"/>
      <c r="E3778" s="398"/>
      <c r="F3778" s="398"/>
      <c r="G3778" s="398"/>
    </row>
    <row r="3779" spans="1:7">
      <c r="A3779" s="398"/>
      <c r="B3779" s="398"/>
      <c r="C3779" s="398"/>
      <c r="D3779" s="398"/>
      <c r="E3779" s="398"/>
      <c r="F3779" s="398"/>
      <c r="G3779" s="398"/>
    </row>
    <row r="3780" spans="1:7">
      <c r="A3780" s="398"/>
      <c r="B3780" s="398"/>
      <c r="C3780" s="398"/>
      <c r="D3780" s="398"/>
      <c r="E3780" s="398"/>
      <c r="F3780" s="398"/>
      <c r="G3780" s="398"/>
    </row>
    <row r="3781" spans="1:7">
      <c r="A3781" s="398"/>
      <c r="B3781" s="398"/>
      <c r="C3781" s="398"/>
      <c r="D3781" s="398"/>
      <c r="E3781" s="398"/>
      <c r="F3781" s="398"/>
      <c r="G3781" s="398"/>
    </row>
    <row r="3782" spans="1:7">
      <c r="A3782" s="398"/>
      <c r="B3782" s="398"/>
      <c r="C3782" s="398"/>
      <c r="D3782" s="398"/>
      <c r="E3782" s="398"/>
      <c r="F3782" s="398"/>
      <c r="G3782" s="398"/>
    </row>
    <row r="3783" spans="1:7">
      <c r="A3783" s="398"/>
      <c r="B3783" s="398"/>
      <c r="C3783" s="398"/>
      <c r="D3783" s="398"/>
      <c r="E3783" s="398"/>
      <c r="F3783" s="398"/>
      <c r="G3783" s="398"/>
    </row>
    <row r="3784" spans="1:7">
      <c r="A3784" s="398"/>
      <c r="B3784" s="398"/>
      <c r="C3784" s="398"/>
      <c r="D3784" s="398"/>
      <c r="E3784" s="398"/>
      <c r="F3784" s="398"/>
      <c r="G3784" s="398"/>
    </row>
    <row r="3785" spans="1:7">
      <c r="A3785" s="398"/>
      <c r="B3785" s="398"/>
      <c r="C3785" s="398"/>
      <c r="D3785" s="398"/>
      <c r="E3785" s="398"/>
      <c r="F3785" s="398"/>
      <c r="G3785" s="398"/>
    </row>
    <row r="3786" spans="1:7">
      <c r="A3786" s="398"/>
      <c r="B3786" s="398"/>
      <c r="C3786" s="398"/>
      <c r="D3786" s="398"/>
      <c r="E3786" s="398"/>
      <c r="F3786" s="398"/>
      <c r="G3786" s="398"/>
    </row>
    <row r="3787" spans="1:7">
      <c r="A3787" s="398"/>
      <c r="B3787" s="398"/>
      <c r="C3787" s="398"/>
      <c r="D3787" s="398"/>
      <c r="E3787" s="398"/>
      <c r="F3787" s="398"/>
      <c r="G3787" s="398"/>
    </row>
    <row r="3788" spans="1:7">
      <c r="A3788" s="398"/>
      <c r="B3788" s="398"/>
      <c r="C3788" s="398"/>
      <c r="D3788" s="398"/>
      <c r="E3788" s="398"/>
      <c r="F3788" s="398"/>
      <c r="G3788" s="398"/>
    </row>
    <row r="3789" spans="1:7">
      <c r="A3789" s="398"/>
      <c r="B3789" s="398"/>
      <c r="C3789" s="398"/>
      <c r="D3789" s="398"/>
      <c r="E3789" s="398"/>
      <c r="F3789" s="398"/>
      <c r="G3789" s="398"/>
    </row>
    <row r="3790" spans="1:7">
      <c r="A3790" s="398"/>
      <c r="B3790" s="398"/>
      <c r="C3790" s="398"/>
      <c r="D3790" s="398"/>
      <c r="E3790" s="398"/>
      <c r="F3790" s="398"/>
      <c r="G3790" s="398"/>
    </row>
    <row r="3791" spans="1:7">
      <c r="A3791" s="398"/>
      <c r="B3791" s="398"/>
      <c r="C3791" s="398"/>
      <c r="D3791" s="398"/>
      <c r="E3791" s="398"/>
      <c r="F3791" s="398"/>
      <c r="G3791" s="398"/>
    </row>
    <row r="3792" spans="1:7">
      <c r="A3792" s="398"/>
      <c r="B3792" s="398"/>
      <c r="C3792" s="398"/>
      <c r="D3792" s="398"/>
      <c r="E3792" s="398"/>
      <c r="F3792" s="398"/>
      <c r="G3792" s="398"/>
    </row>
    <row r="3793" spans="1:7">
      <c r="A3793" s="398"/>
      <c r="B3793" s="398"/>
      <c r="C3793" s="398"/>
      <c r="D3793" s="398"/>
      <c r="E3793" s="398"/>
      <c r="F3793" s="398"/>
      <c r="G3793" s="398"/>
    </row>
    <row r="3794" spans="1:7">
      <c r="A3794" s="398"/>
      <c r="B3794" s="398"/>
      <c r="C3794" s="398"/>
      <c r="D3794" s="398"/>
      <c r="E3794" s="398"/>
      <c r="F3794" s="398"/>
      <c r="G3794" s="398"/>
    </row>
    <row r="3795" spans="1:7">
      <c r="A3795" s="398"/>
      <c r="B3795" s="398"/>
      <c r="C3795" s="398"/>
      <c r="D3795" s="398"/>
      <c r="E3795" s="398"/>
      <c r="F3795" s="398"/>
      <c r="G3795" s="398"/>
    </row>
    <row r="3796" spans="1:7">
      <c r="A3796" s="398"/>
      <c r="B3796" s="398"/>
      <c r="C3796" s="398"/>
      <c r="D3796" s="398"/>
      <c r="E3796" s="398"/>
      <c r="F3796" s="398"/>
      <c r="G3796" s="398"/>
    </row>
    <row r="3797" spans="1:7">
      <c r="A3797" s="398"/>
      <c r="B3797" s="398"/>
      <c r="C3797" s="398"/>
      <c r="D3797" s="398"/>
      <c r="E3797" s="398"/>
      <c r="F3797" s="398"/>
      <c r="G3797" s="398"/>
    </row>
    <row r="3798" spans="1:7">
      <c r="A3798" s="398"/>
      <c r="B3798" s="398"/>
      <c r="C3798" s="398"/>
      <c r="D3798" s="398"/>
      <c r="E3798" s="398"/>
      <c r="F3798" s="398"/>
      <c r="G3798" s="398"/>
    </row>
    <row r="3799" spans="1:7">
      <c r="A3799" s="398"/>
      <c r="B3799" s="398"/>
      <c r="C3799" s="398"/>
      <c r="D3799" s="398"/>
      <c r="E3799" s="398"/>
      <c r="F3799" s="398"/>
      <c r="G3799" s="398"/>
    </row>
    <row r="3800" spans="1:7">
      <c r="A3800" s="398"/>
      <c r="B3800" s="398"/>
      <c r="C3800" s="398"/>
      <c r="D3800" s="398"/>
      <c r="E3800" s="398"/>
      <c r="F3800" s="398"/>
      <c r="G3800" s="398"/>
    </row>
    <row r="3801" spans="1:7">
      <c r="A3801" s="398"/>
      <c r="B3801" s="398"/>
      <c r="C3801" s="398"/>
      <c r="D3801" s="398"/>
      <c r="E3801" s="398"/>
      <c r="F3801" s="398"/>
      <c r="G3801" s="398"/>
    </row>
    <row r="3802" spans="1:7">
      <c r="A3802" s="398"/>
      <c r="B3802" s="398"/>
      <c r="C3802" s="398"/>
      <c r="D3802" s="398"/>
      <c r="E3802" s="398"/>
      <c r="F3802" s="398"/>
      <c r="G3802" s="398"/>
    </row>
    <row r="3803" spans="1:7">
      <c r="A3803" s="398"/>
      <c r="B3803" s="398"/>
      <c r="C3803" s="398"/>
      <c r="D3803" s="398"/>
      <c r="E3803" s="398"/>
      <c r="F3803" s="398"/>
      <c r="G3803" s="398"/>
    </row>
    <row r="3804" spans="1:7">
      <c r="A3804" s="398"/>
      <c r="B3804" s="398"/>
      <c r="C3804" s="398"/>
      <c r="D3804" s="398"/>
      <c r="E3804" s="398"/>
      <c r="F3804" s="398"/>
      <c r="G3804" s="398"/>
    </row>
    <row r="3805" spans="1:7">
      <c r="A3805" s="398"/>
      <c r="B3805" s="398"/>
      <c r="C3805" s="398"/>
      <c r="D3805" s="398"/>
      <c r="E3805" s="398"/>
      <c r="F3805" s="398"/>
      <c r="G3805" s="398"/>
    </row>
    <row r="3806" spans="1:7">
      <c r="A3806" s="398"/>
      <c r="B3806" s="398"/>
      <c r="C3806" s="398"/>
      <c r="D3806" s="398"/>
      <c r="E3806" s="398"/>
      <c r="F3806" s="398"/>
      <c r="G3806" s="398"/>
    </row>
    <row r="3809" spans="1:7" ht="17.45">
      <c r="A3809" s="233" t="s">
        <v>400</v>
      </c>
      <c r="B3809" s="23" t="s">
        <v>278</v>
      </c>
      <c r="C3809" s="23" t="s">
        <v>279</v>
      </c>
    </row>
    <row r="3810" spans="1:7">
      <c r="A3810" s="23" t="s">
        <v>372</v>
      </c>
      <c r="B3810" s="23">
        <v>0.18817</v>
      </c>
      <c r="C3810" s="23" t="s">
        <v>128</v>
      </c>
    </row>
    <row r="3811" spans="1:7">
      <c r="A3811" s="23" t="s">
        <v>290</v>
      </c>
      <c r="B3811" s="23">
        <v>4382.97</v>
      </c>
      <c r="C3811" s="23" t="s">
        <v>98</v>
      </c>
    </row>
    <row r="3816" spans="1:7">
      <c r="A3816" s="398"/>
      <c r="B3816" s="398"/>
      <c r="C3816" s="398"/>
      <c r="D3816" s="398"/>
      <c r="E3816" s="398"/>
      <c r="F3816" s="398"/>
      <c r="G3816" s="398"/>
    </row>
    <row r="3817" spans="1:7">
      <c r="A3817" s="398"/>
      <c r="B3817" s="398"/>
      <c r="C3817" s="398"/>
      <c r="D3817" s="398"/>
      <c r="E3817" s="398"/>
      <c r="F3817" s="398"/>
      <c r="G3817" s="398"/>
    </row>
    <row r="3818" spans="1:7">
      <c r="A3818" s="398"/>
      <c r="B3818" s="398"/>
      <c r="C3818" s="398"/>
      <c r="D3818" s="398"/>
      <c r="E3818" s="398"/>
      <c r="F3818" s="398"/>
      <c r="G3818" s="398"/>
    </row>
    <row r="3819" spans="1:7">
      <c r="A3819" s="398"/>
      <c r="B3819" s="398"/>
      <c r="C3819" s="398"/>
      <c r="D3819" s="398"/>
      <c r="E3819" s="398"/>
      <c r="F3819" s="398"/>
      <c r="G3819" s="398"/>
    </row>
    <row r="3820" spans="1:7">
      <c r="A3820" s="398"/>
      <c r="B3820" s="398"/>
      <c r="C3820" s="398"/>
      <c r="D3820" s="398"/>
      <c r="E3820" s="398"/>
      <c r="F3820" s="398"/>
      <c r="G3820" s="398"/>
    </row>
    <row r="3821" spans="1:7">
      <c r="A3821" s="398"/>
      <c r="B3821" s="398"/>
      <c r="C3821" s="398"/>
      <c r="D3821" s="398"/>
      <c r="E3821" s="398"/>
      <c r="F3821" s="398"/>
      <c r="G3821" s="398"/>
    </row>
    <row r="3822" spans="1:7">
      <c r="A3822" s="398"/>
      <c r="B3822" s="398"/>
      <c r="C3822" s="398"/>
      <c r="D3822" s="398"/>
      <c r="E3822" s="398"/>
      <c r="F3822" s="398"/>
      <c r="G3822" s="398"/>
    </row>
    <row r="3823" spans="1:7">
      <c r="A3823" s="398"/>
      <c r="B3823" s="398"/>
      <c r="C3823" s="398"/>
      <c r="D3823" s="398"/>
      <c r="E3823" s="398"/>
      <c r="F3823" s="398"/>
      <c r="G3823" s="398"/>
    </row>
    <row r="3824" spans="1:7">
      <c r="A3824" s="398"/>
      <c r="B3824" s="398"/>
      <c r="C3824" s="398"/>
      <c r="D3824" s="398"/>
      <c r="E3824" s="398"/>
      <c r="F3824" s="398"/>
      <c r="G3824" s="398"/>
    </row>
    <row r="3825" spans="1:7">
      <c r="A3825" s="398"/>
      <c r="B3825" s="398"/>
      <c r="C3825" s="398"/>
      <c r="D3825" s="398"/>
      <c r="E3825" s="398"/>
      <c r="F3825" s="398"/>
      <c r="G3825" s="398"/>
    </row>
    <row r="3826" spans="1:7">
      <c r="A3826" s="398"/>
      <c r="B3826" s="398"/>
      <c r="C3826" s="398"/>
      <c r="D3826" s="398"/>
      <c r="E3826" s="398"/>
      <c r="F3826" s="398"/>
      <c r="G3826" s="398"/>
    </row>
    <row r="3827" spans="1:7">
      <c r="A3827" s="398"/>
      <c r="B3827" s="398"/>
      <c r="C3827" s="398"/>
      <c r="D3827" s="398"/>
      <c r="E3827" s="398"/>
      <c r="F3827" s="398"/>
      <c r="G3827" s="398"/>
    </row>
    <row r="3828" spans="1:7">
      <c r="A3828" s="398"/>
      <c r="B3828" s="398"/>
      <c r="C3828" s="398"/>
      <c r="D3828" s="398"/>
      <c r="E3828" s="398"/>
      <c r="F3828" s="398"/>
      <c r="G3828" s="398"/>
    </row>
    <row r="3829" spans="1:7">
      <c r="A3829" s="398"/>
      <c r="B3829" s="398"/>
      <c r="C3829" s="398"/>
      <c r="D3829" s="398"/>
      <c r="E3829" s="398"/>
      <c r="F3829" s="398"/>
      <c r="G3829" s="398"/>
    </row>
    <row r="3830" spans="1:7">
      <c r="A3830" s="398"/>
      <c r="B3830" s="398"/>
      <c r="C3830" s="398"/>
      <c r="D3830" s="398"/>
      <c r="E3830" s="398"/>
      <c r="F3830" s="398"/>
      <c r="G3830" s="398"/>
    </row>
    <row r="3831" spans="1:7">
      <c r="A3831" s="398"/>
      <c r="B3831" s="398"/>
      <c r="C3831" s="398"/>
      <c r="D3831" s="398"/>
      <c r="E3831" s="398"/>
      <c r="F3831" s="398"/>
      <c r="G3831" s="398"/>
    </row>
    <row r="3832" spans="1:7">
      <c r="A3832" s="398"/>
      <c r="B3832" s="398"/>
      <c r="C3832" s="398"/>
      <c r="D3832" s="398"/>
      <c r="E3832" s="398"/>
      <c r="F3832" s="398"/>
      <c r="G3832" s="398"/>
    </row>
    <row r="3833" spans="1:7">
      <c r="A3833" s="398"/>
      <c r="B3833" s="398"/>
      <c r="C3833" s="398"/>
      <c r="D3833" s="398"/>
      <c r="E3833" s="398"/>
      <c r="F3833" s="398"/>
      <c r="G3833" s="398"/>
    </row>
    <row r="3834" spans="1:7">
      <c r="A3834" s="398"/>
      <c r="B3834" s="398"/>
      <c r="C3834" s="398"/>
      <c r="D3834" s="398"/>
      <c r="E3834" s="398"/>
      <c r="F3834" s="398"/>
      <c r="G3834" s="398"/>
    </row>
    <row r="3835" spans="1:7">
      <c r="A3835" s="398"/>
      <c r="B3835" s="398"/>
      <c r="C3835" s="398"/>
      <c r="D3835" s="398"/>
      <c r="E3835" s="398"/>
      <c r="F3835" s="398"/>
      <c r="G3835" s="398"/>
    </row>
    <row r="3836" spans="1:7">
      <c r="A3836" s="398"/>
      <c r="B3836" s="398"/>
      <c r="C3836" s="398"/>
      <c r="D3836" s="398"/>
      <c r="E3836" s="398"/>
      <c r="F3836" s="398"/>
      <c r="G3836" s="398"/>
    </row>
    <row r="3837" spans="1:7">
      <c r="A3837" s="398"/>
      <c r="B3837" s="398"/>
      <c r="C3837" s="398"/>
      <c r="D3837" s="398"/>
      <c r="E3837" s="398"/>
      <c r="F3837" s="398"/>
      <c r="G3837" s="398"/>
    </row>
    <row r="3838" spans="1:7">
      <c r="A3838" s="398"/>
      <c r="B3838" s="398"/>
      <c r="C3838" s="398"/>
      <c r="D3838" s="398"/>
      <c r="E3838" s="398"/>
      <c r="F3838" s="398"/>
      <c r="G3838" s="398"/>
    </row>
    <row r="3839" spans="1:7">
      <c r="A3839" s="398"/>
      <c r="B3839" s="398"/>
      <c r="C3839" s="398"/>
      <c r="D3839" s="398"/>
      <c r="E3839" s="398"/>
      <c r="F3839" s="398"/>
      <c r="G3839" s="398"/>
    </row>
    <row r="3840" spans="1:7">
      <c r="A3840" s="398"/>
      <c r="B3840" s="398"/>
      <c r="C3840" s="398"/>
      <c r="D3840" s="398"/>
      <c r="E3840" s="398"/>
      <c r="F3840" s="398"/>
      <c r="G3840" s="398"/>
    </row>
    <row r="3841" spans="1:7">
      <c r="A3841" s="398"/>
      <c r="B3841" s="398"/>
      <c r="C3841" s="398"/>
      <c r="D3841" s="398"/>
      <c r="E3841" s="398"/>
      <c r="F3841" s="398"/>
      <c r="G3841" s="398"/>
    </row>
    <row r="3842" spans="1:7">
      <c r="A3842" s="398"/>
      <c r="B3842" s="398"/>
      <c r="C3842" s="398"/>
      <c r="D3842" s="398"/>
      <c r="E3842" s="398"/>
      <c r="F3842" s="398"/>
      <c r="G3842" s="398"/>
    </row>
    <row r="3843" spans="1:7">
      <c r="A3843" s="398"/>
      <c r="B3843" s="398"/>
      <c r="C3843" s="398"/>
      <c r="D3843" s="398"/>
      <c r="E3843" s="398"/>
      <c r="F3843" s="398"/>
      <c r="G3843" s="398"/>
    </row>
    <row r="3844" spans="1:7">
      <c r="A3844" s="398"/>
      <c r="B3844" s="398"/>
      <c r="C3844" s="398"/>
      <c r="D3844" s="398"/>
      <c r="E3844" s="398"/>
      <c r="F3844" s="398"/>
      <c r="G3844" s="398"/>
    </row>
    <row r="3845" spans="1:7">
      <c r="A3845" s="398"/>
      <c r="B3845" s="398"/>
      <c r="C3845" s="398"/>
      <c r="D3845" s="398"/>
      <c r="E3845" s="398"/>
      <c r="F3845" s="398"/>
      <c r="G3845" s="398"/>
    </row>
    <row r="3846" spans="1:7">
      <c r="A3846" s="398"/>
      <c r="B3846" s="398"/>
      <c r="C3846" s="398"/>
      <c r="D3846" s="398"/>
      <c r="E3846" s="398"/>
      <c r="F3846" s="398"/>
      <c r="G3846" s="398"/>
    </row>
    <row r="3847" spans="1:7">
      <c r="A3847" s="398"/>
      <c r="B3847" s="398"/>
      <c r="C3847" s="398"/>
      <c r="D3847" s="398"/>
      <c r="E3847" s="398"/>
      <c r="F3847" s="398"/>
      <c r="G3847" s="398"/>
    </row>
    <row r="3848" spans="1:7">
      <c r="A3848" s="398"/>
      <c r="B3848" s="398"/>
      <c r="C3848" s="398"/>
      <c r="D3848" s="398"/>
      <c r="E3848" s="398"/>
      <c r="F3848" s="398"/>
      <c r="G3848" s="398"/>
    </row>
    <row r="3849" spans="1:7">
      <c r="A3849" s="398"/>
      <c r="B3849" s="398"/>
      <c r="C3849" s="398"/>
      <c r="D3849" s="398"/>
      <c r="E3849" s="398"/>
      <c r="F3849" s="398"/>
      <c r="G3849" s="398"/>
    </row>
    <row r="3850" spans="1:7">
      <c r="A3850" s="398"/>
      <c r="B3850" s="398"/>
      <c r="C3850" s="398"/>
      <c r="D3850" s="398"/>
      <c r="E3850" s="398"/>
      <c r="F3850" s="398"/>
      <c r="G3850" s="398"/>
    </row>
    <row r="3851" spans="1:7">
      <c r="A3851" s="398"/>
      <c r="B3851" s="398"/>
      <c r="C3851" s="398"/>
      <c r="D3851" s="398"/>
      <c r="E3851" s="398"/>
      <c r="F3851" s="398"/>
      <c r="G3851" s="398"/>
    </row>
    <row r="3852" spans="1:7">
      <c r="A3852" s="398"/>
      <c r="B3852" s="398"/>
      <c r="C3852" s="398"/>
      <c r="D3852" s="398"/>
      <c r="E3852" s="398"/>
      <c r="F3852" s="398"/>
      <c r="G3852" s="398"/>
    </row>
    <row r="3853" spans="1:7">
      <c r="A3853" s="398"/>
      <c r="B3853" s="398"/>
      <c r="C3853" s="398"/>
      <c r="D3853" s="398"/>
      <c r="E3853" s="398"/>
      <c r="F3853" s="398"/>
      <c r="G3853" s="398"/>
    </row>
    <row r="3854" spans="1:7">
      <c r="A3854" s="398"/>
      <c r="B3854" s="398"/>
      <c r="C3854" s="398"/>
      <c r="D3854" s="398"/>
      <c r="E3854" s="398"/>
      <c r="F3854" s="398"/>
      <c r="G3854" s="398"/>
    </row>
    <row r="3855" spans="1:7">
      <c r="A3855" s="398"/>
      <c r="B3855" s="398"/>
      <c r="C3855" s="398"/>
      <c r="D3855" s="398"/>
      <c r="E3855" s="398"/>
      <c r="F3855" s="398"/>
      <c r="G3855" s="398"/>
    </row>
    <row r="3856" spans="1:7">
      <c r="A3856" s="398"/>
      <c r="B3856" s="398"/>
      <c r="C3856" s="398"/>
      <c r="D3856" s="398"/>
      <c r="E3856" s="398"/>
      <c r="F3856" s="398"/>
      <c r="G3856" s="398"/>
    </row>
    <row r="3859" spans="1:9" ht="17.45">
      <c r="A3859" s="233" t="s">
        <v>401</v>
      </c>
      <c r="B3859" s="23" t="s">
        <v>278</v>
      </c>
      <c r="C3859" s="23" t="s">
        <v>279</v>
      </c>
    </row>
    <row r="3860" spans="1:9">
      <c r="A3860" s="23" t="s">
        <v>372</v>
      </c>
      <c r="B3860" s="23">
        <v>0.2046</v>
      </c>
      <c r="C3860" s="23" t="s">
        <v>128</v>
      </c>
    </row>
    <row r="3861" spans="1:9">
      <c r="A3861" s="23" t="s">
        <v>290</v>
      </c>
      <c r="B3861" s="23">
        <v>2486.4499999999998</v>
      </c>
      <c r="C3861" s="23" t="s">
        <v>98</v>
      </c>
      <c r="I3861" s="15" t="s">
        <v>402</v>
      </c>
    </row>
    <row r="3864" spans="1:9">
      <c r="A3864" s="398"/>
      <c r="B3864" s="398"/>
      <c r="C3864" s="398"/>
      <c r="D3864" s="398"/>
      <c r="E3864" s="398"/>
      <c r="F3864" s="398"/>
      <c r="G3864" s="398"/>
    </row>
    <row r="3865" spans="1:9">
      <c r="A3865" s="398"/>
      <c r="B3865" s="398"/>
      <c r="C3865" s="398"/>
      <c r="D3865" s="398"/>
      <c r="E3865" s="398"/>
      <c r="F3865" s="398"/>
      <c r="G3865" s="398"/>
    </row>
    <row r="3866" spans="1:9">
      <c r="A3866" s="398"/>
      <c r="B3866" s="398"/>
      <c r="C3866" s="398"/>
      <c r="D3866" s="398"/>
      <c r="E3866" s="398"/>
      <c r="F3866" s="398"/>
      <c r="G3866" s="398"/>
    </row>
    <row r="3867" spans="1:9">
      <c r="A3867" s="398"/>
      <c r="B3867" s="398"/>
      <c r="C3867" s="398"/>
      <c r="D3867" s="398"/>
      <c r="E3867" s="398"/>
      <c r="F3867" s="398"/>
      <c r="G3867" s="398"/>
    </row>
    <row r="3868" spans="1:9">
      <c r="A3868" s="398"/>
      <c r="B3868" s="398"/>
      <c r="C3868" s="398"/>
      <c r="D3868" s="398"/>
      <c r="E3868" s="398"/>
      <c r="F3868" s="398"/>
      <c r="G3868" s="398"/>
    </row>
    <row r="3869" spans="1:9">
      <c r="A3869" s="398"/>
      <c r="B3869" s="398"/>
      <c r="C3869" s="398"/>
      <c r="D3869" s="398"/>
      <c r="E3869" s="398"/>
      <c r="F3869" s="398"/>
      <c r="G3869" s="398"/>
    </row>
    <row r="3870" spans="1:9">
      <c r="A3870" s="398"/>
      <c r="B3870" s="398"/>
      <c r="C3870" s="398"/>
      <c r="D3870" s="398"/>
      <c r="E3870" s="398"/>
      <c r="F3870" s="398"/>
      <c r="G3870" s="398"/>
    </row>
    <row r="3871" spans="1:9">
      <c r="A3871" s="398"/>
      <c r="B3871" s="398"/>
      <c r="C3871" s="398"/>
      <c r="D3871" s="398"/>
      <c r="E3871" s="398"/>
      <c r="F3871" s="398"/>
      <c r="G3871" s="398"/>
    </row>
    <row r="3872" spans="1:9">
      <c r="A3872" s="398"/>
      <c r="B3872" s="398"/>
      <c r="C3872" s="398"/>
      <c r="D3872" s="398"/>
      <c r="E3872" s="398"/>
      <c r="F3872" s="398"/>
      <c r="G3872" s="398"/>
    </row>
    <row r="3873" spans="1:7">
      <c r="A3873" s="398"/>
      <c r="B3873" s="398"/>
      <c r="C3873" s="398"/>
      <c r="D3873" s="398"/>
      <c r="E3873" s="398"/>
      <c r="F3873" s="398"/>
      <c r="G3873" s="398"/>
    </row>
    <row r="3874" spans="1:7">
      <c r="A3874" s="398"/>
      <c r="B3874" s="398"/>
      <c r="C3874" s="398"/>
      <c r="D3874" s="398"/>
      <c r="E3874" s="398"/>
      <c r="F3874" s="398"/>
      <c r="G3874" s="398"/>
    </row>
    <row r="3875" spans="1:7">
      <c r="A3875" s="398"/>
      <c r="B3875" s="398"/>
      <c r="C3875" s="398"/>
      <c r="D3875" s="398"/>
      <c r="E3875" s="398"/>
      <c r="F3875" s="398"/>
      <c r="G3875" s="398"/>
    </row>
    <row r="3876" spans="1:7">
      <c r="A3876" s="398"/>
      <c r="B3876" s="398"/>
      <c r="C3876" s="398"/>
      <c r="D3876" s="398"/>
      <c r="E3876" s="398"/>
      <c r="F3876" s="398"/>
      <c r="G3876" s="398"/>
    </row>
    <row r="3877" spans="1:7">
      <c r="A3877" s="398"/>
      <c r="B3877" s="398"/>
      <c r="C3877" s="398"/>
      <c r="D3877" s="398"/>
      <c r="E3877" s="398"/>
      <c r="F3877" s="398"/>
      <c r="G3877" s="398"/>
    </row>
    <row r="3878" spans="1:7">
      <c r="A3878" s="398"/>
      <c r="B3878" s="398"/>
      <c r="C3878" s="398"/>
      <c r="D3878" s="398"/>
      <c r="E3878" s="398"/>
      <c r="F3878" s="398"/>
      <c r="G3878" s="398"/>
    </row>
    <row r="3879" spans="1:7">
      <c r="A3879" s="398"/>
      <c r="B3879" s="398"/>
      <c r="C3879" s="398"/>
      <c r="D3879" s="398"/>
      <c r="E3879" s="398"/>
      <c r="F3879" s="398"/>
      <c r="G3879" s="398"/>
    </row>
    <row r="3880" spans="1:7">
      <c r="A3880" s="398"/>
      <c r="B3880" s="398"/>
      <c r="C3880" s="398"/>
      <c r="D3880" s="398"/>
      <c r="E3880" s="398"/>
      <c r="F3880" s="398"/>
      <c r="G3880" s="398"/>
    </row>
    <row r="3881" spans="1:7">
      <c r="A3881" s="398"/>
      <c r="B3881" s="398"/>
      <c r="C3881" s="398"/>
      <c r="D3881" s="398"/>
      <c r="E3881" s="398"/>
      <c r="F3881" s="398"/>
      <c r="G3881" s="398"/>
    </row>
    <row r="3882" spans="1:7">
      <c r="A3882" s="398"/>
      <c r="B3882" s="398"/>
      <c r="C3882" s="398"/>
      <c r="D3882" s="398"/>
      <c r="E3882" s="398"/>
      <c r="F3882" s="398"/>
      <c r="G3882" s="398"/>
    </row>
    <row r="3883" spans="1:7">
      <c r="A3883" s="398"/>
      <c r="B3883" s="398"/>
      <c r="C3883" s="398"/>
      <c r="D3883" s="398"/>
      <c r="E3883" s="398"/>
      <c r="F3883" s="398"/>
      <c r="G3883" s="398"/>
    </row>
    <row r="3884" spans="1:7">
      <c r="A3884" s="398"/>
      <c r="B3884" s="398"/>
      <c r="C3884" s="398"/>
      <c r="D3884" s="398"/>
      <c r="E3884" s="398"/>
      <c r="F3884" s="398"/>
      <c r="G3884" s="398"/>
    </row>
    <row r="3885" spans="1:7">
      <c r="A3885" s="398"/>
      <c r="B3885" s="398"/>
      <c r="C3885" s="398"/>
      <c r="D3885" s="398"/>
      <c r="E3885" s="398"/>
      <c r="F3885" s="398"/>
      <c r="G3885" s="398"/>
    </row>
    <row r="3886" spans="1:7">
      <c r="A3886" s="398"/>
      <c r="B3886" s="398"/>
      <c r="C3886" s="398"/>
      <c r="D3886" s="398"/>
      <c r="E3886" s="398"/>
      <c r="F3886" s="398"/>
      <c r="G3886" s="398"/>
    </row>
    <row r="3887" spans="1:7">
      <c r="A3887" s="398"/>
      <c r="B3887" s="398"/>
      <c r="C3887" s="398"/>
      <c r="D3887" s="398"/>
      <c r="E3887" s="398"/>
      <c r="F3887" s="398"/>
      <c r="G3887" s="398"/>
    </row>
    <row r="3888" spans="1:7">
      <c r="A3888" s="398"/>
      <c r="B3888" s="398"/>
      <c r="C3888" s="398"/>
      <c r="D3888" s="398"/>
      <c r="E3888" s="398"/>
      <c r="F3888" s="398"/>
      <c r="G3888" s="398"/>
    </row>
    <row r="3889" spans="1:7">
      <c r="A3889" s="398"/>
      <c r="B3889" s="398"/>
      <c r="C3889" s="398"/>
      <c r="D3889" s="398"/>
      <c r="E3889" s="398"/>
      <c r="F3889" s="398"/>
      <c r="G3889" s="398"/>
    </row>
    <row r="3890" spans="1:7">
      <c r="A3890" s="398"/>
      <c r="B3890" s="398"/>
      <c r="C3890" s="398"/>
      <c r="D3890" s="398"/>
      <c r="E3890" s="398"/>
      <c r="F3890" s="398"/>
      <c r="G3890" s="398"/>
    </row>
    <row r="3891" spans="1:7">
      <c r="A3891" s="398"/>
      <c r="B3891" s="398"/>
      <c r="C3891" s="398"/>
      <c r="D3891" s="398"/>
      <c r="E3891" s="398"/>
      <c r="F3891" s="398"/>
      <c r="G3891" s="398"/>
    </row>
    <row r="3892" spans="1:7">
      <c r="A3892" s="398"/>
      <c r="B3892" s="398"/>
      <c r="C3892" s="398"/>
      <c r="D3892" s="398"/>
      <c r="E3892" s="398"/>
      <c r="F3892" s="398"/>
      <c r="G3892" s="398"/>
    </row>
    <row r="3893" spans="1:7">
      <c r="A3893" s="398"/>
      <c r="B3893" s="398"/>
      <c r="C3893" s="398"/>
      <c r="D3893" s="398"/>
      <c r="E3893" s="398"/>
      <c r="F3893" s="398"/>
      <c r="G3893" s="398"/>
    </row>
    <row r="3894" spans="1:7">
      <c r="A3894" s="398"/>
      <c r="B3894" s="398"/>
      <c r="C3894" s="398"/>
      <c r="D3894" s="398"/>
      <c r="E3894" s="398"/>
      <c r="F3894" s="398"/>
      <c r="G3894" s="398"/>
    </row>
    <row r="3895" spans="1:7">
      <c r="A3895" s="398"/>
      <c r="B3895" s="398"/>
      <c r="C3895" s="398"/>
      <c r="D3895" s="398"/>
      <c r="E3895" s="398"/>
      <c r="F3895" s="398"/>
      <c r="G3895" s="398"/>
    </row>
    <row r="3896" spans="1:7">
      <c r="A3896" s="398"/>
      <c r="B3896" s="398"/>
      <c r="C3896" s="398"/>
      <c r="D3896" s="398"/>
      <c r="E3896" s="398"/>
      <c r="F3896" s="398"/>
      <c r="G3896" s="398"/>
    </row>
    <row r="3897" spans="1:7">
      <c r="A3897" s="398"/>
      <c r="B3897" s="398"/>
      <c r="C3897" s="398"/>
      <c r="D3897" s="398"/>
      <c r="E3897" s="398"/>
      <c r="F3897" s="398"/>
      <c r="G3897" s="398"/>
    </row>
    <row r="3898" spans="1:7">
      <c r="A3898" s="398"/>
      <c r="B3898" s="398"/>
      <c r="C3898" s="398"/>
      <c r="D3898" s="398"/>
      <c r="E3898" s="398"/>
      <c r="F3898" s="398"/>
      <c r="G3898" s="398"/>
    </row>
    <row r="3899" spans="1:7">
      <c r="A3899" s="398"/>
      <c r="B3899" s="398"/>
      <c r="C3899" s="398"/>
      <c r="D3899" s="398"/>
      <c r="E3899" s="398"/>
      <c r="F3899" s="398"/>
      <c r="G3899" s="398"/>
    </row>
    <row r="3900" spans="1:7">
      <c r="A3900" s="398"/>
      <c r="B3900" s="398"/>
      <c r="C3900" s="398"/>
      <c r="D3900" s="398"/>
      <c r="E3900" s="398"/>
      <c r="F3900" s="398"/>
      <c r="G3900" s="398"/>
    </row>
    <row r="3901" spans="1:7">
      <c r="A3901" s="398"/>
      <c r="B3901" s="398"/>
      <c r="C3901" s="398"/>
      <c r="D3901" s="398"/>
      <c r="E3901" s="398"/>
      <c r="F3901" s="398"/>
      <c r="G3901" s="398"/>
    </row>
    <row r="3902" spans="1:7">
      <c r="A3902" s="398"/>
      <c r="B3902" s="398"/>
      <c r="C3902" s="398"/>
      <c r="D3902" s="398"/>
      <c r="E3902" s="398"/>
      <c r="F3902" s="398"/>
      <c r="G3902" s="398"/>
    </row>
    <row r="3903" spans="1:7">
      <c r="A3903" s="398"/>
      <c r="B3903" s="398"/>
      <c r="C3903" s="398"/>
      <c r="D3903" s="398"/>
      <c r="E3903" s="398"/>
      <c r="F3903" s="398"/>
      <c r="G3903" s="398"/>
    </row>
    <row r="3904" spans="1:7">
      <c r="A3904" s="398"/>
      <c r="B3904" s="398"/>
      <c r="C3904" s="398"/>
      <c r="D3904" s="398"/>
      <c r="E3904" s="398"/>
      <c r="F3904" s="398"/>
      <c r="G3904" s="398"/>
    </row>
    <row r="3907" spans="1:7" ht="17.45">
      <c r="A3907" s="233" t="s">
        <v>403</v>
      </c>
      <c r="B3907" s="23" t="s">
        <v>278</v>
      </c>
      <c r="C3907" s="23" t="s">
        <v>279</v>
      </c>
    </row>
    <row r="3908" spans="1:7">
      <c r="A3908" s="23" t="s">
        <v>372</v>
      </c>
      <c r="B3908" s="23">
        <v>0.21656</v>
      </c>
      <c r="C3908" s="23" t="s">
        <v>128</v>
      </c>
    </row>
    <row r="3909" spans="1:7">
      <c r="A3909" s="23" t="s">
        <v>290</v>
      </c>
      <c r="B3909" s="23">
        <v>3063.4</v>
      </c>
      <c r="C3909" s="23" t="s">
        <v>98</v>
      </c>
    </row>
    <row r="3914" spans="1:7">
      <c r="A3914" s="398"/>
      <c r="B3914" s="398"/>
      <c r="C3914" s="398"/>
      <c r="D3914" s="398"/>
      <c r="E3914" s="398"/>
      <c r="F3914" s="398"/>
      <c r="G3914" s="398"/>
    </row>
    <row r="3915" spans="1:7">
      <c r="A3915" s="398"/>
      <c r="B3915" s="398"/>
      <c r="C3915" s="398"/>
      <c r="D3915" s="398"/>
      <c r="E3915" s="398"/>
      <c r="F3915" s="398"/>
      <c r="G3915" s="398"/>
    </row>
    <row r="3916" spans="1:7">
      <c r="A3916" s="398"/>
      <c r="B3916" s="398"/>
      <c r="C3916" s="398"/>
      <c r="D3916" s="398"/>
      <c r="E3916" s="398"/>
      <c r="F3916" s="398"/>
      <c r="G3916" s="398"/>
    </row>
    <row r="3917" spans="1:7">
      <c r="A3917" s="398"/>
      <c r="B3917" s="398"/>
      <c r="C3917" s="398"/>
      <c r="D3917" s="398"/>
      <c r="E3917" s="398"/>
      <c r="F3917" s="398"/>
      <c r="G3917" s="398"/>
    </row>
    <row r="3918" spans="1:7">
      <c r="A3918" s="398"/>
      <c r="B3918" s="398"/>
      <c r="C3918" s="398"/>
      <c r="D3918" s="398"/>
      <c r="E3918" s="398"/>
      <c r="F3918" s="398"/>
      <c r="G3918" s="398"/>
    </row>
    <row r="3919" spans="1:7">
      <c r="A3919" s="398"/>
      <c r="B3919" s="398"/>
      <c r="C3919" s="398"/>
      <c r="D3919" s="398"/>
      <c r="E3919" s="398"/>
      <c r="F3919" s="398"/>
      <c r="G3919" s="398"/>
    </row>
    <row r="3920" spans="1:7">
      <c r="A3920" s="398"/>
      <c r="B3920" s="398"/>
      <c r="C3920" s="398"/>
      <c r="D3920" s="398"/>
      <c r="E3920" s="398"/>
      <c r="F3920" s="398"/>
      <c r="G3920" s="398"/>
    </row>
    <row r="3921" spans="1:7">
      <c r="A3921" s="398"/>
      <c r="B3921" s="398"/>
      <c r="C3921" s="398"/>
      <c r="D3921" s="398"/>
      <c r="E3921" s="398"/>
      <c r="F3921" s="398"/>
      <c r="G3921" s="398"/>
    </row>
    <row r="3922" spans="1:7">
      <c r="A3922" s="398"/>
      <c r="B3922" s="398"/>
      <c r="C3922" s="398"/>
      <c r="D3922" s="398"/>
      <c r="E3922" s="398"/>
      <c r="F3922" s="398"/>
      <c r="G3922" s="398"/>
    </row>
    <row r="3923" spans="1:7">
      <c r="A3923" s="398"/>
      <c r="B3923" s="398"/>
      <c r="C3923" s="398"/>
      <c r="D3923" s="398"/>
      <c r="E3923" s="398"/>
      <c r="F3923" s="398"/>
      <c r="G3923" s="398"/>
    </row>
    <row r="3924" spans="1:7">
      <c r="A3924" s="398"/>
      <c r="B3924" s="398"/>
      <c r="C3924" s="398"/>
      <c r="D3924" s="398"/>
      <c r="E3924" s="398"/>
      <c r="F3924" s="398"/>
      <c r="G3924" s="398"/>
    </row>
    <row r="3925" spans="1:7">
      <c r="A3925" s="398"/>
      <c r="B3925" s="398"/>
      <c r="C3925" s="398"/>
      <c r="D3925" s="398"/>
      <c r="E3925" s="398"/>
      <c r="F3925" s="398"/>
      <c r="G3925" s="398"/>
    </row>
    <row r="3926" spans="1:7">
      <c r="A3926" s="398"/>
      <c r="B3926" s="398"/>
      <c r="C3926" s="398"/>
      <c r="D3926" s="398"/>
      <c r="E3926" s="398"/>
      <c r="F3926" s="398"/>
      <c r="G3926" s="398"/>
    </row>
    <row r="3927" spans="1:7">
      <c r="A3927" s="398"/>
      <c r="B3927" s="398"/>
      <c r="C3927" s="398"/>
      <c r="D3927" s="398"/>
      <c r="E3927" s="398"/>
      <c r="F3927" s="398"/>
      <c r="G3927" s="398"/>
    </row>
    <row r="3928" spans="1:7">
      <c r="A3928" s="398"/>
      <c r="B3928" s="398"/>
      <c r="C3928" s="398"/>
      <c r="D3928" s="398"/>
      <c r="E3928" s="398"/>
      <c r="F3928" s="398"/>
      <c r="G3928" s="398"/>
    </row>
    <row r="3929" spans="1:7">
      <c r="A3929" s="398"/>
      <c r="B3929" s="398"/>
      <c r="C3929" s="398"/>
      <c r="D3929" s="398"/>
      <c r="E3929" s="398"/>
      <c r="F3929" s="398"/>
      <c r="G3929" s="398"/>
    </row>
    <row r="3930" spans="1:7">
      <c r="A3930" s="398"/>
      <c r="B3930" s="398"/>
      <c r="C3930" s="398"/>
      <c r="D3930" s="398"/>
      <c r="E3930" s="398"/>
      <c r="F3930" s="398"/>
      <c r="G3930" s="398"/>
    </row>
    <row r="3931" spans="1:7">
      <c r="A3931" s="398"/>
      <c r="B3931" s="398"/>
      <c r="C3931" s="398"/>
      <c r="D3931" s="398"/>
      <c r="E3931" s="398"/>
      <c r="F3931" s="398"/>
      <c r="G3931" s="398"/>
    </row>
    <row r="3932" spans="1:7">
      <c r="A3932" s="398"/>
      <c r="B3932" s="398"/>
      <c r="C3932" s="398"/>
      <c r="D3932" s="398"/>
      <c r="E3932" s="398"/>
      <c r="F3932" s="398"/>
      <c r="G3932" s="398"/>
    </row>
    <row r="3933" spans="1:7">
      <c r="A3933" s="398"/>
      <c r="B3933" s="398"/>
      <c r="C3933" s="398"/>
      <c r="D3933" s="398"/>
      <c r="E3933" s="398"/>
      <c r="F3933" s="398"/>
      <c r="G3933" s="398"/>
    </row>
    <row r="3934" spans="1:7">
      <c r="A3934" s="398"/>
      <c r="B3934" s="398"/>
      <c r="C3934" s="398"/>
      <c r="D3934" s="398"/>
      <c r="E3934" s="398"/>
      <c r="F3934" s="398"/>
      <c r="G3934" s="398"/>
    </row>
    <row r="3935" spans="1:7">
      <c r="A3935" s="398"/>
      <c r="B3935" s="398"/>
      <c r="C3935" s="398"/>
      <c r="D3935" s="398"/>
      <c r="E3935" s="398"/>
      <c r="F3935" s="398"/>
      <c r="G3935" s="398"/>
    </row>
    <row r="3936" spans="1:7">
      <c r="A3936" s="398"/>
      <c r="B3936" s="398"/>
      <c r="C3936" s="398"/>
      <c r="D3936" s="398"/>
      <c r="E3936" s="398"/>
      <c r="F3936" s="398"/>
      <c r="G3936" s="398"/>
    </row>
    <row r="3937" spans="1:7">
      <c r="A3937" s="398"/>
      <c r="B3937" s="398"/>
      <c r="C3937" s="398"/>
      <c r="D3937" s="398"/>
      <c r="E3937" s="398"/>
      <c r="F3937" s="398"/>
      <c r="G3937" s="398"/>
    </row>
    <row r="3938" spans="1:7">
      <c r="A3938" s="398"/>
      <c r="B3938" s="398"/>
      <c r="C3938" s="398"/>
      <c r="D3938" s="398"/>
      <c r="E3938" s="398"/>
      <c r="F3938" s="398"/>
      <c r="G3938" s="398"/>
    </row>
    <row r="3939" spans="1:7">
      <c r="A3939" s="398"/>
      <c r="B3939" s="398"/>
      <c r="C3939" s="398"/>
      <c r="D3939" s="398"/>
      <c r="E3939" s="398"/>
      <c r="F3939" s="398"/>
      <c r="G3939" s="398"/>
    </row>
    <row r="3940" spans="1:7">
      <c r="A3940" s="398"/>
      <c r="B3940" s="398"/>
      <c r="C3940" s="398"/>
      <c r="D3940" s="398"/>
      <c r="E3940" s="398"/>
      <c r="F3940" s="398"/>
      <c r="G3940" s="398"/>
    </row>
    <row r="3941" spans="1:7">
      <c r="A3941" s="398"/>
      <c r="B3941" s="398"/>
      <c r="C3941" s="398"/>
      <c r="D3941" s="398"/>
      <c r="E3941" s="398"/>
      <c r="F3941" s="398"/>
      <c r="G3941" s="398"/>
    </row>
    <row r="3942" spans="1:7">
      <c r="A3942" s="398"/>
      <c r="B3942" s="398"/>
      <c r="C3942" s="398"/>
      <c r="D3942" s="398"/>
      <c r="E3942" s="398"/>
      <c r="F3942" s="398"/>
      <c r="G3942" s="398"/>
    </row>
    <row r="3943" spans="1:7">
      <c r="A3943" s="398"/>
      <c r="B3943" s="398"/>
      <c r="C3943" s="398"/>
      <c r="D3943" s="398"/>
      <c r="E3943" s="398"/>
      <c r="F3943" s="398"/>
      <c r="G3943" s="398"/>
    </row>
    <row r="3944" spans="1:7">
      <c r="A3944" s="398"/>
      <c r="B3944" s="398"/>
      <c r="C3944" s="398"/>
      <c r="D3944" s="398"/>
      <c r="E3944" s="398"/>
      <c r="F3944" s="398"/>
      <c r="G3944" s="398"/>
    </row>
    <row r="3945" spans="1:7">
      <c r="A3945" s="398"/>
      <c r="B3945" s="398"/>
      <c r="C3945" s="398"/>
      <c r="D3945" s="398"/>
      <c r="E3945" s="398"/>
      <c r="F3945" s="398"/>
      <c r="G3945" s="398"/>
    </row>
    <row r="3946" spans="1:7">
      <c r="A3946" s="398"/>
      <c r="B3946" s="398"/>
      <c r="C3946" s="398"/>
      <c r="D3946" s="398"/>
      <c r="E3946" s="398"/>
      <c r="F3946" s="398"/>
      <c r="G3946" s="398"/>
    </row>
    <row r="3947" spans="1:7">
      <c r="A3947" s="398"/>
      <c r="B3947" s="398"/>
      <c r="C3947" s="398"/>
      <c r="D3947" s="398"/>
      <c r="E3947" s="398"/>
      <c r="F3947" s="398"/>
      <c r="G3947" s="398"/>
    </row>
    <row r="3948" spans="1:7">
      <c r="A3948" s="398"/>
      <c r="B3948" s="398"/>
      <c r="C3948" s="398"/>
      <c r="D3948" s="398"/>
      <c r="E3948" s="398"/>
      <c r="F3948" s="398"/>
      <c r="G3948" s="398"/>
    </row>
    <row r="3949" spans="1:7">
      <c r="A3949" s="398"/>
      <c r="B3949" s="398"/>
      <c r="C3949" s="398"/>
      <c r="D3949" s="398"/>
      <c r="E3949" s="398"/>
      <c r="F3949" s="398"/>
      <c r="G3949" s="398"/>
    </row>
    <row r="3950" spans="1:7">
      <c r="A3950" s="398"/>
      <c r="B3950" s="398"/>
      <c r="C3950" s="398"/>
      <c r="D3950" s="398"/>
      <c r="E3950" s="398"/>
      <c r="F3950" s="398"/>
      <c r="G3950" s="398"/>
    </row>
    <row r="3951" spans="1:7">
      <c r="A3951" s="398"/>
      <c r="B3951" s="398"/>
      <c r="C3951" s="398"/>
      <c r="D3951" s="398"/>
      <c r="E3951" s="398"/>
      <c r="F3951" s="398"/>
      <c r="G3951" s="398"/>
    </row>
    <row r="3952" spans="1:7">
      <c r="A3952" s="398"/>
      <c r="B3952" s="398"/>
      <c r="C3952" s="398"/>
      <c r="D3952" s="398"/>
      <c r="E3952" s="398"/>
      <c r="F3952" s="398"/>
      <c r="G3952" s="398"/>
    </row>
    <row r="3953" spans="1:7">
      <c r="A3953" s="398"/>
      <c r="B3953" s="398"/>
      <c r="C3953" s="398"/>
      <c r="D3953" s="398"/>
      <c r="E3953" s="398"/>
      <c r="F3953" s="398"/>
      <c r="G3953" s="398"/>
    </row>
    <row r="3954" spans="1:7">
      <c r="A3954" s="398"/>
      <c r="B3954" s="398"/>
      <c r="C3954" s="398"/>
      <c r="D3954" s="398"/>
      <c r="E3954" s="398"/>
      <c r="F3954" s="398"/>
      <c r="G3954" s="398"/>
    </row>
    <row r="3957" spans="1:7" ht="17.45">
      <c r="A3957" s="233" t="s">
        <v>404</v>
      </c>
      <c r="B3957" s="23" t="s">
        <v>278</v>
      </c>
      <c r="C3957" s="23" t="s">
        <v>279</v>
      </c>
    </row>
    <row r="3958" spans="1:7">
      <c r="A3958" s="23" t="s">
        <v>372</v>
      </c>
      <c r="B3958" s="23">
        <v>0.19012000000000001</v>
      </c>
      <c r="C3958" s="23" t="s">
        <v>128</v>
      </c>
    </row>
    <row r="3959" spans="1:7">
      <c r="A3959" s="23" t="s">
        <v>290</v>
      </c>
      <c r="B3959" s="23">
        <v>2800.11</v>
      </c>
      <c r="C3959" s="23" t="s">
        <v>98</v>
      </c>
    </row>
    <row r="3962" spans="1:7">
      <c r="A3962" s="398"/>
      <c r="B3962" s="398"/>
      <c r="C3962" s="398"/>
      <c r="D3962" s="398"/>
      <c r="E3962" s="398"/>
      <c r="F3962" s="398"/>
      <c r="G3962" s="398"/>
    </row>
    <row r="3963" spans="1:7">
      <c r="A3963" s="398"/>
      <c r="B3963" s="398"/>
      <c r="C3963" s="398"/>
      <c r="D3963" s="398"/>
      <c r="E3963" s="398"/>
      <c r="F3963" s="398"/>
      <c r="G3963" s="398"/>
    </row>
    <row r="3964" spans="1:7">
      <c r="A3964" s="398"/>
      <c r="B3964" s="398"/>
      <c r="C3964" s="398"/>
      <c r="D3964" s="398"/>
      <c r="E3964" s="398"/>
      <c r="F3964" s="398"/>
      <c r="G3964" s="398"/>
    </row>
    <row r="3965" spans="1:7">
      <c r="A3965" s="398"/>
      <c r="B3965" s="398"/>
      <c r="C3965" s="398"/>
      <c r="D3965" s="398"/>
      <c r="E3965" s="398"/>
      <c r="F3965" s="398"/>
      <c r="G3965" s="398"/>
    </row>
    <row r="3966" spans="1:7">
      <c r="A3966" s="398"/>
      <c r="B3966" s="398"/>
      <c r="C3966" s="398"/>
      <c r="D3966" s="398"/>
      <c r="E3966" s="398"/>
      <c r="F3966" s="398"/>
      <c r="G3966" s="398"/>
    </row>
    <row r="3967" spans="1:7">
      <c r="A3967" s="398"/>
      <c r="B3967" s="398"/>
      <c r="C3967" s="398"/>
      <c r="D3967" s="398"/>
      <c r="E3967" s="398"/>
      <c r="F3967" s="398"/>
      <c r="G3967" s="398"/>
    </row>
    <row r="3968" spans="1:7">
      <c r="A3968" s="398"/>
      <c r="B3968" s="398"/>
      <c r="C3968" s="398"/>
      <c r="D3968" s="398"/>
      <c r="E3968" s="398"/>
      <c r="F3968" s="398"/>
      <c r="G3968" s="398"/>
    </row>
    <row r="3969" spans="1:7">
      <c r="A3969" s="398"/>
      <c r="B3969" s="398"/>
      <c r="C3969" s="398"/>
      <c r="D3969" s="398"/>
      <c r="E3969" s="398"/>
      <c r="F3969" s="398"/>
      <c r="G3969" s="398"/>
    </row>
    <row r="3970" spans="1:7">
      <c r="A3970" s="398"/>
      <c r="B3970" s="398"/>
      <c r="C3970" s="398"/>
      <c r="D3970" s="398"/>
      <c r="E3970" s="398"/>
      <c r="F3970" s="398"/>
      <c r="G3970" s="398"/>
    </row>
    <row r="3971" spans="1:7">
      <c r="A3971" s="398"/>
      <c r="B3971" s="398"/>
      <c r="C3971" s="398"/>
      <c r="D3971" s="398"/>
      <c r="E3971" s="398"/>
      <c r="F3971" s="398"/>
      <c r="G3971" s="398"/>
    </row>
    <row r="3972" spans="1:7">
      <c r="A3972" s="398"/>
      <c r="B3972" s="398"/>
      <c r="C3972" s="398"/>
      <c r="D3972" s="398"/>
      <c r="E3972" s="398"/>
      <c r="F3972" s="398"/>
      <c r="G3972" s="398"/>
    </row>
    <row r="3973" spans="1:7">
      <c r="A3973" s="398"/>
      <c r="B3973" s="398"/>
      <c r="C3973" s="398"/>
      <c r="D3973" s="398"/>
      <c r="E3973" s="398"/>
      <c r="F3973" s="398"/>
      <c r="G3973" s="398"/>
    </row>
    <row r="3974" spans="1:7">
      <c r="A3974" s="398"/>
      <c r="B3974" s="398"/>
      <c r="C3974" s="398"/>
      <c r="D3974" s="398"/>
      <c r="E3974" s="398"/>
      <c r="F3974" s="398"/>
      <c r="G3974" s="398"/>
    </row>
    <row r="3975" spans="1:7">
      <c r="A3975" s="398"/>
      <c r="B3975" s="398"/>
      <c r="C3975" s="398"/>
      <c r="D3975" s="398"/>
      <c r="E3975" s="398"/>
      <c r="F3975" s="398"/>
      <c r="G3975" s="398"/>
    </row>
    <row r="3976" spans="1:7">
      <c r="A3976" s="398"/>
      <c r="B3976" s="398"/>
      <c r="C3976" s="398"/>
      <c r="D3976" s="398"/>
      <c r="E3976" s="398"/>
      <c r="F3976" s="398"/>
      <c r="G3976" s="398"/>
    </row>
    <row r="3977" spans="1:7">
      <c r="A3977" s="398"/>
      <c r="B3977" s="398"/>
      <c r="C3977" s="398"/>
      <c r="D3977" s="398"/>
      <c r="E3977" s="398"/>
      <c r="F3977" s="398"/>
      <c r="G3977" s="398"/>
    </row>
    <row r="3978" spans="1:7">
      <c r="A3978" s="398"/>
      <c r="B3978" s="398"/>
      <c r="C3978" s="398"/>
      <c r="D3978" s="398"/>
      <c r="E3978" s="398"/>
      <c r="F3978" s="398"/>
      <c r="G3978" s="398"/>
    </row>
    <row r="3979" spans="1:7">
      <c r="A3979" s="398"/>
      <c r="B3979" s="398"/>
      <c r="C3979" s="398"/>
      <c r="D3979" s="398"/>
      <c r="E3979" s="398"/>
      <c r="F3979" s="398"/>
      <c r="G3979" s="398"/>
    </row>
    <row r="3980" spans="1:7">
      <c r="A3980" s="398"/>
      <c r="B3980" s="398"/>
      <c r="C3980" s="398"/>
      <c r="D3980" s="398"/>
      <c r="E3980" s="398"/>
      <c r="F3980" s="398"/>
      <c r="G3980" s="398"/>
    </row>
    <row r="3981" spans="1:7">
      <c r="A3981" s="398"/>
      <c r="B3981" s="398"/>
      <c r="C3981" s="398"/>
      <c r="D3981" s="398"/>
      <c r="E3981" s="398"/>
      <c r="F3981" s="398"/>
      <c r="G3981" s="398"/>
    </row>
    <row r="3982" spans="1:7">
      <c r="A3982" s="398"/>
      <c r="B3982" s="398"/>
      <c r="C3982" s="398"/>
      <c r="D3982" s="398"/>
      <c r="E3982" s="398"/>
      <c r="F3982" s="398"/>
      <c r="G3982" s="398"/>
    </row>
    <row r="3983" spans="1:7">
      <c r="A3983" s="398"/>
      <c r="B3983" s="398"/>
      <c r="C3983" s="398"/>
      <c r="D3983" s="398"/>
      <c r="E3983" s="398"/>
      <c r="F3983" s="398"/>
      <c r="G3983" s="398"/>
    </row>
    <row r="3984" spans="1:7">
      <c r="A3984" s="398"/>
      <c r="B3984" s="398"/>
      <c r="C3984" s="398"/>
      <c r="D3984" s="398"/>
      <c r="E3984" s="398"/>
      <c r="F3984" s="398"/>
      <c r="G3984" s="398"/>
    </row>
    <row r="3985" spans="1:7">
      <c r="A3985" s="398"/>
      <c r="B3985" s="398"/>
      <c r="C3985" s="398"/>
      <c r="D3985" s="398"/>
      <c r="E3985" s="398"/>
      <c r="F3985" s="398"/>
      <c r="G3985" s="398"/>
    </row>
    <row r="3986" spans="1:7">
      <c r="A3986" s="398"/>
      <c r="B3986" s="398"/>
      <c r="C3986" s="398"/>
      <c r="D3986" s="398"/>
      <c r="E3986" s="398"/>
      <c r="F3986" s="398"/>
      <c r="G3986" s="398"/>
    </row>
    <row r="3987" spans="1:7">
      <c r="A3987" s="398"/>
      <c r="B3987" s="398"/>
      <c r="C3987" s="398"/>
      <c r="D3987" s="398"/>
      <c r="E3987" s="398"/>
      <c r="F3987" s="398"/>
      <c r="G3987" s="398"/>
    </row>
    <row r="3988" spans="1:7">
      <c r="A3988" s="398"/>
      <c r="B3988" s="398"/>
      <c r="C3988" s="398"/>
      <c r="D3988" s="398"/>
      <c r="E3988" s="398"/>
      <c r="F3988" s="398"/>
      <c r="G3988" s="398"/>
    </row>
    <row r="3989" spans="1:7">
      <c r="A3989" s="398"/>
      <c r="B3989" s="398"/>
      <c r="C3989" s="398"/>
      <c r="D3989" s="398"/>
      <c r="E3989" s="398"/>
      <c r="F3989" s="398"/>
      <c r="G3989" s="398"/>
    </row>
    <row r="3990" spans="1:7">
      <c r="A3990" s="398"/>
      <c r="B3990" s="398"/>
      <c r="C3990" s="398"/>
      <c r="D3990" s="398"/>
      <c r="E3990" s="398"/>
      <c r="F3990" s="398"/>
      <c r="G3990" s="398"/>
    </row>
    <row r="3991" spans="1:7">
      <c r="A3991" s="398"/>
      <c r="B3991" s="398"/>
      <c r="C3991" s="398"/>
      <c r="D3991" s="398"/>
      <c r="E3991" s="398"/>
      <c r="F3991" s="398"/>
      <c r="G3991" s="398"/>
    </row>
    <row r="3992" spans="1:7">
      <c r="A3992" s="398"/>
      <c r="B3992" s="398"/>
      <c r="C3992" s="398"/>
      <c r="D3992" s="398"/>
      <c r="E3992" s="398"/>
      <c r="F3992" s="398"/>
      <c r="G3992" s="398"/>
    </row>
    <row r="3993" spans="1:7">
      <c r="A3993" s="398"/>
      <c r="B3993" s="398"/>
      <c r="C3993" s="398"/>
      <c r="D3993" s="398"/>
      <c r="E3993" s="398"/>
      <c r="F3993" s="398"/>
      <c r="G3993" s="398"/>
    </row>
    <row r="3994" spans="1:7">
      <c r="A3994" s="398"/>
      <c r="B3994" s="398"/>
      <c r="C3994" s="398"/>
      <c r="D3994" s="398"/>
      <c r="E3994" s="398"/>
      <c r="F3994" s="398"/>
      <c r="G3994" s="398"/>
    </row>
    <row r="3995" spans="1:7">
      <c r="A3995" s="398"/>
      <c r="B3995" s="398"/>
      <c r="C3995" s="398"/>
      <c r="D3995" s="398"/>
      <c r="E3995" s="398"/>
      <c r="F3995" s="398"/>
      <c r="G3995" s="398"/>
    </row>
    <row r="3996" spans="1:7">
      <c r="A3996" s="398"/>
      <c r="B3996" s="398"/>
      <c r="C3996" s="398"/>
      <c r="D3996" s="398"/>
      <c r="E3996" s="398"/>
      <c r="F3996" s="398"/>
      <c r="G3996" s="398"/>
    </row>
    <row r="3997" spans="1:7">
      <c r="A3997" s="398"/>
      <c r="B3997" s="398"/>
      <c r="C3997" s="398"/>
      <c r="D3997" s="398"/>
      <c r="E3997" s="398"/>
      <c r="F3997" s="398"/>
      <c r="G3997" s="398"/>
    </row>
    <row r="3998" spans="1:7">
      <c r="A3998" s="398"/>
      <c r="B3998" s="398"/>
      <c r="C3998" s="398"/>
      <c r="D3998" s="398"/>
      <c r="E3998" s="398"/>
      <c r="F3998" s="398"/>
      <c r="G3998" s="398"/>
    </row>
    <row r="3999" spans="1:7">
      <c r="A3999" s="398"/>
      <c r="B3999" s="398"/>
      <c r="C3999" s="398"/>
      <c r="D3999" s="398"/>
      <c r="E3999" s="398"/>
      <c r="F3999" s="398"/>
      <c r="G3999" s="398"/>
    </row>
    <row r="4000" spans="1:7">
      <c r="A4000" s="398"/>
      <c r="B4000" s="398"/>
      <c r="C4000" s="398"/>
      <c r="D4000" s="398"/>
      <c r="E4000" s="398"/>
      <c r="F4000" s="398"/>
      <c r="G4000" s="398"/>
    </row>
    <row r="4001" spans="1:7">
      <c r="A4001" s="398"/>
      <c r="B4001" s="398"/>
      <c r="C4001" s="398"/>
      <c r="D4001" s="398"/>
      <c r="E4001" s="398"/>
      <c r="F4001" s="398"/>
      <c r="G4001" s="398"/>
    </row>
    <row r="4002" spans="1:7">
      <c r="A4002" s="398"/>
      <c r="B4002" s="398"/>
      <c r="C4002" s="398"/>
      <c r="D4002" s="398"/>
      <c r="E4002" s="398"/>
      <c r="F4002" s="398"/>
      <c r="G4002" s="398"/>
    </row>
    <row r="4005" spans="1:7" ht="17.45">
      <c r="A4005" s="233" t="s">
        <v>405</v>
      </c>
      <c r="B4005" s="23" t="s">
        <v>278</v>
      </c>
      <c r="C4005" s="23" t="s">
        <v>279</v>
      </c>
    </row>
    <row r="4006" spans="1:7">
      <c r="A4006" s="23" t="s">
        <v>372</v>
      </c>
      <c r="B4006" s="23">
        <v>0.16924</v>
      </c>
      <c r="C4006" s="23" t="s">
        <v>128</v>
      </c>
    </row>
    <row r="4007" spans="1:7">
      <c r="A4007" s="23" t="s">
        <v>290</v>
      </c>
      <c r="B4007" s="23">
        <v>2859.11</v>
      </c>
      <c r="C4007" s="23" t="s">
        <v>98</v>
      </c>
    </row>
    <row r="4012" spans="1:7">
      <c r="A4012" s="398"/>
      <c r="B4012" s="398"/>
      <c r="C4012" s="398"/>
      <c r="D4012" s="398"/>
      <c r="E4012" s="398"/>
      <c r="F4012" s="398"/>
      <c r="G4012" s="398"/>
    </row>
    <row r="4013" spans="1:7">
      <c r="A4013" s="398"/>
      <c r="B4013" s="398"/>
      <c r="C4013" s="398"/>
      <c r="D4013" s="398"/>
      <c r="E4013" s="398"/>
      <c r="F4013" s="398"/>
      <c r="G4013" s="398"/>
    </row>
    <row r="4014" spans="1:7">
      <c r="A4014" s="398"/>
      <c r="B4014" s="398"/>
      <c r="C4014" s="398"/>
      <c r="D4014" s="398"/>
      <c r="E4014" s="398"/>
      <c r="F4014" s="398"/>
      <c r="G4014" s="398"/>
    </row>
    <row r="4015" spans="1:7">
      <c r="A4015" s="398"/>
      <c r="B4015" s="398"/>
      <c r="C4015" s="398"/>
      <c r="D4015" s="398"/>
      <c r="E4015" s="398"/>
      <c r="F4015" s="398"/>
      <c r="G4015" s="398"/>
    </row>
    <row r="4016" spans="1:7">
      <c r="A4016" s="398"/>
      <c r="B4016" s="398"/>
      <c r="C4016" s="398"/>
      <c r="D4016" s="398"/>
      <c r="E4016" s="398"/>
      <c r="F4016" s="398"/>
      <c r="G4016" s="398"/>
    </row>
    <row r="4017" spans="1:7">
      <c r="A4017" s="398"/>
      <c r="B4017" s="398"/>
      <c r="C4017" s="398"/>
      <c r="D4017" s="398"/>
      <c r="E4017" s="398"/>
      <c r="F4017" s="398"/>
      <c r="G4017" s="398"/>
    </row>
    <row r="4018" spans="1:7">
      <c r="A4018" s="398"/>
      <c r="B4018" s="398"/>
      <c r="C4018" s="398"/>
      <c r="D4018" s="398"/>
      <c r="E4018" s="398"/>
      <c r="F4018" s="398"/>
      <c r="G4018" s="398"/>
    </row>
    <row r="4019" spans="1:7">
      <c r="A4019" s="398"/>
      <c r="B4019" s="398"/>
      <c r="C4019" s="398"/>
      <c r="D4019" s="398"/>
      <c r="E4019" s="398"/>
      <c r="F4019" s="398"/>
      <c r="G4019" s="398"/>
    </row>
    <row r="4020" spans="1:7">
      <c r="A4020" s="398"/>
      <c r="B4020" s="398"/>
      <c r="C4020" s="398"/>
      <c r="D4020" s="398"/>
      <c r="E4020" s="398"/>
      <c r="F4020" s="398"/>
      <c r="G4020" s="398"/>
    </row>
    <row r="4021" spans="1:7">
      <c r="A4021" s="398"/>
      <c r="B4021" s="398"/>
      <c r="C4021" s="398"/>
      <c r="D4021" s="398"/>
      <c r="E4021" s="398"/>
      <c r="F4021" s="398"/>
      <c r="G4021" s="398"/>
    </row>
    <row r="4022" spans="1:7">
      <c r="A4022" s="398"/>
      <c r="B4022" s="398"/>
      <c r="C4022" s="398"/>
      <c r="D4022" s="398"/>
      <c r="E4022" s="398"/>
      <c r="F4022" s="398"/>
      <c r="G4022" s="398"/>
    </row>
    <row r="4023" spans="1:7">
      <c r="A4023" s="398"/>
      <c r="B4023" s="398"/>
      <c r="C4023" s="398"/>
      <c r="D4023" s="398"/>
      <c r="E4023" s="398"/>
      <c r="F4023" s="398"/>
      <c r="G4023" s="398"/>
    </row>
    <row r="4024" spans="1:7">
      <c r="A4024" s="398"/>
      <c r="B4024" s="398"/>
      <c r="C4024" s="398"/>
      <c r="D4024" s="398"/>
      <c r="E4024" s="398"/>
      <c r="F4024" s="398"/>
      <c r="G4024" s="398"/>
    </row>
    <row r="4025" spans="1:7">
      <c r="A4025" s="398"/>
      <c r="B4025" s="398"/>
      <c r="C4025" s="398"/>
      <c r="D4025" s="398"/>
      <c r="E4025" s="398"/>
      <c r="F4025" s="398"/>
      <c r="G4025" s="398"/>
    </row>
    <row r="4026" spans="1:7">
      <c r="A4026" s="398"/>
      <c r="B4026" s="398"/>
      <c r="C4026" s="398"/>
      <c r="D4026" s="398"/>
      <c r="E4026" s="398"/>
      <c r="F4026" s="398"/>
      <c r="G4026" s="398"/>
    </row>
    <row r="4027" spans="1:7">
      <c r="A4027" s="398"/>
      <c r="B4027" s="398"/>
      <c r="C4027" s="398"/>
      <c r="D4027" s="398"/>
      <c r="E4027" s="398"/>
      <c r="F4027" s="398"/>
      <c r="G4027" s="398"/>
    </row>
    <row r="4028" spans="1:7">
      <c r="A4028" s="398"/>
      <c r="B4028" s="398"/>
      <c r="C4028" s="398"/>
      <c r="D4028" s="398"/>
      <c r="E4028" s="398"/>
      <c r="F4028" s="398"/>
      <c r="G4028" s="398"/>
    </row>
    <row r="4029" spans="1:7">
      <c r="A4029" s="398"/>
      <c r="B4029" s="398"/>
      <c r="C4029" s="398"/>
      <c r="D4029" s="398"/>
      <c r="E4029" s="398"/>
      <c r="F4029" s="398"/>
      <c r="G4029" s="398"/>
    </row>
    <row r="4030" spans="1:7">
      <c r="A4030" s="398"/>
      <c r="B4030" s="398"/>
      <c r="C4030" s="398"/>
      <c r="D4030" s="398"/>
      <c r="E4030" s="398"/>
      <c r="F4030" s="398"/>
      <c r="G4030" s="398"/>
    </row>
    <row r="4031" spans="1:7">
      <c r="A4031" s="398"/>
      <c r="B4031" s="398"/>
      <c r="C4031" s="398"/>
      <c r="D4031" s="398"/>
      <c r="E4031" s="398"/>
      <c r="F4031" s="398"/>
      <c r="G4031" s="398"/>
    </row>
    <row r="4032" spans="1:7">
      <c r="A4032" s="398"/>
      <c r="B4032" s="398"/>
      <c r="C4032" s="398"/>
      <c r="D4032" s="398"/>
      <c r="E4032" s="398"/>
      <c r="F4032" s="398"/>
      <c r="G4032" s="398"/>
    </row>
    <row r="4033" spans="1:7">
      <c r="A4033" s="398"/>
      <c r="B4033" s="398"/>
      <c r="C4033" s="398"/>
      <c r="D4033" s="398"/>
      <c r="E4033" s="398"/>
      <c r="F4033" s="398"/>
      <c r="G4033" s="398"/>
    </row>
    <row r="4034" spans="1:7">
      <c r="A4034" s="398"/>
      <c r="B4034" s="398"/>
      <c r="C4034" s="398"/>
      <c r="D4034" s="398"/>
      <c r="E4034" s="398"/>
      <c r="F4034" s="398"/>
      <c r="G4034" s="398"/>
    </row>
    <row r="4035" spans="1:7">
      <c r="A4035" s="398"/>
      <c r="B4035" s="398"/>
      <c r="C4035" s="398"/>
      <c r="D4035" s="398"/>
      <c r="E4035" s="398"/>
      <c r="F4035" s="398"/>
      <c r="G4035" s="398"/>
    </row>
    <row r="4036" spans="1:7">
      <c r="A4036" s="398"/>
      <c r="B4036" s="398"/>
      <c r="C4036" s="398"/>
      <c r="D4036" s="398"/>
      <c r="E4036" s="398"/>
      <c r="F4036" s="398"/>
      <c r="G4036" s="398"/>
    </row>
    <row r="4037" spans="1:7">
      <c r="A4037" s="398"/>
      <c r="B4037" s="398"/>
      <c r="C4037" s="398"/>
      <c r="D4037" s="398"/>
      <c r="E4037" s="398"/>
      <c r="F4037" s="398"/>
      <c r="G4037" s="398"/>
    </row>
    <row r="4038" spans="1:7">
      <c r="A4038" s="398"/>
      <c r="B4038" s="398"/>
      <c r="C4038" s="398"/>
      <c r="D4038" s="398"/>
      <c r="E4038" s="398"/>
      <c r="F4038" s="398"/>
      <c r="G4038" s="398"/>
    </row>
    <row r="4039" spans="1:7">
      <c r="A4039" s="398"/>
      <c r="B4039" s="398"/>
      <c r="C4039" s="398"/>
      <c r="D4039" s="398"/>
      <c r="E4039" s="398"/>
      <c r="F4039" s="398"/>
      <c r="G4039" s="398"/>
    </row>
    <row r="4040" spans="1:7">
      <c r="A4040" s="398"/>
      <c r="B4040" s="398"/>
      <c r="C4040" s="398"/>
      <c r="D4040" s="398"/>
      <c r="E4040" s="398"/>
      <c r="F4040" s="398"/>
      <c r="G4040" s="398"/>
    </row>
    <row r="4041" spans="1:7">
      <c r="A4041" s="398"/>
      <c r="B4041" s="398"/>
      <c r="C4041" s="398"/>
      <c r="D4041" s="398"/>
      <c r="E4041" s="398"/>
      <c r="F4041" s="398"/>
      <c r="G4041" s="398"/>
    </row>
    <row r="4042" spans="1:7">
      <c r="A4042" s="398"/>
      <c r="B4042" s="398"/>
      <c r="C4042" s="398"/>
      <c r="D4042" s="398"/>
      <c r="E4042" s="398"/>
      <c r="F4042" s="398"/>
      <c r="G4042" s="398"/>
    </row>
    <row r="4043" spans="1:7">
      <c r="A4043" s="398"/>
      <c r="B4043" s="398"/>
      <c r="C4043" s="398"/>
      <c r="D4043" s="398"/>
      <c r="E4043" s="398"/>
      <c r="F4043" s="398"/>
      <c r="G4043" s="398"/>
    </row>
    <row r="4044" spans="1:7">
      <c r="A4044" s="398"/>
      <c r="B4044" s="398"/>
      <c r="C4044" s="398"/>
      <c r="D4044" s="398"/>
      <c r="E4044" s="398"/>
      <c r="F4044" s="398"/>
      <c r="G4044" s="398"/>
    </row>
    <row r="4045" spans="1:7">
      <c r="A4045" s="398"/>
      <c r="B4045" s="398"/>
      <c r="C4045" s="398"/>
      <c r="D4045" s="398"/>
      <c r="E4045" s="398"/>
      <c r="F4045" s="398"/>
      <c r="G4045" s="398"/>
    </row>
    <row r="4046" spans="1:7">
      <c r="A4046" s="398"/>
      <c r="B4046" s="398"/>
      <c r="C4046" s="398"/>
      <c r="D4046" s="398"/>
      <c r="E4046" s="398"/>
      <c r="F4046" s="398"/>
      <c r="G4046" s="398"/>
    </row>
    <row r="4047" spans="1:7">
      <c r="A4047" s="398"/>
      <c r="B4047" s="398"/>
      <c r="C4047" s="398"/>
      <c r="D4047" s="398"/>
      <c r="E4047" s="398"/>
      <c r="F4047" s="398"/>
      <c r="G4047" s="398"/>
    </row>
    <row r="4048" spans="1:7">
      <c r="A4048" s="398"/>
      <c r="B4048" s="398"/>
      <c r="C4048" s="398"/>
      <c r="D4048" s="398"/>
      <c r="E4048" s="398"/>
      <c r="F4048" s="398"/>
      <c r="G4048" s="398"/>
    </row>
    <row r="4049" spans="1:7">
      <c r="A4049" s="398"/>
      <c r="B4049" s="398"/>
      <c r="C4049" s="398"/>
      <c r="D4049" s="398"/>
      <c r="E4049" s="398"/>
      <c r="F4049" s="398"/>
      <c r="G4049" s="398"/>
    </row>
    <row r="4050" spans="1:7">
      <c r="A4050" s="398"/>
      <c r="B4050" s="398"/>
      <c r="C4050" s="398"/>
      <c r="D4050" s="398"/>
      <c r="E4050" s="398"/>
      <c r="F4050" s="398"/>
      <c r="G4050" s="398"/>
    </row>
    <row r="4051" spans="1:7">
      <c r="A4051" s="398"/>
      <c r="B4051" s="398"/>
      <c r="C4051" s="398"/>
      <c r="D4051" s="398"/>
      <c r="E4051" s="398"/>
      <c r="F4051" s="398"/>
      <c r="G4051" s="398"/>
    </row>
    <row r="4052" spans="1:7">
      <c r="A4052" s="398"/>
      <c r="B4052" s="398"/>
      <c r="C4052" s="398"/>
      <c r="D4052" s="398"/>
      <c r="E4052" s="398"/>
      <c r="F4052" s="398"/>
      <c r="G4052" s="398"/>
    </row>
    <row r="4055" spans="1:7" ht="17.45">
      <c r="A4055" s="233" t="s">
        <v>406</v>
      </c>
      <c r="B4055" s="23" t="s">
        <v>278</v>
      </c>
      <c r="C4055" s="23" t="s">
        <v>279</v>
      </c>
    </row>
    <row r="4056" spans="1:7">
      <c r="A4056" s="23" t="s">
        <v>372</v>
      </c>
      <c r="B4056" s="23">
        <v>3.01145</v>
      </c>
      <c r="C4056" s="23" t="s">
        <v>128</v>
      </c>
    </row>
    <row r="4057" spans="1:7">
      <c r="A4057" s="23" t="s">
        <v>290</v>
      </c>
      <c r="B4057" s="23">
        <v>7003.78</v>
      </c>
      <c r="C4057" s="23" t="s">
        <v>98</v>
      </c>
    </row>
    <row r="4060" spans="1:7">
      <c r="A4060" s="398"/>
      <c r="B4060" s="398"/>
      <c r="C4060" s="398"/>
      <c r="D4060" s="398"/>
      <c r="E4060" s="398"/>
      <c r="F4060" s="398"/>
      <c r="G4060" s="398"/>
    </row>
    <row r="4061" spans="1:7">
      <c r="A4061" s="398"/>
      <c r="B4061" s="398"/>
      <c r="C4061" s="398"/>
      <c r="D4061" s="398"/>
      <c r="E4061" s="398"/>
      <c r="F4061" s="398"/>
      <c r="G4061" s="398"/>
    </row>
    <row r="4062" spans="1:7">
      <c r="A4062" s="398"/>
      <c r="B4062" s="398"/>
      <c r="C4062" s="398"/>
      <c r="D4062" s="398"/>
      <c r="E4062" s="398"/>
      <c r="F4062" s="398"/>
      <c r="G4062" s="398"/>
    </row>
    <row r="4063" spans="1:7">
      <c r="A4063" s="398"/>
      <c r="B4063" s="398"/>
      <c r="C4063" s="398"/>
      <c r="D4063" s="398"/>
      <c r="E4063" s="398"/>
      <c r="F4063" s="398"/>
      <c r="G4063" s="398"/>
    </row>
    <row r="4064" spans="1:7">
      <c r="A4064" s="398"/>
      <c r="B4064" s="398"/>
      <c r="C4064" s="398"/>
      <c r="D4064" s="398"/>
      <c r="E4064" s="398"/>
      <c r="F4064" s="398"/>
      <c r="G4064" s="398"/>
    </row>
    <row r="4065" spans="1:7">
      <c r="A4065" s="398"/>
      <c r="B4065" s="398"/>
      <c r="C4065" s="398"/>
      <c r="D4065" s="398"/>
      <c r="E4065" s="398"/>
      <c r="F4065" s="398"/>
      <c r="G4065" s="398"/>
    </row>
    <row r="4066" spans="1:7">
      <c r="A4066" s="398"/>
      <c r="B4066" s="398"/>
      <c r="C4066" s="398"/>
      <c r="D4066" s="398"/>
      <c r="E4066" s="398"/>
      <c r="F4066" s="398"/>
      <c r="G4066" s="398"/>
    </row>
    <row r="4067" spans="1:7">
      <c r="A4067" s="398"/>
      <c r="B4067" s="398"/>
      <c r="C4067" s="398"/>
      <c r="D4067" s="398"/>
      <c r="E4067" s="398"/>
      <c r="F4067" s="398"/>
      <c r="G4067" s="398"/>
    </row>
    <row r="4068" spans="1:7">
      <c r="A4068" s="398"/>
      <c r="B4068" s="398"/>
      <c r="C4068" s="398"/>
      <c r="D4068" s="398"/>
      <c r="E4068" s="398"/>
      <c r="F4068" s="398"/>
      <c r="G4068" s="398"/>
    </row>
    <row r="4069" spans="1:7">
      <c r="A4069" s="398"/>
      <c r="B4069" s="398"/>
      <c r="C4069" s="398"/>
      <c r="D4069" s="398"/>
      <c r="E4069" s="398"/>
      <c r="F4069" s="398"/>
      <c r="G4069" s="398"/>
    </row>
    <row r="4070" spans="1:7">
      <c r="A4070" s="398"/>
      <c r="B4070" s="398"/>
      <c r="C4070" s="398"/>
      <c r="D4070" s="398"/>
      <c r="E4070" s="398"/>
      <c r="F4070" s="398"/>
      <c r="G4070" s="398"/>
    </row>
    <row r="4071" spans="1:7">
      <c r="A4071" s="398"/>
      <c r="B4071" s="398"/>
      <c r="C4071" s="398"/>
      <c r="D4071" s="398"/>
      <c r="E4071" s="398"/>
      <c r="F4071" s="398"/>
      <c r="G4071" s="398"/>
    </row>
    <row r="4072" spans="1:7">
      <c r="A4072" s="398"/>
      <c r="B4072" s="398"/>
      <c r="C4072" s="398"/>
      <c r="D4072" s="398"/>
      <c r="E4072" s="398"/>
      <c r="F4072" s="398"/>
      <c r="G4072" s="398"/>
    </row>
    <row r="4073" spans="1:7">
      <c r="A4073" s="398"/>
      <c r="B4073" s="398"/>
      <c r="C4073" s="398"/>
      <c r="D4073" s="398"/>
      <c r="E4073" s="398"/>
      <c r="F4073" s="398"/>
      <c r="G4073" s="398"/>
    </row>
    <row r="4074" spans="1:7">
      <c r="A4074" s="398"/>
      <c r="B4074" s="398"/>
      <c r="C4074" s="398"/>
      <c r="D4074" s="398"/>
      <c r="E4074" s="398"/>
      <c r="F4074" s="398"/>
      <c r="G4074" s="398"/>
    </row>
    <row r="4075" spans="1:7">
      <c r="A4075" s="398"/>
      <c r="B4075" s="398"/>
      <c r="C4075" s="398"/>
      <c r="D4075" s="398"/>
      <c r="E4075" s="398"/>
      <c r="F4075" s="398"/>
      <c r="G4075" s="398"/>
    </row>
    <row r="4076" spans="1:7">
      <c r="A4076" s="398"/>
      <c r="B4076" s="398"/>
      <c r="C4076" s="398"/>
      <c r="D4076" s="398"/>
      <c r="E4076" s="398"/>
      <c r="F4076" s="398"/>
      <c r="G4076" s="398"/>
    </row>
    <row r="4077" spans="1:7">
      <c r="A4077" s="398"/>
      <c r="B4077" s="398"/>
      <c r="C4077" s="398"/>
      <c r="D4077" s="398"/>
      <c r="E4077" s="398"/>
      <c r="F4077" s="398"/>
      <c r="G4077" s="398"/>
    </row>
    <row r="4078" spans="1:7">
      <c r="A4078" s="398"/>
      <c r="B4078" s="398"/>
      <c r="C4078" s="398"/>
      <c r="D4078" s="398"/>
      <c r="E4078" s="398"/>
      <c r="F4078" s="398"/>
      <c r="G4078" s="398"/>
    </row>
    <row r="4079" spans="1:7">
      <c r="A4079" s="398"/>
      <c r="B4079" s="398"/>
      <c r="C4079" s="398"/>
      <c r="D4079" s="398"/>
      <c r="E4079" s="398"/>
      <c r="F4079" s="398"/>
      <c r="G4079" s="398"/>
    </row>
    <row r="4080" spans="1:7">
      <c r="A4080" s="398"/>
      <c r="B4080" s="398"/>
      <c r="C4080" s="398"/>
      <c r="D4080" s="398"/>
      <c r="E4080" s="398"/>
      <c r="F4080" s="398"/>
      <c r="G4080" s="398"/>
    </row>
    <row r="4081" spans="1:7">
      <c r="A4081" s="398"/>
      <c r="B4081" s="398"/>
      <c r="C4081" s="398"/>
      <c r="D4081" s="398"/>
      <c r="E4081" s="398"/>
      <c r="F4081" s="398"/>
      <c r="G4081" s="398"/>
    </row>
    <row r="4082" spans="1:7">
      <c r="A4082" s="398"/>
      <c r="B4082" s="398"/>
      <c r="C4082" s="398"/>
      <c r="D4082" s="398"/>
      <c r="E4082" s="398"/>
      <c r="F4082" s="398"/>
      <c r="G4082" s="398"/>
    </row>
    <row r="4083" spans="1:7">
      <c r="A4083" s="398"/>
      <c r="B4083" s="398"/>
      <c r="C4083" s="398"/>
      <c r="D4083" s="398"/>
      <c r="E4083" s="398"/>
      <c r="F4083" s="398"/>
      <c r="G4083" s="398"/>
    </row>
    <row r="4084" spans="1:7">
      <c r="A4084" s="398"/>
      <c r="B4084" s="398"/>
      <c r="C4084" s="398"/>
      <c r="D4084" s="398"/>
      <c r="E4084" s="398"/>
      <c r="F4084" s="398"/>
      <c r="G4084" s="398"/>
    </row>
    <row r="4085" spans="1:7">
      <c r="A4085" s="398"/>
      <c r="B4085" s="398"/>
      <c r="C4085" s="398"/>
      <c r="D4085" s="398"/>
      <c r="E4085" s="398"/>
      <c r="F4085" s="398"/>
      <c r="G4085" s="398"/>
    </row>
    <row r="4086" spans="1:7">
      <c r="A4086" s="398"/>
      <c r="B4086" s="398"/>
      <c r="C4086" s="398"/>
      <c r="D4086" s="398"/>
      <c r="E4086" s="398"/>
      <c r="F4086" s="398"/>
      <c r="G4086" s="398"/>
    </row>
    <row r="4087" spans="1:7">
      <c r="A4087" s="398"/>
      <c r="B4087" s="398"/>
      <c r="C4087" s="398"/>
      <c r="D4087" s="398"/>
      <c r="E4087" s="398"/>
      <c r="F4087" s="398"/>
      <c r="G4087" s="398"/>
    </row>
    <row r="4088" spans="1:7">
      <c r="A4088" s="398"/>
      <c r="B4088" s="398"/>
      <c r="C4088" s="398"/>
      <c r="D4088" s="398"/>
      <c r="E4088" s="398"/>
      <c r="F4088" s="398"/>
      <c r="G4088" s="398"/>
    </row>
    <row r="4089" spans="1:7">
      <c r="A4089" s="398"/>
      <c r="B4089" s="398"/>
      <c r="C4089" s="398"/>
      <c r="D4089" s="398"/>
      <c r="E4089" s="398"/>
      <c r="F4089" s="398"/>
      <c r="G4089" s="398"/>
    </row>
    <row r="4090" spans="1:7">
      <c r="A4090" s="398"/>
      <c r="B4090" s="398"/>
      <c r="C4090" s="398"/>
      <c r="D4090" s="398"/>
      <c r="E4090" s="398"/>
      <c r="F4090" s="398"/>
      <c r="G4090" s="398"/>
    </row>
    <row r="4091" spans="1:7">
      <c r="A4091" s="398"/>
      <c r="B4091" s="398"/>
      <c r="C4091" s="398"/>
      <c r="D4091" s="398"/>
      <c r="E4091" s="398"/>
      <c r="F4091" s="398"/>
      <c r="G4091" s="398"/>
    </row>
    <row r="4092" spans="1:7">
      <c r="A4092" s="398"/>
      <c r="B4092" s="398"/>
      <c r="C4092" s="398"/>
      <c r="D4092" s="398"/>
      <c r="E4092" s="398"/>
      <c r="F4092" s="398"/>
      <c r="G4092" s="398"/>
    </row>
    <row r="4093" spans="1:7">
      <c r="A4093" s="398"/>
      <c r="B4093" s="398"/>
      <c r="C4093" s="398"/>
      <c r="D4093" s="398"/>
      <c r="E4093" s="398"/>
      <c r="F4093" s="398"/>
      <c r="G4093" s="398"/>
    </row>
    <row r="4094" spans="1:7">
      <c r="A4094" s="398"/>
      <c r="B4094" s="398"/>
      <c r="C4094" s="398"/>
      <c r="D4094" s="398"/>
      <c r="E4094" s="398"/>
      <c r="F4094" s="398"/>
      <c r="G4094" s="398"/>
    </row>
    <row r="4095" spans="1:7">
      <c r="A4095" s="398"/>
      <c r="B4095" s="398"/>
      <c r="C4095" s="398"/>
      <c r="D4095" s="398"/>
      <c r="E4095" s="398"/>
      <c r="F4095" s="398"/>
      <c r="G4095" s="398"/>
    </row>
    <row r="4096" spans="1:7">
      <c r="A4096" s="398"/>
      <c r="B4096" s="398"/>
      <c r="C4096" s="398"/>
      <c r="D4096" s="398"/>
      <c r="E4096" s="398"/>
      <c r="F4096" s="398"/>
      <c r="G4096" s="398"/>
    </row>
    <row r="4097" spans="1:7">
      <c r="A4097" s="398"/>
      <c r="B4097" s="398"/>
      <c r="C4097" s="398"/>
      <c r="D4097" s="398"/>
      <c r="E4097" s="398"/>
      <c r="F4097" s="398"/>
      <c r="G4097" s="398"/>
    </row>
    <row r="4098" spans="1:7">
      <c r="A4098" s="398"/>
      <c r="B4098" s="398"/>
      <c r="C4098" s="398"/>
      <c r="D4098" s="398"/>
      <c r="E4098" s="398"/>
      <c r="F4098" s="398"/>
      <c r="G4098" s="398"/>
    </row>
    <row r="4099" spans="1:7">
      <c r="A4099" s="398"/>
      <c r="B4099" s="398"/>
      <c r="C4099" s="398"/>
      <c r="D4099" s="398"/>
      <c r="E4099" s="398"/>
      <c r="F4099" s="398"/>
      <c r="G4099" s="398"/>
    </row>
    <row r="4100" spans="1:7">
      <c r="A4100" s="398"/>
      <c r="B4100" s="398"/>
      <c r="C4100" s="398"/>
      <c r="D4100" s="398"/>
      <c r="E4100" s="398"/>
      <c r="F4100" s="398"/>
      <c r="G4100" s="398"/>
    </row>
    <row r="4103" spans="1:7" ht="17.45">
      <c r="A4103" s="233" t="s">
        <v>407</v>
      </c>
      <c r="B4103" s="23" t="s">
        <v>278</v>
      </c>
      <c r="C4103" s="23" t="s">
        <v>279</v>
      </c>
    </row>
    <row r="4104" spans="1:7">
      <c r="A4104" s="23" t="s">
        <v>372</v>
      </c>
      <c r="B4104" s="23">
        <v>3.5434600000000001</v>
      </c>
      <c r="C4104" s="23" t="s">
        <v>128</v>
      </c>
    </row>
    <row r="4105" spans="1:7">
      <c r="A4105" s="23" t="s">
        <v>290</v>
      </c>
      <c r="B4105" s="23">
        <v>5979.04</v>
      </c>
      <c r="C4105" s="23" t="s">
        <v>98</v>
      </c>
    </row>
    <row r="4110" spans="1:7">
      <c r="A4110" s="398"/>
      <c r="B4110" s="398"/>
      <c r="C4110" s="398"/>
      <c r="D4110" s="398"/>
      <c r="E4110" s="398"/>
      <c r="F4110" s="398"/>
      <c r="G4110" s="398"/>
    </row>
    <row r="4111" spans="1:7">
      <c r="A4111" s="398"/>
      <c r="B4111" s="398"/>
      <c r="C4111" s="398"/>
      <c r="D4111" s="398"/>
      <c r="E4111" s="398"/>
      <c r="F4111" s="398"/>
      <c r="G4111" s="398"/>
    </row>
    <row r="4112" spans="1:7">
      <c r="A4112" s="398"/>
      <c r="B4112" s="398"/>
      <c r="C4112" s="398"/>
      <c r="D4112" s="398"/>
      <c r="E4112" s="398"/>
      <c r="F4112" s="398"/>
      <c r="G4112" s="398"/>
    </row>
    <row r="4113" spans="1:7">
      <c r="A4113" s="398"/>
      <c r="B4113" s="398"/>
      <c r="C4113" s="398"/>
      <c r="D4113" s="398"/>
      <c r="E4113" s="398"/>
      <c r="F4113" s="398"/>
      <c r="G4113" s="398"/>
    </row>
    <row r="4114" spans="1:7">
      <c r="A4114" s="398"/>
      <c r="B4114" s="398"/>
      <c r="C4114" s="398"/>
      <c r="D4114" s="398"/>
      <c r="E4114" s="398"/>
      <c r="F4114" s="398"/>
      <c r="G4114" s="398"/>
    </row>
    <row r="4115" spans="1:7">
      <c r="A4115" s="398"/>
      <c r="B4115" s="398"/>
      <c r="C4115" s="398"/>
      <c r="D4115" s="398"/>
      <c r="E4115" s="398"/>
      <c r="F4115" s="398"/>
      <c r="G4115" s="398"/>
    </row>
    <row r="4116" spans="1:7">
      <c r="A4116" s="398"/>
      <c r="B4116" s="398"/>
      <c r="C4116" s="398"/>
      <c r="D4116" s="398"/>
      <c r="E4116" s="398"/>
      <c r="F4116" s="398"/>
      <c r="G4116" s="398"/>
    </row>
    <row r="4117" spans="1:7">
      <c r="A4117" s="398"/>
      <c r="B4117" s="398"/>
      <c r="C4117" s="398"/>
      <c r="D4117" s="398"/>
      <c r="E4117" s="398"/>
      <c r="F4117" s="398"/>
      <c r="G4117" s="398"/>
    </row>
    <row r="4118" spans="1:7">
      <c r="A4118" s="398"/>
      <c r="B4118" s="398"/>
      <c r="C4118" s="398"/>
      <c r="D4118" s="398"/>
      <c r="E4118" s="398"/>
      <c r="F4118" s="398"/>
      <c r="G4118" s="398"/>
    </row>
    <row r="4119" spans="1:7">
      <c r="A4119" s="398"/>
      <c r="B4119" s="398"/>
      <c r="C4119" s="398"/>
      <c r="D4119" s="398"/>
      <c r="E4119" s="398"/>
      <c r="F4119" s="398"/>
      <c r="G4119" s="398"/>
    </row>
    <row r="4120" spans="1:7">
      <c r="A4120" s="398"/>
      <c r="B4120" s="398"/>
      <c r="C4120" s="398"/>
      <c r="D4120" s="398"/>
      <c r="E4120" s="398"/>
      <c r="F4120" s="398"/>
      <c r="G4120" s="398"/>
    </row>
    <row r="4121" spans="1:7">
      <c r="A4121" s="398"/>
      <c r="B4121" s="398"/>
      <c r="C4121" s="398"/>
      <c r="D4121" s="398"/>
      <c r="E4121" s="398"/>
      <c r="F4121" s="398"/>
      <c r="G4121" s="398"/>
    </row>
    <row r="4122" spans="1:7">
      <c r="A4122" s="398"/>
      <c r="B4122" s="398"/>
      <c r="C4122" s="398"/>
      <c r="D4122" s="398"/>
      <c r="E4122" s="398"/>
      <c r="F4122" s="398"/>
      <c r="G4122" s="398"/>
    </row>
    <row r="4123" spans="1:7">
      <c r="A4123" s="398"/>
      <c r="B4123" s="398"/>
      <c r="C4123" s="398"/>
      <c r="D4123" s="398"/>
      <c r="E4123" s="398"/>
      <c r="F4123" s="398"/>
      <c r="G4123" s="398"/>
    </row>
    <row r="4124" spans="1:7">
      <c r="A4124" s="398"/>
      <c r="B4124" s="398"/>
      <c r="C4124" s="398"/>
      <c r="D4124" s="398"/>
      <c r="E4124" s="398"/>
      <c r="F4124" s="398"/>
      <c r="G4124" s="398"/>
    </row>
    <row r="4125" spans="1:7">
      <c r="A4125" s="398"/>
      <c r="B4125" s="398"/>
      <c r="C4125" s="398"/>
      <c r="D4125" s="398"/>
      <c r="E4125" s="398"/>
      <c r="F4125" s="398"/>
      <c r="G4125" s="398"/>
    </row>
    <row r="4126" spans="1:7">
      <c r="A4126" s="398"/>
      <c r="B4126" s="398"/>
      <c r="C4126" s="398"/>
      <c r="D4126" s="398"/>
      <c r="E4126" s="398"/>
      <c r="F4126" s="398"/>
      <c r="G4126" s="398"/>
    </row>
    <row r="4127" spans="1:7">
      <c r="A4127" s="398"/>
      <c r="B4127" s="398"/>
      <c r="C4127" s="398"/>
      <c r="D4127" s="398"/>
      <c r="E4127" s="398"/>
      <c r="F4127" s="398"/>
      <c r="G4127" s="398"/>
    </row>
    <row r="4128" spans="1:7">
      <c r="A4128" s="398"/>
      <c r="B4128" s="398"/>
      <c r="C4128" s="398"/>
      <c r="D4128" s="398"/>
      <c r="E4128" s="398"/>
      <c r="F4128" s="398"/>
      <c r="G4128" s="398"/>
    </row>
    <row r="4129" spans="1:7">
      <c r="A4129" s="398"/>
      <c r="B4129" s="398"/>
      <c r="C4129" s="398"/>
      <c r="D4129" s="398"/>
      <c r="E4129" s="398"/>
      <c r="F4129" s="398"/>
      <c r="G4129" s="398"/>
    </row>
    <row r="4130" spans="1:7">
      <c r="A4130" s="398"/>
      <c r="B4130" s="398"/>
      <c r="C4130" s="398"/>
      <c r="D4130" s="398"/>
      <c r="E4130" s="398"/>
      <c r="F4130" s="398"/>
      <c r="G4130" s="398"/>
    </row>
    <row r="4131" spans="1:7">
      <c r="A4131" s="398"/>
      <c r="B4131" s="398"/>
      <c r="C4131" s="398"/>
      <c r="D4131" s="398"/>
      <c r="E4131" s="398"/>
      <c r="F4131" s="398"/>
      <c r="G4131" s="398"/>
    </row>
    <row r="4132" spans="1:7">
      <c r="A4132" s="398"/>
      <c r="B4132" s="398"/>
      <c r="C4132" s="398"/>
      <c r="D4132" s="398"/>
      <c r="E4132" s="398"/>
      <c r="F4132" s="398"/>
      <c r="G4132" s="398"/>
    </row>
    <row r="4133" spans="1:7">
      <c r="A4133" s="398"/>
      <c r="B4133" s="398"/>
      <c r="C4133" s="398"/>
      <c r="D4133" s="398"/>
      <c r="E4133" s="398"/>
      <c r="F4133" s="398"/>
      <c r="G4133" s="398"/>
    </row>
    <row r="4134" spans="1:7">
      <c r="A4134" s="398"/>
      <c r="B4134" s="398"/>
      <c r="C4134" s="398"/>
      <c r="D4134" s="398"/>
      <c r="E4134" s="398"/>
      <c r="F4134" s="398"/>
      <c r="G4134" s="398"/>
    </row>
    <row r="4135" spans="1:7">
      <c r="A4135" s="398"/>
      <c r="B4135" s="398"/>
      <c r="C4135" s="398"/>
      <c r="D4135" s="398"/>
      <c r="E4135" s="398"/>
      <c r="F4135" s="398"/>
      <c r="G4135" s="398"/>
    </row>
    <row r="4136" spans="1:7">
      <c r="A4136" s="398"/>
      <c r="B4136" s="398"/>
      <c r="C4136" s="398"/>
      <c r="D4136" s="398"/>
      <c r="E4136" s="398"/>
      <c r="F4136" s="398"/>
      <c r="G4136" s="398"/>
    </row>
    <row r="4137" spans="1:7">
      <c r="A4137" s="398"/>
      <c r="B4137" s="398"/>
      <c r="C4137" s="398"/>
      <c r="D4137" s="398"/>
      <c r="E4137" s="398"/>
      <c r="F4137" s="398"/>
      <c r="G4137" s="398"/>
    </row>
    <row r="4138" spans="1:7">
      <c r="A4138" s="398"/>
      <c r="B4138" s="398"/>
      <c r="C4138" s="398"/>
      <c r="D4138" s="398"/>
      <c r="E4138" s="398"/>
      <c r="F4138" s="398"/>
      <c r="G4138" s="398"/>
    </row>
    <row r="4139" spans="1:7">
      <c r="A4139" s="398"/>
      <c r="B4139" s="398"/>
      <c r="C4139" s="398"/>
      <c r="D4139" s="398"/>
      <c r="E4139" s="398"/>
      <c r="F4139" s="398"/>
      <c r="G4139" s="398"/>
    </row>
    <row r="4140" spans="1:7">
      <c r="A4140" s="398"/>
      <c r="B4140" s="398"/>
      <c r="C4140" s="398"/>
      <c r="D4140" s="398"/>
      <c r="E4140" s="398"/>
      <c r="F4140" s="398"/>
      <c r="G4140" s="398"/>
    </row>
    <row r="4141" spans="1:7">
      <c r="A4141" s="398"/>
      <c r="B4141" s="398"/>
      <c r="C4141" s="398"/>
      <c r="D4141" s="398"/>
      <c r="E4141" s="398"/>
      <c r="F4141" s="398"/>
      <c r="G4141" s="398"/>
    </row>
    <row r="4142" spans="1:7">
      <c r="A4142" s="398"/>
      <c r="B4142" s="398"/>
      <c r="C4142" s="398"/>
      <c r="D4142" s="398"/>
      <c r="E4142" s="398"/>
      <c r="F4142" s="398"/>
      <c r="G4142" s="398"/>
    </row>
    <row r="4143" spans="1:7">
      <c r="A4143" s="398"/>
      <c r="B4143" s="398"/>
      <c r="C4143" s="398"/>
      <c r="D4143" s="398"/>
      <c r="E4143" s="398"/>
      <c r="F4143" s="398"/>
      <c r="G4143" s="398"/>
    </row>
    <row r="4144" spans="1:7">
      <c r="A4144" s="398"/>
      <c r="B4144" s="398"/>
      <c r="C4144" s="398"/>
      <c r="D4144" s="398"/>
      <c r="E4144" s="398"/>
      <c r="F4144" s="398"/>
      <c r="G4144" s="398"/>
    </row>
    <row r="4145" spans="1:7">
      <c r="A4145" s="398"/>
      <c r="B4145" s="398"/>
      <c r="C4145" s="398"/>
      <c r="D4145" s="398"/>
      <c r="E4145" s="398"/>
      <c r="F4145" s="398"/>
      <c r="G4145" s="398"/>
    </row>
    <row r="4146" spans="1:7">
      <c r="A4146" s="398"/>
      <c r="B4146" s="398"/>
      <c r="C4146" s="398"/>
      <c r="D4146" s="398"/>
      <c r="E4146" s="398"/>
      <c r="F4146" s="398"/>
      <c r="G4146" s="398"/>
    </row>
    <row r="4147" spans="1:7">
      <c r="A4147" s="398"/>
      <c r="B4147" s="398"/>
      <c r="C4147" s="398"/>
      <c r="D4147" s="398"/>
      <c r="E4147" s="398"/>
      <c r="F4147" s="398"/>
      <c r="G4147" s="398"/>
    </row>
    <row r="4148" spans="1:7">
      <c r="A4148" s="398"/>
      <c r="B4148" s="398"/>
      <c r="C4148" s="398"/>
      <c r="D4148" s="398"/>
      <c r="E4148" s="398"/>
      <c r="F4148" s="398"/>
      <c r="G4148" s="398"/>
    </row>
    <row r="4149" spans="1:7">
      <c r="A4149" s="398"/>
      <c r="B4149" s="398"/>
      <c r="C4149" s="398"/>
      <c r="D4149" s="398"/>
      <c r="E4149" s="398"/>
      <c r="F4149" s="398"/>
      <c r="G4149" s="398"/>
    </row>
    <row r="4150" spans="1:7">
      <c r="A4150" s="398"/>
      <c r="B4150" s="398"/>
      <c r="C4150" s="398"/>
      <c r="D4150" s="398"/>
      <c r="E4150" s="398"/>
      <c r="F4150" s="398"/>
      <c r="G4150" s="398"/>
    </row>
    <row r="4153" spans="1:7" ht="17.45">
      <c r="A4153" s="232" t="s">
        <v>408</v>
      </c>
      <c r="B4153" s="23" t="s">
        <v>278</v>
      </c>
      <c r="C4153" s="23" t="s">
        <v>279</v>
      </c>
    </row>
    <row r="4154" spans="1:7">
      <c r="A4154" s="23" t="s">
        <v>372</v>
      </c>
      <c r="B4154" s="146">
        <v>1.74</v>
      </c>
      <c r="C4154" s="23" t="s">
        <v>128</v>
      </c>
    </row>
    <row r="4155" spans="1:7">
      <c r="A4155" s="23" t="s">
        <v>290</v>
      </c>
      <c r="B4155" s="146">
        <v>3205.54</v>
      </c>
      <c r="C4155" s="23" t="s">
        <v>98</v>
      </c>
    </row>
    <row r="4156" spans="1:7">
      <c r="F4156"/>
    </row>
    <row r="4157" spans="1:7">
      <c r="F4157"/>
    </row>
    <row r="4158" spans="1:7">
      <c r="A4158" s="398"/>
      <c r="B4158" s="398"/>
      <c r="C4158" s="398"/>
      <c r="D4158" s="398"/>
      <c r="E4158" s="398"/>
      <c r="F4158" s="398"/>
      <c r="G4158" s="398"/>
    </row>
    <row r="4159" spans="1:7">
      <c r="A4159" s="398"/>
      <c r="B4159" s="398"/>
      <c r="C4159" s="398"/>
      <c r="D4159" s="398"/>
      <c r="E4159" s="398"/>
      <c r="F4159" s="398"/>
      <c r="G4159" s="398"/>
    </row>
    <row r="4160" spans="1:7">
      <c r="A4160" s="398"/>
      <c r="B4160" s="398"/>
      <c r="C4160" s="398"/>
      <c r="D4160" s="398"/>
      <c r="E4160" s="398"/>
      <c r="F4160" s="398"/>
      <c r="G4160" s="398"/>
    </row>
    <row r="4161" spans="1:7">
      <c r="A4161" s="398"/>
      <c r="B4161" s="398"/>
      <c r="C4161" s="398"/>
      <c r="D4161" s="398"/>
      <c r="E4161" s="398"/>
      <c r="F4161" s="398"/>
      <c r="G4161" s="398"/>
    </row>
    <row r="4162" spans="1:7">
      <c r="A4162" s="398"/>
      <c r="B4162" s="398"/>
      <c r="C4162" s="398"/>
      <c r="D4162" s="398"/>
      <c r="E4162" s="398"/>
      <c r="F4162" s="398"/>
      <c r="G4162" s="398"/>
    </row>
    <row r="4163" spans="1:7">
      <c r="A4163" s="398"/>
      <c r="B4163" s="398"/>
      <c r="C4163" s="398"/>
      <c r="D4163" s="398"/>
      <c r="E4163" s="398"/>
      <c r="F4163" s="398"/>
      <c r="G4163" s="398"/>
    </row>
    <row r="4164" spans="1:7">
      <c r="A4164" s="398"/>
      <c r="B4164" s="398"/>
      <c r="C4164" s="398"/>
      <c r="D4164" s="398"/>
      <c r="E4164" s="398"/>
      <c r="F4164" s="398"/>
      <c r="G4164" s="398"/>
    </row>
    <row r="4165" spans="1:7">
      <c r="A4165" s="398"/>
      <c r="B4165" s="398"/>
      <c r="C4165" s="398"/>
      <c r="D4165" s="398"/>
      <c r="E4165" s="398"/>
      <c r="F4165" s="398"/>
      <c r="G4165" s="398"/>
    </row>
    <row r="4166" spans="1:7">
      <c r="A4166" s="398"/>
      <c r="B4166" s="398"/>
      <c r="C4166" s="398"/>
      <c r="D4166" s="398"/>
      <c r="E4166" s="398"/>
      <c r="F4166" s="398"/>
      <c r="G4166" s="398"/>
    </row>
    <row r="4167" spans="1:7">
      <c r="A4167" s="398"/>
      <c r="B4167" s="398"/>
      <c r="C4167" s="398"/>
      <c r="D4167" s="398"/>
      <c r="E4167" s="398"/>
      <c r="F4167" s="398"/>
      <c r="G4167" s="398"/>
    </row>
    <row r="4168" spans="1:7">
      <c r="A4168" s="398"/>
      <c r="B4168" s="398"/>
      <c r="C4168" s="398"/>
      <c r="D4168" s="398"/>
      <c r="E4168" s="398"/>
      <c r="F4168" s="398"/>
      <c r="G4168" s="398"/>
    </row>
    <row r="4169" spans="1:7">
      <c r="A4169" s="398"/>
      <c r="B4169" s="398"/>
      <c r="C4169" s="398"/>
      <c r="D4169" s="398"/>
      <c r="E4169" s="398"/>
      <c r="F4169" s="398"/>
      <c r="G4169" s="398"/>
    </row>
    <row r="4170" spans="1:7">
      <c r="A4170" s="398"/>
      <c r="B4170" s="398"/>
      <c r="C4170" s="398"/>
      <c r="D4170" s="398"/>
      <c r="E4170" s="398"/>
      <c r="F4170" s="398"/>
      <c r="G4170" s="398"/>
    </row>
    <row r="4171" spans="1:7">
      <c r="A4171" s="398"/>
      <c r="B4171" s="398"/>
      <c r="C4171" s="398"/>
      <c r="D4171" s="398"/>
      <c r="E4171" s="398"/>
      <c r="F4171" s="398"/>
      <c r="G4171" s="398"/>
    </row>
    <row r="4172" spans="1:7">
      <c r="A4172" s="398"/>
      <c r="B4172" s="398"/>
      <c r="C4172" s="398"/>
      <c r="D4172" s="398"/>
      <c r="E4172" s="398"/>
      <c r="F4172" s="398"/>
      <c r="G4172" s="398"/>
    </row>
    <row r="4173" spans="1:7">
      <c r="A4173" s="398"/>
      <c r="B4173" s="398"/>
      <c r="C4173" s="398"/>
      <c r="D4173" s="398"/>
      <c r="E4173" s="398"/>
      <c r="F4173" s="398"/>
      <c r="G4173" s="398"/>
    </row>
    <row r="4174" spans="1:7">
      <c r="A4174" s="398"/>
      <c r="B4174" s="398"/>
      <c r="C4174" s="398"/>
      <c r="D4174" s="398"/>
      <c r="E4174" s="398"/>
      <c r="F4174" s="398"/>
      <c r="G4174" s="398"/>
    </row>
    <row r="4175" spans="1:7">
      <c r="A4175" s="398"/>
      <c r="B4175" s="398"/>
      <c r="C4175" s="398"/>
      <c r="D4175" s="398"/>
      <c r="E4175" s="398"/>
      <c r="F4175" s="398"/>
      <c r="G4175" s="398"/>
    </row>
    <row r="4176" spans="1:7">
      <c r="A4176" s="398"/>
      <c r="B4176" s="398"/>
      <c r="C4176" s="398"/>
      <c r="D4176" s="398"/>
      <c r="E4176" s="398"/>
      <c r="F4176" s="398"/>
      <c r="G4176" s="398"/>
    </row>
    <row r="4177" spans="1:7">
      <c r="A4177" s="398"/>
      <c r="B4177" s="398"/>
      <c r="C4177" s="398"/>
      <c r="D4177" s="398"/>
      <c r="E4177" s="398"/>
      <c r="F4177" s="398"/>
      <c r="G4177" s="398"/>
    </row>
    <row r="4178" spans="1:7">
      <c r="A4178" s="398"/>
      <c r="B4178" s="398"/>
      <c r="C4178" s="398"/>
      <c r="D4178" s="398"/>
      <c r="E4178" s="398"/>
      <c r="F4178" s="398"/>
      <c r="G4178" s="398"/>
    </row>
    <row r="4179" spans="1:7">
      <c r="A4179" s="398"/>
      <c r="B4179" s="398"/>
      <c r="C4179" s="398"/>
      <c r="D4179" s="398"/>
      <c r="E4179" s="398"/>
      <c r="F4179" s="398"/>
      <c r="G4179" s="398"/>
    </row>
    <row r="4180" spans="1:7">
      <c r="A4180" s="398"/>
      <c r="B4180" s="398"/>
      <c r="C4180" s="398"/>
      <c r="D4180" s="398"/>
      <c r="E4180" s="398"/>
      <c r="F4180" s="398"/>
      <c r="G4180" s="398"/>
    </row>
    <row r="4181" spans="1:7">
      <c r="A4181" s="398"/>
      <c r="B4181" s="398"/>
      <c r="C4181" s="398"/>
      <c r="D4181" s="398"/>
      <c r="E4181" s="398"/>
      <c r="F4181" s="398"/>
      <c r="G4181" s="398"/>
    </row>
    <row r="4182" spans="1:7">
      <c r="A4182" s="398"/>
      <c r="B4182" s="398"/>
      <c r="C4182" s="398"/>
      <c r="D4182" s="398"/>
      <c r="E4182" s="398"/>
      <c r="F4182" s="398"/>
      <c r="G4182" s="398"/>
    </row>
    <row r="4183" spans="1:7">
      <c r="A4183" s="398"/>
      <c r="B4183" s="398"/>
      <c r="C4183" s="398"/>
      <c r="D4183" s="398"/>
      <c r="E4183" s="398"/>
      <c r="F4183" s="398"/>
      <c r="G4183" s="398"/>
    </row>
    <row r="4184" spans="1:7">
      <c r="A4184" s="398"/>
      <c r="B4184" s="398"/>
      <c r="C4184" s="398"/>
      <c r="D4184" s="398"/>
      <c r="E4184" s="398"/>
      <c r="F4184" s="398"/>
      <c r="G4184" s="398"/>
    </row>
    <row r="4185" spans="1:7">
      <c r="A4185" s="398"/>
      <c r="B4185" s="398"/>
      <c r="C4185" s="398"/>
      <c r="D4185" s="398"/>
      <c r="E4185" s="398"/>
      <c r="F4185" s="398"/>
      <c r="G4185" s="398"/>
    </row>
    <row r="4186" spans="1:7">
      <c r="A4186" s="398"/>
      <c r="B4186" s="398"/>
      <c r="C4186" s="398"/>
      <c r="D4186" s="398"/>
      <c r="E4186" s="398"/>
      <c r="F4186" s="398"/>
      <c r="G4186" s="398"/>
    </row>
    <row r="4187" spans="1:7">
      <c r="A4187" s="398"/>
      <c r="B4187" s="398"/>
      <c r="C4187" s="398"/>
      <c r="D4187" s="398"/>
      <c r="E4187" s="398"/>
      <c r="F4187" s="398"/>
      <c r="G4187" s="398"/>
    </row>
    <row r="4188" spans="1:7">
      <c r="A4188" s="398"/>
      <c r="B4188" s="398"/>
      <c r="C4188" s="398"/>
      <c r="D4188" s="398"/>
      <c r="E4188" s="398"/>
      <c r="F4188" s="398"/>
      <c r="G4188" s="398"/>
    </row>
    <row r="4189" spans="1:7">
      <c r="A4189" s="398"/>
      <c r="B4189" s="398"/>
      <c r="C4189" s="398"/>
      <c r="D4189" s="398"/>
      <c r="E4189" s="398"/>
      <c r="F4189" s="398"/>
      <c r="G4189" s="398"/>
    </row>
    <row r="4190" spans="1:7">
      <c r="A4190" s="398"/>
      <c r="B4190" s="398"/>
      <c r="C4190" s="398"/>
      <c r="D4190" s="398"/>
      <c r="E4190" s="398"/>
      <c r="F4190" s="398"/>
      <c r="G4190" s="398"/>
    </row>
    <row r="4191" spans="1:7">
      <c r="A4191" s="398"/>
      <c r="B4191" s="398"/>
      <c r="C4191" s="398"/>
      <c r="D4191" s="398"/>
      <c r="E4191" s="398"/>
      <c r="F4191" s="398"/>
      <c r="G4191" s="398"/>
    </row>
    <row r="4192" spans="1:7">
      <c r="A4192" s="398"/>
      <c r="B4192" s="398"/>
      <c r="C4192" s="398"/>
      <c r="D4192" s="398"/>
      <c r="E4192" s="398"/>
      <c r="F4192" s="398"/>
      <c r="G4192" s="398"/>
    </row>
    <row r="4193" spans="1:7">
      <c r="A4193" s="398"/>
      <c r="B4193" s="398"/>
      <c r="C4193" s="398"/>
      <c r="D4193" s="398"/>
      <c r="E4193" s="398"/>
      <c r="F4193" s="398"/>
      <c r="G4193" s="398"/>
    </row>
    <row r="4194" spans="1:7">
      <c r="A4194" s="398"/>
      <c r="B4194" s="398"/>
      <c r="C4194" s="398"/>
      <c r="D4194" s="398"/>
      <c r="E4194" s="398"/>
      <c r="F4194" s="398"/>
      <c r="G4194" s="398"/>
    </row>
    <row r="4195" spans="1:7">
      <c r="A4195" s="398"/>
      <c r="B4195" s="398"/>
      <c r="C4195" s="398"/>
      <c r="D4195" s="398"/>
      <c r="E4195" s="398"/>
      <c r="F4195" s="398"/>
      <c r="G4195" s="398"/>
    </row>
    <row r="4196" spans="1:7">
      <c r="A4196" s="398"/>
      <c r="B4196" s="398"/>
      <c r="C4196" s="398"/>
      <c r="D4196" s="398"/>
      <c r="E4196" s="398"/>
      <c r="F4196" s="398"/>
      <c r="G4196" s="398"/>
    </row>
    <row r="4197" spans="1:7">
      <c r="A4197" s="398"/>
      <c r="B4197" s="398"/>
      <c r="C4197" s="398"/>
      <c r="D4197" s="398"/>
      <c r="E4197" s="398"/>
      <c r="F4197" s="398"/>
      <c r="G4197" s="398"/>
    </row>
    <row r="4198" spans="1:7">
      <c r="A4198" s="398"/>
      <c r="B4198" s="398"/>
      <c r="C4198" s="398"/>
      <c r="D4198" s="398"/>
      <c r="E4198" s="398"/>
      <c r="F4198" s="398"/>
      <c r="G4198" s="398"/>
    </row>
    <row r="4201" spans="1:7" ht="17.45">
      <c r="A4201" s="232" t="s">
        <v>409</v>
      </c>
      <c r="B4201" s="23" t="s">
        <v>278</v>
      </c>
      <c r="C4201" s="23" t="s">
        <v>279</v>
      </c>
    </row>
    <row r="4202" spans="1:7">
      <c r="A4202" s="23" t="s">
        <v>372</v>
      </c>
      <c r="B4202" s="23">
        <v>1.24129</v>
      </c>
      <c r="C4202" s="23" t="s">
        <v>128</v>
      </c>
    </row>
    <row r="4203" spans="1:7">
      <c r="A4203" s="23" t="s">
        <v>290</v>
      </c>
      <c r="B4203" s="23">
        <v>4820.6099999999997</v>
      </c>
      <c r="C4203" s="23" t="s">
        <v>98</v>
      </c>
    </row>
    <row r="4208" spans="1:7">
      <c r="A4208" s="398"/>
      <c r="B4208" s="398"/>
      <c r="C4208" s="398"/>
      <c r="D4208" s="398"/>
      <c r="E4208" s="398"/>
      <c r="F4208" s="398"/>
      <c r="G4208" s="398"/>
    </row>
    <row r="4209" spans="1:7">
      <c r="A4209" s="398"/>
      <c r="B4209" s="398"/>
      <c r="C4209" s="398"/>
      <c r="D4209" s="398"/>
      <c r="E4209" s="398"/>
      <c r="F4209" s="398"/>
      <c r="G4209" s="398"/>
    </row>
    <row r="4210" spans="1:7">
      <c r="A4210" s="398"/>
      <c r="B4210" s="398"/>
      <c r="C4210" s="398"/>
      <c r="D4210" s="398"/>
      <c r="E4210" s="398"/>
      <c r="F4210" s="398"/>
      <c r="G4210" s="398"/>
    </row>
    <row r="4211" spans="1:7">
      <c r="A4211" s="398"/>
      <c r="B4211" s="398"/>
      <c r="C4211" s="398"/>
      <c r="D4211" s="398"/>
      <c r="E4211" s="398"/>
      <c r="F4211" s="398"/>
      <c r="G4211" s="398"/>
    </row>
    <row r="4212" spans="1:7">
      <c r="A4212" s="398"/>
      <c r="B4212" s="398"/>
      <c r="C4212" s="398"/>
      <c r="D4212" s="398"/>
      <c r="E4212" s="398"/>
      <c r="F4212" s="398"/>
      <c r="G4212" s="398"/>
    </row>
    <row r="4213" spans="1:7">
      <c r="A4213" s="398"/>
      <c r="B4213" s="398"/>
      <c r="C4213" s="398"/>
      <c r="D4213" s="398"/>
      <c r="E4213" s="398"/>
      <c r="F4213" s="398"/>
      <c r="G4213" s="398"/>
    </row>
    <row r="4214" spans="1:7">
      <c r="A4214" s="398"/>
      <c r="B4214" s="398"/>
      <c r="C4214" s="398"/>
      <c r="D4214" s="398"/>
      <c r="E4214" s="398"/>
      <c r="F4214" s="398"/>
      <c r="G4214" s="398"/>
    </row>
    <row r="4215" spans="1:7">
      <c r="A4215" s="398"/>
      <c r="B4215" s="398"/>
      <c r="C4215" s="398"/>
      <c r="D4215" s="398"/>
      <c r="E4215" s="398"/>
      <c r="F4215" s="398"/>
      <c r="G4215" s="398"/>
    </row>
    <row r="4216" spans="1:7">
      <c r="A4216" s="398"/>
      <c r="B4216" s="398"/>
      <c r="C4216" s="398"/>
      <c r="D4216" s="398"/>
      <c r="E4216" s="398"/>
      <c r="F4216" s="398"/>
      <c r="G4216" s="398"/>
    </row>
    <row r="4217" spans="1:7">
      <c r="A4217" s="398"/>
      <c r="B4217" s="398"/>
      <c r="C4217" s="398"/>
      <c r="D4217" s="398"/>
      <c r="E4217" s="398"/>
      <c r="F4217" s="398"/>
      <c r="G4217" s="398"/>
    </row>
    <row r="4218" spans="1:7">
      <c r="A4218" s="398"/>
      <c r="B4218" s="398"/>
      <c r="C4218" s="398"/>
      <c r="D4218" s="398"/>
      <c r="E4218" s="398"/>
      <c r="F4218" s="398"/>
      <c r="G4218" s="398"/>
    </row>
    <row r="4219" spans="1:7">
      <c r="A4219" s="398"/>
      <c r="B4219" s="398"/>
      <c r="C4219" s="398"/>
      <c r="D4219" s="398"/>
      <c r="E4219" s="398"/>
      <c r="F4219" s="398"/>
      <c r="G4219" s="398"/>
    </row>
    <row r="4220" spans="1:7">
      <c r="A4220" s="398"/>
      <c r="B4220" s="398"/>
      <c r="C4220" s="398"/>
      <c r="D4220" s="398"/>
      <c r="E4220" s="398"/>
      <c r="F4220" s="398"/>
      <c r="G4220" s="398"/>
    </row>
    <row r="4221" spans="1:7">
      <c r="A4221" s="398"/>
      <c r="B4221" s="398"/>
      <c r="C4221" s="398"/>
      <c r="D4221" s="398"/>
      <c r="E4221" s="398"/>
      <c r="F4221" s="398"/>
      <c r="G4221" s="398"/>
    </row>
    <row r="4222" spans="1:7">
      <c r="A4222" s="398"/>
      <c r="B4222" s="398"/>
      <c r="C4222" s="398"/>
      <c r="D4222" s="398"/>
      <c r="E4222" s="398"/>
      <c r="F4222" s="398"/>
      <c r="G4222" s="398"/>
    </row>
    <row r="4223" spans="1:7">
      <c r="A4223" s="398"/>
      <c r="B4223" s="398"/>
      <c r="C4223" s="398"/>
      <c r="D4223" s="398"/>
      <c r="E4223" s="398"/>
      <c r="F4223" s="398"/>
      <c r="G4223" s="398"/>
    </row>
    <row r="4224" spans="1:7">
      <c r="A4224" s="398"/>
      <c r="B4224" s="398"/>
      <c r="C4224" s="398"/>
      <c r="D4224" s="398"/>
      <c r="E4224" s="398"/>
      <c r="F4224" s="398"/>
      <c r="G4224" s="398"/>
    </row>
    <row r="4225" spans="1:7">
      <c r="A4225" s="398"/>
      <c r="B4225" s="398"/>
      <c r="C4225" s="398"/>
      <c r="D4225" s="398"/>
      <c r="E4225" s="398"/>
      <c r="F4225" s="398"/>
      <c r="G4225" s="398"/>
    </row>
    <row r="4226" spans="1:7">
      <c r="A4226" s="398"/>
      <c r="B4226" s="398"/>
      <c r="C4226" s="398"/>
      <c r="D4226" s="398"/>
      <c r="E4226" s="398"/>
      <c r="F4226" s="398"/>
      <c r="G4226" s="398"/>
    </row>
    <row r="4227" spans="1:7">
      <c r="A4227" s="398"/>
      <c r="B4227" s="398"/>
      <c r="C4227" s="398"/>
      <c r="D4227" s="398"/>
      <c r="E4227" s="398"/>
      <c r="F4227" s="398"/>
      <c r="G4227" s="398"/>
    </row>
    <row r="4228" spans="1:7">
      <c r="A4228" s="398"/>
      <c r="B4228" s="398"/>
      <c r="C4228" s="398"/>
      <c r="D4228" s="398"/>
      <c r="E4228" s="398"/>
      <c r="F4228" s="398"/>
      <c r="G4228" s="398"/>
    </row>
    <row r="4229" spans="1:7">
      <c r="A4229" s="398"/>
      <c r="B4229" s="398"/>
      <c r="C4229" s="398"/>
      <c r="D4229" s="398"/>
      <c r="E4229" s="398"/>
      <c r="F4229" s="398"/>
      <c r="G4229" s="398"/>
    </row>
    <row r="4230" spans="1:7">
      <c r="A4230" s="398"/>
      <c r="B4230" s="398"/>
      <c r="C4230" s="398"/>
      <c r="D4230" s="398"/>
      <c r="E4230" s="398"/>
      <c r="F4230" s="398"/>
      <c r="G4230" s="398"/>
    </row>
    <row r="4231" spans="1:7">
      <c r="A4231" s="398"/>
      <c r="B4231" s="398"/>
      <c r="C4231" s="398"/>
      <c r="D4231" s="398"/>
      <c r="E4231" s="398"/>
      <c r="F4231" s="398"/>
      <c r="G4231" s="398"/>
    </row>
    <row r="4232" spans="1:7">
      <c r="A4232" s="398"/>
      <c r="B4232" s="398"/>
      <c r="C4232" s="398"/>
      <c r="D4232" s="398"/>
      <c r="E4232" s="398"/>
      <c r="F4232" s="398"/>
      <c r="G4232" s="398"/>
    </row>
    <row r="4233" spans="1:7">
      <c r="A4233" s="398"/>
      <c r="B4233" s="398"/>
      <c r="C4233" s="398"/>
      <c r="D4233" s="398"/>
      <c r="E4233" s="398"/>
      <c r="F4233" s="398"/>
      <c r="G4233" s="398"/>
    </row>
    <row r="4234" spans="1:7">
      <c r="A4234" s="398"/>
      <c r="B4234" s="398"/>
      <c r="C4234" s="398"/>
      <c r="D4234" s="398"/>
      <c r="E4234" s="398"/>
      <c r="F4234" s="398"/>
      <c r="G4234" s="398"/>
    </row>
    <row r="4235" spans="1:7">
      <c r="A4235" s="398"/>
      <c r="B4235" s="398"/>
      <c r="C4235" s="398"/>
      <c r="D4235" s="398"/>
      <c r="E4235" s="398"/>
      <c r="F4235" s="398"/>
      <c r="G4235" s="398"/>
    </row>
    <row r="4236" spans="1:7">
      <c r="A4236" s="398"/>
      <c r="B4236" s="398"/>
      <c r="C4236" s="398"/>
      <c r="D4236" s="398"/>
      <c r="E4236" s="398"/>
      <c r="F4236" s="398"/>
      <c r="G4236" s="398"/>
    </row>
    <row r="4237" spans="1:7">
      <c r="A4237" s="398"/>
      <c r="B4237" s="398"/>
      <c r="C4237" s="398"/>
      <c r="D4237" s="398"/>
      <c r="E4237" s="398"/>
      <c r="F4237" s="398"/>
      <c r="G4237" s="398"/>
    </row>
    <row r="4238" spans="1:7">
      <c r="A4238" s="398"/>
      <c r="B4238" s="398"/>
      <c r="C4238" s="398"/>
      <c r="D4238" s="398"/>
      <c r="E4238" s="398"/>
      <c r="F4238" s="398"/>
      <c r="G4238" s="398"/>
    </row>
    <row r="4239" spans="1:7">
      <c r="A4239" s="398"/>
      <c r="B4239" s="398"/>
      <c r="C4239" s="398"/>
      <c r="D4239" s="398"/>
      <c r="E4239" s="398"/>
      <c r="F4239" s="398"/>
      <c r="G4239" s="398"/>
    </row>
    <row r="4240" spans="1:7">
      <c r="A4240" s="398"/>
      <c r="B4240" s="398"/>
      <c r="C4240" s="398"/>
      <c r="D4240" s="398"/>
      <c r="E4240" s="398"/>
      <c r="F4240" s="398"/>
      <c r="G4240" s="398"/>
    </row>
    <row r="4241" spans="1:7">
      <c r="A4241" s="398"/>
      <c r="B4241" s="398"/>
      <c r="C4241" s="398"/>
      <c r="D4241" s="398"/>
      <c r="E4241" s="398"/>
      <c r="F4241" s="398"/>
      <c r="G4241" s="398"/>
    </row>
    <row r="4242" spans="1:7">
      <c r="A4242" s="398"/>
      <c r="B4242" s="398"/>
      <c r="C4242" s="398"/>
      <c r="D4242" s="398"/>
      <c r="E4242" s="398"/>
      <c r="F4242" s="398"/>
      <c r="G4242" s="398"/>
    </row>
    <row r="4243" spans="1:7">
      <c r="A4243" s="398"/>
      <c r="B4243" s="398"/>
      <c r="C4243" s="398"/>
      <c r="D4243" s="398"/>
      <c r="E4243" s="398"/>
      <c r="F4243" s="398"/>
      <c r="G4243" s="398"/>
    </row>
    <row r="4244" spans="1:7">
      <c r="A4244" s="398"/>
      <c r="B4244" s="398"/>
      <c r="C4244" s="398"/>
      <c r="D4244" s="398"/>
      <c r="E4244" s="398"/>
      <c r="F4244" s="398"/>
      <c r="G4244" s="398"/>
    </row>
    <row r="4245" spans="1:7">
      <c r="A4245" s="398"/>
      <c r="B4245" s="398"/>
      <c r="C4245" s="398"/>
      <c r="D4245" s="398"/>
      <c r="E4245" s="398"/>
      <c r="F4245" s="398"/>
      <c r="G4245" s="398"/>
    </row>
    <row r="4246" spans="1:7">
      <c r="A4246" s="398"/>
      <c r="B4246" s="398"/>
      <c r="C4246" s="398"/>
      <c r="D4246" s="398"/>
      <c r="E4246" s="398"/>
      <c r="F4246" s="398"/>
      <c r="G4246" s="398"/>
    </row>
    <row r="4247" spans="1:7">
      <c r="A4247" s="398"/>
      <c r="B4247" s="398"/>
      <c r="C4247" s="398"/>
      <c r="D4247" s="398"/>
      <c r="E4247" s="398"/>
      <c r="F4247" s="398"/>
      <c r="G4247" s="398"/>
    </row>
    <row r="4248" spans="1:7">
      <c r="A4248" s="398"/>
      <c r="B4248" s="398"/>
      <c r="C4248" s="398"/>
      <c r="D4248" s="398"/>
      <c r="E4248" s="398"/>
      <c r="F4248" s="398"/>
      <c r="G4248" s="398"/>
    </row>
  </sheetData>
  <mergeCells count="34">
    <mergeCell ref="A4208:G4248"/>
    <mergeCell ref="A3816:G3856"/>
    <mergeCell ref="A3864:G3904"/>
    <mergeCell ref="A3914:G3954"/>
    <mergeCell ref="A3962:G4002"/>
    <mergeCell ref="A4012:G4052"/>
    <mergeCell ref="A4060:G4100"/>
    <mergeCell ref="A3620:G3660"/>
    <mergeCell ref="A3670:G3710"/>
    <mergeCell ref="M1105:O1106"/>
    <mergeCell ref="A4110:G4150"/>
    <mergeCell ref="A4158:G4198"/>
    <mergeCell ref="A3766:G3806"/>
    <mergeCell ref="A3220:G3260"/>
    <mergeCell ref="A3270:G3310"/>
    <mergeCell ref="A3320:G3360"/>
    <mergeCell ref="A3370:G3410"/>
    <mergeCell ref="A3420:G3460"/>
    <mergeCell ref="A3718:G3758"/>
    <mergeCell ref="A3170:G3210"/>
    <mergeCell ref="A2873:G2912"/>
    <mergeCell ref="A2922:G2962"/>
    <mergeCell ref="A2973:G3013"/>
    <mergeCell ref="J6:K6"/>
    <mergeCell ref="A8:H55"/>
    <mergeCell ref="J1233:K1233"/>
    <mergeCell ref="A2776:G2815"/>
    <mergeCell ref="A2825:G2864"/>
    <mergeCell ref="A3570:G3610"/>
    <mergeCell ref="A3021:G3061"/>
    <mergeCell ref="A3069:G3110"/>
    <mergeCell ref="A3120:G3160"/>
    <mergeCell ref="A3470:G3510"/>
    <mergeCell ref="A3520:G3560"/>
  </mergeCells>
  <pageMargins left="0.7" right="0.7" top="0.75" bottom="0.75" header="0.3" footer="0.3"/>
  <pageSetup orientation="portrait" r:id="rId1"/>
  <drawing r:id="rId2"/>
  <tableParts count="6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28F2-FEEA-492E-8E2E-824E72243C33}">
  <sheetPr codeName="Sheet10"/>
  <dimension ref="A2:HJ24"/>
  <sheetViews>
    <sheetView zoomScale="55" zoomScaleNormal="55" workbookViewId="0">
      <selection activeCell="AE3" sqref="AE3"/>
    </sheetView>
  </sheetViews>
  <sheetFormatPr defaultRowHeight="14.45"/>
  <sheetData>
    <row r="2" spans="1:218" ht="14.45" customHeight="1">
      <c r="A2" s="405" t="s">
        <v>410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4"/>
      <c r="AC2" s="404"/>
      <c r="AK2" s="405" t="s">
        <v>411</v>
      </c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P2" s="405" t="s">
        <v>412</v>
      </c>
      <c r="BQ2" s="405"/>
      <c r="BR2" s="405"/>
      <c r="BS2" s="405"/>
      <c r="BT2" s="405"/>
      <c r="BU2" s="405"/>
      <c r="BV2" s="405"/>
      <c r="BW2" s="405"/>
      <c r="BX2" s="405"/>
      <c r="BY2" s="405"/>
      <c r="BZ2" s="405"/>
      <c r="CA2" s="405"/>
      <c r="CB2" s="405"/>
      <c r="CC2" s="405"/>
      <c r="CD2" s="405"/>
      <c r="CE2" s="405"/>
      <c r="CF2" s="405"/>
      <c r="CG2" s="405"/>
      <c r="CH2" s="405"/>
      <c r="CI2" s="405"/>
      <c r="CJ2" s="405"/>
      <c r="CK2" s="405"/>
      <c r="CL2" s="405"/>
      <c r="CM2" s="405"/>
      <c r="CN2" s="405"/>
      <c r="CO2" s="160"/>
      <c r="CP2" s="162" t="s">
        <v>128</v>
      </c>
      <c r="CQ2" s="162" t="s">
        <v>98</v>
      </c>
      <c r="CR2" s="160"/>
      <c r="CU2" s="405" t="s">
        <v>413</v>
      </c>
      <c r="CV2" s="405"/>
      <c r="CW2" s="405"/>
      <c r="CX2" s="405"/>
      <c r="CY2" s="405"/>
      <c r="CZ2" s="405"/>
      <c r="DA2" s="405"/>
      <c r="DB2" s="405"/>
      <c r="DC2" s="405"/>
      <c r="DD2" s="405"/>
      <c r="DE2" s="405"/>
      <c r="DF2" s="405"/>
      <c r="DG2" s="405"/>
      <c r="DH2" s="405"/>
      <c r="DI2" s="405"/>
      <c r="DJ2" s="405"/>
      <c r="DK2" s="405"/>
      <c r="DL2" s="405"/>
      <c r="DM2" s="405"/>
      <c r="DN2" s="405"/>
      <c r="DO2" s="405"/>
      <c r="DP2" s="405"/>
      <c r="DQ2" s="405"/>
      <c r="DR2" s="405"/>
      <c r="DS2" s="405"/>
      <c r="DT2" s="160"/>
      <c r="DU2" s="162" t="s">
        <v>128</v>
      </c>
      <c r="DV2" s="162" t="s">
        <v>98</v>
      </c>
      <c r="DW2" s="160"/>
      <c r="DZ2" s="405" t="s">
        <v>414</v>
      </c>
      <c r="EA2" s="405"/>
      <c r="EB2" s="405"/>
      <c r="EC2" s="405"/>
      <c r="ED2" s="405"/>
      <c r="EE2" s="405"/>
      <c r="EF2" s="405"/>
      <c r="EG2" s="405"/>
      <c r="EH2" s="405"/>
      <c r="EI2" s="405"/>
      <c r="EJ2" s="405"/>
      <c r="EK2" s="405"/>
      <c r="EL2" s="405"/>
      <c r="EM2" s="405"/>
      <c r="EN2" s="405"/>
      <c r="EO2" s="405"/>
      <c r="EP2" s="405"/>
      <c r="EQ2" s="405"/>
      <c r="ER2" s="405"/>
      <c r="ES2" s="405"/>
      <c r="ET2" s="405"/>
      <c r="EU2" s="405"/>
      <c r="EV2" s="405"/>
      <c r="EW2" s="405"/>
      <c r="EX2" s="405"/>
      <c r="EY2" s="160"/>
      <c r="EZ2" s="162" t="s">
        <v>128</v>
      </c>
      <c r="FA2" s="162" t="s">
        <v>98</v>
      </c>
      <c r="FB2" s="160"/>
      <c r="FD2" s="405" t="s">
        <v>415</v>
      </c>
      <c r="FE2" s="405"/>
      <c r="FF2" s="405"/>
      <c r="FG2" s="405"/>
      <c r="FH2" s="405"/>
      <c r="FI2" s="405"/>
      <c r="FJ2" s="405"/>
      <c r="FK2" s="405"/>
      <c r="FL2" s="405"/>
      <c r="FM2" s="405"/>
      <c r="FN2" s="405"/>
      <c r="FO2" s="405"/>
      <c r="FP2" s="405"/>
      <c r="FQ2" s="405"/>
      <c r="FR2" s="405"/>
      <c r="FS2" s="405"/>
      <c r="FT2" s="405"/>
      <c r="FU2" s="405"/>
      <c r="FV2" s="405"/>
      <c r="FW2" s="405"/>
      <c r="FX2" s="405"/>
      <c r="FY2" s="405"/>
      <c r="FZ2" s="405"/>
      <c r="GA2" s="405"/>
      <c r="GB2" s="405"/>
      <c r="GC2" s="160"/>
      <c r="GD2" s="162" t="s">
        <v>128</v>
      </c>
      <c r="GE2" s="162" t="s">
        <v>98</v>
      </c>
      <c r="GI2" s="405" t="s">
        <v>416</v>
      </c>
      <c r="GJ2" s="405"/>
      <c r="GK2" s="405"/>
      <c r="GL2" s="405"/>
      <c r="GM2" s="405"/>
      <c r="GN2" s="405"/>
      <c r="GO2" s="405"/>
      <c r="GP2" s="405"/>
      <c r="GQ2" s="405"/>
      <c r="GR2" s="405"/>
      <c r="GS2" s="405"/>
      <c r="GT2" s="405"/>
      <c r="GU2" s="405"/>
      <c r="GV2" s="405"/>
      <c r="GW2" s="405"/>
      <c r="GX2" s="405"/>
      <c r="GY2" s="405"/>
      <c r="GZ2" s="405"/>
      <c r="HA2" s="405"/>
      <c r="HB2" s="405"/>
      <c r="HC2" s="405"/>
      <c r="HD2" s="405"/>
      <c r="HE2" s="405"/>
      <c r="HF2" s="405"/>
      <c r="HG2" s="405"/>
      <c r="HH2" s="160"/>
      <c r="HI2" s="162" t="s">
        <v>128</v>
      </c>
      <c r="HJ2" s="162" t="s">
        <v>98</v>
      </c>
    </row>
    <row r="3" spans="1:218" ht="14.45" customHeight="1">
      <c r="A3" s="404"/>
      <c r="B3" s="404"/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K3" s="404"/>
      <c r="AL3" s="404"/>
      <c r="AM3" s="404"/>
      <c r="AN3" s="404"/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  <c r="AZ3" s="404"/>
      <c r="BA3" s="404"/>
      <c r="BB3" s="404"/>
      <c r="BC3" s="404"/>
      <c r="BD3" s="404"/>
      <c r="BE3" s="404"/>
      <c r="BF3" s="404"/>
      <c r="BG3" s="404"/>
      <c r="BH3" s="404"/>
      <c r="BI3" s="404"/>
      <c r="BJ3" s="404"/>
      <c r="BK3" s="404"/>
      <c r="BL3" s="404"/>
      <c r="BM3" s="404"/>
      <c r="BP3" s="405"/>
      <c r="BQ3" s="405"/>
      <c r="BR3" s="405"/>
      <c r="BS3" s="405"/>
      <c r="BT3" s="405"/>
      <c r="BU3" s="405"/>
      <c r="BV3" s="405"/>
      <c r="BW3" s="405"/>
      <c r="BX3" s="405"/>
      <c r="BY3" s="405"/>
      <c r="BZ3" s="405"/>
      <c r="CA3" s="405"/>
      <c r="CB3" s="405"/>
      <c r="CC3" s="405"/>
      <c r="CD3" s="405"/>
      <c r="CE3" s="405"/>
      <c r="CF3" s="405"/>
      <c r="CG3" s="405"/>
      <c r="CH3" s="405"/>
      <c r="CI3" s="405"/>
      <c r="CJ3" s="405"/>
      <c r="CK3" s="405"/>
      <c r="CL3" s="405"/>
      <c r="CM3" s="405"/>
      <c r="CN3" s="405"/>
      <c r="CO3" s="160"/>
      <c r="CP3" s="161">
        <v>0.69332000000000005</v>
      </c>
      <c r="CQ3" s="161">
        <v>127.8</v>
      </c>
      <c r="CR3" s="160"/>
      <c r="CU3" s="405"/>
      <c r="CV3" s="405"/>
      <c r="CW3" s="405"/>
      <c r="CX3" s="405"/>
      <c r="CY3" s="405"/>
      <c r="CZ3" s="405"/>
      <c r="DA3" s="405"/>
      <c r="DB3" s="405"/>
      <c r="DC3" s="405"/>
      <c r="DD3" s="405"/>
      <c r="DE3" s="405"/>
      <c r="DF3" s="405"/>
      <c r="DG3" s="405"/>
      <c r="DH3" s="405"/>
      <c r="DI3" s="405"/>
      <c r="DJ3" s="405"/>
      <c r="DK3" s="405"/>
      <c r="DL3" s="405"/>
      <c r="DM3" s="405"/>
      <c r="DN3" s="405"/>
      <c r="DO3" s="405"/>
      <c r="DP3" s="405"/>
      <c r="DQ3" s="405"/>
      <c r="DR3" s="405"/>
      <c r="DS3" s="405"/>
      <c r="DT3" s="160"/>
      <c r="DU3" s="161">
        <v>0.49948999999999999</v>
      </c>
      <c r="DV3" s="161">
        <v>233.83</v>
      </c>
      <c r="DW3" s="160"/>
      <c r="DZ3" s="405"/>
      <c r="EA3" s="405"/>
      <c r="EB3" s="405"/>
      <c r="EC3" s="405"/>
      <c r="ED3" s="405"/>
      <c r="EE3" s="405"/>
      <c r="EF3" s="405"/>
      <c r="EG3" s="405"/>
      <c r="EH3" s="405"/>
      <c r="EI3" s="405"/>
      <c r="EJ3" s="405"/>
      <c r="EK3" s="405"/>
      <c r="EL3" s="405"/>
      <c r="EM3" s="405"/>
      <c r="EN3" s="405"/>
      <c r="EO3" s="405"/>
      <c r="EP3" s="405"/>
      <c r="EQ3" s="405"/>
      <c r="ER3" s="405"/>
      <c r="ES3" s="405"/>
      <c r="ET3" s="405"/>
      <c r="EU3" s="405"/>
      <c r="EV3" s="405"/>
      <c r="EW3" s="405"/>
      <c r="EX3" s="405"/>
      <c r="EY3" s="160"/>
      <c r="EZ3" s="161">
        <v>0.48753000000000002</v>
      </c>
      <c r="FA3" s="161">
        <v>328.26499999999999</v>
      </c>
      <c r="FB3" s="160"/>
      <c r="FD3" s="405"/>
      <c r="FE3" s="405"/>
      <c r="FF3" s="405"/>
      <c r="FG3" s="405"/>
      <c r="FH3" s="405"/>
      <c r="FI3" s="405"/>
      <c r="FJ3" s="405"/>
      <c r="FK3" s="405"/>
      <c r="FL3" s="405"/>
      <c r="FM3" s="405"/>
      <c r="FN3" s="405"/>
      <c r="FO3" s="405"/>
      <c r="FP3" s="405"/>
      <c r="FQ3" s="405"/>
      <c r="FR3" s="405"/>
      <c r="FS3" s="405"/>
      <c r="FT3" s="405"/>
      <c r="FU3" s="405"/>
      <c r="FV3" s="405"/>
      <c r="FW3" s="405"/>
      <c r="FX3" s="405"/>
      <c r="FY3" s="405"/>
      <c r="FZ3" s="405"/>
      <c r="GA3" s="405"/>
      <c r="GB3" s="405"/>
      <c r="GC3" s="160"/>
      <c r="GD3" s="161">
        <v>3.8705099999999999</v>
      </c>
      <c r="GE3" s="161">
        <v>13.757199999999999</v>
      </c>
      <c r="GI3" s="405"/>
      <c r="GJ3" s="405"/>
      <c r="GK3" s="405"/>
      <c r="GL3" s="405"/>
      <c r="GM3" s="405"/>
      <c r="GN3" s="405"/>
      <c r="GO3" s="405"/>
      <c r="GP3" s="405"/>
      <c r="GQ3" s="405"/>
      <c r="GR3" s="405"/>
      <c r="GS3" s="405"/>
      <c r="GT3" s="405"/>
      <c r="GU3" s="405"/>
      <c r="GV3" s="405"/>
      <c r="GW3" s="405"/>
      <c r="GX3" s="405"/>
      <c r="GY3" s="405"/>
      <c r="GZ3" s="405"/>
      <c r="HA3" s="405"/>
      <c r="HB3" s="405"/>
      <c r="HC3" s="405"/>
      <c r="HD3" s="405"/>
      <c r="HE3" s="405"/>
      <c r="HF3" s="405"/>
      <c r="HG3" s="405"/>
      <c r="HH3" s="160"/>
      <c r="HI3" s="161">
        <v>3.8216899999999998</v>
      </c>
      <c r="HJ3" s="161">
        <v>11.5009</v>
      </c>
    </row>
    <row r="4" spans="1:218" ht="14.45" customHeight="1">
      <c r="A4" s="404"/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404"/>
      <c r="W4" s="404"/>
      <c r="X4" s="404"/>
      <c r="Y4" s="404"/>
      <c r="Z4" s="404"/>
      <c r="AA4" s="404"/>
      <c r="AB4" s="404"/>
      <c r="AC4" s="404"/>
      <c r="AK4" s="404"/>
      <c r="AL4" s="404"/>
      <c r="AM4" s="404"/>
      <c r="AN4" s="404"/>
      <c r="AO4" s="404"/>
      <c r="AP4" s="404"/>
      <c r="AQ4" s="404"/>
      <c r="AR4" s="404"/>
      <c r="AS4" s="404"/>
      <c r="AT4" s="404"/>
      <c r="AU4" s="404"/>
      <c r="AV4" s="404"/>
      <c r="AW4" s="404"/>
      <c r="AX4" s="404"/>
      <c r="AY4" s="404"/>
      <c r="AZ4" s="404"/>
      <c r="BA4" s="404"/>
      <c r="BB4" s="404"/>
      <c r="BC4" s="404"/>
      <c r="BD4" s="404"/>
      <c r="BE4" s="404"/>
      <c r="BF4" s="404"/>
      <c r="BG4" s="404"/>
      <c r="BH4" s="404"/>
      <c r="BI4" s="404"/>
      <c r="BJ4" s="404"/>
      <c r="BK4" s="404"/>
      <c r="BL4" s="404"/>
      <c r="BM4" s="404"/>
      <c r="BP4" s="405"/>
      <c r="BQ4" s="405"/>
      <c r="BR4" s="405"/>
      <c r="BS4" s="405"/>
      <c r="BT4" s="405"/>
      <c r="BU4" s="405"/>
      <c r="BV4" s="405"/>
      <c r="BW4" s="405"/>
      <c r="BX4" s="405"/>
      <c r="BY4" s="405"/>
      <c r="BZ4" s="405"/>
      <c r="CA4" s="405"/>
      <c r="CB4" s="405"/>
      <c r="CC4" s="405"/>
      <c r="CD4" s="405"/>
      <c r="CE4" s="405"/>
      <c r="CF4" s="405"/>
      <c r="CG4" s="405"/>
      <c r="CH4" s="405"/>
      <c r="CI4" s="405"/>
      <c r="CJ4" s="405"/>
      <c r="CK4" s="405"/>
      <c r="CL4" s="405"/>
      <c r="CM4" s="405"/>
      <c r="CN4" s="405"/>
      <c r="CO4" s="160"/>
      <c r="CP4" s="161">
        <v>0.60973999999999995</v>
      </c>
      <c r="CQ4" s="161">
        <v>136.71600000000001</v>
      </c>
      <c r="CR4" s="160"/>
      <c r="CU4" s="405"/>
      <c r="CV4" s="405"/>
      <c r="CW4" s="405"/>
      <c r="CX4" s="405"/>
      <c r="CY4" s="405"/>
      <c r="CZ4" s="405"/>
      <c r="DA4" s="405"/>
      <c r="DB4" s="405"/>
      <c r="DC4" s="405"/>
      <c r="DD4" s="405"/>
      <c r="DE4" s="405"/>
      <c r="DF4" s="405"/>
      <c r="DG4" s="405"/>
      <c r="DH4" s="405"/>
      <c r="DI4" s="405"/>
      <c r="DJ4" s="405"/>
      <c r="DK4" s="405"/>
      <c r="DL4" s="405"/>
      <c r="DM4" s="405"/>
      <c r="DN4" s="405"/>
      <c r="DO4" s="405"/>
      <c r="DP4" s="405"/>
      <c r="DQ4" s="405"/>
      <c r="DR4" s="405"/>
      <c r="DS4" s="405"/>
      <c r="DT4" s="160"/>
      <c r="DU4" s="161">
        <v>0.53705000000000003</v>
      </c>
      <c r="DV4" s="161">
        <v>231.55600000000001</v>
      </c>
      <c r="DW4" s="160"/>
      <c r="DZ4" s="405"/>
      <c r="EA4" s="405"/>
      <c r="EB4" s="405"/>
      <c r="EC4" s="405"/>
      <c r="ED4" s="405"/>
      <c r="EE4" s="405"/>
      <c r="EF4" s="405"/>
      <c r="EG4" s="405"/>
      <c r="EH4" s="405"/>
      <c r="EI4" s="405"/>
      <c r="EJ4" s="405"/>
      <c r="EK4" s="405"/>
      <c r="EL4" s="405"/>
      <c r="EM4" s="405"/>
      <c r="EN4" s="405"/>
      <c r="EO4" s="405"/>
      <c r="EP4" s="405"/>
      <c r="EQ4" s="405"/>
      <c r="ER4" s="405"/>
      <c r="ES4" s="405"/>
      <c r="ET4" s="405"/>
      <c r="EU4" s="405"/>
      <c r="EV4" s="405"/>
      <c r="EW4" s="405"/>
      <c r="EX4" s="405"/>
      <c r="EY4" s="160"/>
      <c r="EZ4" s="161">
        <v>0.44429000000000002</v>
      </c>
      <c r="FA4" s="161">
        <v>333.20800000000003</v>
      </c>
      <c r="FB4" s="160"/>
      <c r="FD4" s="405"/>
      <c r="FE4" s="405"/>
      <c r="FF4" s="405"/>
      <c r="FG4" s="405"/>
      <c r="FH4" s="405"/>
      <c r="FI4" s="405"/>
      <c r="FJ4" s="405"/>
      <c r="FK4" s="405"/>
      <c r="FL4" s="405"/>
      <c r="FM4" s="405"/>
      <c r="FN4" s="405"/>
      <c r="FO4" s="405"/>
      <c r="FP4" s="405"/>
      <c r="FQ4" s="405"/>
      <c r="FR4" s="405"/>
      <c r="FS4" s="405"/>
      <c r="FT4" s="405"/>
      <c r="FU4" s="405"/>
      <c r="FV4" s="405"/>
      <c r="FW4" s="405"/>
      <c r="FX4" s="405"/>
      <c r="FY4" s="405"/>
      <c r="FZ4" s="405"/>
      <c r="GA4" s="405"/>
      <c r="GB4" s="405"/>
      <c r="GC4" s="160"/>
      <c r="GD4" s="161">
        <v>3.7743699999999998</v>
      </c>
      <c r="GE4" s="161">
        <v>14.136200000000001</v>
      </c>
      <c r="GI4" s="405"/>
      <c r="GJ4" s="405"/>
      <c r="GK4" s="405"/>
      <c r="GL4" s="405"/>
      <c r="GM4" s="405"/>
      <c r="GN4" s="405"/>
      <c r="GO4" s="405"/>
      <c r="GP4" s="405"/>
      <c r="GQ4" s="405"/>
      <c r="GR4" s="405"/>
      <c r="GS4" s="405"/>
      <c r="GT4" s="405"/>
      <c r="GU4" s="405"/>
      <c r="GV4" s="405"/>
      <c r="GW4" s="405"/>
      <c r="GX4" s="405"/>
      <c r="GY4" s="405"/>
      <c r="GZ4" s="405"/>
      <c r="HA4" s="405"/>
      <c r="HB4" s="405"/>
      <c r="HC4" s="405"/>
      <c r="HD4" s="405"/>
      <c r="HE4" s="405"/>
      <c r="HF4" s="405"/>
      <c r="HG4" s="405"/>
      <c r="HH4" s="160"/>
      <c r="HI4" s="161">
        <v>3.78999</v>
      </c>
      <c r="HJ4" s="161">
        <v>11.841799999999999</v>
      </c>
    </row>
    <row r="5" spans="1:218" ht="14.45" customHeight="1">
      <c r="A5" s="404"/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P5" s="405"/>
      <c r="BQ5" s="405"/>
      <c r="BR5" s="405"/>
      <c r="BS5" s="405"/>
      <c r="BT5" s="405"/>
      <c r="BU5" s="405"/>
      <c r="BV5" s="405"/>
      <c r="BW5" s="405"/>
      <c r="BX5" s="405"/>
      <c r="BY5" s="405"/>
      <c r="BZ5" s="405"/>
      <c r="CA5" s="405"/>
      <c r="CB5" s="405"/>
      <c r="CC5" s="405"/>
      <c r="CD5" s="405"/>
      <c r="CE5" s="405"/>
      <c r="CF5" s="405"/>
      <c r="CG5" s="405"/>
      <c r="CH5" s="405"/>
      <c r="CI5" s="405"/>
      <c r="CJ5" s="405"/>
      <c r="CK5" s="405"/>
      <c r="CL5" s="405"/>
      <c r="CM5" s="405"/>
      <c r="CN5" s="405"/>
      <c r="CO5" s="160"/>
      <c r="CP5" s="161">
        <v>0.75519999999999998</v>
      </c>
      <c r="CQ5" s="161">
        <v>118.762</v>
      </c>
      <c r="CR5" s="160"/>
      <c r="CU5" s="405"/>
      <c r="CV5" s="405"/>
      <c r="CW5" s="405"/>
      <c r="CX5" s="405"/>
      <c r="CY5" s="405"/>
      <c r="CZ5" s="405"/>
      <c r="DA5" s="405"/>
      <c r="DB5" s="405"/>
      <c r="DC5" s="405"/>
      <c r="DD5" s="405"/>
      <c r="DE5" s="405"/>
      <c r="DF5" s="405"/>
      <c r="DG5" s="405"/>
      <c r="DH5" s="405"/>
      <c r="DI5" s="405"/>
      <c r="DJ5" s="405"/>
      <c r="DK5" s="405"/>
      <c r="DL5" s="405"/>
      <c r="DM5" s="405"/>
      <c r="DN5" s="405"/>
      <c r="DO5" s="405"/>
      <c r="DP5" s="405"/>
      <c r="DQ5" s="405"/>
      <c r="DR5" s="405"/>
      <c r="DS5" s="405"/>
      <c r="DT5" s="160"/>
      <c r="DU5" s="161">
        <v>0.53700000000000003</v>
      </c>
      <c r="DV5" s="161">
        <v>219.91800000000001</v>
      </c>
      <c r="DW5" s="160"/>
      <c r="DZ5" s="405"/>
      <c r="EA5" s="405"/>
      <c r="EB5" s="405"/>
      <c r="EC5" s="405"/>
      <c r="ED5" s="405"/>
      <c r="EE5" s="405"/>
      <c r="EF5" s="405"/>
      <c r="EG5" s="405"/>
      <c r="EH5" s="405"/>
      <c r="EI5" s="405"/>
      <c r="EJ5" s="405"/>
      <c r="EK5" s="405"/>
      <c r="EL5" s="405"/>
      <c r="EM5" s="405"/>
      <c r="EN5" s="405"/>
      <c r="EO5" s="405"/>
      <c r="EP5" s="405"/>
      <c r="EQ5" s="405"/>
      <c r="ER5" s="405"/>
      <c r="ES5" s="405"/>
      <c r="ET5" s="405"/>
      <c r="EU5" s="405"/>
      <c r="EV5" s="405"/>
      <c r="EW5" s="405"/>
      <c r="EX5" s="405"/>
      <c r="EY5" s="160"/>
      <c r="EZ5" s="161">
        <v>0.48153000000000001</v>
      </c>
      <c r="FA5" s="161">
        <v>339.16</v>
      </c>
      <c r="FB5" s="160"/>
      <c r="FD5" s="405"/>
      <c r="FE5" s="405"/>
      <c r="FF5" s="405"/>
      <c r="FG5" s="405"/>
      <c r="FH5" s="405"/>
      <c r="FI5" s="405"/>
      <c r="FJ5" s="405"/>
      <c r="FK5" s="405"/>
      <c r="FL5" s="405"/>
      <c r="FM5" s="405"/>
      <c r="FN5" s="405"/>
      <c r="FO5" s="405"/>
      <c r="FP5" s="405"/>
      <c r="FQ5" s="405"/>
      <c r="FR5" s="405"/>
      <c r="FS5" s="405"/>
      <c r="FT5" s="405"/>
      <c r="FU5" s="405"/>
      <c r="FV5" s="405"/>
      <c r="FW5" s="405"/>
      <c r="FX5" s="405"/>
      <c r="FY5" s="405"/>
      <c r="FZ5" s="405"/>
      <c r="GA5" s="405"/>
      <c r="GB5" s="405"/>
      <c r="GC5" s="160"/>
      <c r="GD5" s="161">
        <v>4.2640900000000004</v>
      </c>
      <c r="GE5" s="161">
        <v>14.8057</v>
      </c>
      <c r="GI5" s="405"/>
      <c r="GJ5" s="405"/>
      <c r="GK5" s="405"/>
      <c r="GL5" s="405"/>
      <c r="GM5" s="405"/>
      <c r="GN5" s="405"/>
      <c r="GO5" s="405"/>
      <c r="GP5" s="405"/>
      <c r="GQ5" s="405"/>
      <c r="GR5" s="405"/>
      <c r="GS5" s="405"/>
      <c r="GT5" s="405"/>
      <c r="GU5" s="405"/>
      <c r="GV5" s="405"/>
      <c r="GW5" s="405"/>
      <c r="GX5" s="405"/>
      <c r="GY5" s="405"/>
      <c r="GZ5" s="405"/>
      <c r="HA5" s="405"/>
      <c r="HB5" s="405"/>
      <c r="HC5" s="405"/>
      <c r="HD5" s="405"/>
      <c r="HE5" s="405"/>
      <c r="HF5" s="405"/>
      <c r="HG5" s="405"/>
      <c r="HH5" s="160"/>
      <c r="HI5" s="161">
        <v>4.1103500000000004</v>
      </c>
      <c r="HJ5" s="161">
        <v>12.133100000000001</v>
      </c>
    </row>
    <row r="6" spans="1:218" ht="14.45" customHeight="1">
      <c r="A6" s="404"/>
      <c r="B6" s="404"/>
      <c r="C6" s="404"/>
      <c r="D6" s="404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4"/>
      <c r="BM6" s="404"/>
      <c r="BP6" s="405"/>
      <c r="BQ6" s="405"/>
      <c r="BR6" s="405"/>
      <c r="BS6" s="405"/>
      <c r="BT6" s="405"/>
      <c r="BU6" s="405"/>
      <c r="BV6" s="405"/>
      <c r="BW6" s="405"/>
      <c r="BX6" s="405"/>
      <c r="BY6" s="405"/>
      <c r="BZ6" s="405"/>
      <c r="CA6" s="405"/>
      <c r="CB6" s="405"/>
      <c r="CC6" s="405"/>
      <c r="CD6" s="405"/>
      <c r="CE6" s="405"/>
      <c r="CF6" s="405"/>
      <c r="CG6" s="405"/>
      <c r="CH6" s="405"/>
      <c r="CI6" s="405"/>
      <c r="CJ6" s="405"/>
      <c r="CK6" s="405"/>
      <c r="CL6" s="405"/>
      <c r="CM6" s="405"/>
      <c r="CN6" s="405"/>
      <c r="CO6" s="160"/>
      <c r="CP6" s="162">
        <f>AVERAGE(CP3:CP5)</f>
        <v>0.68608666666666662</v>
      </c>
      <c r="CQ6" s="162">
        <f>AVERAGE(CQ3:CQ5)</f>
        <v>127.75933333333334</v>
      </c>
      <c r="CR6" s="160"/>
      <c r="CU6" s="405"/>
      <c r="CV6" s="405"/>
      <c r="CW6" s="405"/>
      <c r="CX6" s="405"/>
      <c r="CY6" s="405"/>
      <c r="CZ6" s="405"/>
      <c r="DA6" s="405"/>
      <c r="DB6" s="405"/>
      <c r="DC6" s="405"/>
      <c r="DD6" s="405"/>
      <c r="DE6" s="405"/>
      <c r="DF6" s="405"/>
      <c r="DG6" s="405"/>
      <c r="DH6" s="405"/>
      <c r="DI6" s="405"/>
      <c r="DJ6" s="405"/>
      <c r="DK6" s="405"/>
      <c r="DL6" s="405"/>
      <c r="DM6" s="405"/>
      <c r="DN6" s="405"/>
      <c r="DO6" s="405"/>
      <c r="DP6" s="405"/>
      <c r="DQ6" s="405"/>
      <c r="DR6" s="405"/>
      <c r="DS6" s="405"/>
      <c r="DT6" s="160"/>
      <c r="DU6" s="162">
        <f>AVERAGE(DU3:DU5)</f>
        <v>0.52451333333333328</v>
      </c>
      <c r="DV6" s="162">
        <f>AVERAGE(DV3:DV5)</f>
        <v>228.43466666666669</v>
      </c>
      <c r="DW6" s="160"/>
      <c r="DZ6" s="405"/>
      <c r="EA6" s="405"/>
      <c r="EB6" s="405"/>
      <c r="EC6" s="405"/>
      <c r="ED6" s="405"/>
      <c r="EE6" s="405"/>
      <c r="EF6" s="405"/>
      <c r="EG6" s="405"/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5"/>
      <c r="ES6" s="405"/>
      <c r="ET6" s="405"/>
      <c r="EU6" s="405"/>
      <c r="EV6" s="405"/>
      <c r="EW6" s="405"/>
      <c r="EX6" s="405"/>
      <c r="EY6" s="160"/>
      <c r="EZ6" s="162">
        <f>AVERAGE(EZ3:EZ5)</f>
        <v>0.47111666666666668</v>
      </c>
      <c r="FA6" s="162">
        <f>AVERAGE(FA3:FA5)</f>
        <v>333.54433333333333</v>
      </c>
      <c r="FB6" s="160"/>
      <c r="FD6" s="405"/>
      <c r="FE6" s="405"/>
      <c r="FF6" s="405"/>
      <c r="FG6" s="405"/>
      <c r="FH6" s="405"/>
      <c r="FI6" s="405"/>
      <c r="FJ6" s="405"/>
      <c r="FK6" s="405"/>
      <c r="FL6" s="405"/>
      <c r="FM6" s="405"/>
      <c r="FN6" s="405"/>
      <c r="FO6" s="405"/>
      <c r="FP6" s="405"/>
      <c r="FQ6" s="405"/>
      <c r="FR6" s="405"/>
      <c r="FS6" s="405"/>
      <c r="FT6" s="405"/>
      <c r="FU6" s="405"/>
      <c r="FV6" s="405"/>
      <c r="FW6" s="405"/>
      <c r="FX6" s="405"/>
      <c r="FY6" s="405"/>
      <c r="FZ6" s="405"/>
      <c r="GA6" s="405"/>
      <c r="GB6" s="405"/>
      <c r="GC6" s="160"/>
      <c r="GD6" s="162">
        <f>AVERAGE(GD3:GD5)</f>
        <v>3.9696566666666668</v>
      </c>
      <c r="GE6" s="162">
        <f>AVERAGE(GE3:GE5)</f>
        <v>14.233033333333333</v>
      </c>
      <c r="GI6" s="405"/>
      <c r="GJ6" s="405"/>
      <c r="GK6" s="405"/>
      <c r="GL6" s="405"/>
      <c r="GM6" s="405"/>
      <c r="GN6" s="405"/>
      <c r="GO6" s="405"/>
      <c r="GP6" s="405"/>
      <c r="GQ6" s="405"/>
      <c r="GR6" s="405"/>
      <c r="GS6" s="405"/>
      <c r="GT6" s="405"/>
      <c r="GU6" s="405"/>
      <c r="GV6" s="405"/>
      <c r="GW6" s="405"/>
      <c r="GX6" s="405"/>
      <c r="GY6" s="405"/>
      <c r="GZ6" s="405"/>
      <c r="HA6" s="405"/>
      <c r="HB6" s="405"/>
      <c r="HC6" s="405"/>
      <c r="HD6" s="405"/>
      <c r="HE6" s="405"/>
      <c r="HF6" s="405"/>
      <c r="HG6" s="405"/>
      <c r="HH6" s="160"/>
      <c r="HI6" s="162">
        <f>AVERAGE(HI3:HI5)</f>
        <v>3.9073433333333334</v>
      </c>
      <c r="HJ6" s="162">
        <f>AVERAGE(HJ3:HJ5)</f>
        <v>11.825266666666666</v>
      </c>
    </row>
    <row r="11" spans="1:218" ht="21">
      <c r="AE11" s="404" t="s">
        <v>417</v>
      </c>
      <c r="AF11" s="404"/>
      <c r="AH11" s="404" t="s">
        <v>418</v>
      </c>
      <c r="AI11" s="404"/>
    </row>
    <row r="12" spans="1:218">
      <c r="AE12" t="s">
        <v>128</v>
      </c>
      <c r="AF12" t="s">
        <v>98</v>
      </c>
      <c r="AH12" t="s">
        <v>128</v>
      </c>
      <c r="AI12" t="s">
        <v>98</v>
      </c>
    </row>
    <row r="13" spans="1:218">
      <c r="AE13">
        <v>0.43168000000000001</v>
      </c>
      <c r="AF13">
        <v>443.548</v>
      </c>
      <c r="AH13">
        <v>0.56215000000000004</v>
      </c>
      <c r="AI13">
        <v>442.524</v>
      </c>
    </row>
    <row r="14" spans="1:218">
      <c r="AE14">
        <v>0.41137000000000001</v>
      </c>
      <c r="AF14">
        <v>440.44299999999998</v>
      </c>
      <c r="AH14">
        <v>0.57316999999999996</v>
      </c>
      <c r="AI14">
        <v>455.36700000000002</v>
      </c>
    </row>
    <row r="15" spans="1:218">
      <c r="AE15">
        <v>0.43673000000000001</v>
      </c>
      <c r="AF15">
        <v>450.12400000000002</v>
      </c>
      <c r="AH15">
        <v>0.5605</v>
      </c>
      <c r="AI15">
        <v>446.637</v>
      </c>
    </row>
    <row r="16" spans="1:218">
      <c r="AE16" s="138">
        <f>AVERAGE(AE13:AE15)</f>
        <v>0.42659333333333338</v>
      </c>
      <c r="AF16" s="138">
        <f>AVERAGE(AF13:AF15)</f>
        <v>444.70499999999998</v>
      </c>
      <c r="AH16" s="138">
        <f>AVERAGE(AH13:AH15)</f>
        <v>0.56527333333333341</v>
      </c>
      <c r="AI16" s="138">
        <f>AVERAGE(AI13:AI15)</f>
        <v>448.17599999999999</v>
      </c>
    </row>
    <row r="17" spans="31:33">
      <c r="AE17" s="403"/>
      <c r="AF17" s="403"/>
    </row>
    <row r="23" spans="31:33">
      <c r="AG23" s="138" t="s">
        <v>419</v>
      </c>
    </row>
    <row r="24" spans="31:33">
      <c r="AG24" s="150">
        <f>(AE16-AH16)/AH16</f>
        <v>-0.24533264143600148</v>
      </c>
    </row>
  </sheetData>
  <mergeCells count="10">
    <mergeCell ref="AE17:AF17"/>
    <mergeCell ref="AE11:AF11"/>
    <mergeCell ref="AH11:AI11"/>
    <mergeCell ref="GI2:HG6"/>
    <mergeCell ref="A2:AC6"/>
    <mergeCell ref="AK2:BM6"/>
    <mergeCell ref="BP2:CN6"/>
    <mergeCell ref="FD2:GB6"/>
    <mergeCell ref="CU2:DS6"/>
    <mergeCell ref="DZ2:EX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9F7A-D92D-4C1B-8370-72358270A464}">
  <dimension ref="A1:R28"/>
  <sheetViews>
    <sheetView zoomScaleNormal="100" workbookViewId="0">
      <selection activeCell="H5" sqref="H5"/>
    </sheetView>
  </sheetViews>
  <sheetFormatPr defaultRowHeight="14.45"/>
  <cols>
    <col min="1" max="1" width="17.28515625" style="271" customWidth="1"/>
    <col min="2" max="12" width="17.28515625" customWidth="1"/>
    <col min="13" max="13" width="51.5703125" style="269" customWidth="1"/>
  </cols>
  <sheetData>
    <row r="1" spans="1:11" ht="31.15" customHeight="1" thickBot="1">
      <c r="A1" s="421" t="s">
        <v>420</v>
      </c>
      <c r="B1" s="422"/>
      <c r="C1" s="422"/>
      <c r="D1" s="422"/>
      <c r="E1" s="422"/>
      <c r="F1" s="422"/>
      <c r="G1" s="422"/>
      <c r="H1" s="423"/>
    </row>
    <row r="2" spans="1:11" ht="19.899999999999999" customHeight="1" thickBot="1">
      <c r="A2" s="424"/>
      <c r="B2" s="425"/>
      <c r="C2" s="425"/>
      <c r="D2" s="425"/>
      <c r="E2" s="425"/>
      <c r="F2" s="425"/>
      <c r="G2" s="425"/>
      <c r="H2" s="425"/>
    </row>
    <row r="3" spans="1:11">
      <c r="A3" s="296" t="s">
        <v>421</v>
      </c>
      <c r="B3" s="430" t="s">
        <v>422</v>
      </c>
      <c r="C3" s="430"/>
      <c r="D3" s="431"/>
    </row>
    <row r="4" spans="1:11" ht="30" customHeight="1">
      <c r="A4" s="428" t="s">
        <v>423</v>
      </c>
      <c r="B4" s="303" t="s">
        <v>424</v>
      </c>
      <c r="C4" s="432" t="s">
        <v>425</v>
      </c>
      <c r="D4" s="433"/>
    </row>
    <row r="5" spans="1:11" ht="109.15" customHeight="1" thickBot="1">
      <c r="A5" s="429"/>
      <c r="B5" s="295" t="s">
        <v>426</v>
      </c>
      <c r="C5" s="434" t="s">
        <v>427</v>
      </c>
      <c r="D5" s="435"/>
    </row>
    <row r="6" spans="1:11">
      <c r="A6" s="416" t="s">
        <v>38</v>
      </c>
      <c r="B6" s="418" t="s">
        <v>63</v>
      </c>
      <c r="C6" s="283" t="s">
        <v>204</v>
      </c>
      <c r="D6" s="284">
        <v>0.6</v>
      </c>
    </row>
    <row r="7" spans="1:11">
      <c r="A7" s="417"/>
      <c r="B7" s="419"/>
      <c r="C7" s="6" t="s">
        <v>428</v>
      </c>
      <c r="D7" s="286">
        <f>1-D6</f>
        <v>0.4</v>
      </c>
    </row>
    <row r="8" spans="1:11">
      <c r="A8" s="417"/>
      <c r="B8" s="419" t="s">
        <v>48</v>
      </c>
      <c r="C8" s="6" t="s">
        <v>58</v>
      </c>
      <c r="D8" s="286">
        <v>0.38</v>
      </c>
    </row>
    <row r="9" spans="1:11">
      <c r="A9" s="417"/>
      <c r="B9" s="419"/>
      <c r="C9" s="6" t="s">
        <v>130</v>
      </c>
      <c r="D9" s="286">
        <f>1-D8</f>
        <v>0.62</v>
      </c>
    </row>
    <row r="10" spans="1:11">
      <c r="A10" s="417"/>
      <c r="B10" s="419" t="s">
        <v>67</v>
      </c>
      <c r="C10" s="6" t="s">
        <v>219</v>
      </c>
      <c r="D10" s="286">
        <v>0.3</v>
      </c>
    </row>
    <row r="11" spans="1:11" ht="15" thickBot="1">
      <c r="A11" s="420"/>
      <c r="B11" s="436"/>
      <c r="C11" s="280" t="s">
        <v>429</v>
      </c>
      <c r="D11" s="288">
        <f>1-D10</f>
        <v>0.7</v>
      </c>
      <c r="I11" s="270"/>
      <c r="J11" s="270"/>
      <c r="K11" s="270"/>
    </row>
    <row r="12" spans="1:11" ht="14.45" customHeight="1">
      <c r="A12" s="416" t="s">
        <v>430</v>
      </c>
      <c r="B12" s="282">
        <v>1</v>
      </c>
      <c r="C12" s="289" t="s">
        <v>431</v>
      </c>
      <c r="D12" s="290">
        <f>$D$6*$D$9</f>
        <v>0.372</v>
      </c>
      <c r="E12" s="426" t="s">
        <v>432</v>
      </c>
      <c r="F12" s="427"/>
      <c r="I12" s="270"/>
      <c r="J12" s="270"/>
      <c r="K12" s="270"/>
    </row>
    <row r="13" spans="1:11">
      <c r="A13" s="417"/>
      <c r="B13" s="285">
        <v>2</v>
      </c>
      <c r="C13" s="291" t="s">
        <v>433</v>
      </c>
      <c r="D13" s="292">
        <f>$D$6*$D$8</f>
        <v>0.22799999999999998</v>
      </c>
      <c r="E13" s="426"/>
      <c r="F13" s="427"/>
      <c r="I13" s="270"/>
      <c r="J13" s="270"/>
      <c r="K13" s="270"/>
    </row>
    <row r="14" spans="1:11">
      <c r="A14" s="417"/>
      <c r="B14" s="285">
        <v>3</v>
      </c>
      <c r="C14" s="291" t="s">
        <v>434</v>
      </c>
      <c r="D14" s="292">
        <f>$D$7*$D$9</f>
        <v>0.248</v>
      </c>
      <c r="E14" s="426"/>
      <c r="F14" s="427"/>
      <c r="I14" s="270"/>
      <c r="J14" s="270"/>
      <c r="K14" s="270"/>
    </row>
    <row r="15" spans="1:11">
      <c r="A15" s="417"/>
      <c r="B15" s="285">
        <v>4</v>
      </c>
      <c r="C15" s="291" t="s">
        <v>435</v>
      </c>
      <c r="D15" s="292">
        <f>$D$7*$D$8*$D$11</f>
        <v>0.10640000000000001</v>
      </c>
      <c r="E15" s="426"/>
      <c r="F15" s="427"/>
      <c r="I15" s="270"/>
      <c r="J15" s="270"/>
      <c r="K15" s="270"/>
    </row>
    <row r="16" spans="1:11" ht="15" thickBot="1">
      <c r="A16" s="420"/>
      <c r="B16" s="287">
        <v>5</v>
      </c>
      <c r="C16" s="293" t="s">
        <v>436</v>
      </c>
      <c r="D16" s="294">
        <f>$D$7*$D$8*$D$10</f>
        <v>4.5600000000000009E-2</v>
      </c>
      <c r="E16" s="426"/>
      <c r="F16" s="427"/>
      <c r="I16" s="270"/>
      <c r="J16" s="270"/>
      <c r="K16" s="270"/>
    </row>
    <row r="17" spans="1:18" ht="19.899999999999999" customHeight="1" thickBot="1">
      <c r="A17" s="411"/>
      <c r="B17" s="411"/>
      <c r="C17" s="411"/>
      <c r="D17" s="411"/>
      <c r="E17" s="411"/>
      <c r="F17" s="411"/>
      <c r="G17" s="411"/>
      <c r="H17" s="411"/>
      <c r="I17" s="411"/>
      <c r="J17" s="411"/>
      <c r="K17" s="411"/>
      <c r="L17" s="411"/>
      <c r="M17" s="411"/>
    </row>
    <row r="18" spans="1:18" ht="26.45" customHeight="1" thickBot="1">
      <c r="A18" s="408" t="s">
        <v>437</v>
      </c>
      <c r="B18" s="409"/>
      <c r="C18" s="409"/>
      <c r="D18" s="409"/>
      <c r="E18" s="409"/>
      <c r="F18" s="409"/>
      <c r="G18" s="409"/>
      <c r="H18" s="409"/>
      <c r="I18" s="409"/>
      <c r="J18" s="409"/>
      <c r="K18" s="409"/>
      <c r="L18" s="409"/>
      <c r="M18" s="410"/>
    </row>
    <row r="19" spans="1:18" s="271" customFormat="1" ht="14.45" customHeight="1">
      <c r="A19" s="416" t="s">
        <v>438</v>
      </c>
      <c r="B19" s="414" t="s">
        <v>439</v>
      </c>
      <c r="C19" s="414" t="s">
        <v>440</v>
      </c>
      <c r="D19" s="414" t="s">
        <v>441</v>
      </c>
      <c r="E19" s="414" t="s">
        <v>45</v>
      </c>
      <c r="F19" s="414" t="s">
        <v>430</v>
      </c>
      <c r="G19" s="414"/>
      <c r="H19" s="414"/>
      <c r="I19" s="414"/>
      <c r="J19" s="414"/>
      <c r="K19" s="418" t="s">
        <v>442</v>
      </c>
      <c r="L19" s="418" t="s">
        <v>40</v>
      </c>
      <c r="M19" s="406" t="s">
        <v>443</v>
      </c>
      <c r="R19" s="308"/>
    </row>
    <row r="20" spans="1:18" s="271" customFormat="1">
      <c r="A20" s="417"/>
      <c r="B20" s="415"/>
      <c r="C20" s="415"/>
      <c r="D20" s="415"/>
      <c r="E20" s="415"/>
      <c r="F20" s="312">
        <v>1</v>
      </c>
      <c r="G20" s="312">
        <v>2</v>
      </c>
      <c r="H20" s="312">
        <v>3</v>
      </c>
      <c r="I20" s="312">
        <v>4</v>
      </c>
      <c r="J20" s="312">
        <v>5</v>
      </c>
      <c r="K20" s="419"/>
      <c r="L20" s="419"/>
      <c r="M20" s="407"/>
      <c r="R20" s="308"/>
    </row>
    <row r="21" spans="1:18" s="271" customFormat="1">
      <c r="A21" s="313" t="s">
        <v>444</v>
      </c>
      <c r="C21" s="271" t="s">
        <v>445</v>
      </c>
      <c r="D21" s="271" t="s">
        <v>422</v>
      </c>
      <c r="E21" s="271" t="s">
        <v>424</v>
      </c>
      <c r="F21" s="271">
        <v>9.52</v>
      </c>
      <c r="G21" s="271">
        <v>155.85</v>
      </c>
      <c r="H21" s="271">
        <v>9.24</v>
      </c>
      <c r="I21" s="271">
        <v>120.35</v>
      </c>
      <c r="J21" s="271">
        <v>68.040000000000006</v>
      </c>
      <c r="K21" s="309">
        <f>F21*$D$12+G21*$D$13+H21*$D$14+I21*$D$15+J21*$D$16</f>
        <v>57.274623999999996</v>
      </c>
      <c r="L21" s="310">
        <f>675/(K21*10^-3)/24/365</f>
        <v>1.3453566193738427</v>
      </c>
      <c r="M21" s="306"/>
    </row>
    <row r="22" spans="1:18" s="271" customFormat="1">
      <c r="A22" s="313" t="s">
        <v>444</v>
      </c>
      <c r="C22" s="271" t="s">
        <v>445</v>
      </c>
      <c r="D22" s="271" t="s">
        <v>422</v>
      </c>
      <c r="E22" s="271" t="s">
        <v>426</v>
      </c>
      <c r="F22" s="271">
        <v>7.72</v>
      </c>
      <c r="G22" s="271">
        <v>107.05</v>
      </c>
      <c r="H22" s="271">
        <v>5.79</v>
      </c>
      <c r="I22" s="271">
        <v>72.75</v>
      </c>
      <c r="J22" s="271">
        <v>65.790000000000006</v>
      </c>
      <c r="K22" s="309">
        <f t="shared" ref="K22:K23" si="0">F22*$D$12+G22*$D$13+H22*$D$14+I22*$D$15+J22*$D$16</f>
        <v>39.455784000000001</v>
      </c>
      <c r="L22" s="311">
        <f t="shared" ref="L22:L26" si="1">675/(K22*10^-3)/24/365</f>
        <v>1.9529403983088496</v>
      </c>
      <c r="M22" s="306"/>
    </row>
    <row r="23" spans="1:18" s="271" customFormat="1">
      <c r="A23" s="313" t="s">
        <v>446</v>
      </c>
      <c r="B23" s="271">
        <v>17724301</v>
      </c>
      <c r="C23" s="271" t="s">
        <v>447</v>
      </c>
      <c r="D23" s="271" t="s">
        <v>448</v>
      </c>
      <c r="E23" s="271" t="s">
        <v>424</v>
      </c>
      <c r="F23" s="271">
        <v>11.8</v>
      </c>
      <c r="G23" s="271">
        <v>171.8</v>
      </c>
      <c r="H23" s="271">
        <v>11.07</v>
      </c>
      <c r="I23" s="271">
        <v>126.5</v>
      </c>
      <c r="J23" s="271">
        <v>79.59</v>
      </c>
      <c r="K23" s="309">
        <f t="shared" si="0"/>
        <v>63.394264</v>
      </c>
      <c r="L23" s="311">
        <f t="shared" si="1"/>
        <v>1.2154852767207447</v>
      </c>
      <c r="M23" s="306"/>
    </row>
    <row r="24" spans="1:18" s="271" customFormat="1" ht="28.9">
      <c r="A24" s="313" t="s">
        <v>446</v>
      </c>
      <c r="B24" s="271">
        <v>17724301</v>
      </c>
      <c r="C24" s="271" t="s">
        <v>445</v>
      </c>
      <c r="D24" s="271" t="s">
        <v>448</v>
      </c>
      <c r="E24" s="271" t="s">
        <v>424</v>
      </c>
      <c r="F24" s="271">
        <v>11.59</v>
      </c>
      <c r="G24" s="271">
        <v>168.26</v>
      </c>
      <c r="H24" s="271">
        <v>10.89</v>
      </c>
      <c r="I24" s="271">
        <v>125.63</v>
      </c>
      <c r="J24" s="271">
        <v>71.349999999999994</v>
      </c>
      <c r="K24" s="309">
        <f>F24*$D$12+G24*$D$13+H24*$D$14+I24*$D$15+J24*$D$16</f>
        <v>61.996071999999991</v>
      </c>
      <c r="L24" s="311">
        <f t="shared" si="1"/>
        <v>1.2428980100634111</v>
      </c>
      <c r="M24" s="318" t="s">
        <v>449</v>
      </c>
    </row>
    <row r="25" spans="1:18" s="271" customFormat="1">
      <c r="A25" s="313" t="s">
        <v>446</v>
      </c>
      <c r="B25" s="271">
        <v>17724338</v>
      </c>
      <c r="C25" s="271" t="s">
        <v>445</v>
      </c>
      <c r="D25" s="271" t="s">
        <v>448</v>
      </c>
      <c r="E25" s="271" t="s">
        <v>424</v>
      </c>
      <c r="G25" s="271">
        <v>164.56</v>
      </c>
      <c r="H25" s="271">
        <v>7.11</v>
      </c>
      <c r="I25" s="271">
        <v>120.18</v>
      </c>
      <c r="K25" s="309">
        <f>F25*$D$12+G25*$D$13+H25*$D$14+I25*$D$15+J25*$D$16</f>
        <v>52.070111999999995</v>
      </c>
      <c r="L25" s="311">
        <f t="shared" si="1"/>
        <v>1.4798277084663838</v>
      </c>
      <c r="M25" s="412" t="s">
        <v>450</v>
      </c>
    </row>
    <row r="26" spans="1:18" s="271" customFormat="1" ht="15" thickBot="1">
      <c r="A26" s="314" t="s">
        <v>446</v>
      </c>
      <c r="B26" s="315">
        <v>17724338</v>
      </c>
      <c r="C26" s="315" t="s">
        <v>445</v>
      </c>
      <c r="D26" s="315" t="s">
        <v>422</v>
      </c>
      <c r="E26" s="315" t="s">
        <v>424</v>
      </c>
      <c r="F26" s="315"/>
      <c r="G26" s="315">
        <v>165.94</v>
      </c>
      <c r="H26" s="315"/>
      <c r="I26" s="315">
        <v>123.18</v>
      </c>
      <c r="J26" s="315"/>
      <c r="K26" s="316">
        <f>F26*$D$12+G26*$D$13+H26*$D$14+I26*$D$15+J26*$D$16</f>
        <v>50.940671999999999</v>
      </c>
      <c r="L26" s="317">
        <f t="shared" si="1"/>
        <v>1.5126379667811989</v>
      </c>
      <c r="M26" s="413"/>
    </row>
    <row r="28" spans="1:18">
      <c r="A28"/>
    </row>
  </sheetData>
  <mergeCells count="24">
    <mergeCell ref="A12:A16"/>
    <mergeCell ref="A1:H1"/>
    <mergeCell ref="A2:H2"/>
    <mergeCell ref="E12:F16"/>
    <mergeCell ref="A4:A5"/>
    <mergeCell ref="A6:A11"/>
    <mergeCell ref="B3:D3"/>
    <mergeCell ref="C4:D4"/>
    <mergeCell ref="C5:D5"/>
    <mergeCell ref="B6:B7"/>
    <mergeCell ref="B8:B9"/>
    <mergeCell ref="B10:B11"/>
    <mergeCell ref="M19:M20"/>
    <mergeCell ref="A18:M18"/>
    <mergeCell ref="A17:M17"/>
    <mergeCell ref="M25:M26"/>
    <mergeCell ref="E19:E20"/>
    <mergeCell ref="B19:B20"/>
    <mergeCell ref="C19:C20"/>
    <mergeCell ref="D19:D20"/>
    <mergeCell ref="A19:A20"/>
    <mergeCell ref="K19:K20"/>
    <mergeCell ref="F19:J19"/>
    <mergeCell ref="L19:L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AE77-A1D7-471E-9896-43CC4414F3AA}">
  <dimension ref="A1:S28"/>
  <sheetViews>
    <sheetView workbookViewId="0">
      <selection activeCell="N10" sqref="N10"/>
    </sheetView>
  </sheetViews>
  <sheetFormatPr defaultRowHeight="14.45"/>
  <cols>
    <col min="16" max="16" width="23.7109375" customWidth="1"/>
  </cols>
  <sheetData>
    <row r="1" spans="1:19">
      <c r="A1" s="305" t="s">
        <v>451</v>
      </c>
    </row>
    <row r="3" spans="1:19">
      <c r="L3" s="138" t="s">
        <v>128</v>
      </c>
      <c r="M3" s="138" t="s">
        <v>98</v>
      </c>
      <c r="N3" s="138" t="s">
        <v>452</v>
      </c>
    </row>
    <row r="4" spans="1:19">
      <c r="L4">
        <v>4.75</v>
      </c>
      <c r="M4">
        <v>3.91</v>
      </c>
      <c r="N4">
        <f>L4*M4</f>
        <v>18.572500000000002</v>
      </c>
      <c r="Q4" s="138" t="s">
        <v>128</v>
      </c>
      <c r="R4" s="138" t="s">
        <v>98</v>
      </c>
      <c r="S4" s="138" t="s">
        <v>452</v>
      </c>
    </row>
    <row r="5" spans="1:19">
      <c r="P5" s="138" t="s">
        <v>453</v>
      </c>
      <c r="Q5">
        <f>'[2]BLE Advertisement'!AE16</f>
        <v>0.42659333333333338</v>
      </c>
      <c r="R5">
        <f>'[2]BLE Advertisement'!AF16</f>
        <v>444.70499999999998</v>
      </c>
      <c r="S5">
        <f>Q5*R5</f>
        <v>189.70818830000002</v>
      </c>
    </row>
    <row r="7" spans="1:19">
      <c r="P7" s="138" t="s">
        <v>454</v>
      </c>
      <c r="Q7">
        <f>N28-N4</f>
        <v>10.410099999999996</v>
      </c>
    </row>
    <row r="9" spans="1:19">
      <c r="P9" s="138" t="s">
        <v>455</v>
      </c>
      <c r="Q9">
        <f>S9/R9</f>
        <v>0.40441201362339441</v>
      </c>
      <c r="R9">
        <f>R5-(M28-M4)</f>
        <v>443.35499999999996</v>
      </c>
      <c r="S9">
        <f>S5-Q7</f>
        <v>179.29808830000002</v>
      </c>
    </row>
    <row r="25" spans="1:14">
      <c r="A25" s="304" t="s">
        <v>456</v>
      </c>
    </row>
    <row r="27" spans="1:14">
      <c r="L27" s="138" t="s">
        <v>128</v>
      </c>
      <c r="M27" s="138" t="s">
        <v>98</v>
      </c>
      <c r="N27" s="138" t="s">
        <v>452</v>
      </c>
    </row>
    <row r="28" spans="1:14">
      <c r="L28">
        <v>5.51</v>
      </c>
      <c r="M28">
        <v>5.26</v>
      </c>
      <c r="N28">
        <f>L28*M28</f>
        <v>28.982599999999998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66"/>
  <sheetViews>
    <sheetView topLeftCell="A131" workbookViewId="0"/>
  </sheetViews>
  <sheetFormatPr defaultColWidth="9.140625" defaultRowHeight="14.45"/>
  <cols>
    <col min="1" max="1" width="76" bestFit="1" customWidth="1"/>
    <col min="2" max="2" width="37.5703125" bestFit="1" customWidth="1"/>
    <col min="3" max="3" width="10.140625" bestFit="1" customWidth="1"/>
    <col min="4" max="4" width="36.140625" bestFit="1" customWidth="1"/>
    <col min="5" max="5" width="10.140625" bestFit="1" customWidth="1"/>
    <col min="6" max="6" width="7.85546875" bestFit="1" customWidth="1"/>
    <col min="7" max="7" width="126.85546875" customWidth="1"/>
  </cols>
  <sheetData>
    <row r="1" spans="1:1" ht="18">
      <c r="A1" s="10" t="s">
        <v>457</v>
      </c>
    </row>
    <row r="2" spans="1:1">
      <c r="A2" s="7">
        <v>12500</v>
      </c>
    </row>
    <row r="3" spans="1:1">
      <c r="A3" s="7">
        <v>9500</v>
      </c>
    </row>
    <row r="4" spans="1:1">
      <c r="A4" s="7">
        <v>6500</v>
      </c>
    </row>
    <row r="5" spans="1:1">
      <c r="A5" s="7">
        <v>24500</v>
      </c>
    </row>
    <row r="6" spans="1:1">
      <c r="A6" s="6"/>
    </row>
    <row r="7" spans="1:1" ht="18">
      <c r="A7" s="10" t="s">
        <v>458</v>
      </c>
    </row>
    <row r="8" spans="1:1">
      <c r="A8" s="7">
        <v>24000</v>
      </c>
    </row>
    <row r="9" spans="1:1">
      <c r="A9" s="7">
        <v>48000</v>
      </c>
    </row>
    <row r="10" spans="1:1">
      <c r="A10" s="7">
        <v>120000</v>
      </c>
    </row>
    <row r="11" spans="1:1">
      <c r="A11" s="7">
        <v>300000</v>
      </c>
    </row>
    <row r="12" spans="1:1">
      <c r="A12" s="7"/>
    </row>
    <row r="13" spans="1:1" ht="18">
      <c r="A13" s="10" t="s">
        <v>459</v>
      </c>
    </row>
    <row r="14" spans="1:1">
      <c r="A14" s="7">
        <v>6000</v>
      </c>
    </row>
    <row r="15" spans="1:1">
      <c r="A15" s="7">
        <v>12000</v>
      </c>
    </row>
    <row r="16" spans="1:1">
      <c r="A16" s="7">
        <v>24000</v>
      </c>
    </row>
    <row r="17" spans="1:2">
      <c r="A17" s="7">
        <v>48000</v>
      </c>
    </row>
    <row r="18" spans="1:2">
      <c r="A18" s="6"/>
    </row>
    <row r="19" spans="1:2" ht="18">
      <c r="A19" s="10" t="s">
        <v>460</v>
      </c>
      <c r="B19" s="10" t="s">
        <v>461</v>
      </c>
    </row>
    <row r="20" spans="1:2">
      <c r="A20" s="7">
        <v>1.5</v>
      </c>
      <c r="B20" s="7" t="s">
        <v>462</v>
      </c>
    </row>
    <row r="21" spans="1:2">
      <c r="A21" s="7">
        <v>3</v>
      </c>
      <c r="B21" s="7" t="s">
        <v>463</v>
      </c>
    </row>
    <row r="22" spans="1:2">
      <c r="A22" s="7">
        <v>6</v>
      </c>
      <c r="B22" s="7" t="s">
        <v>464</v>
      </c>
    </row>
    <row r="24" spans="1:2" ht="18">
      <c r="A24" s="10" t="s">
        <v>465</v>
      </c>
    </row>
    <row r="25" spans="1:2">
      <c r="A25" s="7">
        <v>1</v>
      </c>
    </row>
    <row r="26" spans="1:2">
      <c r="A26" s="7">
        <v>2</v>
      </c>
    </row>
    <row r="27" spans="1:2">
      <c r="A27" s="7">
        <v>3</v>
      </c>
    </row>
    <row r="28" spans="1:2">
      <c r="A28" s="6"/>
    </row>
    <row r="29" spans="1:2" ht="18">
      <c r="A29" s="10" t="s">
        <v>466</v>
      </c>
    </row>
    <row r="30" spans="1:2">
      <c r="A30" s="7">
        <v>1</v>
      </c>
    </row>
    <row r="31" spans="1:2">
      <c r="A31" s="7">
        <v>2</v>
      </c>
    </row>
    <row r="33" spans="1:7" ht="18">
      <c r="A33" s="10" t="s">
        <v>467</v>
      </c>
      <c r="B33" s="10"/>
      <c r="C33" s="11"/>
    </row>
    <row r="34" spans="1:7" ht="15.6">
      <c r="A34" s="7">
        <v>0</v>
      </c>
      <c r="B34" s="7" t="b">
        <v>1</v>
      </c>
      <c r="C34" s="11"/>
    </row>
    <row r="35" spans="1:7">
      <c r="A35" s="7">
        <v>1</v>
      </c>
      <c r="B35" s="7" t="b">
        <v>0</v>
      </c>
    </row>
    <row r="37" spans="1:7" ht="18">
      <c r="A37" s="10" t="s">
        <v>468</v>
      </c>
    </row>
    <row r="38" spans="1:7">
      <c r="A38" s="7">
        <v>250</v>
      </c>
    </row>
    <row r="39" spans="1:7" s="15" customFormat="1" ht="20.100000000000001" customHeight="1">
      <c r="A39" s="7">
        <v>500</v>
      </c>
      <c r="B39"/>
      <c r="C39"/>
      <c r="D39"/>
      <c r="E39"/>
      <c r="F39"/>
      <c r="G39"/>
    </row>
    <row r="40" spans="1:7" s="15" customFormat="1" ht="20.100000000000001" customHeight="1">
      <c r="A40" s="7">
        <v>1000</v>
      </c>
      <c r="B40"/>
      <c r="C40"/>
      <c r="D40"/>
      <c r="E40"/>
      <c r="F40"/>
      <c r="G40"/>
    </row>
    <row r="41" spans="1:7" s="15" customFormat="1" ht="20.100000000000001" customHeight="1">
      <c r="A41" s="7">
        <v>2000</v>
      </c>
      <c r="B41"/>
      <c r="C41"/>
      <c r="D41"/>
      <c r="E41"/>
      <c r="F41"/>
      <c r="G41"/>
    </row>
    <row r="42" spans="1:7" s="15" customFormat="1" ht="20.100000000000001" customHeight="1">
      <c r="A42" s="7">
        <v>10000</v>
      </c>
      <c r="B42"/>
      <c r="C42"/>
      <c r="D42"/>
      <c r="E42"/>
      <c r="F42"/>
      <c r="G42"/>
    </row>
    <row r="43" spans="1:7" s="15" customFormat="1" ht="20.100000000000001" customHeight="1">
      <c r="A43" s="7">
        <v>30000</v>
      </c>
      <c r="B43"/>
      <c r="C43"/>
      <c r="D43"/>
      <c r="E43"/>
      <c r="F43"/>
      <c r="G43"/>
    </row>
    <row r="44" spans="1:7" s="15" customFormat="1" ht="20.100000000000001" customHeight="1">
      <c r="A44" s="7">
        <v>60000</v>
      </c>
      <c r="B44"/>
      <c r="C44"/>
      <c r="D44"/>
      <c r="E44"/>
      <c r="F44"/>
      <c r="G44"/>
    </row>
    <row r="45" spans="1:7" s="15" customFormat="1" ht="20.100000000000001" customHeight="1">
      <c r="A45" s="7" t="s">
        <v>116</v>
      </c>
      <c r="B45"/>
      <c r="C45"/>
      <c r="D45"/>
      <c r="E45"/>
      <c r="F45"/>
      <c r="G45"/>
    </row>
    <row r="47" spans="1:7" ht="18">
      <c r="A47" s="12" t="s">
        <v>92</v>
      </c>
      <c r="B47" s="12" t="s">
        <v>469</v>
      </c>
    </row>
    <row r="48" spans="1:7">
      <c r="A48" s="13" t="s">
        <v>96</v>
      </c>
      <c r="B48" s="14">
        <v>220</v>
      </c>
    </row>
    <row r="49" spans="1:2">
      <c r="A49" s="13" t="s">
        <v>101</v>
      </c>
      <c r="B49" s="14">
        <v>240</v>
      </c>
    </row>
    <row r="50" spans="1:2">
      <c r="A50" s="13" t="s">
        <v>104</v>
      </c>
      <c r="B50" s="14">
        <v>285</v>
      </c>
    </row>
    <row r="51" spans="1:2">
      <c r="A51" s="13" t="s">
        <v>108</v>
      </c>
      <c r="B51" s="14">
        <v>540</v>
      </c>
    </row>
    <row r="52" spans="1:2">
      <c r="A52" s="13" t="s">
        <v>111</v>
      </c>
      <c r="B52" s="14">
        <v>620</v>
      </c>
    </row>
    <row r="53" spans="1:2">
      <c r="A53" s="13" t="s">
        <v>114</v>
      </c>
      <c r="B53" s="14">
        <v>950</v>
      </c>
    </row>
    <row r="54" spans="1:2">
      <c r="A54" s="13" t="s">
        <v>117</v>
      </c>
      <c r="B54" s="14">
        <v>1000</v>
      </c>
    </row>
    <row r="55" spans="1:2">
      <c r="A55" s="13" t="s">
        <v>121</v>
      </c>
      <c r="B55" s="14">
        <v>1200</v>
      </c>
    </row>
    <row r="56" spans="1:2">
      <c r="A56" s="13" t="s">
        <v>124</v>
      </c>
      <c r="B56" s="14">
        <v>1500</v>
      </c>
    </row>
    <row r="60" spans="1:2" ht="18">
      <c r="A60" s="10" t="s">
        <v>470</v>
      </c>
    </row>
    <row r="61" spans="1:2">
      <c r="A61" s="7" t="s">
        <v>471</v>
      </c>
    </row>
    <row r="62" spans="1:2">
      <c r="A62" s="7" t="s">
        <v>472</v>
      </c>
    </row>
    <row r="66" spans="1:7" ht="18">
      <c r="A66" s="10" t="s">
        <v>473</v>
      </c>
    </row>
    <row r="67" spans="1:7" s="15" customFormat="1" ht="20.100000000000001" customHeight="1">
      <c r="A67" s="7" t="s">
        <v>474</v>
      </c>
      <c r="B67">
        <v>0</v>
      </c>
      <c r="C67"/>
      <c r="D67"/>
      <c r="E67"/>
      <c r="F67"/>
      <c r="G67"/>
    </row>
    <row r="68" spans="1:7" s="15" customFormat="1" ht="20.100000000000001" customHeight="1">
      <c r="A68" s="7" t="s">
        <v>49</v>
      </c>
      <c r="B68">
        <v>1</v>
      </c>
      <c r="C68"/>
      <c r="D68"/>
      <c r="E68"/>
      <c r="F68"/>
      <c r="G68"/>
    </row>
    <row r="69" spans="1:7" s="15" customFormat="1" ht="20.100000000000001" customHeight="1">
      <c r="A69" s="7" t="s">
        <v>475</v>
      </c>
      <c r="B69"/>
      <c r="C69"/>
      <c r="D69"/>
      <c r="E69"/>
      <c r="F69"/>
      <c r="G69"/>
    </row>
    <row r="70" spans="1:7" s="15" customFormat="1" ht="20.100000000000001" customHeight="1">
      <c r="A70"/>
      <c r="B70"/>
      <c r="C70"/>
      <c r="D70"/>
      <c r="E70"/>
      <c r="F70"/>
      <c r="G70"/>
    </row>
    <row r="71" spans="1:7" s="15" customFormat="1" ht="20.100000000000001" customHeight="1">
      <c r="A71" s="10" t="s">
        <v>476</v>
      </c>
      <c r="B71" s="10" t="s">
        <v>477</v>
      </c>
      <c r="C71"/>
      <c r="D71"/>
      <c r="E71"/>
      <c r="F71"/>
      <c r="G71"/>
    </row>
    <row r="72" spans="1:7" s="15" customFormat="1" ht="20.100000000000001" customHeight="1">
      <c r="A72" s="7">
        <f>B72*60*60*1000</f>
        <v>21600000</v>
      </c>
      <c r="B72" s="7">
        <v>6</v>
      </c>
      <c r="C72"/>
      <c r="D72"/>
      <c r="E72"/>
      <c r="F72"/>
      <c r="G72"/>
    </row>
    <row r="73" spans="1:7" s="15" customFormat="1" ht="20.100000000000001" customHeight="1">
      <c r="A73" s="7">
        <f t="shared" ref="A73:A77" si="0">B73*60*60*1000</f>
        <v>43200000</v>
      </c>
      <c r="B73" s="7">
        <v>12</v>
      </c>
      <c r="C73"/>
      <c r="D73"/>
      <c r="E73"/>
      <c r="F73"/>
      <c r="G73"/>
    </row>
    <row r="74" spans="1:7" s="15" customFormat="1" ht="20.100000000000001" customHeight="1">
      <c r="A74" s="7">
        <f t="shared" si="0"/>
        <v>86400000</v>
      </c>
      <c r="B74" s="7">
        <v>24</v>
      </c>
      <c r="C74"/>
      <c r="D74"/>
      <c r="E74"/>
      <c r="F74"/>
      <c r="G74"/>
    </row>
    <row r="75" spans="1:7" s="15" customFormat="1" ht="20.100000000000001" customHeight="1">
      <c r="A75" s="7">
        <f t="shared" si="0"/>
        <v>172800000</v>
      </c>
      <c r="B75" s="7">
        <v>48</v>
      </c>
      <c r="C75"/>
      <c r="D75"/>
      <c r="E75"/>
      <c r="F75"/>
      <c r="G75"/>
    </row>
    <row r="76" spans="1:7" s="15" customFormat="1" ht="20.100000000000001" customHeight="1">
      <c r="A76" s="7">
        <f t="shared" si="0"/>
        <v>259200000</v>
      </c>
      <c r="B76" s="7">
        <v>72</v>
      </c>
      <c r="C76"/>
      <c r="D76"/>
      <c r="E76"/>
      <c r="F76"/>
      <c r="G76"/>
    </row>
    <row r="77" spans="1:7" s="15" customFormat="1" ht="20.100000000000001" customHeight="1">
      <c r="A77" s="7">
        <f t="shared" si="0"/>
        <v>604800000</v>
      </c>
      <c r="B77" s="7">
        <v>168</v>
      </c>
      <c r="C77"/>
      <c r="D77"/>
      <c r="E77"/>
      <c r="F77"/>
      <c r="G77"/>
    </row>
    <row r="78" spans="1:7" s="15" customFormat="1" ht="20.100000000000001" customHeight="1">
      <c r="A78"/>
      <c r="B78"/>
      <c r="C78"/>
      <c r="D78"/>
      <c r="E78"/>
      <c r="F78"/>
      <c r="G78"/>
    </row>
    <row r="79" spans="1:7" s="15" customFormat="1" ht="20.100000000000001" customHeight="1">
      <c r="A79"/>
      <c r="B79"/>
      <c r="C79"/>
      <c r="D79"/>
      <c r="E79"/>
      <c r="F79"/>
      <c r="G79"/>
    </row>
    <row r="80" spans="1:7" s="15" customFormat="1" ht="20.100000000000001" customHeight="1">
      <c r="A80"/>
      <c r="B80"/>
      <c r="C80"/>
      <c r="D80"/>
      <c r="E80"/>
      <c r="F80"/>
      <c r="G80"/>
    </row>
    <row r="81" spans="1:7" s="15" customFormat="1" ht="20.100000000000001" customHeight="1">
      <c r="A81"/>
      <c r="B81"/>
      <c r="C81"/>
      <c r="D81"/>
      <c r="E81"/>
      <c r="F81"/>
      <c r="G81"/>
    </row>
    <row r="82" spans="1:7" s="15" customFormat="1" ht="20.100000000000001" customHeight="1">
      <c r="A82" s="10" t="s">
        <v>344</v>
      </c>
      <c r="B82" s="10" t="s">
        <v>478</v>
      </c>
      <c r="C82"/>
      <c r="D82"/>
      <c r="E82"/>
      <c r="F82"/>
      <c r="G82"/>
    </row>
    <row r="83" spans="1:7" s="15" customFormat="1" ht="20.100000000000001" customHeight="1">
      <c r="A83" s="7">
        <f>B83*1000</f>
        <v>3000</v>
      </c>
      <c r="B83" s="7">
        <v>3</v>
      </c>
      <c r="C83"/>
      <c r="D83"/>
      <c r="E83"/>
      <c r="F83"/>
      <c r="G83"/>
    </row>
    <row r="84" spans="1:7" s="15" customFormat="1" ht="20.100000000000001" customHeight="1">
      <c r="A84" s="7">
        <f>B84*1000</f>
        <v>5000</v>
      </c>
      <c r="B84" s="7">
        <v>5</v>
      </c>
      <c r="C84"/>
      <c r="D84"/>
      <c r="E84"/>
      <c r="F84"/>
      <c r="G84">
        <v>27</v>
      </c>
    </row>
    <row r="85" spans="1:7" s="15" customFormat="1" ht="20.100000000000001" customHeight="1">
      <c r="A85"/>
      <c r="B85"/>
      <c r="C85"/>
      <c r="D85"/>
      <c r="E85"/>
      <c r="F85"/>
      <c r="G85"/>
    </row>
    <row r="86" spans="1:7" s="15" customFormat="1" ht="20.100000000000001" customHeight="1">
      <c r="A86" s="10" t="s">
        <v>479</v>
      </c>
      <c r="B86" s="10"/>
      <c r="C86"/>
      <c r="D86"/>
      <c r="E86"/>
      <c r="F86"/>
      <c r="G86"/>
    </row>
    <row r="87" spans="1:7" s="15" customFormat="1" ht="20.100000000000001" customHeight="1">
      <c r="A87" s="10" t="s">
        <v>480</v>
      </c>
      <c r="B87" s="10" t="s">
        <v>481</v>
      </c>
      <c r="C87"/>
      <c r="D87"/>
      <c r="E87"/>
      <c r="F87"/>
      <c r="G87"/>
    </row>
    <row r="88" spans="1:7" s="15" customFormat="1" ht="20.100000000000001" customHeight="1">
      <c r="A88" s="7">
        <v>3000</v>
      </c>
      <c r="B88" s="7">
        <v>300000</v>
      </c>
      <c r="C88"/>
      <c r="D88"/>
      <c r="E88"/>
      <c r="F88"/>
      <c r="G88"/>
    </row>
    <row r="89" spans="1:7" s="15" customFormat="1" ht="20.100000000000001" customHeight="1">
      <c r="A89" s="7">
        <v>6000</v>
      </c>
      <c r="B89" s="7">
        <v>600000</v>
      </c>
      <c r="C89"/>
      <c r="D89"/>
      <c r="E89"/>
      <c r="F89"/>
      <c r="G89"/>
    </row>
    <row r="90" spans="1:7" s="15" customFormat="1" ht="15.6" customHeight="1">
      <c r="A90" s="7">
        <v>1000</v>
      </c>
      <c r="B90" s="7">
        <v>900000</v>
      </c>
      <c r="C90"/>
      <c r="D90"/>
      <c r="E90"/>
      <c r="F90"/>
      <c r="G90"/>
    </row>
    <row r="91" spans="1:7" s="15" customFormat="1" ht="20.100000000000001" customHeight="1">
      <c r="A91" s="7">
        <v>12000</v>
      </c>
      <c r="B91" s="7">
        <v>1800000</v>
      </c>
      <c r="C91"/>
      <c r="D91"/>
      <c r="E91"/>
      <c r="F91"/>
      <c r="G91"/>
    </row>
    <row r="92" spans="1:7" s="15" customFormat="1" ht="20.100000000000001" customHeight="1">
      <c r="A92" s="7">
        <v>24000</v>
      </c>
      <c r="B92" s="7">
        <v>2700000</v>
      </c>
      <c r="C92"/>
      <c r="D92"/>
      <c r="E92"/>
      <c r="F92"/>
      <c r="G92"/>
    </row>
    <row r="93" spans="1:7" s="15" customFormat="1" ht="18.75" customHeight="1">
      <c r="A93" s="7">
        <v>48000</v>
      </c>
      <c r="B93" s="7">
        <v>3600000</v>
      </c>
      <c r="C93"/>
      <c r="D93"/>
      <c r="E93"/>
      <c r="F93"/>
      <c r="G93"/>
    </row>
    <row r="94" spans="1:7" s="15" customFormat="1" ht="20.100000000000001" customHeight="1">
      <c r="A94"/>
      <c r="B94"/>
      <c r="C94"/>
      <c r="D94"/>
      <c r="E94"/>
      <c r="F94"/>
      <c r="G94"/>
    </row>
    <row r="95" spans="1:7" s="15" customFormat="1" ht="20.100000000000001" customHeight="1">
      <c r="A95" s="10" t="s">
        <v>482</v>
      </c>
      <c r="B95" s="10" t="s">
        <v>483</v>
      </c>
      <c r="C95"/>
      <c r="D95"/>
      <c r="E95"/>
      <c r="F95"/>
      <c r="G95"/>
    </row>
    <row r="96" spans="1:7" s="15" customFormat="1" ht="20.100000000000001" customHeight="1">
      <c r="A96" s="7">
        <v>30000</v>
      </c>
      <c r="B96" s="7">
        <v>250</v>
      </c>
      <c r="C96"/>
      <c r="D96"/>
      <c r="E96"/>
      <c r="F96"/>
      <c r="G96"/>
    </row>
    <row r="97" spans="1:7" s="15" customFormat="1" ht="20.100000000000001" customHeight="1">
      <c r="A97" s="7">
        <v>60000</v>
      </c>
      <c r="B97" s="7">
        <v>500</v>
      </c>
      <c r="C97"/>
      <c r="D97"/>
      <c r="E97"/>
      <c r="F97"/>
      <c r="G97"/>
    </row>
    <row r="98" spans="1:7" s="15" customFormat="1" ht="20.100000000000001" customHeight="1">
      <c r="A98" s="7">
        <v>90000</v>
      </c>
      <c r="B98" s="7">
        <v>1000</v>
      </c>
      <c r="C98"/>
      <c r="D98"/>
      <c r="E98"/>
      <c r="F98"/>
      <c r="G98"/>
    </row>
    <row r="99" spans="1:7" s="15" customFormat="1" ht="20.100000000000001" customHeight="1">
      <c r="A99" s="7">
        <v>120000</v>
      </c>
      <c r="B99" s="7">
        <v>2000</v>
      </c>
      <c r="C99"/>
      <c r="D99"/>
      <c r="E99"/>
      <c r="F99"/>
      <c r="G99"/>
    </row>
    <row r="100" spans="1:7" s="15" customFormat="1" ht="20.100000000000001" customHeight="1">
      <c r="A100"/>
      <c r="B100"/>
      <c r="C100"/>
      <c r="D100"/>
      <c r="E100"/>
      <c r="F100"/>
      <c r="G100"/>
    </row>
    <row r="101" spans="1:7" s="15" customFormat="1" ht="20.100000000000001" customHeight="1">
      <c r="A101" s="10" t="s">
        <v>153</v>
      </c>
      <c r="B101"/>
      <c r="C101"/>
      <c r="D101"/>
      <c r="E101"/>
      <c r="F101"/>
      <c r="G101"/>
    </row>
    <row r="102" spans="1:7" s="15" customFormat="1" ht="20.100000000000001" customHeight="1">
      <c r="A102" s="1" t="b">
        <v>1</v>
      </c>
      <c r="B102"/>
      <c r="C102"/>
      <c r="D102"/>
      <c r="E102"/>
      <c r="F102"/>
      <c r="G102"/>
    </row>
    <row r="103" spans="1:7" s="15" customFormat="1" ht="20.100000000000001" customHeight="1">
      <c r="A103" s="1" t="b">
        <v>0</v>
      </c>
      <c r="B103"/>
      <c r="C103"/>
      <c r="D103"/>
      <c r="E103"/>
      <c r="F103"/>
      <c r="G103"/>
    </row>
    <row r="104" spans="1:7" s="15" customFormat="1" ht="20.100000000000001" customHeight="1">
      <c r="A104"/>
      <c r="B104"/>
      <c r="C104"/>
      <c r="D104"/>
      <c r="E104"/>
      <c r="F104"/>
      <c r="G104"/>
    </row>
    <row r="105" spans="1:7" s="15" customFormat="1" ht="20.100000000000001" customHeight="1">
      <c r="A105" s="10" t="s">
        <v>484</v>
      </c>
      <c r="B105"/>
      <c r="C105"/>
      <c r="D105"/>
      <c r="E105"/>
      <c r="F105"/>
      <c r="G105"/>
    </row>
    <row r="106" spans="1:7" s="15" customFormat="1" ht="20.100000000000001" customHeight="1">
      <c r="A106" s="7">
        <v>0</v>
      </c>
      <c r="B106"/>
      <c r="C106"/>
      <c r="D106"/>
      <c r="E106"/>
      <c r="F106"/>
      <c r="G106"/>
    </row>
    <row r="107" spans="1:7" s="15" customFormat="1" ht="20.100000000000001" customHeight="1">
      <c r="A107" s="7">
        <v>1</v>
      </c>
      <c r="B107"/>
      <c r="C107"/>
      <c r="D107"/>
      <c r="E107"/>
      <c r="F107"/>
      <c r="G107"/>
    </row>
    <row r="108" spans="1:7" s="15" customFormat="1" ht="20.100000000000001" customHeight="1">
      <c r="A108" s="7">
        <v>2</v>
      </c>
      <c r="B108"/>
      <c r="C108"/>
      <c r="D108"/>
      <c r="E108"/>
      <c r="F108"/>
      <c r="G108"/>
    </row>
    <row r="109" spans="1:7" s="15" customFormat="1" ht="20.100000000000001" customHeight="1">
      <c r="A109" s="7">
        <v>3</v>
      </c>
      <c r="B109"/>
      <c r="C109"/>
      <c r="D109"/>
      <c r="E109"/>
      <c r="F109"/>
      <c r="G109"/>
    </row>
    <row r="110" spans="1:7" s="15" customFormat="1" ht="20.100000000000001" customHeight="1">
      <c r="A110" s="7">
        <v>4</v>
      </c>
      <c r="B110"/>
      <c r="C110"/>
      <c r="D110"/>
      <c r="E110"/>
      <c r="F110"/>
      <c r="G110"/>
    </row>
    <row r="111" spans="1:7" s="15" customFormat="1" ht="20.100000000000001" customHeight="1">
      <c r="A111" s="7">
        <v>5</v>
      </c>
      <c r="B111"/>
      <c r="C111"/>
      <c r="D111"/>
      <c r="E111"/>
      <c r="F111"/>
      <c r="G111"/>
    </row>
    <row r="112" spans="1:7" s="15" customFormat="1" ht="15.6" customHeight="1">
      <c r="A112" s="7">
        <v>6</v>
      </c>
      <c r="B112"/>
      <c r="C112"/>
      <c r="D112"/>
      <c r="E112"/>
      <c r="F112"/>
      <c r="G112"/>
    </row>
    <row r="113" spans="1:7" s="15" customFormat="1" ht="20.100000000000001" customHeight="1">
      <c r="A113" s="7">
        <v>7</v>
      </c>
      <c r="B113"/>
      <c r="C113"/>
      <c r="D113"/>
      <c r="E113"/>
      <c r="F113"/>
      <c r="G113"/>
    </row>
    <row r="114" spans="1:7" s="15" customFormat="1" ht="20.100000000000001" customHeight="1">
      <c r="A114" s="7">
        <v>8</v>
      </c>
      <c r="B114"/>
      <c r="C114"/>
      <c r="D114"/>
      <c r="E114"/>
      <c r="F114"/>
      <c r="G114"/>
    </row>
    <row r="115" spans="1:7" s="15" customFormat="1" ht="20.100000000000001" customHeight="1">
      <c r="A115" s="7">
        <v>9</v>
      </c>
      <c r="B115"/>
      <c r="C115"/>
      <c r="D115"/>
      <c r="E115"/>
      <c r="F115"/>
      <c r="G115"/>
    </row>
    <row r="116" spans="1:7" s="15" customFormat="1" ht="20.100000000000001" customHeight="1">
      <c r="A116" s="7">
        <v>10</v>
      </c>
      <c r="B116"/>
      <c r="C116"/>
      <c r="D116"/>
      <c r="E116"/>
      <c r="F116"/>
      <c r="G116"/>
    </row>
    <row r="117" spans="1:7" s="15" customFormat="1" ht="20.100000000000001" customHeight="1">
      <c r="A117" s="7">
        <v>11</v>
      </c>
      <c r="B117"/>
      <c r="C117"/>
      <c r="D117"/>
      <c r="E117"/>
      <c r="F117"/>
      <c r="G117"/>
    </row>
    <row r="118" spans="1:7" s="15" customFormat="1" ht="20.100000000000001" customHeight="1">
      <c r="A118" s="7">
        <v>12</v>
      </c>
      <c r="B118"/>
      <c r="C118"/>
      <c r="D118"/>
      <c r="E118"/>
      <c r="F118"/>
      <c r="G118"/>
    </row>
    <row r="119" spans="1:7" s="15" customFormat="1" ht="20.100000000000001" customHeight="1">
      <c r="A119" s="7">
        <v>13</v>
      </c>
      <c r="B119"/>
      <c r="C119"/>
      <c r="D119"/>
      <c r="E119"/>
      <c r="F119"/>
      <c r="G119"/>
    </row>
    <row r="120" spans="1:7" s="15" customFormat="1" ht="20.100000000000001" customHeight="1">
      <c r="A120" s="7">
        <v>14</v>
      </c>
      <c r="B120"/>
      <c r="C120"/>
      <c r="D120"/>
      <c r="E120"/>
      <c r="F120"/>
      <c r="G120"/>
    </row>
    <row r="121" spans="1:7" s="15" customFormat="1" ht="20.100000000000001" customHeight="1">
      <c r="A121" s="7">
        <v>15</v>
      </c>
      <c r="B121"/>
      <c r="C121"/>
      <c r="D121"/>
      <c r="E121"/>
      <c r="F121"/>
      <c r="G121"/>
    </row>
    <row r="122" spans="1:7" s="15" customFormat="1" ht="20.100000000000001" customHeight="1">
      <c r="A122" s="7">
        <v>16</v>
      </c>
      <c r="B122"/>
      <c r="C122"/>
      <c r="D122"/>
      <c r="E122"/>
      <c r="F122"/>
      <c r="G122"/>
    </row>
    <row r="123" spans="1:7" s="15" customFormat="1" ht="20.100000000000001" customHeight="1">
      <c r="A123" s="7">
        <v>17</v>
      </c>
      <c r="B123"/>
      <c r="C123"/>
      <c r="D123"/>
      <c r="E123"/>
      <c r="F123"/>
      <c r="G123"/>
    </row>
    <row r="124" spans="1:7" s="15" customFormat="1" ht="20.100000000000001" customHeight="1">
      <c r="A124" s="7">
        <v>18</v>
      </c>
      <c r="B124"/>
      <c r="C124"/>
      <c r="D124"/>
      <c r="E124"/>
      <c r="F124"/>
      <c r="G124"/>
    </row>
    <row r="125" spans="1:7" s="15" customFormat="1" ht="20.100000000000001" customHeight="1">
      <c r="A125" s="7">
        <v>19</v>
      </c>
      <c r="B125"/>
      <c r="C125"/>
      <c r="D125"/>
      <c r="E125"/>
      <c r="F125"/>
      <c r="G125"/>
    </row>
    <row r="126" spans="1:7" s="15" customFormat="1" ht="20.100000000000001" customHeight="1">
      <c r="A126" s="7">
        <v>20</v>
      </c>
      <c r="B126"/>
      <c r="C126"/>
      <c r="D126"/>
      <c r="E126"/>
      <c r="F126"/>
      <c r="G126"/>
    </row>
    <row r="127" spans="1:7" s="15" customFormat="1" ht="20.100000000000001" customHeight="1">
      <c r="A127"/>
      <c r="B127"/>
      <c r="C127"/>
      <c r="D127"/>
      <c r="E127"/>
      <c r="F127"/>
      <c r="G127"/>
    </row>
    <row r="128" spans="1:7" s="15" customFormat="1" ht="20.100000000000001" customHeight="1">
      <c r="A128" s="10" t="s">
        <v>485</v>
      </c>
      <c r="B128"/>
      <c r="C128"/>
      <c r="D128"/>
      <c r="E128"/>
      <c r="F128"/>
      <c r="G128"/>
    </row>
    <row r="129" spans="1:7" s="15" customFormat="1" ht="20.100000000000001" customHeight="1">
      <c r="A129" s="7">
        <f>0.5*60*60</f>
        <v>1800</v>
      </c>
      <c r="B129"/>
      <c r="C129"/>
      <c r="D129"/>
      <c r="E129"/>
      <c r="F129"/>
      <c r="G129"/>
    </row>
    <row r="130" spans="1:7" s="15" customFormat="1" ht="20.100000000000001" customHeight="1">
      <c r="A130" s="7">
        <f>1*60*60</f>
        <v>3600</v>
      </c>
      <c r="B130"/>
      <c r="C130"/>
      <c r="D130"/>
      <c r="E130"/>
      <c r="F130"/>
      <c r="G130"/>
    </row>
    <row r="131" spans="1:7" s="15" customFormat="1" ht="20.100000000000001" customHeight="1">
      <c r="A131" s="7">
        <f>2*60*60</f>
        <v>7200</v>
      </c>
      <c r="B131"/>
      <c r="C131"/>
      <c r="D131"/>
      <c r="E131"/>
      <c r="F131"/>
      <c r="G131"/>
    </row>
    <row r="132" spans="1:7" s="15" customFormat="1" ht="20.100000000000001" customHeight="1">
      <c r="A132" s="7">
        <f>6*60*60</f>
        <v>21600</v>
      </c>
      <c r="B132"/>
      <c r="C132"/>
      <c r="D132"/>
      <c r="E132"/>
      <c r="F132"/>
      <c r="G132"/>
    </row>
    <row r="133" spans="1:7" s="15" customFormat="1" ht="20.100000000000001" customHeight="1">
      <c r="A133" s="7">
        <f>12*60*60</f>
        <v>43200</v>
      </c>
      <c r="B133"/>
      <c r="C133"/>
      <c r="D133"/>
      <c r="E133"/>
      <c r="F133"/>
      <c r="G133"/>
    </row>
    <row r="134" spans="1:7" s="15" customFormat="1" ht="20.100000000000001" customHeight="1">
      <c r="A134"/>
      <c r="B134"/>
      <c r="C134"/>
      <c r="D134"/>
      <c r="E134"/>
      <c r="F134"/>
      <c r="G134"/>
    </row>
    <row r="135" spans="1:7" s="15" customFormat="1" ht="20.100000000000001" customHeight="1">
      <c r="A135" s="10" t="s">
        <v>486</v>
      </c>
      <c r="B135"/>
      <c r="C135"/>
      <c r="D135"/>
      <c r="E135"/>
      <c r="F135"/>
      <c r="G135"/>
    </row>
    <row r="136" spans="1:7" s="15" customFormat="1" ht="20.100000000000001" customHeight="1">
      <c r="A136" s="7">
        <v>1</v>
      </c>
      <c r="B136"/>
      <c r="C136"/>
      <c r="D136"/>
      <c r="E136"/>
      <c r="F136"/>
      <c r="G136"/>
    </row>
    <row r="137" spans="1:7" s="15" customFormat="1" ht="20.100000000000001" customHeight="1">
      <c r="A137" s="7">
        <v>2</v>
      </c>
      <c r="B137"/>
      <c r="C137"/>
      <c r="D137"/>
      <c r="E137"/>
      <c r="F137"/>
      <c r="G137"/>
    </row>
    <row r="138" spans="1:7" s="15" customFormat="1" ht="20.100000000000001" customHeight="1">
      <c r="A138" s="7">
        <v>3</v>
      </c>
      <c r="B138"/>
      <c r="C138"/>
      <c r="D138"/>
      <c r="E138"/>
      <c r="F138"/>
      <c r="G138"/>
    </row>
    <row r="139" spans="1:7" s="15" customFormat="1" ht="20.100000000000001" customHeight="1">
      <c r="A139" s="7">
        <v>4</v>
      </c>
      <c r="B139"/>
      <c r="C139"/>
      <c r="D139"/>
      <c r="E139"/>
      <c r="F139"/>
      <c r="G139"/>
    </row>
    <row r="140" spans="1:7" s="15" customFormat="1" ht="20.100000000000001" customHeight="1">
      <c r="A140" s="7">
        <v>5</v>
      </c>
      <c r="B140"/>
      <c r="C140"/>
      <c r="D140"/>
      <c r="E140"/>
      <c r="F140"/>
      <c r="G140"/>
    </row>
    <row r="141" spans="1:7" s="15" customFormat="1" ht="20.100000000000001" customHeight="1">
      <c r="A141"/>
      <c r="B141"/>
      <c r="C141"/>
      <c r="D141"/>
      <c r="E141"/>
      <c r="F141"/>
      <c r="G141"/>
    </row>
    <row r="142" spans="1:7" s="15" customFormat="1" ht="20.100000000000001" customHeight="1">
      <c r="A142"/>
      <c r="B142"/>
      <c r="C142"/>
      <c r="D142"/>
      <c r="E142"/>
      <c r="F142"/>
      <c r="G142"/>
    </row>
    <row r="143" spans="1:7" s="15" customFormat="1" ht="20.100000000000001" customHeight="1">
      <c r="A143"/>
      <c r="B143"/>
      <c r="C143"/>
      <c r="D143"/>
      <c r="E143"/>
      <c r="F143"/>
      <c r="G143"/>
    </row>
    <row r="144" spans="1:7" s="15" customFormat="1" ht="20.100000000000001" customHeight="1">
      <c r="A144"/>
      <c r="B144"/>
      <c r="C144"/>
      <c r="D144"/>
      <c r="E144"/>
      <c r="F144"/>
      <c r="G144"/>
    </row>
    <row r="145" spans="1:7" s="15" customFormat="1" ht="20.100000000000001" customHeight="1">
      <c r="A145"/>
      <c r="B145"/>
      <c r="C145"/>
      <c r="D145"/>
      <c r="E145"/>
      <c r="F145"/>
      <c r="G145"/>
    </row>
    <row r="146" spans="1:7" s="15" customFormat="1" ht="20.100000000000001" customHeight="1">
      <c r="A146"/>
      <c r="B146"/>
      <c r="C146"/>
      <c r="D146"/>
      <c r="E146"/>
      <c r="F146"/>
      <c r="G146"/>
    </row>
    <row r="147" spans="1:7" s="15" customFormat="1" ht="20.100000000000001" customHeight="1">
      <c r="A147"/>
      <c r="B147"/>
      <c r="C147"/>
      <c r="D147"/>
      <c r="E147"/>
      <c r="F147"/>
      <c r="G147"/>
    </row>
    <row r="148" spans="1:7" s="15" customFormat="1" ht="20.100000000000001" customHeight="1">
      <c r="A148"/>
      <c r="B148"/>
      <c r="C148"/>
      <c r="D148"/>
      <c r="E148"/>
      <c r="F148"/>
      <c r="G148"/>
    </row>
    <row r="149" spans="1:7" s="15" customFormat="1" ht="20.100000000000001" customHeight="1">
      <c r="A149"/>
      <c r="B149"/>
      <c r="C149"/>
      <c r="D149"/>
      <c r="E149"/>
      <c r="F149"/>
      <c r="G149"/>
    </row>
    <row r="150" spans="1:7" s="15" customFormat="1" ht="20.100000000000001" customHeight="1">
      <c r="A150"/>
      <c r="B150"/>
      <c r="C150"/>
      <c r="D150"/>
      <c r="E150"/>
      <c r="F150"/>
      <c r="G150"/>
    </row>
    <row r="151" spans="1:7" s="15" customFormat="1" ht="20.100000000000001" customHeight="1">
      <c r="A151"/>
      <c r="B151"/>
      <c r="C151"/>
      <c r="D151"/>
      <c r="E151"/>
      <c r="F151"/>
      <c r="G151"/>
    </row>
    <row r="152" spans="1:7" s="15" customFormat="1" ht="20.100000000000001" customHeight="1">
      <c r="A152"/>
      <c r="B152"/>
      <c r="C152"/>
      <c r="D152"/>
      <c r="E152"/>
      <c r="F152"/>
      <c r="G152"/>
    </row>
    <row r="153" spans="1:7" s="15" customFormat="1" ht="20.100000000000001" customHeight="1">
      <c r="A153"/>
      <c r="B153"/>
      <c r="C153"/>
      <c r="D153"/>
      <c r="E153"/>
      <c r="F153"/>
      <c r="G153"/>
    </row>
    <row r="154" spans="1:7" s="15" customFormat="1" ht="20.100000000000001" customHeight="1">
      <c r="A154"/>
      <c r="B154"/>
      <c r="C154"/>
      <c r="D154"/>
      <c r="E154"/>
      <c r="F154"/>
      <c r="G154"/>
    </row>
    <row r="155" spans="1:7" s="15" customFormat="1" ht="20.100000000000001" customHeight="1">
      <c r="A155"/>
      <c r="B155"/>
      <c r="C155"/>
      <c r="D155"/>
      <c r="E155"/>
      <c r="F155"/>
      <c r="G155"/>
    </row>
    <row r="156" spans="1:7" s="15" customFormat="1" ht="20.100000000000001" customHeight="1">
      <c r="A156"/>
      <c r="B156"/>
      <c r="C156"/>
      <c r="D156"/>
      <c r="E156"/>
      <c r="F156"/>
      <c r="G156"/>
    </row>
    <row r="157" spans="1:7" s="15" customFormat="1" ht="20.100000000000001" customHeight="1">
      <c r="A157"/>
      <c r="B157"/>
      <c r="C157"/>
      <c r="D157"/>
      <c r="E157"/>
      <c r="F157"/>
      <c r="G157"/>
    </row>
    <row r="158" spans="1:7" s="15" customFormat="1" ht="20.100000000000001" customHeight="1">
      <c r="A158"/>
      <c r="B158"/>
      <c r="C158"/>
      <c r="D158"/>
      <c r="E158"/>
      <c r="F158"/>
      <c r="G158"/>
    </row>
    <row r="159" spans="1:7" s="15" customFormat="1" ht="20.100000000000001" customHeight="1">
      <c r="A159"/>
      <c r="B159"/>
      <c r="C159"/>
      <c r="D159"/>
      <c r="E159"/>
      <c r="F159"/>
      <c r="G159"/>
    </row>
    <row r="160" spans="1:7" s="15" customFormat="1" ht="20.100000000000001" customHeight="1">
      <c r="A160"/>
      <c r="B160"/>
      <c r="C160"/>
      <c r="D160"/>
      <c r="E160"/>
      <c r="F160"/>
      <c r="G160"/>
    </row>
    <row r="161" spans="1:7" s="15" customFormat="1" ht="20.100000000000001" customHeight="1">
      <c r="A161"/>
      <c r="B161"/>
      <c r="C161"/>
      <c r="D161"/>
      <c r="E161"/>
      <c r="F161"/>
      <c r="G161"/>
    </row>
    <row r="162" spans="1:7" s="15" customFormat="1" ht="20.100000000000001" customHeight="1">
      <c r="A162"/>
      <c r="B162"/>
      <c r="C162"/>
      <c r="D162"/>
      <c r="E162"/>
      <c r="F162"/>
      <c r="G162"/>
    </row>
    <row r="163" spans="1:7" s="15" customFormat="1" ht="20.100000000000001" customHeight="1">
      <c r="A163"/>
      <c r="B163"/>
      <c r="C163"/>
      <c r="D163"/>
      <c r="E163"/>
      <c r="F163"/>
      <c r="G163"/>
    </row>
    <row r="164" spans="1:7" s="15" customFormat="1" ht="20.100000000000001" customHeight="1">
      <c r="A164"/>
      <c r="B164"/>
      <c r="C164"/>
      <c r="D164"/>
      <c r="E164"/>
      <c r="F164"/>
      <c r="G164"/>
    </row>
    <row r="165" spans="1:7" s="15" customFormat="1" ht="20.100000000000001" customHeight="1">
      <c r="A165"/>
      <c r="B165"/>
      <c r="C165"/>
      <c r="D165"/>
      <c r="E165"/>
      <c r="F165"/>
      <c r="G165"/>
    </row>
    <row r="166" spans="1:7" s="15" customFormat="1" ht="20.100000000000001" customHeight="1">
      <c r="A166"/>
      <c r="B166"/>
      <c r="C166"/>
      <c r="D166"/>
      <c r="E166"/>
      <c r="F166"/>
      <c r="G166"/>
    </row>
    <row r="167" spans="1:7" s="15" customFormat="1" ht="20.100000000000001" customHeight="1">
      <c r="A167"/>
      <c r="B167"/>
      <c r="C167"/>
      <c r="D167"/>
      <c r="E167"/>
      <c r="F167"/>
      <c r="G167"/>
    </row>
    <row r="168" spans="1:7" s="15" customFormat="1" ht="20.100000000000001" customHeight="1">
      <c r="A168"/>
      <c r="B168"/>
      <c r="C168"/>
      <c r="D168"/>
      <c r="E168"/>
      <c r="F168"/>
      <c r="G168"/>
    </row>
    <row r="169" spans="1:7" s="15" customFormat="1" ht="20.100000000000001" customHeight="1">
      <c r="A169"/>
      <c r="B169"/>
      <c r="C169"/>
      <c r="D169"/>
      <c r="E169"/>
      <c r="F169"/>
      <c r="G169"/>
    </row>
    <row r="170" spans="1:7" s="15" customFormat="1" ht="15.6" customHeight="1">
      <c r="A170"/>
      <c r="B170"/>
      <c r="C170"/>
      <c r="D170"/>
      <c r="E170"/>
      <c r="F170"/>
      <c r="G170"/>
    </row>
    <row r="171" spans="1:7" s="15" customFormat="1" ht="20.100000000000001" customHeight="1">
      <c r="A171"/>
      <c r="B171"/>
      <c r="C171"/>
      <c r="D171"/>
      <c r="E171"/>
      <c r="F171"/>
      <c r="G171"/>
    </row>
    <row r="172" spans="1:7" s="15" customFormat="1" ht="20.100000000000001" customHeight="1">
      <c r="A172"/>
      <c r="B172"/>
      <c r="C172"/>
      <c r="D172"/>
      <c r="E172"/>
      <c r="F172"/>
      <c r="G172"/>
    </row>
    <row r="173" spans="1:7" s="15" customFormat="1" ht="20.100000000000001" customHeight="1">
      <c r="A173"/>
      <c r="B173"/>
      <c r="C173"/>
      <c r="D173"/>
      <c r="E173"/>
      <c r="F173"/>
      <c r="G173"/>
    </row>
    <row r="174" spans="1:7" s="15" customFormat="1" ht="20.100000000000001" customHeight="1">
      <c r="A174"/>
      <c r="B174"/>
      <c r="C174"/>
      <c r="D174"/>
      <c r="E174"/>
      <c r="F174"/>
      <c r="G174"/>
    </row>
    <row r="175" spans="1:7" s="15" customFormat="1" ht="20.100000000000001" customHeight="1">
      <c r="A175"/>
      <c r="B175"/>
      <c r="C175"/>
      <c r="D175"/>
      <c r="E175"/>
      <c r="F175"/>
      <c r="G175"/>
    </row>
    <row r="176" spans="1:7" s="15" customFormat="1" ht="20.100000000000001" customHeight="1">
      <c r="A176"/>
      <c r="B176"/>
      <c r="C176"/>
      <c r="D176"/>
      <c r="E176"/>
      <c r="F176"/>
      <c r="G176"/>
    </row>
    <row r="177" spans="1:7" s="15" customFormat="1" ht="20.100000000000001" customHeight="1">
      <c r="A177"/>
      <c r="B177"/>
      <c r="C177"/>
      <c r="D177"/>
      <c r="E177"/>
      <c r="F177"/>
      <c r="G177"/>
    </row>
    <row r="178" spans="1:7" s="15" customFormat="1" ht="20.100000000000001" customHeight="1">
      <c r="A178"/>
      <c r="B178"/>
      <c r="C178"/>
      <c r="D178"/>
      <c r="E178"/>
      <c r="F178"/>
      <c r="G178"/>
    </row>
    <row r="179" spans="1:7" s="15" customFormat="1" ht="20.100000000000001" customHeight="1">
      <c r="A179"/>
      <c r="B179"/>
      <c r="C179"/>
      <c r="D179"/>
      <c r="E179"/>
      <c r="F179"/>
      <c r="G179"/>
    </row>
    <row r="180" spans="1:7" s="15" customFormat="1" ht="20.100000000000001" customHeight="1">
      <c r="A180"/>
      <c r="B180"/>
      <c r="C180"/>
      <c r="D180"/>
      <c r="E180"/>
      <c r="F180"/>
      <c r="G180"/>
    </row>
    <row r="181" spans="1:7" s="15" customFormat="1" ht="20.100000000000001" customHeight="1">
      <c r="A181"/>
      <c r="B181"/>
      <c r="C181"/>
      <c r="D181"/>
      <c r="E181"/>
      <c r="F181"/>
      <c r="G181"/>
    </row>
    <row r="182" spans="1:7" s="15" customFormat="1" ht="20.100000000000001" customHeight="1">
      <c r="A182"/>
      <c r="B182"/>
      <c r="C182"/>
      <c r="D182"/>
      <c r="E182"/>
      <c r="F182"/>
      <c r="G182"/>
    </row>
    <row r="183" spans="1:7" s="15" customFormat="1" ht="20.100000000000001" customHeight="1">
      <c r="A183"/>
      <c r="B183"/>
      <c r="C183"/>
      <c r="D183"/>
      <c r="E183"/>
      <c r="F183"/>
      <c r="G183"/>
    </row>
    <row r="184" spans="1:7" s="15" customFormat="1" ht="20.100000000000001" customHeight="1">
      <c r="A184"/>
      <c r="B184"/>
      <c r="C184"/>
      <c r="D184"/>
      <c r="E184"/>
      <c r="F184"/>
      <c r="G184"/>
    </row>
    <row r="185" spans="1:7" s="15" customFormat="1" ht="15.6" customHeight="1">
      <c r="A185"/>
      <c r="B185"/>
      <c r="C185"/>
      <c r="D185"/>
      <c r="E185"/>
      <c r="F185"/>
      <c r="G185"/>
    </row>
    <row r="186" spans="1:7" s="15" customFormat="1" ht="20.100000000000001" customHeight="1">
      <c r="A186"/>
      <c r="B186"/>
      <c r="C186"/>
      <c r="D186"/>
      <c r="E186"/>
      <c r="F186"/>
      <c r="G186"/>
    </row>
    <row r="187" spans="1:7" s="15" customFormat="1" ht="20.100000000000001" customHeight="1">
      <c r="A187"/>
      <c r="B187"/>
      <c r="C187"/>
      <c r="D187"/>
      <c r="E187"/>
      <c r="F187"/>
      <c r="G187"/>
    </row>
    <row r="188" spans="1:7" s="15" customFormat="1">
      <c r="A188"/>
      <c r="B188"/>
      <c r="C188"/>
      <c r="D188"/>
      <c r="E188"/>
      <c r="F188"/>
      <c r="G188"/>
    </row>
    <row r="189" spans="1:7" s="15" customFormat="1">
      <c r="A189"/>
      <c r="B189"/>
      <c r="C189"/>
      <c r="D189"/>
      <c r="E189"/>
      <c r="F189"/>
      <c r="G189"/>
    </row>
    <row r="190" spans="1:7" s="15" customFormat="1" ht="20.100000000000001" customHeight="1">
      <c r="A190"/>
      <c r="B190"/>
      <c r="C190"/>
      <c r="D190"/>
      <c r="E190"/>
      <c r="F190"/>
      <c r="G190"/>
    </row>
    <row r="191" spans="1:7" s="15" customFormat="1" ht="20.100000000000001" customHeight="1">
      <c r="A191"/>
      <c r="B191"/>
      <c r="C191"/>
      <c r="D191"/>
      <c r="E191"/>
      <c r="F191"/>
      <c r="G191"/>
    </row>
    <row r="256" spans="3:3">
      <c r="C256" s="6"/>
    </row>
    <row r="257" spans="1:3">
      <c r="B257" s="6"/>
      <c r="C257" s="6"/>
    </row>
    <row r="258" spans="1:3">
      <c r="B258" s="6"/>
      <c r="C258" s="6"/>
    </row>
    <row r="259" spans="1:3">
      <c r="B259" s="6"/>
    </row>
    <row r="263" spans="1:3" ht="25.9">
      <c r="A263" s="16"/>
    </row>
    <row r="264" spans="1:3" ht="25.9">
      <c r="A264" s="16"/>
    </row>
    <row r="265" spans="1:3" ht="25.9">
      <c r="A265" s="16"/>
    </row>
    <row r="267" spans="1:3">
      <c r="C267" s="6"/>
    </row>
    <row r="268" spans="1:3">
      <c r="B268" s="6"/>
    </row>
    <row r="274" spans="1:3" ht="25.9">
      <c r="A274" s="16"/>
    </row>
    <row r="283" spans="1:3" ht="15.6">
      <c r="C283" s="11"/>
    </row>
    <row r="284" spans="1:3" ht="15.6">
      <c r="B284" s="11"/>
      <c r="C284" s="11"/>
    </row>
    <row r="285" spans="1:3" ht="15.6">
      <c r="B285" s="11"/>
      <c r="C285" s="11"/>
    </row>
    <row r="286" spans="1:3" ht="15.6">
      <c r="B286" s="11"/>
    </row>
    <row r="287" spans="1:3">
      <c r="C287" s="6"/>
    </row>
    <row r="288" spans="1:3">
      <c r="B288" s="6"/>
    </row>
    <row r="290" spans="1:1" ht="25.9">
      <c r="A290" s="16"/>
    </row>
    <row r="294" spans="1:1" ht="25.9">
      <c r="A294" s="16"/>
    </row>
    <row r="317" spans="2:3">
      <c r="C317" s="6"/>
    </row>
    <row r="318" spans="2:3">
      <c r="B318" s="6"/>
      <c r="C318" s="6"/>
    </row>
    <row r="319" spans="2:3">
      <c r="B319" s="6"/>
      <c r="C319" s="6"/>
    </row>
    <row r="320" spans="2:3">
      <c r="B320" s="6"/>
    </row>
    <row r="322" spans="1:3">
      <c r="C322" s="6"/>
    </row>
    <row r="323" spans="1:3">
      <c r="B323" s="6"/>
      <c r="C323" s="6"/>
    </row>
    <row r="324" spans="1:3" ht="25.9">
      <c r="A324" s="16"/>
      <c r="B324" s="6"/>
    </row>
    <row r="325" spans="1:3" ht="25.9">
      <c r="A325" s="16"/>
    </row>
    <row r="329" spans="1:3" ht="25.9">
      <c r="A329" s="16"/>
    </row>
    <row r="336" spans="1:3" ht="15.6">
      <c r="C336" s="11"/>
    </row>
    <row r="337" spans="1:3" ht="15.6">
      <c r="B337" s="11"/>
      <c r="C337" s="11"/>
    </row>
    <row r="338" spans="1:3" ht="15.6">
      <c r="B338" s="11"/>
    </row>
    <row r="343" spans="1:3" ht="25.9">
      <c r="A343" s="16"/>
    </row>
    <row r="344" spans="1:3" ht="25.9">
      <c r="A344" s="16"/>
    </row>
    <row r="377" spans="1:3">
      <c r="C377" s="6"/>
    </row>
    <row r="378" spans="1:3">
      <c r="B378" s="6"/>
      <c r="C378" s="6"/>
    </row>
    <row r="379" spans="1:3">
      <c r="B379" s="6"/>
      <c r="C379" s="6"/>
    </row>
    <row r="380" spans="1:3">
      <c r="B380" s="6"/>
    </row>
    <row r="384" spans="1:3" ht="25.9">
      <c r="A384" s="16"/>
    </row>
    <row r="385" spans="1:3" ht="25.9">
      <c r="A385" s="16"/>
    </row>
    <row r="386" spans="1:3" ht="25.9">
      <c r="A386" s="16"/>
    </row>
    <row r="399" spans="1:3" ht="15.6">
      <c r="C399" s="11"/>
    </row>
    <row r="400" spans="1:3" ht="15.6">
      <c r="B400" s="11"/>
      <c r="C400" s="11"/>
    </row>
    <row r="401" spans="1:3" ht="15.6">
      <c r="B401" s="11"/>
      <c r="C401" s="11"/>
    </row>
    <row r="402" spans="1:3" ht="15.6">
      <c r="B402" s="11"/>
    </row>
    <row r="406" spans="1:3" ht="25.9">
      <c r="A406" s="16"/>
    </row>
    <row r="458" spans="2:3" ht="15.6">
      <c r="C458" s="11"/>
    </row>
    <row r="459" spans="2:3" ht="15.6">
      <c r="B459" s="11"/>
      <c r="C459" s="11"/>
    </row>
    <row r="460" spans="2:3" ht="15.6">
      <c r="B460" s="11"/>
    </row>
    <row r="465" spans="1:1" ht="25.9">
      <c r="A465" s="16"/>
    </row>
    <row r="466" spans="1:1" ht="25.9">
      <c r="A466" s="1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B532A74BD5E48A19C6411C774DADB" ma:contentTypeVersion="24" ma:contentTypeDescription="Create a new document." ma:contentTypeScope="" ma:versionID="38e5f0aa086eb72a18bbd5848457b6e4">
  <xsd:schema xmlns:xsd="http://www.w3.org/2001/XMLSchema" xmlns:xs="http://www.w3.org/2001/XMLSchema" xmlns:p="http://schemas.microsoft.com/office/2006/metadata/properties" xmlns:ns2="0ccd0948-7446-4b1d-a1e6-bac6280f6796" xmlns:ns3="345482ca-ba02-4b39-b6b2-1708d1d2c34d" targetNamespace="http://schemas.microsoft.com/office/2006/metadata/properties" ma:root="true" ma:fieldsID="b39ae6f8f7555a30e741d503f4fa7ec4" ns2:_="" ns3:_="">
    <xsd:import namespace="0ccd0948-7446-4b1d-a1e6-bac6280f6796"/>
    <xsd:import namespace="345482ca-ba02-4b39-b6b2-1708d1d2c3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FolderPat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d0948-7446-4b1d-a1e6-bac6280f67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2e68c-7619-42c5-9313-b5be0cc302a5}" ma:internalName="TaxCatchAll" ma:showField="CatchAllData" ma:web="0ccd0948-7446-4b1d-a1e6-bac6280f6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482ca-ba02-4b39-b6b2-1708d1d2c3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olderPath" ma:index="21" nillable="true" ma:displayName="FolderPath" ma:format="Dropdown" ma:internalName="FolderPath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482ca-ba02-4b39-b6b2-1708d1d2c34d">
      <Terms xmlns="http://schemas.microsoft.com/office/infopath/2007/PartnerControls"/>
    </lcf76f155ced4ddcb4097134ff3c332f>
    <TaxCatchAll xmlns="0ccd0948-7446-4b1d-a1e6-bac6280f6796" xsi:nil="true"/>
    <FolderPath xmlns="345482ca-ba02-4b39-b6b2-1708d1d2c34d" xsi:nil="true"/>
  </documentManagement>
</p:properties>
</file>

<file path=customXml/itemProps1.xml><?xml version="1.0" encoding="utf-8"?>
<ds:datastoreItem xmlns:ds="http://schemas.openxmlformats.org/officeDocument/2006/customXml" ds:itemID="{50D66759-D7DB-44CF-AC47-C2ECE09F77E4}"/>
</file>

<file path=customXml/itemProps2.xml><?xml version="1.0" encoding="utf-8"?>
<ds:datastoreItem xmlns:ds="http://schemas.openxmlformats.org/officeDocument/2006/customXml" ds:itemID="{4B898343-9ABC-4409-8827-D2E3576E935B}"/>
</file>

<file path=customXml/itemProps3.xml><?xml version="1.0" encoding="utf-8"?>
<ds:datastoreItem xmlns:ds="http://schemas.openxmlformats.org/officeDocument/2006/customXml" ds:itemID="{4AD9CB19-FF0C-44EC-8E17-F110BB4F439B}"/>
</file>

<file path=customXml/itemProps4.xml><?xml version="1.0" encoding="utf-8"?>
<ds:datastoreItem xmlns:ds="http://schemas.openxmlformats.org/officeDocument/2006/customXml" ds:itemID="{338F37CB-AAB7-42E1-8173-046760B1ED9D}"/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Jayadev</dc:creator>
  <cp:keywords/>
  <dc:description/>
  <cp:lastModifiedBy/>
  <cp:revision/>
  <dcterms:created xsi:type="dcterms:W3CDTF">2020-05-07T20:28:36Z</dcterms:created>
  <dcterms:modified xsi:type="dcterms:W3CDTF">2024-09-04T12:40:51Z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0x0101002D9B532A74BD5E48A19C6411C774DADB</vt:lpwstr>
  </property>
  <property fmtid="{D5CDD505-2E9C-101B-9397-08002B2CF9AE}" pid="3" name="MediaServiceImageTags">
    <vt:lpwstr/>
  </property>
</Properties>
</file>