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jessica.greaves\Desktop\Integration\Columbus NA\Final Templates\"/>
    </mc:Choice>
  </mc:AlternateContent>
  <bookViews>
    <workbookView xWindow="0" yWindow="0" windowWidth="28800" windowHeight="12435" tabRatio="763" firstSheet="2" activeTab="2"/>
  </bookViews>
  <sheets>
    <sheet name="Go! Internal" sheetId="1" state="hidden" r:id="rId1"/>
    <sheet name="Lookup Data" sheetId="2" state="hidden" r:id="rId2"/>
    <sheet name="Home" sheetId="44" r:id="rId3"/>
    <sheet name="Balance Sheet" sheetId="30" r:id="rId4"/>
    <sheet name="Categories" sheetId="31" r:id="rId5"/>
    <sheet name="Income Statement" sheetId="32" r:id="rId6"/>
    <sheet name="Inc Stat Incl Adj" sheetId="33" r:id="rId7"/>
    <sheet name="Trial Balance" sheetId="34" r:id="rId8"/>
    <sheet name="Summary" sheetId="35" r:id="rId9"/>
    <sheet name="Cash Flow" sheetId="36" r:id="rId10"/>
    <sheet name="Cash Flow Detail" sheetId="37" r:id="rId11"/>
    <sheet name="Divisional" sheetId="42" r:id="rId12"/>
    <sheet name="Regional" sheetId="39" r:id="rId13"/>
    <sheet name="Balance Sheet Template" sheetId="45" r:id="rId14"/>
    <sheet name="Income Statement Template" sheetId="46" r:id="rId15"/>
    <sheet name="Trial Balance Template" sheetId="47" r:id="rId16"/>
    <sheet name="Missing Accounts" sheetId="13" r:id="rId17"/>
  </sheets>
  <definedNames>
    <definedName name="AutoRefresh">'Lookup Data'!$D$2:$D$32</definedName>
    <definedName name="AutoRefresh1">'Balance Sheet'!$E$3:$E$6</definedName>
    <definedName name="AutoRefresh10">Regional!$D$3:$D$6</definedName>
    <definedName name="AutoRefresh11">'Cash Flow'!$D$4:$E$8</definedName>
    <definedName name="AutoRefresh12">'Cash Flow Detail'!$D$4:$E$8</definedName>
    <definedName name="AutoRefresh13">'Balance Sheet'!$E$14:$M$42</definedName>
    <definedName name="AutoRefresh14">Categories!$E$10:$E$39</definedName>
    <definedName name="AutoRefresh15">'Income Statement'!$E$12:$I$36</definedName>
    <definedName name="AutoRefresh16">'Inc Stat Incl Adj'!$E$12:$S$36</definedName>
    <definedName name="AutoRefresh17">'Trial Balance'!$E$9:$I$35</definedName>
    <definedName name="AutoRefresh18">Summary!$D$13:$F$26</definedName>
    <definedName name="AutoRefresh19">'Cash Flow'!$D$15:$AF$30</definedName>
    <definedName name="AutoRefresh2">Categories!$D$3:$D$6</definedName>
    <definedName name="AutoRefresh20">'Cash Flow'!$D$56:$Q$58</definedName>
    <definedName name="AutoRefresh21">'Cash Flow Detail'!$D$14:$AF$24</definedName>
    <definedName name="AutoRefresh22">Divisional!$F$15:$J$28</definedName>
    <definedName name="AutoRefresh23">Regional!$F$13:$N$25</definedName>
    <definedName name="AutoRefresh24">'Balance Sheet Template'!$F$12:$N$12</definedName>
    <definedName name="AutoRefresh25">'Income Statement Template'!$F$12:$J$12</definedName>
    <definedName name="AutoRefresh26">'Trial Balance Template'!$F$9:$J$12</definedName>
    <definedName name="AutoRefresh27">'Balance Sheet Template'!$F$3:$F$6</definedName>
    <definedName name="AutoRefresh28">'Income Statement Template'!$F$4:$F$9</definedName>
    <definedName name="AutoRefresh29">'Trial Balance Template'!$G$4:$G$6</definedName>
    <definedName name="AutoRefresh3">'Income Statement'!$E$4:$E$9</definedName>
    <definedName name="AutoRefresh4">'Inc Stat Incl Adj'!$E$3:$E$6</definedName>
    <definedName name="AutoRefresh5">'Trial Balance'!$F$4:$F$6</definedName>
    <definedName name="AutoRefresh6">Summary!$D$3:$D$6</definedName>
    <definedName name="AutoRefresh9">Divisional!$D$3:$D$6</definedName>
    <definedName name="B">'Go! Internal'!$A$2</definedName>
    <definedName name="CellContents">_xlfn.FORMULATEXT(INDIRECT(ADDRESS(ROW(), COLUMN())))</definedName>
    <definedName name="Companies">'Lookup Data'!$A$2:$A$39</definedName>
    <definedName name="CompaniesBudgets">'Lookup Data'!$E$2:$G$39</definedName>
    <definedName name="CompaniesTemplate">'Lookup Data'!$A$2:INDEX('Lookup Data'!$A$2:$A$40,COUNTA('Lookup Data'!$A$2:$A$40))</definedName>
    <definedName name="Decimal">'Go! Internal'!$A$6</definedName>
    <definedName name="Delimiter">'Go! Internal'!$A$4</definedName>
    <definedName name="ENG_BI_CORE_LOCATION">"C:\Program Files (x86)\Sage\Sage 300 ERP\BX62A\"</definedName>
    <definedName name="ENG_BI_EXE_FULL_PATH">"C:\Program Files (x86)\Sage\Sage 300 ERP\BX62A\BICORE.EXE"</definedName>
    <definedName name="ENG_BI_EXE_NAME" hidden="1">"BICORE.EXE"</definedName>
    <definedName name="ENG_BI_EXEC_CMD_ARGS" hidden="1">"03304607806507208207308704104507303704607512708407308306508709109606708806907006608306908207609307712512707306708509308007306605313413009611212310611910211610507306609207808209007408306211905105205310511805612612310411311511011810112110107707506706908"</definedName>
    <definedName name="ENG_BI_EXEC_CMD_ARGS_2" hidden="1">"90660770830710651200971181151171001341240961171141091230971251100680700900840700860611191021251321021131141141190981211010720710800740920830910840830690650830710870650860650510500620600510570590530590490680590530590640510490540590540540490680560570530"</definedName>
    <definedName name="ENG_BI_EXEC_CMD_ARGS_3" hidden="1">"68050058061059053058050068059051053064051049057059053059059059062060054059060051056057063054052059068050060064051049058059059060059063058060051063060050057053063055052064068052058130124096116117102113105108083066078080068080073069065106110134132095116"</definedName>
    <definedName name="ENG_BI_EXEC_CMD_ARGS_4" hidden="1">"122099109109099069072067089072068068075085090085069065058125132104112121103109106103065071072080074074077079080080079090083073087061074077077077083126124083082072074082078075081065091066078088061053130"</definedName>
    <definedName name="ENG_BI_GEN_LIC" hidden="1">"0"</definedName>
    <definedName name="ENG_BI_GEN_LIC_WS" hidden="1">"True"</definedName>
    <definedName name="ENG_BI_LANG_CODE" hidden="1">"en"</definedName>
    <definedName name="ENG_BI_LBI" hidden="1">"P3XQ07VVMD"</definedName>
    <definedName name="ENG_BI_PROFILE_PATH" localSheetId="3" hidden="1">"C:\ProgramData\Alchemex\AlchemexSmartReporting\MetaData\New Report Designer S300SQL 1-0-0\BICORE_profiler_20130606_122224.csv"</definedName>
    <definedName name="ENG_BI_PROFILE_PATH" localSheetId="13" hidden="1">"C:\ProgramData\Alchemex\AlchemexSmartReporting\MetaData\New Report Designer S300SQL 1-0-0\BICORE_profiler_20130606_122224.csv"</definedName>
    <definedName name="ENG_BI_PROFILE_PATH" localSheetId="9" hidden="1">"C:\ProgramData\Alchemex\AlchemexSmartReporting\MetaData\ReportDesignerAdd-In S300SQL DEMO (C50-0-1)\BICORE_profiler_20130603_135617.csv"</definedName>
    <definedName name="ENG_BI_PROFILE_PATH" localSheetId="10" hidden="1">"C:\ProgramData\Alchemex\AlchemexSmartReporting\MetaData\ReportDesignerAdd-In S300SQL DEMO (C50-0-1)\BICORE_profiler_20130603_135617.csv"</definedName>
    <definedName name="ENG_BI_PROFILE_PATH" localSheetId="4" hidden="1">"C:\ProgramData\Alchemex\AlchemexSmartReporting\MetaData\ReportDesignerAdd-In S300SQL DEMO (C50-0-1)\BICORE_profiler_20130603_135617.csv"</definedName>
    <definedName name="ENG_BI_PROFILE_PATH" localSheetId="11" hidden="1">"C:\ProgramData\Alchemex\AlchemexSmartReporting\MetaData\ReportDesignerAdd-In S300SQL DEMO (C50-0-1)\BICORE_profiler_20130603_135617.csv"</definedName>
    <definedName name="ENG_BI_PROFILE_PATH" localSheetId="6" hidden="1">"C:\ProgramData\Alchemex\AlchemexSmartReporting\MetaData\ReportDesignerAdd-In S300SQL DEMO (C50-0-1)\BICORE_profiler_20130603_135617.csv"</definedName>
    <definedName name="ENG_BI_PROFILE_PATH" localSheetId="5" hidden="1">"C:\ProgramData\Alchemex\AlchemexSmartReporting\MetaData\ReportDesignerAdd-In S300SQL DEMO (C50-0-1)\BICORE_profiler_20130603_135617.csv"</definedName>
    <definedName name="ENG_BI_PROFILE_PATH" localSheetId="14" hidden="1">"C:\ProgramData\Alchemex\AlchemexSmartReporting\MetaData\ReportDesignerAdd-In S300SQL DEMO (C50-0-1)\BICORE_profiler_20130603_135617.csv"</definedName>
    <definedName name="ENG_BI_PROFILE_PATH" localSheetId="12" hidden="1">"C:\ProgramData\Alchemex\AlchemexSmartReporting\MetaData\ReportDesignerAdd-In S300SQL DEMO (C50-0-1)\BICORE_profiler_20130603_154327.csv"</definedName>
    <definedName name="ENG_BI_PROFILE_PATH" localSheetId="8" hidden="1">"C:\ProgramData\Alchemex\AlchemexSmartReporting\MetaData\ReportDesignerAdd-In S300SQL DEMO (C50-0-1)\BICORE_profiler_20130603_135617.csv"</definedName>
    <definedName name="ENG_BI_PROFILE_PATH" localSheetId="7" hidden="1">"C:\ProgramData\Alchemex\AlchemexSmartReporting\MetaData\ReportDesignerAdd-In S300SQL DEMO (C50-0-1)\BICORE_profiler_20130603_135617.csv"</definedName>
    <definedName name="ENG_BI_PROFILE_PATH" localSheetId="15" hidden="1">"C:\ProgramData\Alchemex\AlchemexSmartReporting\MetaData\ReportDesignerAdd-In S300SQL DEMO (C50-0-1)\BICORE_profiler_20130603_135617.csv"</definedName>
    <definedName name="ENG_BI_PROFILE_PATH" hidden="1">"C:\ProgramData\Alchemex\AlchemexSmartReporting\MetaData\Demonstration Report Designer S300SQL 1-0\BICORE_profiler_20130710_190246.csv"</definedName>
    <definedName name="ENG_BI_REPOS_FILE" hidden="1">"C:\Program Files (x86)\Sage\Sage 300 ERP\BXDATA\SQL\alchemex.svd"</definedName>
    <definedName name="ENG_BI_REPOS_PATH" hidden="1">"C:\Program Files (x86)\Sage\Sage 300 ERP\BXDATA\SQL\"</definedName>
    <definedName name="ENG_BI_TLA" hidden="1">"227;241;58;49;65;47;93;28;26;51;124;105;259;265;71;217;63;55;151;175;32;266;235;265;248;176;61;254;196;102;162;98"</definedName>
    <definedName name="ENG_BI_TLA2" hidden="1">"82;200;242;12;137;124;174;234;212;216;95;134;67;140;171;241;85;162;24;210;222;68;119;239;150;31;255;41;230;3;24;14"</definedName>
    <definedName name="FiscalYears">'Lookup Data'!$B$2:$B$39</definedName>
    <definedName name="FiscalYearsTemplate">'Lookup Data'!$B$2:INDEX('Lookup Data'!$B$2:$B$40,COUNTA('Lookup Data'!$B$2:$B$40))</definedName>
    <definedName name="INFO_BI_EXE_NAME" hidden="1">"BICORE.EXE"</definedName>
    <definedName name="INFO_EXE_SERVER_PATH" hidden="1">"C:\Program Files (x86)\Sage\Sage 300 ERP\BX62A\BICORE.EXE"</definedName>
    <definedName name="INFO_INSTANCE_ID" hidden="1">"0"</definedName>
    <definedName name="INFO_INSTANCE_NAME" hidden="1">"Demonstration Report Designer S300SQL 1-0_20140227_11_31_36_3131.xls"</definedName>
    <definedName name="INFO_REPORT_CODE" hidden="1">"S300-SQL-AI29-1-0"</definedName>
    <definedName name="INFO_REPORT_ID" hidden="1">"12"</definedName>
    <definedName name="INFO_REPORT_NAME" hidden="1">"Demonstration Report Designer S300SQL 1-0"</definedName>
    <definedName name="INFO_RUN_USER" hidden="1">""</definedName>
    <definedName name="INFO_RUN_WORKSTATION" hidden="1">"S300IM1"</definedName>
    <definedName name="MissingAccounts">'Missing Accounts'!$B$4:$H$600</definedName>
    <definedName name="Periods">'Lookup Data'!$C$2:$C$13</definedName>
    <definedName name="SV_AUTO_CONN_CATALOG" hidden="1">"samltd"</definedName>
    <definedName name="SV_AUTO_CONN_SERVER" hidden="1">"s300im1"</definedName>
    <definedName name="SV_DBTYPE">"5"</definedName>
    <definedName name="SV_ENCPT_AUTO_CONN_PASSWORD" hidden="1">"083096084083070086065116117119052116100"</definedName>
    <definedName name="SV_ENCPT_AUTO_CONN_USER" hidden="1">"095094088070084121098"</definedName>
    <definedName name="SV_ENCPT_LOGON_PWD" hidden="1">"078104085088070"</definedName>
    <definedName name="SV_ENCPT_LOGON_USER" hidden="1">"095094088070084071069078075078"</definedName>
    <definedName name="SV_REPORT_CODE">"S300-SQL-AI29-1-0"</definedName>
    <definedName name="SV_REPORT_ID">"12"</definedName>
    <definedName name="SV_REPORT_NAME">"Demonstration Report Designer S300SQL 1-0"</definedName>
    <definedName name="SV_REPOSCODE">""</definedName>
    <definedName name="SV_SOLUTION_ID">"33"</definedName>
    <definedName name="SV_TENANT_CODE">"SAMLTD"</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47" l="1"/>
  <c r="G6" i="47"/>
  <c r="F5" i="46"/>
  <c r="F6" i="46"/>
  <c r="F4" i="45"/>
  <c r="F5" i="45"/>
  <c r="F6" i="45"/>
  <c r="F12" i="47"/>
  <c r="G12" i="47"/>
  <c r="I12" i="47"/>
  <c r="J12" i="47"/>
  <c r="F12" i="46"/>
  <c r="G12" i="46"/>
  <c r="I12" i="46"/>
  <c r="J12" i="46"/>
  <c r="F12" i="45"/>
  <c r="H12" i="45"/>
  <c r="I12" i="45"/>
  <c r="J12" i="45"/>
  <c r="K12" i="45"/>
  <c r="M12" i="45"/>
  <c r="N12" i="45"/>
  <c r="F20" i="39"/>
  <c r="G20" i="39"/>
  <c r="H20" i="39"/>
  <c r="I20" i="39"/>
  <c r="K20" i="39"/>
  <c r="L20" i="39"/>
  <c r="M20" i="39"/>
  <c r="N20" i="39"/>
  <c r="F21" i="39"/>
  <c r="G21" i="39"/>
  <c r="H21" i="39"/>
  <c r="I21" i="39"/>
  <c r="K21" i="39"/>
  <c r="L21" i="39"/>
  <c r="M21" i="39"/>
  <c r="N21" i="39"/>
  <c r="F22" i="39"/>
  <c r="G22" i="39"/>
  <c r="H22" i="39"/>
  <c r="I22" i="39"/>
  <c r="K22" i="39"/>
  <c r="L22" i="39"/>
  <c r="M22" i="39"/>
  <c r="N22" i="39"/>
  <c r="F23" i="39"/>
  <c r="G23" i="39"/>
  <c r="H23" i="39"/>
  <c r="I23" i="39"/>
  <c r="K23" i="39"/>
  <c r="L23" i="39"/>
  <c r="M23" i="39"/>
  <c r="N23" i="39"/>
  <c r="F24" i="39"/>
  <c r="G24" i="39"/>
  <c r="H24" i="39"/>
  <c r="I24" i="39"/>
  <c r="K24" i="39"/>
  <c r="L24" i="39"/>
  <c r="M24" i="39"/>
  <c r="N24" i="39"/>
  <c r="F17" i="39"/>
  <c r="G17" i="39"/>
  <c r="H17" i="39"/>
  <c r="I17" i="39"/>
  <c r="K17" i="39"/>
  <c r="L17" i="39"/>
  <c r="M17" i="39"/>
  <c r="N17" i="39"/>
  <c r="F13" i="39"/>
  <c r="G13" i="39"/>
  <c r="H13" i="39"/>
  <c r="I13" i="39"/>
  <c r="K13" i="39"/>
  <c r="L13" i="39"/>
  <c r="M13" i="39"/>
  <c r="N13" i="39"/>
  <c r="F14" i="39"/>
  <c r="G14" i="39"/>
  <c r="H14" i="39"/>
  <c r="I14" i="39"/>
  <c r="K14" i="39"/>
  <c r="L14" i="39"/>
  <c r="M14" i="39"/>
  <c r="N14" i="39"/>
  <c r="F22" i="42"/>
  <c r="G22" i="42"/>
  <c r="I22" i="42"/>
  <c r="J22" i="42"/>
  <c r="F23" i="42"/>
  <c r="G23" i="42"/>
  <c r="I23" i="42"/>
  <c r="J23" i="42"/>
  <c r="F24" i="42"/>
  <c r="G24" i="42"/>
  <c r="I24" i="42"/>
  <c r="J24" i="42"/>
  <c r="F25" i="42"/>
  <c r="G25" i="42"/>
  <c r="I25" i="42"/>
  <c r="J25" i="42"/>
  <c r="F26" i="42"/>
  <c r="G26" i="42"/>
  <c r="I26" i="42"/>
  <c r="J26" i="42"/>
  <c r="F19" i="42"/>
  <c r="G19" i="42"/>
  <c r="I19" i="42"/>
  <c r="J19" i="42"/>
  <c r="F15" i="42"/>
  <c r="G15" i="42"/>
  <c r="I15" i="42"/>
  <c r="J15" i="42"/>
  <c r="F16" i="42"/>
  <c r="G16" i="42"/>
  <c r="I16" i="42"/>
  <c r="J16" i="42"/>
  <c r="D18" i="37"/>
  <c r="E18" i="37"/>
  <c r="F18" i="37"/>
  <c r="G18" i="37"/>
  <c r="H18" i="37"/>
  <c r="I18" i="37"/>
  <c r="J18" i="37"/>
  <c r="K18" i="37"/>
  <c r="L18" i="37"/>
  <c r="M18" i="37"/>
  <c r="N18" i="37"/>
  <c r="O18" i="37"/>
  <c r="P18" i="37"/>
  <c r="Q18" i="37"/>
  <c r="S18" i="37"/>
  <c r="T18" i="37"/>
  <c r="U18" i="37"/>
  <c r="V18" i="37"/>
  <c r="W18" i="37"/>
  <c r="X18" i="37"/>
  <c r="Y18" i="37"/>
  <c r="Z18" i="37"/>
  <c r="AA18" i="37"/>
  <c r="AB18" i="37"/>
  <c r="AC18" i="37"/>
  <c r="AD18" i="37"/>
  <c r="AE18" i="37"/>
  <c r="AF18" i="37"/>
  <c r="D19" i="37"/>
  <c r="E19" i="37"/>
  <c r="F19" i="37"/>
  <c r="G19" i="37"/>
  <c r="H19" i="37"/>
  <c r="I19" i="37"/>
  <c r="J19" i="37"/>
  <c r="K19" i="37"/>
  <c r="L19" i="37"/>
  <c r="M19" i="37"/>
  <c r="N19" i="37"/>
  <c r="O19" i="37"/>
  <c r="P19" i="37"/>
  <c r="Q19" i="37"/>
  <c r="S19" i="37"/>
  <c r="T19" i="37"/>
  <c r="U19" i="37"/>
  <c r="V19" i="37"/>
  <c r="W19" i="37"/>
  <c r="X19" i="37"/>
  <c r="Y19" i="37"/>
  <c r="Z19" i="37"/>
  <c r="AA19" i="37"/>
  <c r="AB19" i="37"/>
  <c r="AC19" i="37"/>
  <c r="AD19" i="37"/>
  <c r="AE19" i="37"/>
  <c r="AF19" i="37"/>
  <c r="D20" i="37"/>
  <c r="E20" i="37"/>
  <c r="F20" i="37"/>
  <c r="G20" i="37"/>
  <c r="H20" i="37"/>
  <c r="I20" i="37"/>
  <c r="J20" i="37"/>
  <c r="K20" i="37"/>
  <c r="L20" i="37"/>
  <c r="M20" i="37"/>
  <c r="N20" i="37"/>
  <c r="O20" i="37"/>
  <c r="P20" i="37"/>
  <c r="Q20" i="37"/>
  <c r="S20" i="37"/>
  <c r="T20" i="37"/>
  <c r="U20" i="37"/>
  <c r="V20" i="37"/>
  <c r="W20" i="37"/>
  <c r="X20" i="37"/>
  <c r="Y20" i="37"/>
  <c r="Z20" i="37"/>
  <c r="AA20" i="37"/>
  <c r="AB20" i="37"/>
  <c r="AC20" i="37"/>
  <c r="AD20" i="37"/>
  <c r="AE20" i="37"/>
  <c r="AF20" i="37"/>
  <c r="D21" i="37"/>
  <c r="E21" i="37"/>
  <c r="F21" i="37"/>
  <c r="G21" i="37"/>
  <c r="H21" i="37"/>
  <c r="I21" i="37"/>
  <c r="J21" i="37"/>
  <c r="K21" i="37"/>
  <c r="L21" i="37"/>
  <c r="M21" i="37"/>
  <c r="N21" i="37"/>
  <c r="O21" i="37"/>
  <c r="P21" i="37"/>
  <c r="Q21" i="37"/>
  <c r="S21" i="37"/>
  <c r="T21" i="37"/>
  <c r="U21" i="37"/>
  <c r="V21" i="37"/>
  <c r="W21" i="37"/>
  <c r="X21" i="37"/>
  <c r="Y21" i="37"/>
  <c r="Z21" i="37"/>
  <c r="AA21" i="37"/>
  <c r="AB21" i="37"/>
  <c r="AC21" i="37"/>
  <c r="AD21" i="37"/>
  <c r="AE21" i="37"/>
  <c r="AF21" i="37"/>
  <c r="D22" i="37"/>
  <c r="E22" i="37"/>
  <c r="F22" i="37"/>
  <c r="G22" i="37"/>
  <c r="H22" i="37"/>
  <c r="I22" i="37"/>
  <c r="J22" i="37"/>
  <c r="K22" i="37"/>
  <c r="L22" i="37"/>
  <c r="M22" i="37"/>
  <c r="N22" i="37"/>
  <c r="O22" i="37"/>
  <c r="P22" i="37"/>
  <c r="Q22" i="37"/>
  <c r="S22" i="37"/>
  <c r="T22" i="37"/>
  <c r="U22" i="37"/>
  <c r="V22" i="37"/>
  <c r="W22" i="37"/>
  <c r="X22" i="37"/>
  <c r="Y22" i="37"/>
  <c r="Z22" i="37"/>
  <c r="AA22" i="37"/>
  <c r="AB22" i="37"/>
  <c r="AC22" i="37"/>
  <c r="AD22" i="37"/>
  <c r="AE22" i="37"/>
  <c r="AF22" i="37"/>
  <c r="D14" i="37"/>
  <c r="E14" i="37"/>
  <c r="F14" i="37"/>
  <c r="G14" i="37"/>
  <c r="H14" i="37"/>
  <c r="I14" i="37"/>
  <c r="J14" i="37"/>
  <c r="K14" i="37"/>
  <c r="L14" i="37"/>
  <c r="M14" i="37"/>
  <c r="N14" i="37"/>
  <c r="O14" i="37"/>
  <c r="P14" i="37"/>
  <c r="Q14" i="37"/>
  <c r="S14" i="37"/>
  <c r="T14" i="37"/>
  <c r="U14" i="37"/>
  <c r="V14" i="37"/>
  <c r="W14" i="37"/>
  <c r="X14" i="37"/>
  <c r="Y14" i="37"/>
  <c r="Z14" i="37"/>
  <c r="AA14" i="37"/>
  <c r="AB14" i="37"/>
  <c r="AC14" i="37"/>
  <c r="AD14" i="37"/>
  <c r="AE14" i="37"/>
  <c r="AF14" i="37"/>
  <c r="D57" i="36"/>
  <c r="E57" i="36"/>
  <c r="F57" i="36"/>
  <c r="G57" i="36"/>
  <c r="H57" i="36"/>
  <c r="I57" i="36"/>
  <c r="J57" i="36"/>
  <c r="K57" i="36"/>
  <c r="L57" i="36"/>
  <c r="M57" i="36"/>
  <c r="N57" i="36"/>
  <c r="O57" i="36"/>
  <c r="P57" i="36"/>
  <c r="Q57" i="36"/>
  <c r="D28" i="36"/>
  <c r="E28" i="36"/>
  <c r="F28" i="36"/>
  <c r="G28" i="36"/>
  <c r="H28" i="36"/>
  <c r="I28" i="36"/>
  <c r="J28" i="36"/>
  <c r="K28" i="36"/>
  <c r="L28" i="36"/>
  <c r="M28" i="36"/>
  <c r="N28" i="36"/>
  <c r="O28" i="36"/>
  <c r="P28" i="36"/>
  <c r="Q28" i="36"/>
  <c r="S28" i="36"/>
  <c r="T28" i="36"/>
  <c r="U28" i="36"/>
  <c r="V28" i="36"/>
  <c r="W28" i="36"/>
  <c r="X28" i="36"/>
  <c r="Y28" i="36"/>
  <c r="Z28" i="36"/>
  <c r="AA28" i="36"/>
  <c r="AB28" i="36"/>
  <c r="AC28" i="36"/>
  <c r="AD28" i="36"/>
  <c r="AE28" i="36"/>
  <c r="AF28" i="36"/>
  <c r="D23" i="36"/>
  <c r="E23" i="36"/>
  <c r="F23" i="36"/>
  <c r="G23" i="36"/>
  <c r="H23" i="36"/>
  <c r="I23" i="36"/>
  <c r="J23" i="36"/>
  <c r="K23" i="36"/>
  <c r="L23" i="36"/>
  <c r="M23" i="36"/>
  <c r="N23" i="36"/>
  <c r="O23" i="36"/>
  <c r="P23" i="36"/>
  <c r="Q23" i="36"/>
  <c r="S23" i="36"/>
  <c r="T23" i="36"/>
  <c r="U23" i="36"/>
  <c r="V23" i="36"/>
  <c r="W23" i="36"/>
  <c r="X23" i="36"/>
  <c r="Y23" i="36"/>
  <c r="Z23" i="36"/>
  <c r="AA23" i="36"/>
  <c r="AB23" i="36"/>
  <c r="AC23" i="36"/>
  <c r="AD23" i="36"/>
  <c r="AE23" i="36"/>
  <c r="AF23" i="36"/>
  <c r="D24" i="36"/>
  <c r="E24" i="36"/>
  <c r="F24" i="36"/>
  <c r="G24" i="36"/>
  <c r="H24" i="36"/>
  <c r="I24" i="36"/>
  <c r="J24" i="36"/>
  <c r="K24" i="36"/>
  <c r="L24" i="36"/>
  <c r="M24" i="36"/>
  <c r="N24" i="36"/>
  <c r="O24" i="36"/>
  <c r="P24" i="36"/>
  <c r="Q24" i="36"/>
  <c r="S24" i="36"/>
  <c r="T24" i="36"/>
  <c r="U24" i="36"/>
  <c r="V24" i="36"/>
  <c r="W24" i="36"/>
  <c r="X24" i="36"/>
  <c r="Y24" i="36"/>
  <c r="Z24" i="36"/>
  <c r="AA24" i="36"/>
  <c r="AB24" i="36"/>
  <c r="AC24" i="36"/>
  <c r="AD24" i="36"/>
  <c r="AE24" i="36"/>
  <c r="AF24" i="36"/>
  <c r="D16" i="36"/>
  <c r="E16" i="36"/>
  <c r="F16" i="36"/>
  <c r="G16" i="36"/>
  <c r="H16" i="36"/>
  <c r="I16" i="36"/>
  <c r="J16" i="36"/>
  <c r="K16" i="36"/>
  <c r="L16" i="36"/>
  <c r="M16" i="36"/>
  <c r="N16" i="36"/>
  <c r="O16" i="36"/>
  <c r="P16" i="36"/>
  <c r="Q16" i="36"/>
  <c r="S16" i="36"/>
  <c r="T16" i="36"/>
  <c r="U16" i="36"/>
  <c r="V16" i="36"/>
  <c r="W16" i="36"/>
  <c r="X16" i="36"/>
  <c r="Y16" i="36"/>
  <c r="Z16" i="36"/>
  <c r="AA16" i="36"/>
  <c r="AB16" i="36"/>
  <c r="AC16" i="36"/>
  <c r="AD16" i="36"/>
  <c r="AE16" i="36"/>
  <c r="AF16" i="36"/>
  <c r="D17" i="36"/>
  <c r="E17" i="36"/>
  <c r="F17" i="36"/>
  <c r="G17" i="36"/>
  <c r="H17" i="36"/>
  <c r="I17" i="36"/>
  <c r="J17" i="36"/>
  <c r="K17" i="36"/>
  <c r="L17" i="36"/>
  <c r="M17" i="36"/>
  <c r="N17" i="36"/>
  <c r="O17" i="36"/>
  <c r="P17" i="36"/>
  <c r="Q17" i="36"/>
  <c r="S17" i="36"/>
  <c r="T17" i="36"/>
  <c r="U17" i="36"/>
  <c r="V17" i="36"/>
  <c r="W17" i="36"/>
  <c r="X17" i="36"/>
  <c r="Y17" i="36"/>
  <c r="Z17" i="36"/>
  <c r="AA17" i="36"/>
  <c r="AB17" i="36"/>
  <c r="AC17" i="36"/>
  <c r="AD17" i="36"/>
  <c r="AE17" i="36"/>
  <c r="AF17" i="36"/>
  <c r="D18" i="36"/>
  <c r="E18" i="36"/>
  <c r="F18" i="36"/>
  <c r="G18" i="36"/>
  <c r="H18" i="36"/>
  <c r="I18" i="36"/>
  <c r="J18" i="36"/>
  <c r="K18" i="36"/>
  <c r="L18" i="36"/>
  <c r="M18" i="36"/>
  <c r="N18" i="36"/>
  <c r="O18" i="36"/>
  <c r="P18" i="36"/>
  <c r="Q18" i="36"/>
  <c r="S18" i="36"/>
  <c r="T18" i="36"/>
  <c r="U18" i="36"/>
  <c r="V18" i="36"/>
  <c r="W18" i="36"/>
  <c r="X18" i="36"/>
  <c r="Y18" i="36"/>
  <c r="Z18" i="36"/>
  <c r="AA18" i="36"/>
  <c r="AB18" i="36"/>
  <c r="AC18" i="36"/>
  <c r="AD18" i="36"/>
  <c r="AE18" i="36"/>
  <c r="AF18" i="36"/>
  <c r="D19" i="36"/>
  <c r="E19" i="36"/>
  <c r="F19" i="36"/>
  <c r="G19" i="36"/>
  <c r="H19" i="36"/>
  <c r="I19" i="36"/>
  <c r="J19" i="36"/>
  <c r="K19" i="36"/>
  <c r="L19" i="36"/>
  <c r="M19" i="36"/>
  <c r="N19" i="36"/>
  <c r="O19" i="36"/>
  <c r="P19" i="36"/>
  <c r="Q19" i="36"/>
  <c r="S19" i="36"/>
  <c r="T19" i="36"/>
  <c r="U19" i="36"/>
  <c r="V19" i="36"/>
  <c r="W19" i="36"/>
  <c r="X19" i="36"/>
  <c r="Y19" i="36"/>
  <c r="Z19" i="36"/>
  <c r="AA19" i="36"/>
  <c r="AB19" i="36"/>
  <c r="AC19" i="36"/>
  <c r="AD19" i="36"/>
  <c r="AE19" i="36"/>
  <c r="AF19" i="36"/>
  <c r="D20" i="36"/>
  <c r="E20" i="36"/>
  <c r="F20" i="36"/>
  <c r="G20" i="36"/>
  <c r="H20" i="36"/>
  <c r="I20" i="36"/>
  <c r="J20" i="36"/>
  <c r="K20" i="36"/>
  <c r="L20" i="36"/>
  <c r="M20" i="36"/>
  <c r="N20" i="36"/>
  <c r="O20" i="36"/>
  <c r="P20" i="36"/>
  <c r="Q20" i="36"/>
  <c r="S20" i="36"/>
  <c r="T20" i="36"/>
  <c r="U20" i="36"/>
  <c r="V20" i="36"/>
  <c r="W20" i="36"/>
  <c r="X20" i="36"/>
  <c r="Y20" i="36"/>
  <c r="Z20" i="36"/>
  <c r="AA20" i="36"/>
  <c r="AB20" i="36"/>
  <c r="AC20" i="36"/>
  <c r="AD20" i="36"/>
  <c r="AE20" i="36"/>
  <c r="AF20" i="36"/>
  <c r="D23" i="35"/>
  <c r="F23" i="35"/>
  <c r="D24" i="35"/>
  <c r="F24" i="35"/>
  <c r="D13" i="35"/>
  <c r="F13" i="35"/>
  <c r="D15" i="35"/>
  <c r="F15" i="35"/>
  <c r="D16" i="35"/>
  <c r="F16" i="35"/>
  <c r="D17" i="35"/>
  <c r="F17" i="35"/>
  <c r="D18" i="35"/>
  <c r="F18" i="35"/>
  <c r="D19" i="35"/>
  <c r="F19" i="35"/>
  <c r="E28" i="34"/>
  <c r="F28" i="34"/>
  <c r="H28" i="34"/>
  <c r="I28" i="34"/>
  <c r="E29" i="34"/>
  <c r="F29" i="34"/>
  <c r="H29" i="34"/>
  <c r="I29" i="34"/>
  <c r="E30" i="34"/>
  <c r="F30" i="34"/>
  <c r="H30" i="34"/>
  <c r="I30" i="34"/>
  <c r="E31" i="34"/>
  <c r="F31" i="34"/>
  <c r="H31" i="34"/>
  <c r="I31" i="34"/>
  <c r="E32" i="34"/>
  <c r="F32" i="34"/>
  <c r="H32" i="34"/>
  <c r="I32" i="34"/>
  <c r="E33" i="34"/>
  <c r="F33" i="34"/>
  <c r="H33" i="34"/>
  <c r="I33" i="34"/>
  <c r="E34" i="34"/>
  <c r="F34" i="34"/>
  <c r="H34" i="34"/>
  <c r="I34" i="34"/>
  <c r="E35" i="34"/>
  <c r="F35" i="34"/>
  <c r="H35" i="34"/>
  <c r="I35" i="34"/>
  <c r="E13" i="34"/>
  <c r="F13" i="34"/>
  <c r="H13" i="34"/>
  <c r="I13" i="34"/>
  <c r="E14" i="34"/>
  <c r="F14" i="34"/>
  <c r="H14" i="34"/>
  <c r="I14" i="34"/>
  <c r="E15" i="34"/>
  <c r="F15" i="34"/>
  <c r="H15" i="34"/>
  <c r="I15" i="34"/>
  <c r="E16" i="34"/>
  <c r="F16" i="34"/>
  <c r="H16" i="34"/>
  <c r="I16" i="34"/>
  <c r="E17" i="34"/>
  <c r="F17" i="34"/>
  <c r="H17" i="34"/>
  <c r="I17" i="34"/>
  <c r="E18" i="34"/>
  <c r="F18" i="34"/>
  <c r="H18" i="34"/>
  <c r="I18" i="34"/>
  <c r="E19" i="34"/>
  <c r="F19" i="34"/>
  <c r="H19" i="34"/>
  <c r="I19" i="34"/>
  <c r="E20" i="34"/>
  <c r="F20" i="34"/>
  <c r="H20" i="34"/>
  <c r="I20" i="34"/>
  <c r="E21" i="34"/>
  <c r="F21" i="34"/>
  <c r="H21" i="34"/>
  <c r="I21" i="34"/>
  <c r="E22" i="34"/>
  <c r="F22" i="34"/>
  <c r="H22" i="34"/>
  <c r="I22" i="34"/>
  <c r="E23" i="34"/>
  <c r="F23" i="34"/>
  <c r="H23" i="34"/>
  <c r="I23" i="34"/>
  <c r="E24" i="34"/>
  <c r="F24" i="34"/>
  <c r="H24" i="34"/>
  <c r="I24" i="34"/>
  <c r="E25" i="34"/>
  <c r="F25" i="34"/>
  <c r="H25" i="34"/>
  <c r="I25" i="34"/>
  <c r="E34" i="33"/>
  <c r="F34" i="33"/>
  <c r="G34" i="33"/>
  <c r="H34" i="33"/>
  <c r="I34" i="33"/>
  <c r="J34" i="33"/>
  <c r="K34" i="33"/>
  <c r="L34" i="33"/>
  <c r="M34" i="33"/>
  <c r="N34" i="33"/>
  <c r="O34" i="33"/>
  <c r="P34" i="33"/>
  <c r="Q34" i="33"/>
  <c r="R34" i="33"/>
  <c r="S34" i="33"/>
  <c r="E30" i="33"/>
  <c r="F30" i="33"/>
  <c r="G30" i="33"/>
  <c r="H30" i="33"/>
  <c r="I30" i="33"/>
  <c r="J30" i="33"/>
  <c r="K30" i="33"/>
  <c r="L30" i="33"/>
  <c r="M30" i="33"/>
  <c r="N30" i="33"/>
  <c r="O30" i="33"/>
  <c r="P30" i="33"/>
  <c r="Q30" i="33"/>
  <c r="R30" i="33"/>
  <c r="S30" i="33"/>
  <c r="E23" i="33"/>
  <c r="F23" i="33"/>
  <c r="G23" i="33"/>
  <c r="H23" i="33"/>
  <c r="I23" i="33"/>
  <c r="J23" i="33"/>
  <c r="K23" i="33"/>
  <c r="L23" i="33"/>
  <c r="M23" i="33"/>
  <c r="N23" i="33"/>
  <c r="O23" i="33"/>
  <c r="P23" i="33"/>
  <c r="Q23" i="33"/>
  <c r="R23" i="33"/>
  <c r="S23" i="33"/>
  <c r="E24" i="33"/>
  <c r="F24" i="33"/>
  <c r="G24" i="33"/>
  <c r="H24" i="33"/>
  <c r="I24" i="33"/>
  <c r="J24" i="33"/>
  <c r="K24" i="33"/>
  <c r="L24" i="33"/>
  <c r="M24" i="33"/>
  <c r="N24" i="33"/>
  <c r="O24" i="33"/>
  <c r="P24" i="33"/>
  <c r="Q24" i="33"/>
  <c r="R24" i="33"/>
  <c r="S24" i="33"/>
  <c r="E25" i="33"/>
  <c r="F25" i="33"/>
  <c r="G25" i="33"/>
  <c r="H25" i="33"/>
  <c r="I25" i="33"/>
  <c r="J25" i="33"/>
  <c r="K25" i="33"/>
  <c r="L25" i="33"/>
  <c r="M25" i="33"/>
  <c r="N25" i="33"/>
  <c r="O25" i="33"/>
  <c r="P25" i="33"/>
  <c r="Q25" i="33"/>
  <c r="R25" i="33"/>
  <c r="S25" i="33"/>
  <c r="E18" i="33"/>
  <c r="F18" i="33"/>
  <c r="G18" i="33"/>
  <c r="H18" i="33"/>
  <c r="I18" i="33"/>
  <c r="J18" i="33"/>
  <c r="K18" i="33"/>
  <c r="L18" i="33"/>
  <c r="M18" i="33"/>
  <c r="N18" i="33"/>
  <c r="O18" i="33"/>
  <c r="P18" i="33"/>
  <c r="Q18" i="33"/>
  <c r="R18" i="33"/>
  <c r="S18" i="33"/>
  <c r="E12" i="33"/>
  <c r="F12" i="33"/>
  <c r="G12" i="33"/>
  <c r="H12" i="33"/>
  <c r="I12" i="33"/>
  <c r="J12" i="33"/>
  <c r="K12" i="33"/>
  <c r="L12" i="33"/>
  <c r="M12" i="33"/>
  <c r="N12" i="33"/>
  <c r="O12" i="33"/>
  <c r="P12" i="33"/>
  <c r="Q12" i="33"/>
  <c r="R12" i="33"/>
  <c r="S12" i="33"/>
  <c r="E14" i="33"/>
  <c r="F14" i="33"/>
  <c r="G14" i="33"/>
  <c r="H14" i="33"/>
  <c r="I14" i="33"/>
  <c r="J14" i="33"/>
  <c r="K14" i="33"/>
  <c r="L14" i="33"/>
  <c r="M14" i="33"/>
  <c r="N14" i="33"/>
  <c r="O14" i="33"/>
  <c r="P14" i="33"/>
  <c r="Q14" i="33"/>
  <c r="R14" i="33"/>
  <c r="S14" i="33"/>
  <c r="E34" i="32"/>
  <c r="F34" i="32"/>
  <c r="H34" i="32"/>
  <c r="I34" i="32"/>
  <c r="E30" i="32"/>
  <c r="F30" i="32"/>
  <c r="H30" i="32"/>
  <c r="I30" i="32"/>
  <c r="E23" i="32"/>
  <c r="F23" i="32"/>
  <c r="H23" i="32"/>
  <c r="I23" i="32"/>
  <c r="E24" i="32"/>
  <c r="F24" i="32"/>
  <c r="H24" i="32"/>
  <c r="I24" i="32"/>
  <c r="E25" i="32"/>
  <c r="F25" i="32"/>
  <c r="H25" i="32"/>
  <c r="I25" i="32"/>
  <c r="E18" i="32"/>
  <c r="F18" i="32"/>
  <c r="H18" i="32"/>
  <c r="I18" i="32"/>
  <c r="E12" i="32"/>
  <c r="F12" i="32"/>
  <c r="H12" i="32"/>
  <c r="I12" i="32"/>
  <c r="E14" i="32"/>
  <c r="F14" i="32"/>
  <c r="H14" i="32"/>
  <c r="I14" i="32"/>
  <c r="E30" i="31"/>
  <c r="E31" i="31"/>
  <c r="E32" i="31"/>
  <c r="E33" i="31"/>
  <c r="E34" i="31"/>
  <c r="E35" i="31"/>
  <c r="E36" i="31"/>
  <c r="E37" i="31"/>
  <c r="E10" i="31"/>
  <c r="E11" i="31"/>
  <c r="E12" i="31"/>
  <c r="E13" i="31"/>
  <c r="E15" i="31"/>
  <c r="E16" i="31"/>
  <c r="E17" i="31"/>
  <c r="E19" i="31"/>
  <c r="E20" i="31"/>
  <c r="E22" i="31"/>
  <c r="E23" i="31"/>
  <c r="E25" i="31"/>
  <c r="E26" i="31"/>
  <c r="E39" i="30"/>
  <c r="G39" i="30"/>
  <c r="H39" i="30"/>
  <c r="I39" i="30"/>
  <c r="J39" i="30"/>
  <c r="L39" i="30"/>
  <c r="M39" i="30"/>
  <c r="E40" i="30"/>
  <c r="G40" i="30"/>
  <c r="H40" i="30"/>
  <c r="I40" i="30"/>
  <c r="J40" i="30"/>
  <c r="L40" i="30"/>
  <c r="M40" i="30"/>
  <c r="E35" i="30"/>
  <c r="G35" i="30"/>
  <c r="H35" i="30"/>
  <c r="I35" i="30"/>
  <c r="J35" i="30"/>
  <c r="L35" i="30"/>
  <c r="M35" i="30"/>
  <c r="E36" i="30"/>
  <c r="G36" i="30"/>
  <c r="H36" i="30"/>
  <c r="I36" i="30"/>
  <c r="J36" i="30"/>
  <c r="L36" i="30"/>
  <c r="M36" i="30"/>
  <c r="E30" i="30"/>
  <c r="G30" i="30"/>
  <c r="H30" i="30"/>
  <c r="I30" i="30"/>
  <c r="J30" i="30"/>
  <c r="L30" i="30"/>
  <c r="M30" i="30"/>
  <c r="E31" i="30"/>
  <c r="G31" i="30"/>
  <c r="H31" i="30"/>
  <c r="I31" i="30"/>
  <c r="J31" i="30"/>
  <c r="L31" i="30"/>
  <c r="M31" i="30"/>
  <c r="G32" i="30"/>
  <c r="H32" i="30"/>
  <c r="I32" i="30"/>
  <c r="J32" i="30"/>
  <c r="L32" i="30"/>
  <c r="M32" i="30"/>
  <c r="E20" i="30"/>
  <c r="G20" i="30"/>
  <c r="H20" i="30"/>
  <c r="I20" i="30"/>
  <c r="J20" i="30"/>
  <c r="L20" i="30"/>
  <c r="M20" i="30"/>
  <c r="E21" i="30"/>
  <c r="G21" i="30"/>
  <c r="H21" i="30"/>
  <c r="I21" i="30"/>
  <c r="J21" i="30"/>
  <c r="L21" i="30"/>
  <c r="M21" i="30"/>
  <c r="E22" i="30"/>
  <c r="G22" i="30"/>
  <c r="H22" i="30"/>
  <c r="I22" i="30"/>
  <c r="J22" i="30"/>
  <c r="L22" i="30"/>
  <c r="M22" i="30"/>
  <c r="E23" i="30"/>
  <c r="G23" i="30"/>
  <c r="H23" i="30"/>
  <c r="I23" i="30"/>
  <c r="J23" i="30"/>
  <c r="L23" i="30"/>
  <c r="M23" i="30"/>
  <c r="E15" i="30"/>
  <c r="G15" i="30"/>
  <c r="H15" i="30"/>
  <c r="I15" i="30"/>
  <c r="J15" i="30"/>
  <c r="L15" i="30"/>
  <c r="M15" i="30"/>
  <c r="E16" i="30"/>
  <c r="G16" i="30"/>
  <c r="H16" i="30"/>
  <c r="I16" i="30"/>
  <c r="J16" i="30"/>
  <c r="L16" i="30"/>
  <c r="M16" i="30"/>
  <c r="E17" i="30"/>
  <c r="G17" i="30"/>
  <c r="H17" i="30"/>
  <c r="I17" i="30"/>
  <c r="J17" i="30"/>
  <c r="L17" i="30"/>
  <c r="M17" i="30"/>
  <c r="D5" i="37"/>
  <c r="D5" i="36"/>
  <c r="D4" i="39"/>
  <c r="D5" i="39"/>
  <c r="D6" i="39"/>
  <c r="D4" i="42"/>
  <c r="D5" i="42"/>
  <c r="D6" i="42"/>
  <c r="D4" i="35"/>
  <c r="D5" i="35"/>
  <c r="D6" i="35"/>
  <c r="F5" i="34"/>
  <c r="F6" i="34"/>
  <c r="E4" i="33"/>
  <c r="E5" i="33"/>
  <c r="E6" i="33"/>
  <c r="E5" i="32"/>
  <c r="E6" i="32"/>
  <c r="D4" i="31"/>
  <c r="D5" i="31"/>
  <c r="D6" i="31"/>
  <c r="E4" i="30"/>
  <c r="E5" i="30"/>
  <c r="E6" i="30"/>
  <c r="F3" i="45" l="1"/>
  <c r="S9" i="33" l="1"/>
  <c r="G4" i="47"/>
  <c r="F4" i="46"/>
  <c r="E8" i="37"/>
  <c r="E9" i="34"/>
  <c r="E8" i="36"/>
  <c r="E9" i="32"/>
  <c r="F9" i="47"/>
  <c r="F9" i="46"/>
  <c r="C2" i="47" l="1"/>
  <c r="C2" i="46"/>
  <c r="I22" i="32" l="1"/>
  <c r="L19" i="42"/>
  <c r="H22" i="32"/>
  <c r="M15" i="42"/>
  <c r="G34" i="30"/>
  <c r="L25" i="42"/>
  <c r="F15" i="39"/>
  <c r="M25" i="42"/>
  <c r="M23" i="42"/>
  <c r="G14" i="30"/>
  <c r="M24" i="42"/>
  <c r="M26" i="42"/>
  <c r="M16" i="42"/>
  <c r="G17" i="42"/>
  <c r="G20" i="42" s="1"/>
  <c r="G28" i="42" s="1"/>
  <c r="L24" i="42"/>
  <c r="I17" i="42"/>
  <c r="I20" i="42" s="1"/>
  <c r="I28" i="42" s="1"/>
  <c r="L15" i="42"/>
  <c r="F17" i="42"/>
  <c r="F20" i="42" s="1"/>
  <c r="F28" i="42" s="1"/>
  <c r="M19" i="42"/>
  <c r="L16" i="42"/>
  <c r="E39" i="31"/>
  <c r="I15" i="39"/>
  <c r="I18" i="39" s="1"/>
  <c r="I25" i="39" s="1"/>
  <c r="H15" i="39"/>
  <c r="H18" i="39" s="1"/>
  <c r="K15" i="39"/>
  <c r="K18" i="39" s="1"/>
  <c r="K25" i="39" s="1"/>
  <c r="N15" i="39"/>
  <c r="N18" i="39" s="1"/>
  <c r="N25" i="39" s="1"/>
  <c r="M15" i="39"/>
  <c r="L22" i="42"/>
  <c r="E22" i="33"/>
  <c r="F22" i="32"/>
  <c r="E22" i="32"/>
  <c r="L26" i="42"/>
  <c r="M12" i="46"/>
  <c r="M22" i="42"/>
  <c r="L12" i="46"/>
  <c r="L23" i="42"/>
  <c r="M12" i="47"/>
  <c r="L12" i="47"/>
  <c r="D26" i="42"/>
  <c r="C26" i="42"/>
  <c r="D25" i="42"/>
  <c r="D24" i="42"/>
  <c r="D23" i="42"/>
  <c r="D22" i="42"/>
  <c r="D19" i="42"/>
  <c r="D16" i="42"/>
  <c r="D3" i="42"/>
  <c r="C2" i="42" s="1"/>
  <c r="D4" i="36" l="1"/>
  <c r="I12" i="42" l="1"/>
  <c r="F12" i="42"/>
  <c r="D3" i="39"/>
  <c r="D4" i="37"/>
  <c r="D3" i="35"/>
  <c r="E4" i="32"/>
  <c r="E3" i="30"/>
  <c r="K13" i="34" l="1"/>
  <c r="S22" i="33"/>
  <c r="P16" i="33"/>
  <c r="P20" i="33" s="1"/>
  <c r="L15" i="34"/>
  <c r="K25" i="34"/>
  <c r="K16" i="33"/>
  <c r="K20" i="33" s="1"/>
  <c r="K20" i="34"/>
  <c r="K29" i="34"/>
  <c r="L33" i="34"/>
  <c r="K14" i="34"/>
  <c r="L23" i="34"/>
  <c r="K28" i="34"/>
  <c r="G15" i="39"/>
  <c r="G18" i="39" s="1"/>
  <c r="G25" i="39" s="1"/>
  <c r="F16" i="33"/>
  <c r="F20" i="33" s="1"/>
  <c r="K34" i="34"/>
  <c r="L34" i="34"/>
  <c r="K32" i="34"/>
  <c r="L25" i="34"/>
  <c r="L29" i="34"/>
  <c r="K21" i="34"/>
  <c r="K33" i="34"/>
  <c r="O16" i="33"/>
  <c r="O20" i="33" s="1"/>
  <c r="L13" i="34"/>
  <c r="K23" i="34"/>
  <c r="K31" i="34"/>
  <c r="I16" i="32"/>
  <c r="I20" i="32" s="1"/>
  <c r="S16" i="33"/>
  <c r="S20" i="33" s="1"/>
  <c r="J16" i="33"/>
  <c r="J20" i="33" s="1"/>
  <c r="L14" i="34"/>
  <c r="L21" i="34"/>
  <c r="L18" i="34"/>
  <c r="L22" i="34"/>
  <c r="I16" i="33"/>
  <c r="I20" i="33" s="1"/>
  <c r="L31" i="34"/>
  <c r="K15" i="34"/>
  <c r="H16" i="32"/>
  <c r="H20" i="32" s="1"/>
  <c r="L32" i="34"/>
  <c r="K24" i="34"/>
  <c r="L30" i="34"/>
  <c r="L16" i="33"/>
  <c r="L20" i="33" s="1"/>
  <c r="K16" i="34"/>
  <c r="G16" i="33"/>
  <c r="G20" i="33" s="1"/>
  <c r="L20" i="34"/>
  <c r="L17" i="34"/>
  <c r="L19" i="34"/>
  <c r="K17" i="34"/>
  <c r="K30" i="34"/>
  <c r="L35" i="34"/>
  <c r="M16" i="33"/>
  <c r="M20" i="33" s="1"/>
  <c r="L16" i="34"/>
  <c r="K18" i="34"/>
  <c r="K35" i="34"/>
  <c r="R16" i="33"/>
  <c r="R20" i="33" s="1"/>
  <c r="E16" i="33"/>
  <c r="E20" i="33" s="1"/>
  <c r="E28" i="33" s="1"/>
  <c r="E32" i="33" s="1"/>
  <c r="E36" i="33" s="1"/>
  <c r="Q16" i="33"/>
  <c r="Q20" i="33" s="1"/>
  <c r="H16" i="33"/>
  <c r="H20" i="33" s="1"/>
  <c r="N16" i="33"/>
  <c r="N20" i="33" s="1"/>
  <c r="K22" i="34"/>
  <c r="L15" i="39"/>
  <c r="L28" i="34"/>
  <c r="K19" i="34"/>
  <c r="L24" i="34"/>
  <c r="F4" i="34"/>
  <c r="E3" i="33"/>
  <c r="D3" i="31"/>
  <c r="S28" i="33" l="1"/>
  <c r="S32" i="33" s="1"/>
  <c r="S36" i="33" s="1"/>
  <c r="J17" i="42"/>
  <c r="J20" i="42" s="1"/>
  <c r="L24" i="32"/>
  <c r="L18" i="32"/>
  <c r="K14" i="32"/>
  <c r="L34" i="32"/>
  <c r="K24" i="32"/>
  <c r="L30" i="32"/>
  <c r="L12" i="32"/>
  <c r="K25" i="32"/>
  <c r="L23" i="32"/>
  <c r="K18" i="32"/>
  <c r="K23" i="32"/>
  <c r="K34" i="32"/>
  <c r="L14" i="32"/>
  <c r="K12" i="32"/>
  <c r="K30" i="32"/>
  <c r="L25" i="32"/>
  <c r="E16" i="32"/>
  <c r="E20" i="32" s="1"/>
  <c r="E28" i="32" s="1"/>
  <c r="F16" i="32"/>
  <c r="F20" i="32" s="1"/>
  <c r="D24" i="39"/>
  <c r="C24" i="39"/>
  <c r="D23" i="39"/>
  <c r="C23" i="39"/>
  <c r="D22" i="39"/>
  <c r="C22" i="39"/>
  <c r="D21" i="39"/>
  <c r="C21" i="39"/>
  <c r="D20" i="39"/>
  <c r="C20" i="39"/>
  <c r="D17" i="39"/>
  <c r="C17" i="39"/>
  <c r="D14" i="39"/>
  <c r="C14" i="39"/>
  <c r="D13" i="39"/>
  <c r="C13" i="39"/>
  <c r="C2" i="39"/>
  <c r="C2" i="37"/>
  <c r="C2" i="36"/>
  <c r="C2" i="35"/>
  <c r="C2" i="34"/>
  <c r="C2" i="33"/>
  <c r="C2" i="32"/>
  <c r="D37" i="31"/>
  <c r="C37" i="31"/>
  <c r="D36" i="31"/>
  <c r="D35" i="31"/>
  <c r="D34" i="31"/>
  <c r="D33" i="31"/>
  <c r="D32" i="31"/>
  <c r="D31" i="31"/>
  <c r="D30" i="31"/>
  <c r="D26" i="31"/>
  <c r="D25" i="31"/>
  <c r="D23" i="31"/>
  <c r="D22" i="31"/>
  <c r="D20" i="31"/>
  <c r="D19" i="31"/>
  <c r="D17" i="31"/>
  <c r="D16" i="31"/>
  <c r="D15" i="31"/>
  <c r="D13" i="31"/>
  <c r="D12" i="31"/>
  <c r="D11" i="31"/>
  <c r="D10" i="31"/>
  <c r="C10" i="31"/>
  <c r="C2" i="31"/>
  <c r="A4" i="1"/>
  <c r="A6" i="1"/>
  <c r="L17" i="42" l="1"/>
  <c r="L20" i="42" s="1"/>
  <c r="L28" i="42" s="1"/>
  <c r="M17" i="42"/>
  <c r="M20" i="42" s="1"/>
  <c r="M28" i="42" s="1"/>
  <c r="L16" i="32"/>
  <c r="L20" i="32" s="1"/>
  <c r="K16" i="32"/>
  <c r="K20" i="32" s="1"/>
  <c r="J28" i="42"/>
  <c r="D21" i="35"/>
  <c r="D26" i="35" s="1"/>
  <c r="G29" i="30"/>
  <c r="G22" i="36"/>
  <c r="L22" i="36"/>
  <c r="I22" i="36"/>
  <c r="Q22" i="36"/>
  <c r="P22" i="36"/>
  <c r="J22" i="36"/>
  <c r="H22" i="36"/>
  <c r="F22" i="36"/>
  <c r="N22" i="36"/>
  <c r="K22" i="36"/>
  <c r="E22" i="36"/>
  <c r="M22" i="36"/>
  <c r="O22" i="36"/>
  <c r="C2" i="30"/>
  <c r="H38" i="30"/>
  <c r="F21" i="35"/>
  <c r="F26" i="35" s="1"/>
  <c r="F22" i="33"/>
  <c r="F28" i="33" s="1"/>
  <c r="F32" i="33" s="1"/>
  <c r="F36" i="33" s="1"/>
  <c r="I16" i="37"/>
  <c r="E16" i="37"/>
  <c r="L16" i="37"/>
  <c r="G16" i="37"/>
  <c r="O16" i="37"/>
  <c r="L18" i="39"/>
  <c r="L25" i="39" s="1"/>
  <c r="L15" i="36"/>
  <c r="N16" i="37"/>
  <c r="M16" i="37"/>
  <c r="F16" i="37"/>
  <c r="G15" i="36"/>
  <c r="H16" i="37"/>
  <c r="D15" i="36"/>
  <c r="P16" i="37"/>
  <c r="J16" i="37"/>
  <c r="D22" i="36"/>
  <c r="K15" i="36"/>
  <c r="H15" i="36"/>
  <c r="O15" i="36"/>
  <c r="E15" i="36"/>
  <c r="L22" i="33"/>
  <c r="L28" i="33" s="1"/>
  <c r="L32" i="33" s="1"/>
  <c r="L36" i="33" s="1"/>
  <c r="F18" i="39"/>
  <c r="F25" i="39" s="1"/>
  <c r="H22" i="33"/>
  <c r="H28" i="33" s="1"/>
  <c r="H32" i="33" s="1"/>
  <c r="H36" i="33" s="1"/>
  <c r="G22" i="33"/>
  <c r="G28" i="33" s="1"/>
  <c r="G32" i="33" s="1"/>
  <c r="G36" i="33" s="1"/>
  <c r="P15" i="36"/>
  <c r="M15" i="36"/>
  <c r="Q15" i="36"/>
  <c r="F15" i="36"/>
  <c r="P22" i="33"/>
  <c r="P28" i="33" s="1"/>
  <c r="P32" i="33" s="1"/>
  <c r="P36" i="33" s="1"/>
  <c r="G38" i="30"/>
  <c r="R22" i="33"/>
  <c r="R28" i="33" s="1"/>
  <c r="R32" i="33" s="1"/>
  <c r="R36" i="33" s="1"/>
  <c r="N22" i="33"/>
  <c r="N28" i="33" s="1"/>
  <c r="N32" i="33" s="1"/>
  <c r="N36" i="33" s="1"/>
  <c r="M22" i="33"/>
  <c r="M28" i="33" s="1"/>
  <c r="M32" i="33" s="1"/>
  <c r="M36" i="33" s="1"/>
  <c r="I34" i="30"/>
  <c r="J38" i="30"/>
  <c r="I29" i="30"/>
  <c r="H34" i="30"/>
  <c r="I22" i="33"/>
  <c r="I28" i="33" s="1"/>
  <c r="I32" i="33" s="1"/>
  <c r="I36" i="33" s="1"/>
  <c r="O22" i="33"/>
  <c r="O28" i="33" s="1"/>
  <c r="O32" i="33" s="1"/>
  <c r="O36" i="33" s="1"/>
  <c r="E38" i="30"/>
  <c r="J34" i="30"/>
  <c r="I14" i="30"/>
  <c r="H14" i="30"/>
  <c r="H29" i="30"/>
  <c r="I19" i="30"/>
  <c r="I38" i="30"/>
  <c r="E19" i="30"/>
  <c r="J29" i="30"/>
  <c r="J15" i="36"/>
  <c r="G19" i="30"/>
  <c r="E29" i="30"/>
  <c r="J19" i="30"/>
  <c r="E34" i="30"/>
  <c r="H19" i="30"/>
  <c r="J14" i="30"/>
  <c r="Q22" i="33"/>
  <c r="Q28" i="33" s="1"/>
  <c r="Q32" i="33" s="1"/>
  <c r="Q36" i="33" s="1"/>
  <c r="J22" i="33"/>
  <c r="J28" i="33" s="1"/>
  <c r="J32" i="33" s="1"/>
  <c r="J36" i="33" s="1"/>
  <c r="K22" i="33"/>
  <c r="K28" i="33" s="1"/>
  <c r="K32" i="33" s="1"/>
  <c r="K36" i="33" s="1"/>
  <c r="K16" i="37"/>
  <c r="I15" i="36"/>
  <c r="Q16" i="37"/>
  <c r="N15" i="36"/>
  <c r="P24" i="37" l="1"/>
  <c r="P13" i="36" s="1"/>
  <c r="P26" i="36" s="1"/>
  <c r="F24" i="37"/>
  <c r="F13" i="36" s="1"/>
  <c r="F26" i="36" s="1"/>
  <c r="E24" i="37"/>
  <c r="E13" i="36" s="1"/>
  <c r="E26" i="36" s="1"/>
  <c r="Q24" i="37"/>
  <c r="Q13" i="36" s="1"/>
  <c r="Q26" i="36" s="1"/>
  <c r="M24" i="37"/>
  <c r="M13" i="36" s="1"/>
  <c r="M26" i="36" s="1"/>
  <c r="O24" i="37"/>
  <c r="O13" i="36" s="1"/>
  <c r="O26" i="36" s="1"/>
  <c r="I24" i="37"/>
  <c r="I13" i="36" s="1"/>
  <c r="I26" i="36" s="1"/>
  <c r="H24" i="37"/>
  <c r="H13" i="36" s="1"/>
  <c r="H26" i="36" s="1"/>
  <c r="N24" i="37"/>
  <c r="N13" i="36" s="1"/>
  <c r="N26" i="36" s="1"/>
  <c r="G24" i="37"/>
  <c r="G13" i="36" s="1"/>
  <c r="G26" i="36" s="1"/>
  <c r="K24" i="37"/>
  <c r="K13" i="36" s="1"/>
  <c r="K26" i="36" s="1"/>
  <c r="J24" i="37"/>
  <c r="J13" i="36" s="1"/>
  <c r="J26" i="36" s="1"/>
  <c r="L24" i="37"/>
  <c r="L13" i="36" s="1"/>
  <c r="L26" i="36" s="1"/>
  <c r="H42" i="30"/>
  <c r="I25" i="30"/>
  <c r="G25" i="30"/>
  <c r="J25" i="30"/>
  <c r="E42" i="30"/>
  <c r="J42" i="30"/>
  <c r="G42" i="30"/>
  <c r="H25" i="30"/>
  <c r="I42" i="30"/>
  <c r="M18" i="39"/>
  <c r="M25" i="39" s="1"/>
  <c r="H25" i="39"/>
  <c r="E28" i="31"/>
  <c r="F12" i="34"/>
  <c r="E27" i="34"/>
  <c r="E12" i="34"/>
  <c r="F27" i="34"/>
  <c r="M34" i="30"/>
  <c r="M29" i="30"/>
  <c r="L34" i="30"/>
  <c r="L19" i="30"/>
  <c r="L29" i="30"/>
  <c r="L14" i="30"/>
  <c r="M38" i="30"/>
  <c r="M14" i="30"/>
  <c r="M19" i="30"/>
  <c r="L38" i="30"/>
  <c r="E14" i="30"/>
  <c r="E25" i="30" s="1"/>
  <c r="H28" i="32"/>
  <c r="H32" i="32" s="1"/>
  <c r="H36" i="32" s="1"/>
  <c r="I28" i="32"/>
  <c r="I32" i="32" s="1"/>
  <c r="I36" i="32" s="1"/>
  <c r="O30" i="36" l="1"/>
  <c r="O56" i="36"/>
  <c r="O58" i="36" s="1"/>
  <c r="F30" i="36"/>
  <c r="F56" i="36"/>
  <c r="F58" i="36" s="1"/>
  <c r="J30" i="36"/>
  <c r="J56" i="36"/>
  <c r="J58" i="36" s="1"/>
  <c r="H30" i="36"/>
  <c r="H56" i="36"/>
  <c r="H58" i="36" s="1"/>
  <c r="Q30" i="36"/>
  <c r="Q56" i="36"/>
  <c r="Q58" i="36" s="1"/>
  <c r="K30" i="36"/>
  <c r="K56" i="36"/>
  <c r="K58" i="36" s="1"/>
  <c r="I30" i="36"/>
  <c r="I56" i="36"/>
  <c r="I58" i="36" s="1"/>
  <c r="E30" i="36"/>
  <c r="E56" i="36"/>
  <c r="E58" i="36" s="1"/>
  <c r="G30" i="36"/>
  <c r="G56" i="36"/>
  <c r="G58" i="36" s="1"/>
  <c r="L30" i="36"/>
  <c r="L56" i="36"/>
  <c r="L58" i="36" s="1"/>
  <c r="N30" i="36"/>
  <c r="N56" i="36"/>
  <c r="N58" i="36" s="1"/>
  <c r="M56" i="36"/>
  <c r="M58" i="36" s="1"/>
  <c r="M30" i="36"/>
  <c r="P56" i="36"/>
  <c r="P58" i="36" s="1"/>
  <c r="P30" i="36"/>
  <c r="F28" i="32"/>
  <c r="F32" i="32" s="1"/>
  <c r="F36" i="32" s="1"/>
  <c r="L22" i="32"/>
  <c r="L28" i="32" s="1"/>
  <c r="L32" i="32" s="1"/>
  <c r="L36" i="32" s="1"/>
  <c r="E32" i="32"/>
  <c r="E36" i="32" s="1"/>
  <c r="K22" i="32"/>
  <c r="K28" i="32" s="1"/>
  <c r="K32" i="32" s="1"/>
  <c r="K36" i="32" s="1"/>
  <c r="L42" i="30"/>
  <c r="L25" i="30"/>
  <c r="M25" i="30"/>
  <c r="M42" i="30"/>
  <c r="Z15" i="36" l="1"/>
  <c r="X15" i="36"/>
  <c r="AE22" i="36"/>
  <c r="AD15" i="36"/>
  <c r="AB22" i="36"/>
  <c r="AC15" i="36"/>
  <c r="AD22" i="36"/>
  <c r="AF22" i="36"/>
  <c r="AE15" i="36"/>
  <c r="AF15" i="36"/>
  <c r="V22" i="36"/>
  <c r="AC22" i="36"/>
  <c r="T22" i="36"/>
  <c r="Y22" i="36"/>
  <c r="AA15" i="36"/>
  <c r="AA22" i="36"/>
  <c r="Z22" i="36"/>
  <c r="U15" i="36"/>
  <c r="T15" i="36"/>
  <c r="S22" i="36"/>
  <c r="Y15" i="36"/>
  <c r="V15" i="36"/>
  <c r="W22" i="36"/>
  <c r="W15" i="36"/>
  <c r="AB15" i="36"/>
  <c r="X22" i="36"/>
  <c r="U22" i="36"/>
  <c r="S15" i="36"/>
  <c r="D16" i="37"/>
  <c r="D24" i="37" l="1"/>
  <c r="D13" i="36" s="1"/>
  <c r="D26" i="36" s="1"/>
  <c r="I12" i="34"/>
  <c r="V16" i="37"/>
  <c r="AE16" i="37"/>
  <c r="Z16" i="37"/>
  <c r="AB16" i="37"/>
  <c r="I27" i="34"/>
  <c r="AF16" i="37"/>
  <c r="S16" i="37"/>
  <c r="AC16" i="37"/>
  <c r="W16" i="37"/>
  <c r="H12" i="34"/>
  <c r="AA16" i="37"/>
  <c r="H27" i="34"/>
  <c r="AD16" i="37"/>
  <c r="T16" i="37"/>
  <c r="U16" i="37"/>
  <c r="X16" i="37"/>
  <c r="Y16" i="37"/>
  <c r="D56" i="36" l="1"/>
  <c r="D58" i="36" s="1"/>
  <c r="D30" i="36"/>
  <c r="T24" i="37"/>
  <c r="T13" i="36" s="1"/>
  <c r="T26" i="36" s="1"/>
  <c r="AF24" i="37"/>
  <c r="AF13" i="36" s="1"/>
  <c r="AF26" i="36" s="1"/>
  <c r="Y24" i="37"/>
  <c r="Y13" i="36" s="1"/>
  <c r="Y26" i="36" s="1"/>
  <c r="X24" i="37"/>
  <c r="X13" i="36" s="1"/>
  <c r="X26" i="36" s="1"/>
  <c r="AC24" i="37"/>
  <c r="AC13" i="36" s="1"/>
  <c r="AC26" i="36" s="1"/>
  <c r="AB24" i="37"/>
  <c r="AB13" i="36" s="1"/>
  <c r="AB26" i="36" s="1"/>
  <c r="U24" i="37"/>
  <c r="U13" i="36" s="1"/>
  <c r="U26" i="36" s="1"/>
  <c r="AA24" i="37"/>
  <c r="AA13" i="36" s="1"/>
  <c r="AA26" i="36" s="1"/>
  <c r="S24" i="37"/>
  <c r="S13" i="36" s="1"/>
  <c r="S26" i="36" s="1"/>
  <c r="Z24" i="37"/>
  <c r="Z13" i="36" s="1"/>
  <c r="Z26" i="36" s="1"/>
  <c r="AE24" i="37"/>
  <c r="AE13" i="36" s="1"/>
  <c r="AE26" i="36" s="1"/>
  <c r="AD24" i="37"/>
  <c r="AD13" i="36" s="1"/>
  <c r="AD26" i="36" s="1"/>
  <c r="W24" i="37"/>
  <c r="W13" i="36" s="1"/>
  <c r="W26" i="36" s="1"/>
  <c r="V24" i="37"/>
  <c r="V13" i="36" s="1"/>
  <c r="V26" i="36" s="1"/>
  <c r="L12" i="34"/>
  <c r="K27" i="34"/>
  <c r="L27" i="34"/>
  <c r="K12" i="34"/>
  <c r="AD30" i="36" l="1"/>
  <c r="AA30" i="36"/>
  <c r="V30" i="36"/>
  <c r="Z30" i="36"/>
  <c r="AB30" i="36"/>
  <c r="AF30" i="36"/>
  <c r="W30" i="36"/>
  <c r="S30" i="36"/>
  <c r="AC30" i="36"/>
  <c r="T30" i="36"/>
  <c r="X30" i="36"/>
  <c r="AE30" i="36"/>
  <c r="U30" i="36"/>
  <c r="Y30" i="36"/>
  <c r="C2" i="45" l="1"/>
</calcChain>
</file>

<file path=xl/sharedStrings.xml><?xml version="1.0" encoding="utf-8"?>
<sst xmlns="http://schemas.openxmlformats.org/spreadsheetml/2006/main" count="510" uniqueCount="206">
  <si>
    <t>Bound Cell</t>
  </si>
  <si>
    <t>Delimiter</t>
  </si>
  <si>
    <t>Decimal</t>
  </si>
  <si>
    <t>Companies</t>
  </si>
  <si>
    <t>Fiscal Years</t>
  </si>
  <si>
    <t>Periods</t>
  </si>
  <si>
    <t>Formulas Ranges</t>
  </si>
  <si>
    <t>Missing Accounts</t>
  </si>
  <si>
    <t>Year to Date</t>
  </si>
  <si>
    <t>Sales</t>
  </si>
  <si>
    <t>Cost of Sales</t>
  </si>
  <si>
    <t>Net Profit</t>
  </si>
  <si>
    <t>Account Description</t>
  </si>
  <si>
    <t>Opening Balance</t>
  </si>
  <si>
    <t>Assets</t>
  </si>
  <si>
    <t>Current Assets</t>
  </si>
  <si>
    <t>Current Liabilities</t>
  </si>
  <si>
    <t>If you ever need to check if there are accounts missing from your financial reports, use the Missing Accounts feature and look here.</t>
  </si>
  <si>
    <t>Company Name</t>
  </si>
  <si>
    <t>Account Number</t>
  </si>
  <si>
    <t>Account Type</t>
  </si>
  <si>
    <t>Period</t>
  </si>
  <si>
    <t>Companies Budgets</t>
  </si>
  <si>
    <t>Budgets</t>
  </si>
  <si>
    <t>Budgets ID</t>
  </si>
  <si>
    <t>Current Period:</t>
  </si>
  <si>
    <t>Company:</t>
  </si>
  <si>
    <t>Currency:</t>
  </si>
  <si>
    <t>Currency Type:</t>
  </si>
  <si>
    <t>F</t>
  </si>
  <si>
    <t>ACC</t>
  </si>
  <si>
    <t>Petty cash</t>
  </si>
  <si>
    <t>Cash and Cash Equivalents</t>
  </si>
  <si>
    <t>Accounts Receivable</t>
  </si>
  <si>
    <t>Other Assets</t>
  </si>
  <si>
    <t>Inventory</t>
  </si>
  <si>
    <t>Other Current Assets</t>
  </si>
  <si>
    <t>Furniture and fixtures</t>
  </si>
  <si>
    <t>Fixed Assets</t>
  </si>
  <si>
    <t>Accumulated Depreciation</t>
  </si>
  <si>
    <t>Other Current Liabilities</t>
  </si>
  <si>
    <t>Accounts Payable</t>
  </si>
  <si>
    <t>Shareholders Equity</t>
  </si>
  <si>
    <t>Revenue</t>
  </si>
  <si>
    <t>Other Revenue</t>
  </si>
  <si>
    <t>Other Expenses</t>
  </si>
  <si>
    <t>Depreciation Expense</t>
  </si>
  <si>
    <t>Interest Expense</t>
  </si>
  <si>
    <t>Income Taxes</t>
  </si>
  <si>
    <t>Commercial</t>
  </si>
  <si>
    <t>Retail</t>
  </si>
  <si>
    <t>Northern</t>
  </si>
  <si>
    <t>Eastern</t>
  </si>
  <si>
    <t>Western</t>
  </si>
  <si>
    <t>Actual</t>
  </si>
  <si>
    <t>Budget</t>
  </si>
  <si>
    <t>Current Year:</t>
  </si>
  <si>
    <t>Quarter 1</t>
  </si>
  <si>
    <t>Quarter 2</t>
  </si>
  <si>
    <t>Quarter 3</t>
  </si>
  <si>
    <t>Quarter 4</t>
  </si>
  <si>
    <t xml:space="preserve">Current Month </t>
  </si>
  <si>
    <t>Change</t>
  </si>
  <si>
    <t>Non Current Assets</t>
  </si>
  <si>
    <t>TOTAL ASSETS</t>
  </si>
  <si>
    <t>Shareholders Equity &amp; Liabilities</t>
  </si>
  <si>
    <t>Current Year Earnings</t>
  </si>
  <si>
    <t>Non Current Liabilities</t>
  </si>
  <si>
    <t>TOTAL SHAREHOLDERS EQUITY &amp; LIABILITIES</t>
  </si>
  <si>
    <t>GroupCode</t>
  </si>
  <si>
    <t>GroupName</t>
  </si>
  <si>
    <t>YTD</t>
  </si>
  <si>
    <t>20</t>
  </si>
  <si>
    <t>30</t>
  </si>
  <si>
    <t>40</t>
  </si>
  <si>
    <t>50</t>
  </si>
  <si>
    <t>60</t>
  </si>
  <si>
    <t>70</t>
  </si>
  <si>
    <t>80</t>
  </si>
  <si>
    <t>90</t>
  </si>
  <si>
    <t>100</t>
  </si>
  <si>
    <t>110</t>
  </si>
  <si>
    <t>120</t>
  </si>
  <si>
    <t>130</t>
  </si>
  <si>
    <t>Total Balance Sheet Accounts</t>
  </si>
  <si>
    <t>140</t>
  </si>
  <si>
    <t>150</t>
  </si>
  <si>
    <t>160</t>
  </si>
  <si>
    <t>170</t>
  </si>
  <si>
    <t>180</t>
  </si>
  <si>
    <t>190</t>
  </si>
  <si>
    <t>200</t>
  </si>
  <si>
    <t>Total Income Statement Accounts</t>
  </si>
  <si>
    <t>Variance</t>
  </si>
  <si>
    <t>Current Month</t>
  </si>
  <si>
    <t>Year To Date</t>
  </si>
  <si>
    <t>Gross Profit/(Loss)</t>
  </si>
  <si>
    <t>Total Income</t>
  </si>
  <si>
    <t>Net Profit/(Loss) Before Interest &amp; Tax</t>
  </si>
  <si>
    <t>Net Profit/(Loss) Before Tax</t>
  </si>
  <si>
    <t>Balance Sheet Accounts</t>
  </si>
  <si>
    <t>Income Statement Accounts</t>
  </si>
  <si>
    <t>Budget Set:</t>
  </si>
  <si>
    <t>01</t>
  </si>
  <si>
    <t>Total Cost &amp; Expenses</t>
  </si>
  <si>
    <t>Net Profit/(Loss)</t>
  </si>
  <si>
    <t>Prior Year:</t>
  </si>
  <si>
    <t xml:space="preserve">Period </t>
  </si>
  <si>
    <t>Investing</t>
  </si>
  <si>
    <t>Financing</t>
  </si>
  <si>
    <t>Net Increase in Cash</t>
  </si>
  <si>
    <t>Total Cash &amp; Equivalent at Beginning of Year</t>
  </si>
  <si>
    <t>Cash &amp; Equivalent at End of Year</t>
  </si>
  <si>
    <t>Operating Activities</t>
  </si>
  <si>
    <t>Net Income/(Loss)</t>
  </si>
  <si>
    <t>Adjustments</t>
  </si>
  <si>
    <t>Net Cash Provided - Operating Activities</t>
  </si>
  <si>
    <t>Reporting Unit:</t>
  </si>
  <si>
    <t>YEAR TO DATE</t>
  </si>
  <si>
    <t>Sourthern</t>
  </si>
  <si>
    <t>AutoRefresh1</t>
  </si>
  <si>
    <t>AutoRefresh2</t>
  </si>
  <si>
    <t>AutoRefresh3</t>
  </si>
  <si>
    <t>AutoRefresh4</t>
  </si>
  <si>
    <t>AutoRefresh5</t>
  </si>
  <si>
    <t>AutoRefresh6</t>
  </si>
  <si>
    <t>AutoRefresh9</t>
  </si>
  <si>
    <t>AutoRefresh10</t>
  </si>
  <si>
    <t>I</t>
  </si>
  <si>
    <t>Balance Sheet</t>
  </si>
  <si>
    <t>Categories</t>
  </si>
  <si>
    <t>Income Statement</t>
  </si>
  <si>
    <t>Trial Balance</t>
  </si>
  <si>
    <t>Summary</t>
  </si>
  <si>
    <t>Cash Flow</t>
  </si>
  <si>
    <t>Cash Flow Detail</t>
  </si>
  <si>
    <t>Divisional</t>
  </si>
  <si>
    <t>Regional</t>
  </si>
  <si>
    <t>????-100</t>
  </si>
  <si>
    <t>COMMERCIAL</t>
  </si>
  <si>
    <t>RETAIL</t>
  </si>
  <si>
    <t>????-200</t>
  </si>
  <si>
    <t>NORTHERN</t>
  </si>
  <si>
    <t>SOUTHERN</t>
  </si>
  <si>
    <t>EASTERN</t>
  </si>
  <si>
    <t>WESTERN</t>
  </si>
  <si>
    <t>????-100-10</t>
  </si>
  <si>
    <t>????-100-20</t>
  </si>
  <si>
    <t>????-100-30</t>
  </si>
  <si>
    <t>????-100-40</t>
  </si>
  <si>
    <t>????-200-10</t>
  </si>
  <si>
    <t>????-200-20</t>
  </si>
  <si>
    <t>????-200-30</t>
  </si>
  <si>
    <t>????-200-40</t>
  </si>
  <si>
    <t>ç</t>
  </si>
  <si>
    <t>Facebook</t>
  </si>
  <si>
    <t>Twitter</t>
  </si>
  <si>
    <t>LinkedIn</t>
  </si>
  <si>
    <t>YouTube</t>
  </si>
  <si>
    <t>AutoRefresh11</t>
  </si>
  <si>
    <t>AutoRefresh12</t>
  </si>
  <si>
    <t>Please select values from the drop down lists for both current year and prior year. Your values will be updated once you have refreshed</t>
  </si>
  <si>
    <t>Sage Intelligence Community</t>
  </si>
  <si>
    <t>|</t>
  </si>
  <si>
    <t>Blog</t>
  </si>
  <si>
    <t>Knowledgebase</t>
  </si>
  <si>
    <t>Support</t>
  </si>
  <si>
    <t xml:space="preserve"> View Standard Reports:</t>
  </si>
  <si>
    <t>Follow us</t>
  </si>
  <si>
    <t>Income Statement Incl Adjustments</t>
  </si>
  <si>
    <t>Please select values from the drop down lists for all required cells. Row 12 has been entered as an example.  The Account Number, Account Description and Structure Code should therefore be updated with your account details.  Your values will be updated once you have refreshed.</t>
  </si>
  <si>
    <t>10</t>
  </si>
  <si>
    <t>Long Term Liabilities</t>
  </si>
  <si>
    <t>Other Liabilities</t>
  </si>
  <si>
    <t>Share Capital</t>
  </si>
  <si>
    <t>Gains Or Losses</t>
  </si>
  <si>
    <t>210</t>
  </si>
  <si>
    <t>Expenses</t>
  </si>
  <si>
    <t>StructureCode</t>
  </si>
  <si>
    <t>AccountGroupName</t>
  </si>
  <si>
    <t>GroupCategoryDescription</t>
  </si>
  <si>
    <t>Acount</t>
  </si>
  <si>
    <t>Structure Code</t>
  </si>
  <si>
    <t>Please select values from the drop down lists for the current year. Your values will be updated once you have refreshed</t>
  </si>
  <si>
    <t>Please select values from the drop down lists for both the current year and the prior year. Your values will be updated once you have refreshed</t>
  </si>
  <si>
    <t>AutoRefresh13</t>
  </si>
  <si>
    <t>AutoRefresh14</t>
  </si>
  <si>
    <t>AutoRefresh15</t>
  </si>
  <si>
    <t>AutoRefresh16</t>
  </si>
  <si>
    <t>AutoRefresh17</t>
  </si>
  <si>
    <t>AutoRefresh18</t>
  </si>
  <si>
    <t>AutoRefresh19</t>
  </si>
  <si>
    <t>AutoRefresh20</t>
  </si>
  <si>
    <t>AutoRefresh21</t>
  </si>
  <si>
    <t>AutoRefresh22</t>
  </si>
  <si>
    <t>AutoRefresh23</t>
  </si>
  <si>
    <t>AutoRefresh24</t>
  </si>
  <si>
    <t>AutoRefresh25</t>
  </si>
  <si>
    <t>AutoRefresh26</t>
  </si>
  <si>
    <t>AutoRefresh27</t>
  </si>
  <si>
    <t>AutoRefresh28</t>
  </si>
  <si>
    <t>AutoRefresh29</t>
  </si>
  <si>
    <t>Reconciliation</t>
  </si>
  <si>
    <t>Cash &amp; Equivalent as per Balance Sheet</t>
  </si>
  <si>
    <t>Difference</t>
  </si>
  <si>
    <t>Please select values from the drop down lists for the current year to be used in all calculations and for the current period to be used in the YTD calculation.  Your values will be updated once you have refreshed.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</si>
</sst>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 #,##0.00_ ;_ * \-#,##0.00_ ;_ * &quot;-&quot;??_ ;_ @_ "/>
    <numFmt numFmtId="165" formatCode="0.00_);[Red]\(0.00\)"/>
    <numFmt numFmtId="166" formatCode="0_);[Red]\(0\)"/>
    <numFmt numFmtId="167" formatCode="#,##0.00;\(#,##0.00\)"/>
    <numFmt numFmtId="168" formatCode="#,##0.00_ ;[Red]\-#,##0.00\ "/>
    <numFmt numFmtId="169" formatCode="0;\-0;;@"/>
  </numFmts>
  <fonts count="32" x14ac:knownFonts="1">
    <font>
      <sz val="10"/>
      <color theme="1"/>
      <name val="Segoe U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Segoe UI"/>
      <family val="2"/>
    </font>
    <font>
      <sz val="11"/>
      <color theme="0"/>
      <name val="Segoe UI"/>
      <family val="2"/>
    </font>
    <font>
      <b/>
      <sz val="11"/>
      <color theme="1"/>
      <name val="Segoe UI"/>
      <family val="2"/>
    </font>
    <font>
      <b/>
      <sz val="11"/>
      <color theme="1"/>
      <name val="Calibri"/>
      <family val="2"/>
      <scheme val="minor"/>
    </font>
    <font>
      <sz val="10"/>
      <color theme="1"/>
      <name val="Segoe UI"/>
      <family val="2"/>
    </font>
    <font>
      <sz val="26"/>
      <color theme="1"/>
      <name val="Segoe UI"/>
      <family val="2"/>
    </font>
    <font>
      <b/>
      <sz val="12"/>
      <color theme="1"/>
      <name val="Calibri"/>
      <family val="2"/>
      <scheme val="minor"/>
    </font>
    <font>
      <sz val="10"/>
      <color rgb="FF4D4F53"/>
      <name val="Segoe UI"/>
      <family val="2"/>
    </font>
    <font>
      <sz val="24"/>
      <color rgb="FF4D4F53"/>
      <name val="Segoe UI Semibold"/>
      <family val="2"/>
    </font>
    <font>
      <sz val="11"/>
      <color rgb="FF4D4F53"/>
      <name val="Segoe UI"/>
      <family val="2"/>
    </font>
    <font>
      <sz val="11"/>
      <color theme="0"/>
      <name val="Segoe UI Semibold"/>
      <family val="2"/>
    </font>
    <font>
      <sz val="10"/>
      <color theme="1"/>
      <name val="Arial"/>
      <family val="2"/>
    </font>
    <font>
      <b/>
      <sz val="11"/>
      <color rgb="FF4D4F53"/>
      <name val="Segoe UI"/>
      <family val="2"/>
    </font>
    <font>
      <sz val="10"/>
      <color rgb="FF4D4F53"/>
      <name val="Arial"/>
      <family val="2"/>
    </font>
    <font>
      <b/>
      <sz val="10"/>
      <color rgb="FF4D4F53"/>
      <name val="Arial"/>
      <family val="2"/>
    </font>
    <font>
      <b/>
      <sz val="16"/>
      <color rgb="FF4D4F53"/>
      <name val="Segoe UI"/>
      <family val="2"/>
    </font>
    <font>
      <sz val="12"/>
      <color theme="1"/>
      <name val="Segoe UI"/>
      <family val="2"/>
    </font>
    <font>
      <sz val="14"/>
      <color rgb="FF4D4F53"/>
      <name val="Segoe UI Light"/>
      <family val="2"/>
    </font>
    <font>
      <sz val="28"/>
      <color rgb="FF34B233"/>
      <name val="Wingdings"/>
      <charset val="2"/>
    </font>
    <font>
      <sz val="14"/>
      <color theme="0"/>
      <name val="Segoe UI"/>
      <family val="2"/>
    </font>
    <font>
      <sz val="12"/>
      <color rgb="FF009FDA"/>
      <name val="Segoe UI"/>
      <family val="2"/>
    </font>
    <font>
      <sz val="11"/>
      <color rgb="FF4D4F53"/>
      <name val="Calibri"/>
      <family val="2"/>
      <scheme val="minor"/>
    </font>
    <font>
      <sz val="24"/>
      <color rgb="FF4D4F53"/>
      <name val="Segoe UI"/>
      <family val="2"/>
    </font>
    <font>
      <sz val="14"/>
      <color rgb="FF4D4F53"/>
      <name val="Segoe UI"/>
      <family val="2"/>
    </font>
    <font>
      <sz val="12"/>
      <color rgb="FF4D4F53"/>
      <name val="Segoe UI"/>
      <family val="2"/>
    </font>
  </fonts>
  <fills count="7">
    <fill>
      <patternFill patternType="none"/>
    </fill>
    <fill>
      <patternFill patternType="gray125"/>
    </fill>
    <fill>
      <patternFill patternType="solid">
        <fgColor theme="0"/>
        <bgColor indexed="64"/>
      </patternFill>
    </fill>
    <fill>
      <patternFill patternType="solid">
        <fgColor rgb="FF34B233"/>
        <bgColor indexed="64"/>
      </patternFill>
    </fill>
    <fill>
      <patternFill patternType="solid">
        <fgColor rgb="FFCDCDCE"/>
        <bgColor indexed="64"/>
      </patternFill>
    </fill>
    <fill>
      <patternFill patternType="solid">
        <fgColor rgb="FFE6E6E6"/>
        <bgColor indexed="64"/>
      </patternFill>
    </fill>
    <fill>
      <patternFill patternType="solid">
        <fgColor rgb="FFBFBFBF"/>
        <bgColor indexed="64"/>
      </patternFill>
    </fill>
  </fills>
  <borders count="6">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theme="0"/>
      </left>
      <right style="thin">
        <color theme="0"/>
      </right>
      <top/>
      <bottom/>
      <diagonal/>
    </border>
    <border>
      <left style="thin">
        <color theme="0"/>
      </left>
      <right/>
      <top/>
      <bottom/>
      <diagonal/>
    </border>
  </borders>
  <cellStyleXfs count="14">
    <xf numFmtId="0" fontId="0" fillId="0" borderId="0"/>
    <xf numFmtId="0" fontId="6" fillId="0" borderId="0"/>
    <xf numFmtId="0" fontId="7" fillId="0" borderId="0"/>
    <xf numFmtId="0" fontId="5" fillId="0" borderId="0"/>
    <xf numFmtId="164" fontId="11" fillId="0" borderId="0" applyFont="0" applyFill="0" applyBorder="0" applyAlignment="0" applyProtection="0"/>
    <xf numFmtId="0" fontId="4" fillId="0" borderId="0"/>
    <xf numFmtId="43" fontId="7" fillId="0" borderId="0" applyFont="0" applyFill="0" applyBorder="0" applyAlignment="0" applyProtection="0"/>
    <xf numFmtId="0" fontId="3" fillId="0" borderId="0"/>
    <xf numFmtId="0" fontId="24"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xf numFmtId="0" fontId="27" fillId="0" borderId="0" applyNumberFormat="0" applyFill="0" applyBorder="0" applyAlignment="0" applyProtection="0"/>
    <xf numFmtId="0" fontId="27" fillId="0" borderId="0" applyNumberFormat="0" applyFill="0" applyBorder="0" applyAlignment="0" applyProtection="0"/>
  </cellStyleXfs>
  <cellXfs count="137">
    <xf numFmtId="0" fontId="0" fillId="0" borderId="0" xfId="0"/>
    <xf numFmtId="0" fontId="0" fillId="0" borderId="1" xfId="0" applyBorder="1"/>
    <xf numFmtId="0" fontId="0" fillId="0" borderId="2" xfId="0" applyBorder="1"/>
    <xf numFmtId="0" fontId="0" fillId="0" borderId="3" xfId="0" applyBorder="1"/>
    <xf numFmtId="0" fontId="7" fillId="0" borderId="0" xfId="0" applyFont="1" applyAlignment="1">
      <alignment vertical="center"/>
    </xf>
    <xf numFmtId="0" fontId="0" fillId="0" borderId="0" xfId="0" applyFont="1"/>
    <xf numFmtId="0" fontId="0" fillId="0" borderId="0" xfId="0" applyFont="1" applyAlignment="1">
      <alignment horizontal="center"/>
    </xf>
    <xf numFmtId="0" fontId="12" fillId="0" borderId="0" xfId="0" applyFont="1"/>
    <xf numFmtId="0" fontId="0" fillId="0" borderId="0" xfId="0" applyFont="1" applyAlignment="1">
      <alignment horizontal="left"/>
    </xf>
    <xf numFmtId="0" fontId="13" fillId="0" borderId="0" xfId="0" applyFont="1" applyBorder="1"/>
    <xf numFmtId="0" fontId="13" fillId="0" borderId="0" xfId="0" applyFont="1" applyBorder="1" applyAlignment="1">
      <alignment horizontal="left"/>
    </xf>
    <xf numFmtId="49" fontId="7" fillId="0" borderId="0" xfId="2" applyNumberFormat="1"/>
    <xf numFmtId="0" fontId="7" fillId="0" borderId="0" xfId="2"/>
    <xf numFmtId="0" fontId="15" fillId="0" borderId="0" xfId="2" applyFont="1"/>
    <xf numFmtId="0" fontId="14" fillId="0" borderId="0" xfId="2" applyFont="1" applyAlignment="1">
      <alignment horizontal="left" vertical="center"/>
    </xf>
    <xf numFmtId="0" fontId="14" fillId="0" borderId="0" xfId="2" applyFont="1" applyAlignment="1">
      <alignment horizontal="center" vertical="center"/>
    </xf>
    <xf numFmtId="0" fontId="16" fillId="0" borderId="0" xfId="2" applyFont="1" applyAlignment="1">
      <alignment vertical="center"/>
    </xf>
    <xf numFmtId="0" fontId="16" fillId="0" borderId="0" xfId="2" applyFont="1" applyAlignment="1">
      <alignment horizontal="center"/>
    </xf>
    <xf numFmtId="49" fontId="4" fillId="0" borderId="0" xfId="5" applyNumberFormat="1"/>
    <xf numFmtId="0" fontId="4" fillId="0" borderId="0" xfId="5"/>
    <xf numFmtId="165" fontId="17" fillId="3" borderId="0" xfId="5" applyNumberFormat="1" applyFont="1" applyFill="1" applyBorder="1" applyAlignment="1">
      <alignment horizontal="center" vertical="center"/>
    </xf>
    <xf numFmtId="0" fontId="10" fillId="2" borderId="0" xfId="5" applyNumberFormat="1" applyFont="1" applyFill="1" applyBorder="1" applyAlignment="1">
      <alignment horizontal="center" vertical="center"/>
    </xf>
    <xf numFmtId="165" fontId="17" fillId="3" borderId="0" xfId="5" applyNumberFormat="1" applyFont="1" applyFill="1" applyBorder="1" applyAlignment="1">
      <alignment horizontal="center" vertical="center" wrapText="1"/>
    </xf>
    <xf numFmtId="0" fontId="4" fillId="2" borderId="0" xfId="5" applyFill="1"/>
    <xf numFmtId="166" fontId="17" fillId="3" borderId="0" xfId="5" applyNumberFormat="1" applyFont="1" applyFill="1" applyBorder="1" applyAlignment="1">
      <alignment horizontal="center" vertical="center"/>
    </xf>
    <xf numFmtId="49" fontId="18" fillId="0" borderId="0" xfId="2" applyNumberFormat="1" applyFont="1"/>
    <xf numFmtId="0" fontId="19" fillId="0" borderId="0" xfId="2" applyFont="1"/>
    <xf numFmtId="0" fontId="18" fillId="0" borderId="0" xfId="2" applyFont="1"/>
    <xf numFmtId="49" fontId="20" fillId="0" borderId="0" xfId="2" applyNumberFormat="1" applyFont="1"/>
    <xf numFmtId="0" fontId="20" fillId="0" borderId="0" xfId="2" applyFont="1"/>
    <xf numFmtId="167" fontId="20" fillId="0" borderId="0" xfId="2" applyNumberFormat="1" applyFont="1"/>
    <xf numFmtId="0" fontId="16" fillId="0" borderId="0" xfId="2" applyFont="1"/>
    <xf numFmtId="167" fontId="20" fillId="0" borderId="0" xfId="2" applyNumberFormat="1" applyFont="1" applyBorder="1"/>
    <xf numFmtId="167" fontId="20" fillId="0" borderId="0" xfId="2" applyNumberFormat="1" applyFont="1" applyFill="1" applyBorder="1"/>
    <xf numFmtId="49" fontId="21" fillId="0" borderId="0" xfId="2" applyNumberFormat="1" applyFont="1"/>
    <xf numFmtId="0" fontId="21" fillId="0" borderId="0" xfId="2" applyFont="1"/>
    <xf numFmtId="167" fontId="20" fillId="4" borderId="0" xfId="2" applyNumberFormat="1" applyFont="1" applyFill="1" applyBorder="1"/>
    <xf numFmtId="167" fontId="16" fillId="0" borderId="0" xfId="2" applyNumberFormat="1" applyFont="1" applyBorder="1"/>
    <xf numFmtId="168" fontId="16" fillId="0" borderId="0" xfId="2" applyNumberFormat="1" applyFont="1"/>
    <xf numFmtId="0" fontId="8" fillId="3" borderId="0" xfId="2" applyFont="1" applyFill="1" applyBorder="1" applyAlignment="1">
      <alignment horizontal="center" vertical="center"/>
    </xf>
    <xf numFmtId="0" fontId="20" fillId="0" borderId="0" xfId="2" applyFont="1" applyBorder="1" applyAlignment="1">
      <alignment horizontal="center"/>
    </xf>
    <xf numFmtId="0" fontId="20" fillId="0" borderId="0" xfId="2" applyFont="1" applyBorder="1"/>
    <xf numFmtId="0" fontId="21" fillId="0" borderId="0" xfId="2" applyFont="1" applyBorder="1"/>
    <xf numFmtId="167" fontId="21" fillId="4" borderId="0" xfId="2" applyNumberFormat="1" applyFont="1" applyFill="1" applyBorder="1"/>
    <xf numFmtId="167" fontId="16" fillId="0" borderId="0" xfId="2" applyNumberFormat="1" applyFont="1"/>
    <xf numFmtId="0" fontId="7" fillId="0" borderId="0" xfId="2" applyAlignment="1">
      <alignment horizontal="center"/>
    </xf>
    <xf numFmtId="167" fontId="7" fillId="0" borderId="0" xfId="2" applyNumberFormat="1"/>
    <xf numFmtId="0" fontId="7" fillId="0" borderId="0" xfId="2" applyBorder="1"/>
    <xf numFmtId="0" fontId="17" fillId="3" borderId="0" xfId="2" applyFont="1" applyFill="1" applyBorder="1" applyAlignment="1">
      <alignment horizontal="center" vertical="center"/>
    </xf>
    <xf numFmtId="0" fontId="9" fillId="0" borderId="0" xfId="2" applyFont="1"/>
    <xf numFmtId="167" fontId="21" fillId="0" borderId="0" xfId="2" applyNumberFormat="1" applyFont="1" applyBorder="1"/>
    <xf numFmtId="49" fontId="7" fillId="0" borderId="0" xfId="2" applyNumberFormat="1" applyBorder="1"/>
    <xf numFmtId="167" fontId="7" fillId="0" borderId="0" xfId="2" applyNumberFormat="1" applyBorder="1"/>
    <xf numFmtId="0" fontId="7" fillId="0" borderId="0" xfId="2" applyBorder="1" applyAlignment="1">
      <alignment horizontal="center"/>
    </xf>
    <xf numFmtId="0" fontId="22" fillId="0" borderId="0" xfId="2" quotePrefix="1" applyFont="1" applyBorder="1" applyAlignment="1">
      <alignment horizontal="center" vertical="center"/>
    </xf>
    <xf numFmtId="0" fontId="22" fillId="0" borderId="0" xfId="2" quotePrefix="1" applyFont="1" applyAlignment="1">
      <alignment vertical="center"/>
    </xf>
    <xf numFmtId="43" fontId="0" fillId="0" borderId="0" xfId="6" applyFont="1"/>
    <xf numFmtId="167" fontId="18" fillId="0" borderId="0" xfId="2" applyNumberFormat="1" applyFont="1" applyBorder="1"/>
    <xf numFmtId="40" fontId="17" fillId="3" borderId="0" xfId="2" applyNumberFormat="1" applyFont="1" applyFill="1" applyBorder="1" applyAlignment="1">
      <alignment horizontal="center" vertical="center"/>
    </xf>
    <xf numFmtId="40" fontId="20" fillId="0" borderId="0" xfId="2" applyNumberFormat="1" applyFont="1"/>
    <xf numFmtId="0" fontId="17" fillId="3" borderId="0" xfId="5" applyNumberFormat="1" applyFont="1" applyFill="1" applyBorder="1" applyAlignment="1">
      <alignment horizontal="center" vertical="center"/>
    </xf>
    <xf numFmtId="168" fontId="7" fillId="0" borderId="0" xfId="2" applyNumberFormat="1"/>
    <xf numFmtId="0" fontId="8" fillId="3" borderId="0" xfId="2" applyFont="1" applyFill="1" applyBorder="1" applyAlignment="1">
      <alignment horizontal="center"/>
    </xf>
    <xf numFmtId="40" fontId="20" fillId="0" borderId="0" xfId="2" applyNumberFormat="1" applyFont="1" applyBorder="1"/>
    <xf numFmtId="0" fontId="16" fillId="0" borderId="0" xfId="2" applyFont="1" applyBorder="1" applyAlignment="1">
      <alignment horizontal="center"/>
    </xf>
    <xf numFmtId="0" fontId="16" fillId="0" borderId="0" xfId="2" applyFont="1" applyBorder="1"/>
    <xf numFmtId="0" fontId="14" fillId="0" borderId="0" xfId="2" applyFont="1" applyAlignment="1">
      <alignment horizontal="center" vertical="center"/>
    </xf>
    <xf numFmtId="0" fontId="8" fillId="3" borderId="0" xfId="2" quotePrefix="1" applyFont="1" applyFill="1" applyBorder="1" applyAlignment="1">
      <alignment vertical="center"/>
    </xf>
    <xf numFmtId="169" fontId="16" fillId="0" borderId="0" xfId="0" applyNumberFormat="1" applyFont="1" applyFill="1" applyAlignment="1">
      <alignment horizontal="center"/>
    </xf>
    <xf numFmtId="0" fontId="14" fillId="0" borderId="0" xfId="2" applyFont="1" applyAlignment="1">
      <alignment horizontal="center" vertical="center"/>
    </xf>
    <xf numFmtId="169" fontId="8" fillId="3" borderId="0" xfId="0" applyNumberFormat="1" applyFont="1" applyFill="1" applyAlignment="1">
      <alignment horizontal="right"/>
    </xf>
    <xf numFmtId="0" fontId="14" fillId="0" borderId="0" xfId="2" applyFont="1" applyAlignment="1">
      <alignment horizontal="center" vertical="center"/>
    </xf>
    <xf numFmtId="164" fontId="20" fillId="0" borderId="0" xfId="4" applyFont="1" applyBorder="1"/>
    <xf numFmtId="0" fontId="8" fillId="3" borderId="0" xfId="2" applyFont="1" applyFill="1" applyBorder="1" applyAlignment="1">
      <alignment vertical="center"/>
    </xf>
    <xf numFmtId="0" fontId="14" fillId="0" borderId="0" xfId="2" applyFont="1" applyAlignment="1">
      <alignment horizontal="center" vertical="center"/>
    </xf>
    <xf numFmtId="0" fontId="17" fillId="3" borderId="0" xfId="2" quotePrefix="1" applyFont="1" applyFill="1" applyBorder="1" applyAlignment="1">
      <alignment vertical="center"/>
    </xf>
    <xf numFmtId="164" fontId="14" fillId="0" borderId="0" xfId="4" applyFont="1"/>
    <xf numFmtId="0" fontId="14" fillId="0" borderId="0" xfId="2" applyFont="1" applyAlignment="1">
      <alignment horizontal="center" vertical="center"/>
    </xf>
    <xf numFmtId="0" fontId="14" fillId="0" borderId="0" xfId="2" applyFont="1" applyAlignment="1">
      <alignment horizontal="center" vertical="center"/>
    </xf>
    <xf numFmtId="0" fontId="17" fillId="3" borderId="0" xfId="2" applyFont="1" applyFill="1" applyAlignment="1">
      <alignment horizontal="center" vertical="center"/>
    </xf>
    <xf numFmtId="0" fontId="7" fillId="0" borderId="0" xfId="2" applyFill="1"/>
    <xf numFmtId="0" fontId="8" fillId="0" borderId="0" xfId="2" applyFont="1" applyFill="1" applyBorder="1" applyAlignment="1">
      <alignment vertical="center"/>
    </xf>
    <xf numFmtId="0" fontId="17" fillId="0" borderId="0" xfId="2" applyFont="1" applyFill="1" applyAlignment="1">
      <alignment horizontal="center" vertical="center"/>
    </xf>
    <xf numFmtId="0" fontId="15" fillId="0" borderId="0" xfId="2" applyFont="1" applyFill="1"/>
    <xf numFmtId="0" fontId="14" fillId="0" borderId="0" xfId="2" applyFont="1" applyFill="1" applyAlignment="1">
      <alignment horizontal="center" vertical="center"/>
    </xf>
    <xf numFmtId="0" fontId="14" fillId="0" borderId="0" xfId="2" applyFont="1" applyFill="1" applyAlignment="1">
      <alignment horizontal="left" vertical="center"/>
    </xf>
    <xf numFmtId="0" fontId="20" fillId="0" borderId="0" xfId="2" applyFont="1" applyFill="1" applyBorder="1"/>
    <xf numFmtId="0" fontId="21" fillId="0" borderId="0" xfId="2" applyFont="1" applyFill="1" applyBorder="1"/>
    <xf numFmtId="0" fontId="16" fillId="0" borderId="0" xfId="2" applyFont="1" applyFill="1"/>
    <xf numFmtId="0" fontId="14" fillId="0" borderId="0" xfId="2" applyFont="1"/>
    <xf numFmtId="0" fontId="8" fillId="3" borderId="0" xfId="2" quotePrefix="1" applyFont="1" applyFill="1" applyBorder="1" applyAlignment="1">
      <alignment horizontal="right" vertical="center"/>
    </xf>
    <xf numFmtId="0" fontId="25" fillId="0" borderId="0" xfId="9" applyFont="1" applyAlignment="1">
      <alignment horizontal="center" vertical="center"/>
    </xf>
    <xf numFmtId="165" fontId="17" fillId="3" borderId="0" xfId="5" applyNumberFormat="1" applyFont="1" applyFill="1" applyBorder="1" applyAlignment="1">
      <alignment horizontal="center" vertical="center"/>
    </xf>
    <xf numFmtId="0" fontId="1" fillId="5" borderId="0" xfId="11" applyFill="1"/>
    <xf numFmtId="0" fontId="1" fillId="5" borderId="0" xfId="11" applyFill="1" applyBorder="1"/>
    <xf numFmtId="0" fontId="1" fillId="6" borderId="0" xfId="11" applyFill="1"/>
    <xf numFmtId="0" fontId="28" fillId="5" borderId="0" xfId="11" applyFont="1" applyFill="1" applyAlignment="1">
      <alignment horizontal="right" vertical="top"/>
    </xf>
    <xf numFmtId="0" fontId="28" fillId="5" borderId="0" xfId="11" applyFont="1" applyFill="1" applyAlignment="1">
      <alignment vertical="top"/>
    </xf>
    <xf numFmtId="0" fontId="1" fillId="5" borderId="0" xfId="11" applyFill="1" applyAlignment="1">
      <alignment vertical="top"/>
    </xf>
    <xf numFmtId="0" fontId="1" fillId="2" borderId="0" xfId="11" applyFill="1"/>
    <xf numFmtId="0" fontId="1" fillId="2" borderId="0" xfId="11" applyFill="1" applyBorder="1"/>
    <xf numFmtId="0" fontId="29" fillId="2" borderId="0" xfId="11" applyFont="1" applyFill="1" applyBorder="1" applyAlignment="1">
      <alignment horizontal="left"/>
    </xf>
    <xf numFmtId="0" fontId="7" fillId="2" borderId="0" xfId="11" applyFont="1" applyFill="1" applyBorder="1"/>
    <xf numFmtId="0" fontId="7" fillId="2" borderId="0" xfId="11" applyFont="1" applyFill="1"/>
    <xf numFmtId="0" fontId="16" fillId="2" borderId="0" xfId="11" applyFont="1" applyFill="1" applyBorder="1" applyAlignment="1">
      <alignment horizontal="left"/>
    </xf>
    <xf numFmtId="0" fontId="31" fillId="2" borderId="0" xfId="11" applyFont="1" applyFill="1" applyAlignment="1">
      <alignment horizontal="center" vertical="center"/>
    </xf>
    <xf numFmtId="0" fontId="23" fillId="2" borderId="0" xfId="11" applyFont="1" applyFill="1"/>
    <xf numFmtId="0" fontId="1" fillId="6" borderId="0" xfId="11" applyFill="1" applyBorder="1"/>
    <xf numFmtId="165" fontId="17" fillId="3" borderId="0" xfId="5" applyNumberFormat="1" applyFont="1" applyFill="1" applyBorder="1" applyAlignment="1">
      <alignment horizontal="center" vertical="center"/>
    </xf>
    <xf numFmtId="0" fontId="8" fillId="3" borderId="0" xfId="2" applyFont="1" applyFill="1" applyBorder="1" applyAlignment="1">
      <alignment horizontal="center" vertical="center"/>
    </xf>
    <xf numFmtId="167" fontId="20" fillId="0" borderId="0" xfId="2" applyNumberFormat="1" applyFont="1" applyFill="1" applyBorder="1" applyAlignment="1">
      <alignment horizontal="right"/>
    </xf>
    <xf numFmtId="164" fontId="20" fillId="0" borderId="0" xfId="4" applyFont="1" applyBorder="1" applyAlignment="1">
      <alignment horizontal="right"/>
    </xf>
    <xf numFmtId="0" fontId="16" fillId="0" borderId="0" xfId="2" applyFont="1" applyFill="1" applyAlignment="1">
      <alignment horizontal="right"/>
    </xf>
    <xf numFmtId="0" fontId="16" fillId="0" borderId="0" xfId="2" applyFont="1" applyAlignment="1">
      <alignment horizontal="right"/>
    </xf>
    <xf numFmtId="167" fontId="20" fillId="4" borderId="0" xfId="2" applyNumberFormat="1" applyFont="1" applyFill="1" applyBorder="1" applyAlignment="1">
      <alignment horizontal="right"/>
    </xf>
    <xf numFmtId="167" fontId="20" fillId="0" borderId="0" xfId="2" applyNumberFormat="1" applyFont="1" applyBorder="1" applyAlignment="1">
      <alignment horizontal="right"/>
    </xf>
    <xf numFmtId="167" fontId="21" fillId="4" borderId="0" xfId="2" applyNumberFormat="1" applyFont="1" applyFill="1" applyBorder="1" applyAlignment="1">
      <alignment horizontal="right"/>
    </xf>
    <xf numFmtId="167" fontId="16" fillId="0" borderId="0" xfId="2" applyNumberFormat="1" applyFont="1" applyAlignment="1">
      <alignment horizontal="right"/>
    </xf>
    <xf numFmtId="164" fontId="16" fillId="0" borderId="0" xfId="4" applyFont="1"/>
    <xf numFmtId="0" fontId="27" fillId="5" borderId="0" xfId="12" applyFill="1" applyAlignment="1">
      <alignment horizontal="center" vertical="top"/>
    </xf>
    <xf numFmtId="0" fontId="27" fillId="5" borderId="0" xfId="12" applyFill="1" applyAlignment="1">
      <alignment horizontal="left" vertical="top"/>
    </xf>
    <xf numFmtId="0" fontId="26" fillId="3" borderId="0" xfId="9" applyFont="1" applyFill="1" applyBorder="1" applyAlignment="1">
      <alignment horizontal="center" vertical="center" wrapText="1"/>
    </xf>
    <xf numFmtId="0" fontId="30" fillId="5" borderId="0" xfId="9" applyFont="1" applyFill="1" applyAlignment="1">
      <alignment horizontal="center" vertical="center" wrapText="1"/>
    </xf>
    <xf numFmtId="0" fontId="27" fillId="2" borderId="0" xfId="12" applyFill="1" applyBorder="1" applyAlignment="1">
      <alignment horizontal="center"/>
    </xf>
    <xf numFmtId="0" fontId="27" fillId="2" borderId="0" xfId="12" applyFill="1" applyAlignment="1">
      <alignment horizontal="center"/>
    </xf>
    <xf numFmtId="0" fontId="27" fillId="2" borderId="0" xfId="13" applyFill="1" applyAlignment="1">
      <alignment horizontal="center"/>
    </xf>
    <xf numFmtId="0" fontId="8" fillId="3" borderId="0" xfId="2" applyFont="1" applyFill="1" applyAlignment="1">
      <alignment horizontal="left" wrapText="1"/>
    </xf>
    <xf numFmtId="0" fontId="17" fillId="3" borderId="0" xfId="2" quotePrefix="1" applyFont="1" applyFill="1" applyBorder="1" applyAlignment="1">
      <alignment horizontal="center" vertical="center"/>
    </xf>
    <xf numFmtId="0" fontId="8" fillId="3" borderId="0" xfId="2" applyFont="1" applyFill="1" applyAlignment="1">
      <alignment horizontal="left" vertical="top" wrapText="1"/>
    </xf>
    <xf numFmtId="0" fontId="17" fillId="3" borderId="0" xfId="2" applyFont="1" applyFill="1" applyBorder="1" applyAlignment="1">
      <alignment horizontal="center" vertical="center" wrapText="1"/>
    </xf>
    <xf numFmtId="0" fontId="8" fillId="3" borderId="0" xfId="2" quotePrefix="1" applyFont="1" applyFill="1" applyBorder="1" applyAlignment="1">
      <alignment horizontal="center" vertical="center"/>
    </xf>
    <xf numFmtId="165" fontId="17" fillId="3" borderId="0" xfId="5" applyNumberFormat="1" applyFont="1" applyFill="1" applyBorder="1" applyAlignment="1">
      <alignment horizontal="center" vertical="center"/>
    </xf>
    <xf numFmtId="169" fontId="17" fillId="3" borderId="0" xfId="2" quotePrefix="1" applyNumberFormat="1" applyFont="1" applyFill="1" applyBorder="1" applyAlignment="1">
      <alignment horizontal="center" vertical="center"/>
    </xf>
    <xf numFmtId="0" fontId="8" fillId="3" borderId="0" xfId="2" applyFont="1" applyFill="1" applyBorder="1" applyAlignment="1">
      <alignment horizontal="center" vertical="center"/>
    </xf>
    <xf numFmtId="0" fontId="8" fillId="3" borderId="5" xfId="2" applyFont="1" applyFill="1" applyBorder="1" applyAlignment="1">
      <alignment horizontal="center" vertical="center"/>
    </xf>
    <xf numFmtId="0" fontId="8" fillId="3" borderId="4" xfId="2" quotePrefix="1" applyFont="1" applyFill="1" applyBorder="1" applyAlignment="1">
      <alignment horizontal="center" vertical="center"/>
    </xf>
    <xf numFmtId="0" fontId="8" fillId="3" borderId="0" xfId="2" quotePrefix="1" applyFont="1" applyFill="1" applyBorder="1" applyAlignment="1">
      <alignment horizontal="center" vertical="center" wrapText="1"/>
    </xf>
  </cellXfs>
  <cellStyles count="14">
    <cellStyle name="Comma" xfId="4" builtinId="3"/>
    <cellStyle name="Comma 2" xfId="6"/>
    <cellStyle name="Followed Hyperlink" xfId="13" builtinId="9"/>
    <cellStyle name="Hyperlink" xfId="9" builtinId="8" customBuiltin="1"/>
    <cellStyle name="Hyperlink 2" xfId="8"/>
    <cellStyle name="Hyperlink 3" xfId="12"/>
    <cellStyle name="Normal" xfId="0" builtinId="0" customBuiltin="1"/>
    <cellStyle name="Normal 2" xfId="11"/>
    <cellStyle name="Normal 2 5" xfId="5"/>
    <cellStyle name="Normal 6" xfId="2"/>
    <cellStyle name="Normal 6 2 2" xfId="1"/>
    <cellStyle name="Normal 6 2 2 2" xfId="3"/>
    <cellStyle name="Normal 6 2 2 4" xfId="7"/>
    <cellStyle name="Normal 6 2 2 4 2" xfId="10"/>
  </cellStyles>
  <dxfs count="10">
    <dxf>
      <fill>
        <patternFill>
          <bgColor rgb="FFE7E6E6"/>
        </patternFill>
      </fill>
    </dxf>
    <dxf>
      <font>
        <color theme="0"/>
      </font>
      <fill>
        <patternFill>
          <bgColor rgb="FF4D4F53"/>
        </patternFill>
      </fill>
    </dxf>
    <dxf>
      <font>
        <sz val="10"/>
        <color theme="0"/>
        <name val="Segoe UI"/>
      </font>
      <fill>
        <patternFill>
          <bgColor rgb="FF4D4F53"/>
        </patternFill>
      </fill>
      <border>
        <vertical/>
        <horizontal/>
      </border>
    </dxf>
    <dxf>
      <border>
        <left style="thin">
          <color rgb="FF4D4F53"/>
        </left>
        <right style="thin">
          <color rgb="FF4D4F53"/>
        </right>
        <top style="thin">
          <color rgb="FF4D4F53"/>
        </top>
        <bottom style="thin">
          <color rgb="FF4D4F53"/>
        </bottom>
        <vertical/>
        <horizontal/>
      </border>
    </dxf>
    <dxf>
      <fill>
        <patternFill>
          <bgColor rgb="FF4D4F53"/>
        </patternFill>
      </fill>
    </dxf>
    <dxf>
      <font>
        <sz val="10"/>
        <color theme="0"/>
        <name val="Segoe UI"/>
        <scheme val="none"/>
      </font>
      <border>
        <left style="thin">
          <color rgb="FF4D4F53"/>
        </left>
        <right style="thin">
          <color rgb="FF4D4F53"/>
        </right>
        <top style="thin">
          <color rgb="FF4D4F53"/>
        </top>
        <bottom style="thin">
          <color rgb="FF4D4F53"/>
        </bottom>
      </border>
    </dxf>
    <dxf>
      <font>
        <b/>
        <i val="0"/>
      </font>
      <fill>
        <patternFill>
          <bgColor rgb="FFF2F2F2"/>
        </patternFill>
      </fill>
    </dxf>
    <dxf>
      <font>
        <b/>
        <i val="0"/>
      </font>
      <fill>
        <patternFill>
          <bgColor rgb="FFE7E6E6"/>
        </patternFill>
      </fill>
    </dxf>
    <dxf>
      <font>
        <b/>
        <i val="0"/>
      </font>
      <fill>
        <patternFill>
          <bgColor rgb="FFD9D9D9"/>
        </patternFill>
      </fill>
    </dxf>
    <dxf>
      <font>
        <color theme="0"/>
      </font>
      <fill>
        <patternFill>
          <bgColor rgb="FF4D4F53"/>
        </patternFill>
      </fill>
    </dxf>
  </dxfs>
  <tableStyles count="4" defaultTableStyle="TableStyleMedium4" defaultPivotStyle="Sage Pivot Style">
    <tableStyle name="Sage Pivot Style" table="0" count="4">
      <tableStyleElement type="headerRow" dxfId="9"/>
      <tableStyleElement type="totalRow" dxfId="8"/>
      <tableStyleElement type="firstRowSubheading" dxfId="7"/>
      <tableStyleElement type="thirdRowSubheading" dxfId="6"/>
    </tableStyle>
    <tableStyle name="Sage Slicer Style" pivot="0" table="0" count="10">
      <tableStyleElement type="wholeTable" dxfId="5"/>
      <tableStyleElement type="headerRow" dxfId="4"/>
    </tableStyle>
    <tableStyle name="Sage Style" pivot="0" table="0" count="9">
      <tableStyleElement type="wholeTable" dxfId="3"/>
      <tableStyleElement type="headerRow" dxfId="2"/>
    </tableStyle>
    <tableStyle name="Sage Table Style" pivot="0" count="2">
      <tableStyleElement type="headerRow" dxfId="1"/>
      <tableStyleElement type="secondRowStripe" dxfId="0"/>
    </tableStyle>
  </tableStyles>
  <colors>
    <mruColors>
      <color rgb="FF4D4F53"/>
      <color rgb="FF34B233"/>
      <color rgb="FF6639B7"/>
      <color rgb="FFFF5800"/>
      <color rgb="FF0098D4"/>
      <color rgb="FF2AB428"/>
      <color rgb="FFE2AC00"/>
      <color rgb="FFBFBFBF"/>
      <color rgb="FF40B23F"/>
      <color rgb="FFD9D9D9"/>
    </mruColors>
  </colors>
  <extLst>
    <ext xmlns:x14="http://schemas.microsoft.com/office/spreadsheetml/2009/9/main" uri="{46F421CA-312F-682f-3DD2-61675219B42D}">
      <x14:dxfs count="8">
        <dxf>
          <fill>
            <patternFill>
              <bgColor rgb="FF44C759"/>
            </patternFill>
          </fill>
          <border diagonalUp="0" diagonalDown="0">
            <left/>
            <right/>
            <top/>
            <bottom/>
            <vertical/>
            <horizontal/>
          </border>
        </dxf>
        <dxf>
          <fill>
            <patternFill>
              <bgColor rgb="FF44C759"/>
            </patternFill>
          </fill>
          <border diagonalUp="0" diagonalDown="0">
            <left/>
            <right/>
            <top/>
            <bottom/>
            <vertical/>
            <horizontal/>
          </border>
        </dxf>
        <dxf>
          <fill>
            <patternFill>
              <bgColor rgb="FF44C759"/>
            </patternFill>
          </fill>
          <border diagonalUp="0" diagonalDown="0">
            <left/>
            <right/>
            <top/>
            <bottom/>
            <vertical/>
            <horizontal/>
          </border>
        </dxf>
        <dxf>
          <fill>
            <patternFill>
              <bgColor rgb="FF44C759"/>
            </patternFill>
          </fill>
          <border diagonalUp="0" diagonalDown="0">
            <left/>
            <right/>
            <top/>
            <bottom/>
            <vertical/>
            <horizontal/>
          </border>
        </dxf>
        <dxf>
          <fill>
            <patternFill>
              <bgColor rgb="FF93DD9F"/>
            </patternFill>
          </fill>
          <border diagonalUp="0" diagonalDown="0">
            <left/>
            <right/>
            <top/>
            <bottom/>
            <vertical/>
            <horizontal/>
          </border>
        </dxf>
        <dxf>
          <fill>
            <patternFill>
              <bgColor rgb="FF36B34A"/>
            </patternFill>
          </fill>
          <border>
            <left/>
            <right/>
            <top/>
            <bottom/>
          </border>
        </dxf>
        <dxf>
          <font>
            <color theme="0" tint="-0.499984740745262"/>
          </font>
          <border>
            <left style="thin">
              <color theme="0" tint="-0.24994659260841701"/>
            </left>
            <right style="thin">
              <color theme="0" tint="-0.24994659260841701"/>
            </right>
            <top style="thin">
              <color theme="0" tint="-0.24994659260841701"/>
            </top>
            <bottom style="thin">
              <color theme="0" tint="-0.24994659260841701"/>
            </bottom>
          </border>
        </dxf>
        <dxf>
          <font>
            <color theme="1" tint="0.24994659260841701"/>
          </font>
          <fill>
            <patternFill patternType="none">
              <bgColor auto="1"/>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horizontal/>
          </border>
        </dxf>
      </x14:dxfs>
    </ext>
    <ext xmlns:x14="http://schemas.microsoft.com/office/spreadsheetml/2009/9/main" uri="{EB79DEF2-80B8-43e5-95BD-54CBDDF9020C}">
      <x14:slicerStyles defaultSlicerStyle="Sage Slicer Style">
        <x14:slicerStyle name="Sag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1454817346722"/>
              <bgColor rgb="FFC2ECC9"/>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rgb="FF36B34A"/>
            </patternFill>
          </fill>
          <border>
            <vertical/>
            <horizontal/>
          </border>
        </dxf>
        <dxf>
          <font>
            <sz val="9"/>
            <color theme="1" tint="0.34998626667073579"/>
          </font>
          <border>
            <left/>
            <right/>
            <top/>
            <bottom/>
            <vertical/>
            <horizontal/>
          </border>
        </dxf>
        <dxf>
          <font>
            <sz val="9"/>
            <color theme="1" tint="0.34998626667073579"/>
          </font>
          <border>
            <left/>
            <right/>
            <top/>
            <bottom/>
            <vertical/>
            <horizontal/>
          </border>
        </dxf>
        <dxf>
          <font>
            <sz val="9"/>
            <color theme="1" tint="0.34998626667073579"/>
          </font>
          <border>
            <left/>
            <right/>
            <top/>
            <bottom/>
            <vertical/>
            <horizontal/>
          </border>
        </dxf>
        <dxf>
          <font>
            <sz val="10"/>
            <color rgb="FF40B23F"/>
          </font>
          <border>
            <left/>
            <right/>
            <top/>
            <bottom/>
            <vertical/>
            <horizontal/>
          </border>
        </dxf>
      </x15:dxfs>
    </ext>
    <ext xmlns:x15="http://schemas.microsoft.com/office/spreadsheetml/2010/11/main" uri="{9260A510-F301-46a8-8635-F512D64BE5F5}">
      <x15:timelineStyles defaultTimelineStyle="Sage Style">
        <x15:timelineStyle name="Sag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sz="1800" b="1" i="0" baseline="0">
                <a:solidFill>
                  <a:srgbClr val="4D4F53"/>
                </a:solidFill>
                <a:effectLst/>
              </a:rPr>
              <a:t>Cash Flow Current vs Prior</a:t>
            </a:r>
            <a:endParaRPr lang="en-ZA">
              <a:solidFill>
                <a:srgbClr val="4D4F53"/>
              </a:solidFill>
              <a:effectLst/>
            </a:endParaRPr>
          </a:p>
        </c:rich>
      </c:tx>
      <c:layout>
        <c:manualLayout>
          <c:xMode val="edge"/>
          <c:yMode val="edge"/>
          <c:x val="0.39130510327759083"/>
          <c:y val="2.0572415306848914E-2"/>
        </c:manualLayout>
      </c:layout>
      <c:overlay val="0"/>
    </c:title>
    <c:autoTitleDeleted val="0"/>
    <c:plotArea>
      <c:layout>
        <c:manualLayout>
          <c:layoutTarget val="inner"/>
          <c:xMode val="edge"/>
          <c:yMode val="edge"/>
          <c:x val="8.4085080053906067E-2"/>
          <c:y val="0.11726627697868433"/>
          <c:w val="0.90475309307797713"/>
          <c:h val="0.66546606914869344"/>
        </c:manualLayout>
      </c:layout>
      <c:lineChart>
        <c:grouping val="standard"/>
        <c:varyColors val="0"/>
        <c:ser>
          <c:idx val="0"/>
          <c:order val="0"/>
          <c:tx>
            <c:v>2020</c:v>
          </c:tx>
          <c:spPr>
            <a:ln>
              <a:solidFill>
                <a:srgbClr val="007F64"/>
              </a:solidFill>
            </a:ln>
          </c:spPr>
          <c:marker>
            <c:symbol val="none"/>
          </c:marker>
          <c:cat>
            <c:multiLvlStrRef>
              <c:f>'Cash Flow'!$D$10:$Q$11</c:f>
              <c:multiLvlStrCache>
                <c:ptCount val="14"/>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lvl>
                <c:lvl>
                  <c:pt idx="0">
                    <c:v>Period </c:v>
                  </c:pt>
                </c:lvl>
              </c:multiLvlStrCache>
            </c:multiLvlStrRef>
          </c:cat>
          <c:val>
            <c:numRef>
              <c:f>'Cash Flow'!$D$30:$Q$30</c:f>
              <c:numCache>
                <c:formatCode>#,##0.00;\(#,##0.00\)</c:formatCode>
                <c:ptCount val="14"/>
                <c:pt idx="0">
                  <c:v>7912362</c:v>
                </c:pt>
                <c:pt idx="1">
                  <c:v>8321266</c:v>
                </c:pt>
                <c:pt idx="2">
                  <c:v>9637689</c:v>
                </c:pt>
                <c:pt idx="3">
                  <c:v>10645514</c:v>
                </c:pt>
                <c:pt idx="4">
                  <c:v>11999636</c:v>
                </c:pt>
                <c:pt idx="5">
                  <c:v>11996813</c:v>
                </c:pt>
                <c:pt idx="6">
                  <c:v>11959972</c:v>
                </c:pt>
                <c:pt idx="7">
                  <c:v>11960372</c:v>
                </c:pt>
                <c:pt idx="8">
                  <c:v>11960372</c:v>
                </c:pt>
                <c:pt idx="9">
                  <c:v>11960372</c:v>
                </c:pt>
                <c:pt idx="10">
                  <c:v>11960372</c:v>
                </c:pt>
                <c:pt idx="11">
                  <c:v>11960372</c:v>
                </c:pt>
                <c:pt idx="12">
                  <c:v>11960372</c:v>
                </c:pt>
                <c:pt idx="13">
                  <c:v>11960372</c:v>
                </c:pt>
              </c:numCache>
            </c:numRef>
          </c:val>
          <c:smooth val="0"/>
        </c:ser>
        <c:ser>
          <c:idx val="1"/>
          <c:order val="1"/>
          <c:tx>
            <c:strRef>
              <c:f>'Cash Flow'!$T$8</c:f>
              <c:strCache>
                <c:ptCount val="1"/>
                <c:pt idx="0">
                  <c:v>2019</c:v>
                </c:pt>
              </c:strCache>
            </c:strRef>
          </c:tx>
          <c:spPr>
            <a:ln>
              <a:solidFill>
                <a:srgbClr val="34B233"/>
              </a:solidFill>
            </a:ln>
          </c:spPr>
          <c:marker>
            <c:symbol val="none"/>
          </c:marker>
          <c:cat>
            <c:multiLvlStrRef>
              <c:f>'Cash Flow'!$D$10:$Q$11</c:f>
              <c:multiLvlStrCache>
                <c:ptCount val="14"/>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lvl>
                <c:lvl>
                  <c:pt idx="0">
                    <c:v>Period </c:v>
                  </c:pt>
                </c:lvl>
              </c:multiLvlStrCache>
            </c:multiLvlStrRef>
          </c:cat>
          <c:val>
            <c:numRef>
              <c:f>'Cash Flow'!$S$30:$AF$30</c:f>
              <c:numCache>
                <c:formatCode>#,##0.00;\(#,##0.00\)</c:formatCode>
                <c:ptCount val="14"/>
                <c:pt idx="0">
                  <c:v>2748524</c:v>
                </c:pt>
                <c:pt idx="1">
                  <c:v>3148164</c:v>
                </c:pt>
                <c:pt idx="2">
                  <c:v>3305644</c:v>
                </c:pt>
                <c:pt idx="3">
                  <c:v>3863704</c:v>
                </c:pt>
                <c:pt idx="4">
                  <c:v>4056025</c:v>
                </c:pt>
                <c:pt idx="5">
                  <c:v>4424910</c:v>
                </c:pt>
                <c:pt idx="6">
                  <c:v>5136062</c:v>
                </c:pt>
                <c:pt idx="7">
                  <c:v>6189399</c:v>
                </c:pt>
                <c:pt idx="8">
                  <c:v>6308522</c:v>
                </c:pt>
                <c:pt idx="9">
                  <c:v>6734617</c:v>
                </c:pt>
                <c:pt idx="10">
                  <c:v>6656428</c:v>
                </c:pt>
                <c:pt idx="11">
                  <c:v>6840728</c:v>
                </c:pt>
                <c:pt idx="12">
                  <c:v>6840728</c:v>
                </c:pt>
                <c:pt idx="13">
                  <c:v>6840728</c:v>
                </c:pt>
              </c:numCache>
            </c:numRef>
          </c:val>
          <c:smooth val="0"/>
        </c:ser>
        <c:dLbls>
          <c:showLegendKey val="0"/>
          <c:showVal val="0"/>
          <c:showCatName val="0"/>
          <c:showSerName val="0"/>
          <c:showPercent val="0"/>
          <c:showBubbleSize val="0"/>
        </c:dLbls>
        <c:smooth val="0"/>
        <c:axId val="384679168"/>
        <c:axId val="384679560"/>
      </c:lineChart>
      <c:catAx>
        <c:axId val="384679168"/>
        <c:scaling>
          <c:orientation val="minMax"/>
        </c:scaling>
        <c:delete val="0"/>
        <c:axPos val="b"/>
        <c:numFmt formatCode="General" sourceLinked="0"/>
        <c:majorTickMark val="none"/>
        <c:minorTickMark val="none"/>
        <c:tickLblPos val="nextTo"/>
        <c:crossAx val="384679560"/>
        <c:crosses val="autoZero"/>
        <c:auto val="1"/>
        <c:lblAlgn val="ctr"/>
        <c:lblOffset val="100"/>
        <c:noMultiLvlLbl val="0"/>
      </c:catAx>
      <c:valAx>
        <c:axId val="384679560"/>
        <c:scaling>
          <c:orientation val="minMax"/>
        </c:scaling>
        <c:delete val="0"/>
        <c:axPos val="l"/>
        <c:numFmt formatCode="#,##0.00;\(#,##0.00\)" sourceLinked="1"/>
        <c:majorTickMark val="none"/>
        <c:minorTickMark val="none"/>
        <c:tickLblPos val="nextTo"/>
        <c:spPr>
          <a:ln w="9525">
            <a:noFill/>
          </a:ln>
        </c:spPr>
        <c:txPr>
          <a:bodyPr/>
          <a:lstStyle/>
          <a:p>
            <a:pPr>
              <a:defRPr>
                <a:solidFill>
                  <a:srgbClr val="4D4F53"/>
                </a:solidFill>
                <a:latin typeface="Arial" pitchFamily="34" charset="0"/>
                <a:cs typeface="Arial" pitchFamily="34" charset="0"/>
              </a:defRPr>
            </a:pPr>
            <a:endParaRPr lang="en-US"/>
          </a:p>
        </c:txPr>
        <c:crossAx val="384679168"/>
        <c:crosses val="autoZero"/>
        <c:crossBetween val="between"/>
        <c:dispUnits>
          <c:builtInUnit val="thousands"/>
          <c:dispUnitsLbl>
            <c:txPr>
              <a:bodyPr/>
              <a:lstStyle/>
              <a:p>
                <a:pPr>
                  <a:defRPr>
                    <a:solidFill>
                      <a:srgbClr val="4D4F53"/>
                    </a:solidFill>
                    <a:latin typeface="Arial" pitchFamily="34" charset="0"/>
                    <a:cs typeface="Arial" pitchFamily="34" charset="0"/>
                  </a:defRPr>
                </a:pPr>
                <a:endParaRPr lang="en-US"/>
              </a:p>
            </c:txPr>
          </c:dispUnitsLbl>
        </c:dispUnits>
      </c:valAx>
    </c:plotArea>
    <c:legend>
      <c:legendPos val="b"/>
      <c:overlay val="0"/>
    </c:legend>
    <c:plotVisOnly val="1"/>
    <c:dispBlanksAs val="gap"/>
    <c:showDLblsOverMax val="0"/>
  </c:chart>
  <c:spPr>
    <a:ln w="25400" cap="rnd">
      <a:solidFill>
        <a:srgbClr val="A6A6A6"/>
      </a:solidFill>
    </a:ln>
    <a:effectLst>
      <a:outerShdw blurRad="50800" dist="50800" dir="5400000" algn="ctr" rotWithShape="0">
        <a:srgbClr val="000000">
          <a:alpha val="75000"/>
        </a:srgbClr>
      </a:outerShdw>
    </a:effectLst>
  </c:spPr>
  <c:printSettings>
    <c:headerFooter/>
    <c:pageMargins b="0.750000000000003" l="0.70000000000000062" r="0.70000000000000062" t="0.750000000000003"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142875</xdr:rowOff>
    </xdr:from>
    <xdr:ext cx="964868" cy="333375"/>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0" y="142875"/>
          <a:ext cx="964868" cy="333375"/>
        </a:xfrm>
        <a:prstGeom prst="rect">
          <a:avLst/>
        </a:prstGeom>
      </xdr:spPr>
    </xdr:pic>
    <xdr:clientData/>
  </xdr:oneCellAnchor>
  <xdr:twoCellAnchor editAs="oneCell">
    <xdr:from>
      <xdr:col>3</xdr:col>
      <xdr:colOff>11905</xdr:colOff>
      <xdr:row>5</xdr:row>
      <xdr:rowOff>71435</xdr:rowOff>
    </xdr:from>
    <xdr:to>
      <xdr:col>39</xdr:col>
      <xdr:colOff>3467</xdr:colOff>
      <xdr:row>18</xdr:row>
      <xdr:rowOff>97307</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54905" y="1233485"/>
          <a:ext cx="10288087" cy="2502372"/>
        </a:xfrm>
        <a:prstGeom prst="rect">
          <a:avLst/>
        </a:prstGeom>
      </xdr:spPr>
    </xdr:pic>
    <xdr:clientData/>
  </xdr:twoCellAnchor>
  <xdr:twoCellAnchor editAs="oneCell">
    <xdr:from>
      <xdr:col>2</xdr:col>
      <xdr:colOff>345280</xdr:colOff>
      <xdr:row>19</xdr:row>
      <xdr:rowOff>142875</xdr:rowOff>
    </xdr:from>
    <xdr:to>
      <xdr:col>4</xdr:col>
      <xdr:colOff>190499</xdr:colOff>
      <xdr:row>22</xdr:row>
      <xdr:rowOff>47625</xdr:rowOff>
    </xdr:to>
    <xdr:pic>
      <xdr:nvPicPr>
        <xdr:cNvPr id="5" name="Picture 4"/>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344" t="15000" r="16185" b="16810"/>
        <a:stretch/>
      </xdr:blipFill>
      <xdr:spPr>
        <a:xfrm>
          <a:off x="1107280" y="3971925"/>
          <a:ext cx="607219" cy="590550"/>
        </a:xfrm>
        <a:prstGeom prst="rect">
          <a:avLst/>
        </a:prstGeom>
      </xdr:spPr>
    </xdr:pic>
    <xdr:clientData/>
  </xdr:twoCellAnchor>
  <xdr:twoCellAnchor editAs="oneCell">
    <xdr:from>
      <xdr:col>3</xdr:col>
      <xdr:colOff>0</xdr:colOff>
      <xdr:row>2</xdr:row>
      <xdr:rowOff>11906</xdr:rowOff>
    </xdr:from>
    <xdr:to>
      <xdr:col>15</xdr:col>
      <xdr:colOff>18607</xdr:colOff>
      <xdr:row>3</xdr:row>
      <xdr:rowOff>380946</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43000" y="583406"/>
          <a:ext cx="3542857" cy="4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31</xdr:row>
      <xdr:rowOff>210787</xdr:rowOff>
    </xdr:from>
    <xdr:to>
      <xdr:col>16</xdr:col>
      <xdr:colOff>389467</xdr:colOff>
      <xdr:row>49</xdr:row>
      <xdr:rowOff>104776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1FFCA96-9E7E-42D7-B22F-28F150F3F836}">
  <we:reference id="wa104379397" version="1.0.0.2" store="en-US" storeType="OMEX"/>
  <we:alternateReferences/>
  <we:properties/>
  <we:bindings>
    <we:binding id="ShowFormulae" type="text" appref="{67C10FAA-1F0C-4228-97ED-813B14DDC5D6}"/>
    <we:binding id="MissingAccounts" type="matrix" appref="{12613974-662F-4879-98BE-ADCB55BC23F4}"/>
    <we:binding id="AutoRefresh" type="matrix" appref="{635A31D3-DF60-4B8E-8C6C-E21C11164987}"/>
    <we:binding id="CompaniesList" type="matrix" appref="{FFA7FB4A-754E-4C9F-9FDE-75F7D747EA16}"/>
    <we:binding id="YearsList" type="matrix" appref="{4B92EC27-CF85-40DD-912A-D586D01B79E0}"/>
    <we:binding id="Delimiter" type="text" appref="{60587BA1-568A-4112-9654-EC1027C52AC8}"/>
    <we:binding id="Decimal" type="text" appref="{3AA8772B-D153-41F2-9162-0D1DA46AD68A}"/>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8" Type="http://schemas.openxmlformats.org/officeDocument/2006/relationships/hyperlink" Target="https://twitter.com/sagealchemex" TargetMode="External"/><Relationship Id="rId3" Type="http://schemas.openxmlformats.org/officeDocument/2006/relationships/hyperlink" Target="http://sageintelligence.com/blog" TargetMode="External"/><Relationship Id="rId7" Type="http://schemas.openxmlformats.org/officeDocument/2006/relationships/hyperlink" Target="http://www.youtube.com/user/sageintelligence" TargetMode="External"/><Relationship Id="rId2" Type="http://schemas.openxmlformats.org/officeDocument/2006/relationships/hyperlink" Target="http://kb.sageintelligence.com/index.php?title=Main_Page" TargetMode="External"/><Relationship Id="rId1" Type="http://schemas.openxmlformats.org/officeDocument/2006/relationships/hyperlink" Target="https://www.sageintelligence.com/support/" TargetMode="External"/><Relationship Id="rId6" Type="http://schemas.openxmlformats.org/officeDocument/2006/relationships/hyperlink" Target="http://www.linkedin.com/company/sage-alchemex" TargetMode="External"/><Relationship Id="rId5" Type="http://schemas.openxmlformats.org/officeDocument/2006/relationships/hyperlink" Target="https://www.facebook.com/SageIntelligence" TargetMode="External"/><Relationship Id="rId10" Type="http://schemas.openxmlformats.org/officeDocument/2006/relationships/drawing" Target="../drawings/drawing1.xml"/><Relationship Id="rId4" Type="http://schemas.openxmlformats.org/officeDocument/2006/relationships/hyperlink" Target="http://www.sageintelligencecommunity.com/"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6"/>
  <sheetViews>
    <sheetView showGridLines="0" workbookViewId="0"/>
  </sheetViews>
  <sheetFormatPr defaultRowHeight="14.25" x14ac:dyDescent="0.25"/>
  <cols>
    <col min="1" max="1" width="10.5703125" customWidth="1"/>
  </cols>
  <sheetData>
    <row r="1" spans="1:1" x14ac:dyDescent="0.25">
      <c r="A1" s="1" t="s">
        <v>0</v>
      </c>
    </row>
    <row r="2" spans="1:1" ht="15" thickBot="1" x14ac:dyDescent="0.3">
      <c r="A2" s="2">
        <v>3</v>
      </c>
    </row>
    <row r="3" spans="1:1" x14ac:dyDescent="0.25">
      <c r="A3" s="1" t="s">
        <v>1</v>
      </c>
    </row>
    <row r="4" spans="1:1" ht="15" thickBot="1" x14ac:dyDescent="0.3">
      <c r="A4" s="2" t="str">
        <f ca="1">CHOOSE(1,MID(CellContents,10,1), 3)</f>
        <v>,</v>
      </c>
    </row>
    <row r="5" spans="1:1" x14ac:dyDescent="0.25">
      <c r="A5" s="1" t="s">
        <v>2</v>
      </c>
    </row>
    <row r="6" spans="1:1" ht="15" thickBot="1" x14ac:dyDescent="0.3">
      <c r="A6" s="3" t="str">
        <f ca="1">CHOOSE(1,MID(CellContents,36,1), 3.5)</f>
        <v>.</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outlinePr summaryBelow="0"/>
  </sheetPr>
  <dimension ref="B1:AF58"/>
  <sheetViews>
    <sheetView showGridLines="0" zoomScale="90" zoomScaleNormal="90" workbookViewId="0"/>
  </sheetViews>
  <sheetFormatPr defaultRowHeight="16.5" outlineLevelRow="1" x14ac:dyDescent="0.3"/>
  <cols>
    <col min="1" max="1" width="2.85546875" style="12" customWidth="1"/>
    <col min="2" max="2" width="5.5703125" style="11" customWidth="1"/>
    <col min="3" max="3" width="44.7109375" style="12" customWidth="1"/>
    <col min="4" max="17" width="14" style="12" bestFit="1" customWidth="1"/>
    <col min="18" max="18" width="3" style="12" customWidth="1"/>
    <col min="19" max="32" width="15" style="12" bestFit="1" customWidth="1"/>
    <col min="33" max="16384" width="9.140625" style="12"/>
  </cols>
  <sheetData>
    <row r="1" spans="2:32" ht="15" customHeight="1" x14ac:dyDescent="0.3"/>
    <row r="2" spans="2:32" ht="33.75" customHeight="1" x14ac:dyDescent="0.7">
      <c r="B2" s="91" t="s">
        <v>154</v>
      </c>
      <c r="C2" s="13" t="str">
        <f>CONCATENATE(D4," Statement of Cash Flows")</f>
        <v>0 Statement of Cash Flows</v>
      </c>
    </row>
    <row r="3" spans="2:32" x14ac:dyDescent="0.3">
      <c r="G3" s="128" t="s">
        <v>184</v>
      </c>
      <c r="H3" s="128"/>
      <c r="I3" s="128"/>
      <c r="J3" s="128"/>
    </row>
    <row r="4" spans="2:32" x14ac:dyDescent="0.3">
      <c r="C4" s="14" t="s">
        <v>26</v>
      </c>
      <c r="D4" s="68">
        <f>INDEX(Companies,1)</f>
        <v>0</v>
      </c>
      <c r="G4" s="128"/>
      <c r="H4" s="128"/>
      <c r="I4" s="128"/>
      <c r="J4" s="128"/>
    </row>
    <row r="5" spans="2:32" x14ac:dyDescent="0.3">
      <c r="C5" s="14" t="s">
        <v>27</v>
      </c>
      <c r="D5" s="15" t="str">
        <f>CHOOSE(B, "GLHomeCurrency(" &amp; $D$4 &amp; ")", CellContents, "CAD")</f>
        <v>CAD</v>
      </c>
      <c r="G5" s="128"/>
      <c r="H5" s="128"/>
      <c r="I5" s="128"/>
      <c r="J5" s="128"/>
    </row>
    <row r="6" spans="2:32" x14ac:dyDescent="0.3">
      <c r="C6" s="14" t="s">
        <v>28</v>
      </c>
      <c r="D6" s="15" t="s">
        <v>29</v>
      </c>
      <c r="G6" s="128"/>
      <c r="H6" s="128"/>
      <c r="I6" s="128"/>
      <c r="J6" s="128"/>
    </row>
    <row r="7" spans="2:32" ht="7.5" customHeight="1" x14ac:dyDescent="0.3">
      <c r="G7" s="128"/>
      <c r="H7" s="128"/>
      <c r="I7" s="128"/>
      <c r="J7" s="128"/>
    </row>
    <row r="8" spans="2:32" x14ac:dyDescent="0.3">
      <c r="C8" s="14"/>
      <c r="D8" s="14" t="s">
        <v>56</v>
      </c>
      <c r="E8" s="68">
        <f>CHOOSE(B, "GLCurrentYear(" &amp; $D$4 &amp; ")", CellContents, 2020)</f>
        <v>2020</v>
      </c>
      <c r="S8" s="14" t="s">
        <v>106</v>
      </c>
      <c r="T8" s="68">
        <v>2019</v>
      </c>
    </row>
    <row r="9" spans="2:32" ht="7.5" customHeight="1" x14ac:dyDescent="0.3">
      <c r="D9" s="16"/>
      <c r="E9" s="17"/>
      <c r="S9" s="16"/>
      <c r="T9" s="17"/>
    </row>
    <row r="10" spans="2:32" x14ac:dyDescent="0.3">
      <c r="B10" s="18"/>
      <c r="C10" s="19"/>
      <c r="D10" s="131" t="s">
        <v>107</v>
      </c>
      <c r="E10" s="131"/>
      <c r="F10" s="131"/>
      <c r="G10" s="131"/>
      <c r="H10" s="131"/>
      <c r="I10" s="131"/>
      <c r="J10" s="131"/>
      <c r="K10" s="131"/>
      <c r="L10" s="131"/>
      <c r="M10" s="131"/>
      <c r="N10" s="131"/>
      <c r="O10" s="131"/>
      <c r="P10" s="131"/>
      <c r="Q10" s="131"/>
      <c r="R10" s="47"/>
      <c r="S10" s="131" t="s">
        <v>107</v>
      </c>
      <c r="T10" s="131"/>
      <c r="U10" s="131"/>
      <c r="V10" s="131"/>
      <c r="W10" s="131"/>
      <c r="X10" s="131"/>
      <c r="Y10" s="131"/>
      <c r="Z10" s="131"/>
      <c r="AA10" s="131"/>
      <c r="AB10" s="131"/>
      <c r="AC10" s="131"/>
      <c r="AD10" s="131"/>
      <c r="AE10" s="131"/>
      <c r="AF10" s="131"/>
    </row>
    <row r="11" spans="2:32" x14ac:dyDescent="0.3">
      <c r="D11" s="60">
        <v>1</v>
      </c>
      <c r="E11" s="60">
        <v>2</v>
      </c>
      <c r="F11" s="60">
        <v>3</v>
      </c>
      <c r="G11" s="60">
        <v>4</v>
      </c>
      <c r="H11" s="60">
        <v>5</v>
      </c>
      <c r="I11" s="60">
        <v>6</v>
      </c>
      <c r="J11" s="60">
        <v>7</v>
      </c>
      <c r="K11" s="60">
        <v>8</v>
      </c>
      <c r="L11" s="60">
        <v>9</v>
      </c>
      <c r="M11" s="60">
        <v>10</v>
      </c>
      <c r="N11" s="60">
        <v>11</v>
      </c>
      <c r="O11" s="60">
        <v>12</v>
      </c>
      <c r="P11" s="60">
        <v>13</v>
      </c>
      <c r="Q11" s="60">
        <v>14</v>
      </c>
      <c r="R11" s="47"/>
      <c r="S11" s="60">
        <v>1</v>
      </c>
      <c r="T11" s="60">
        <v>2</v>
      </c>
      <c r="U11" s="60">
        <v>3</v>
      </c>
      <c r="V11" s="60">
        <v>4</v>
      </c>
      <c r="W11" s="60">
        <v>5</v>
      </c>
      <c r="X11" s="60">
        <v>6</v>
      </c>
      <c r="Y11" s="60">
        <v>7</v>
      </c>
      <c r="Z11" s="60">
        <v>8</v>
      </c>
      <c r="AA11" s="60">
        <v>9</v>
      </c>
      <c r="AB11" s="60">
        <v>10</v>
      </c>
      <c r="AC11" s="60">
        <v>11</v>
      </c>
      <c r="AD11" s="60">
        <v>12</v>
      </c>
      <c r="AE11" s="60">
        <v>13</v>
      </c>
      <c r="AF11" s="60">
        <v>14</v>
      </c>
    </row>
    <row r="12" spans="2:32" customFormat="1" ht="14.25" x14ac:dyDescent="0.25"/>
    <row r="13" spans="2:32" customFormat="1" ht="14.25" x14ac:dyDescent="0.25">
      <c r="C13" s="35" t="s">
        <v>116</v>
      </c>
      <c r="D13" s="32">
        <f>'Cash Flow Detail'!D24</f>
        <v>-1043635</v>
      </c>
      <c r="E13" s="32">
        <f>'Cash Flow Detail'!E24</f>
        <v>-1919539</v>
      </c>
      <c r="F13" s="32">
        <f>'Cash Flow Detail'!F24</f>
        <v>-3697962</v>
      </c>
      <c r="G13" s="32">
        <f>'Cash Flow Detail'!G24</f>
        <v>-4962787</v>
      </c>
      <c r="H13" s="32">
        <f>'Cash Flow Detail'!H24</f>
        <v>-6568909</v>
      </c>
      <c r="I13" s="32">
        <f>'Cash Flow Detail'!I24</f>
        <v>-6566192</v>
      </c>
      <c r="J13" s="32">
        <f>'Cash Flow Detail'!J24</f>
        <v>-6530411</v>
      </c>
      <c r="K13" s="32">
        <f>'Cash Flow Detail'!K24</f>
        <v>-6530811</v>
      </c>
      <c r="L13" s="32">
        <f>'Cash Flow Detail'!L24</f>
        <v>-6530811</v>
      </c>
      <c r="M13" s="32">
        <f>'Cash Flow Detail'!M24</f>
        <v>-6530811</v>
      </c>
      <c r="N13" s="32">
        <f>'Cash Flow Detail'!N24</f>
        <v>-6530811</v>
      </c>
      <c r="O13" s="32">
        <f>'Cash Flow Detail'!O24</f>
        <v>-6530811</v>
      </c>
      <c r="P13" s="32">
        <f>'Cash Flow Detail'!P24</f>
        <v>-6530811</v>
      </c>
      <c r="Q13" s="32">
        <f>'Cash Flow Detail'!Q24</f>
        <v>-6530811</v>
      </c>
      <c r="S13" s="32">
        <f>'Cash Flow Detail'!S24</f>
        <v>-701437</v>
      </c>
      <c r="T13" s="32">
        <f>'Cash Flow Detail'!T24</f>
        <v>-1073077</v>
      </c>
      <c r="U13" s="32">
        <f>'Cash Flow Detail'!U24</f>
        <v>-1202557</v>
      </c>
      <c r="V13" s="32">
        <f>'Cash Flow Detail'!V24</f>
        <v>-1932617</v>
      </c>
      <c r="W13" s="32">
        <f>'Cash Flow Detail'!W24</f>
        <v>-2196938</v>
      </c>
      <c r="X13" s="32">
        <f>'Cash Flow Detail'!X24</f>
        <v>-2537823</v>
      </c>
      <c r="Y13" s="32">
        <f>'Cash Flow Detail'!Y24</f>
        <v>-3220975</v>
      </c>
      <c r="Z13" s="32">
        <f>'Cash Flow Detail'!Z24</f>
        <v>-4246312</v>
      </c>
      <c r="AA13" s="32">
        <f>'Cash Flow Detail'!AA24</f>
        <v>-4337435</v>
      </c>
      <c r="AB13" s="32">
        <f>'Cash Flow Detail'!AB24</f>
        <v>-4735530</v>
      </c>
      <c r="AC13" s="32">
        <f>'Cash Flow Detail'!AC24</f>
        <v>-4634341</v>
      </c>
      <c r="AD13" s="32">
        <f>'Cash Flow Detail'!AD24</f>
        <v>-4790641</v>
      </c>
      <c r="AE13" s="32">
        <f>'Cash Flow Detail'!AE24</f>
        <v>-4790641</v>
      </c>
      <c r="AF13" s="32">
        <f>'Cash Flow Detail'!AF24</f>
        <v>-4790641</v>
      </c>
    </row>
    <row r="14" spans="2:32" ht="7.5" customHeight="1" x14ac:dyDescent="0.3"/>
    <row r="15" spans="2:32" collapsed="1" x14ac:dyDescent="0.3">
      <c r="B15" s="28"/>
      <c r="C15" s="29" t="s">
        <v>108</v>
      </c>
      <c r="D15" s="32">
        <f t="shared" ref="D15:Q15" si="0">SUM(D16:D20)</f>
        <v>-28000</v>
      </c>
      <c r="E15" s="32">
        <f t="shared" si="0"/>
        <v>439000</v>
      </c>
      <c r="F15" s="32">
        <f t="shared" si="0"/>
        <v>901000</v>
      </c>
      <c r="G15" s="32">
        <f t="shared" si="0"/>
        <v>1158000</v>
      </c>
      <c r="H15" s="32">
        <f t="shared" si="0"/>
        <v>1410000</v>
      </c>
      <c r="I15" s="32">
        <f t="shared" si="0"/>
        <v>1410106</v>
      </c>
      <c r="J15" s="32">
        <f t="shared" si="0"/>
        <v>1411166</v>
      </c>
      <c r="K15" s="32">
        <f t="shared" si="0"/>
        <v>1411166</v>
      </c>
      <c r="L15" s="32">
        <f t="shared" si="0"/>
        <v>1411166</v>
      </c>
      <c r="M15" s="32">
        <f t="shared" si="0"/>
        <v>1411166</v>
      </c>
      <c r="N15" s="32">
        <f t="shared" si="0"/>
        <v>1411166</v>
      </c>
      <c r="O15" s="32">
        <f t="shared" si="0"/>
        <v>1411166</v>
      </c>
      <c r="P15" s="32">
        <f t="shared" si="0"/>
        <v>1411166</v>
      </c>
      <c r="Q15" s="32">
        <f t="shared" si="0"/>
        <v>1411166</v>
      </c>
      <c r="R15" s="52"/>
      <c r="S15" s="32">
        <f t="shared" ref="S15:AF15" si="1">SUM(S16:S20)</f>
        <v>-28000</v>
      </c>
      <c r="T15" s="32">
        <f t="shared" si="1"/>
        <v>-56000</v>
      </c>
      <c r="U15" s="32">
        <f t="shared" si="1"/>
        <v>-84000</v>
      </c>
      <c r="V15" s="32">
        <f t="shared" si="1"/>
        <v>88000</v>
      </c>
      <c r="W15" s="32">
        <f t="shared" si="1"/>
        <v>160000</v>
      </c>
      <c r="X15" s="32">
        <f t="shared" si="1"/>
        <v>132000</v>
      </c>
      <c r="Y15" s="32">
        <f t="shared" si="1"/>
        <v>104000</v>
      </c>
      <c r="Z15" s="32">
        <f t="shared" si="1"/>
        <v>76000</v>
      </c>
      <c r="AA15" s="32">
        <f t="shared" si="1"/>
        <v>48000</v>
      </c>
      <c r="AB15" s="32">
        <f t="shared" si="1"/>
        <v>20000</v>
      </c>
      <c r="AC15" s="32">
        <f t="shared" si="1"/>
        <v>-3000</v>
      </c>
      <c r="AD15" s="32">
        <f t="shared" si="1"/>
        <v>-31000</v>
      </c>
      <c r="AE15" s="32">
        <f t="shared" si="1"/>
        <v>-31000</v>
      </c>
      <c r="AF15" s="32">
        <f t="shared" si="1"/>
        <v>-31000</v>
      </c>
    </row>
    <row r="16" spans="2:32" hidden="1" outlineLevel="1" x14ac:dyDescent="0.3">
      <c r="B16" s="29" t="s">
        <v>75</v>
      </c>
      <c r="C16" s="29" t="s">
        <v>38</v>
      </c>
      <c r="D16" s="32">
        <f>CHOOSE(B, "GLActualYTD(" &amp; "Account" &amp; "," &amp; $D$4 &amp; "," &amp; $E$8 &amp; "," &amp; D$11 &amp; "," &amp; "AccountGroupCode" &amp; "," &amp; $B16 &amp; "," &amp; "AccountStructureCode" &amp; "," &amp; "AccountType" &amp; "," &amp; "BalanceType" &amp; "," &amp; $D$5 &amp; "," &amp; $D$6 &amp; ")", CellContents, 0)</f>
        <v>0</v>
      </c>
      <c r="E16" s="32">
        <f>CHOOSE(B, "GLActualYTD(" &amp; "Account" &amp; "," &amp; $D$4 &amp; "," &amp; $E$8 &amp; "," &amp; E$11 &amp; "," &amp; "AccountGroupCode" &amp; "," &amp; $B16 &amp; "," &amp; "AccountStructureCode" &amp; "," &amp; "AccountType" &amp; "," &amp; "BalanceType" &amp; "," &amp; $D$5 &amp; "," &amp; $D$6 &amp; ")", CellContents, 500000)</f>
        <v>500000</v>
      </c>
      <c r="F16" s="32">
        <f>CHOOSE(B, "GLActualYTD(" &amp; "Account" &amp; "," &amp; $D$4 &amp; "," &amp; $E$8 &amp; "," &amp; F$11 &amp; "," &amp; "AccountGroupCode" &amp; "," &amp; $B16 &amp; "," &amp; "AccountStructureCode" &amp; "," &amp; "AccountType" &amp; "," &amp; "BalanceType" &amp; "," &amp; $D$5 &amp; "," &amp; $D$6 &amp; ")", CellContents, 1000000)</f>
        <v>1000000</v>
      </c>
      <c r="G16" s="32">
        <f>CHOOSE(B, "GLActualYTD(" &amp; "Account" &amp; "," &amp; $D$4 &amp; "," &amp; $E$8 &amp; "," &amp; G$11 &amp; "," &amp; "AccountGroupCode" &amp; "," &amp; $B16 &amp; "," &amp; "AccountStructureCode" &amp; "," &amp; "AccountType" &amp; "," &amp; "BalanceType" &amp; "," &amp; $D$5 &amp; "," &amp; $D$6 &amp; ")", CellContents, 1300000)</f>
        <v>1300000</v>
      </c>
      <c r="H16" s="32">
        <f>CHOOSE(B, "GLActualYTD(" &amp; "Account" &amp; "," &amp; $D$4 &amp; "," &amp; $E$8 &amp; "," &amp; H$11 &amp; "," &amp; "AccountGroupCode" &amp; "," &amp; $B16 &amp; "," &amp; "AccountStructureCode" &amp; "," &amp; "AccountType" &amp; "," &amp; "BalanceType" &amp; "," &amp; $D$5 &amp; "," &amp; $D$6 &amp; ")", CellContents, 1600000)</f>
        <v>1600000</v>
      </c>
      <c r="I16" s="32">
        <f>CHOOSE(B, "GLActualYTD(" &amp; "Account" &amp; "," &amp; $D$4 &amp; "," &amp; $E$8 &amp; "," &amp; I$11 &amp; "," &amp; "AccountGroupCode" &amp; "," &amp; $B16 &amp; "," &amp; "AccountStructureCode" &amp; "," &amp; "AccountType" &amp; "," &amp; "BalanceType" &amp; "," &amp; $D$5 &amp; "," &amp; $D$6 &amp; ")", CellContents, 1600106)</f>
        <v>1600106</v>
      </c>
      <c r="J16" s="32">
        <f t="shared" ref="J16:Q16" si="2">CHOOSE(B, "GLActualYTD(" &amp; "Account" &amp; "," &amp; $D$4 &amp; "," &amp; $E$8 &amp; "," &amp; J$11 &amp; "," &amp; "AccountGroupCode" &amp; "," &amp; $B16 &amp; "," &amp; "AccountStructureCode" &amp; "," &amp; "AccountType" &amp; "," &amp; "BalanceType" &amp; "," &amp; $D$5 &amp; "," &amp; $D$6 &amp; ")", CellContents, 1601166)</f>
        <v>1601166</v>
      </c>
      <c r="K16" s="32">
        <f t="shared" si="2"/>
        <v>1601166</v>
      </c>
      <c r="L16" s="32">
        <f t="shared" si="2"/>
        <v>1601166</v>
      </c>
      <c r="M16" s="32">
        <f t="shared" si="2"/>
        <v>1601166</v>
      </c>
      <c r="N16" s="32">
        <f t="shared" si="2"/>
        <v>1601166</v>
      </c>
      <c r="O16" s="32">
        <f t="shared" si="2"/>
        <v>1601166</v>
      </c>
      <c r="P16" s="32">
        <f t="shared" si="2"/>
        <v>1601166</v>
      </c>
      <c r="Q16" s="32">
        <f t="shared" si="2"/>
        <v>1601166</v>
      </c>
      <c r="R16" s="52"/>
      <c r="S16" s="32">
        <f>CHOOSE(B, "GLActualYTD(" &amp; "Account" &amp; "," &amp; $D$4 &amp; "," &amp; $T$8 &amp; "," &amp; S$11 &amp; "," &amp; "AccountGroupCode" &amp; "," &amp; $B16 &amp; "," &amp; "AccountStructureCode" &amp; "," &amp; "AccountType" &amp; "," &amp; "BalanceType" &amp; "," &amp; $D$5 &amp; "," &amp; $D$6 &amp; ")", CellContents, 0)</f>
        <v>0</v>
      </c>
      <c r="T16" s="32">
        <f>CHOOSE(B, "GLActualYTD(" &amp; "Account" &amp; "," &amp; $D$4 &amp; "," &amp; $T$8 &amp; "," &amp; T$11 &amp; "," &amp; "AccountGroupCode" &amp; "," &amp; $B16 &amp; "," &amp; "AccountStructureCode" &amp; "," &amp; "AccountType" &amp; "," &amp; "BalanceType" &amp; "," &amp; $D$5 &amp; "," &amp; $D$6 &amp; ")", CellContents, 0)</f>
        <v>0</v>
      </c>
      <c r="U16" s="32">
        <f>CHOOSE(B, "GLActualYTD(" &amp; "Account" &amp; "," &amp; $D$4 &amp; "," &amp; $T$8 &amp; "," &amp; U$11 &amp; "," &amp; "AccountGroupCode" &amp; "," &amp; $B16 &amp; "," &amp; "AccountStructureCode" &amp; "," &amp; "AccountType" &amp; "," &amp; "BalanceType" &amp; "," &amp; $D$5 &amp; "," &amp; $D$6 &amp; ")", CellContents, 0)</f>
        <v>0</v>
      </c>
      <c r="V16" s="32">
        <f>CHOOSE(B, "GLActualYTD(" &amp; "Account" &amp; "," &amp; $D$4 &amp; "," &amp; $T$8 &amp; "," &amp; V$11 &amp; "," &amp; "AccountGroupCode" &amp; "," &amp; $B16 &amp; "," &amp; "AccountStructureCode" &amp; "," &amp; "AccountType" &amp; "," &amp; "BalanceType" &amp; "," &amp; $D$5 &amp; "," &amp; $D$6 &amp; ")", CellContents, 200000)</f>
        <v>200000</v>
      </c>
      <c r="W16" s="32">
        <f t="shared" ref="W16:AF16" si="3">CHOOSE(B, "GLActualYTD(" &amp; "Account" &amp; "," &amp; $D$4 &amp; "," &amp; $T$8 &amp; "," &amp; W$11 &amp; "," &amp; "AccountGroupCode" &amp; "," &amp; $B16 &amp; "," &amp; "AccountStructureCode" &amp; "," &amp; "AccountType" &amp; "," &amp; "BalanceType" &amp; "," &amp; $D$5 &amp; "," &amp; $D$6 &amp; ")", CellContents, 300000)</f>
        <v>300000</v>
      </c>
      <c r="X16" s="32">
        <f t="shared" si="3"/>
        <v>300000</v>
      </c>
      <c r="Y16" s="32">
        <f t="shared" si="3"/>
        <v>300000</v>
      </c>
      <c r="Z16" s="32">
        <f t="shared" si="3"/>
        <v>300000</v>
      </c>
      <c r="AA16" s="32">
        <f t="shared" si="3"/>
        <v>300000</v>
      </c>
      <c r="AB16" s="32">
        <f t="shared" si="3"/>
        <v>300000</v>
      </c>
      <c r="AC16" s="32">
        <f t="shared" si="3"/>
        <v>300000</v>
      </c>
      <c r="AD16" s="32">
        <f t="shared" si="3"/>
        <v>300000</v>
      </c>
      <c r="AE16" s="32">
        <f t="shared" si="3"/>
        <v>300000</v>
      </c>
      <c r="AF16" s="32">
        <f t="shared" si="3"/>
        <v>300000</v>
      </c>
    </row>
    <row r="17" spans="2:32" hidden="1" outlineLevel="1" x14ac:dyDescent="0.3">
      <c r="B17" s="29" t="s">
        <v>76</v>
      </c>
      <c r="C17" s="29" t="s">
        <v>39</v>
      </c>
      <c r="D17" s="32">
        <f>CHOOSE(B, "GLActualYTD(" &amp; "Account" &amp; "," &amp; $D$4 &amp; "," &amp; $E$8 &amp; "," &amp; D$11 &amp; "," &amp; "AccountGroupCode" &amp; "," &amp; $B17 &amp; "," &amp; "AccountStructureCode" &amp; "," &amp; "AccountType" &amp; "," &amp; "BalanceType" &amp; "," &amp; $D$5 &amp; "," &amp; $D$6 &amp; ")", CellContents, -40000)</f>
        <v>-40000</v>
      </c>
      <c r="E17" s="32">
        <f>CHOOSE(B, "GLActualYTD(" &amp; "Account" &amp; "," &amp; $D$4 &amp; "," &amp; $E$8 &amp; "," &amp; E$11 &amp; "," &amp; "AccountGroupCode" &amp; "," &amp; $B17 &amp; "," &amp; "AccountStructureCode" &amp; "," &amp; "AccountType" &amp; "," &amp; "BalanceType" &amp; "," &amp; $D$5 &amp; "," &amp; $D$6 &amp; ")", CellContents, -85000)</f>
        <v>-85000</v>
      </c>
      <c r="F17" s="32">
        <f>CHOOSE(B, "GLActualYTD(" &amp; "Account" &amp; "," &amp; $D$4 &amp; "," &amp; $E$8 &amp; "," &amp; F$11 &amp; "," &amp; "AccountGroupCode" &amp; "," &amp; $B17 &amp; "," &amp; "AccountStructureCode" &amp; "," &amp; "AccountType" &amp; "," &amp; "BalanceType" &amp; "," &amp; $D$5 &amp; "," &amp; $D$6 &amp; ")", CellContents, -135000)</f>
        <v>-135000</v>
      </c>
      <c r="G17" s="32">
        <f>CHOOSE(B, "GLActualYTD(" &amp; "Account" &amp; "," &amp; $D$4 &amp; "," &amp; $E$8 &amp; "," &amp; G$11 &amp; "," &amp; "AccountGroupCode" &amp; "," &amp; $B17 &amp; "," &amp; "AccountStructureCode" &amp; "," &amp; "AccountType" &amp; "," &amp; "BalanceType" &amp; "," &amp; $D$5 &amp; "," &amp; $D$6 &amp; ")", CellContents, -190000)</f>
        <v>-190000</v>
      </c>
      <c r="H17" s="32">
        <f t="shared" ref="H17:Q17" si="4">CHOOSE(B, "GLActualYTD(" &amp; "Account" &amp; "," &amp; $D$4 &amp; "," &amp; $E$8 &amp; "," &amp; H$11 &amp; "," &amp; "AccountGroupCode" &amp; "," &amp; $B17 &amp; "," &amp; "AccountStructureCode" &amp; "," &amp; "AccountType" &amp; "," &amp; "BalanceType" &amp; "," &amp; $D$5 &amp; "," &amp; $D$6 &amp; ")", CellContents, -250000)</f>
        <v>-250000</v>
      </c>
      <c r="I17" s="32">
        <f t="shared" si="4"/>
        <v>-250000</v>
      </c>
      <c r="J17" s="32">
        <f t="shared" si="4"/>
        <v>-250000</v>
      </c>
      <c r="K17" s="32">
        <f t="shared" si="4"/>
        <v>-250000</v>
      </c>
      <c r="L17" s="32">
        <f t="shared" si="4"/>
        <v>-250000</v>
      </c>
      <c r="M17" s="32">
        <f t="shared" si="4"/>
        <v>-250000</v>
      </c>
      <c r="N17" s="32">
        <f t="shared" si="4"/>
        <v>-250000</v>
      </c>
      <c r="O17" s="32">
        <f t="shared" si="4"/>
        <v>-250000</v>
      </c>
      <c r="P17" s="32">
        <f t="shared" si="4"/>
        <v>-250000</v>
      </c>
      <c r="Q17" s="32">
        <f t="shared" si="4"/>
        <v>-250000</v>
      </c>
      <c r="R17" s="52"/>
      <c r="S17" s="32">
        <f>CHOOSE(B, "GLActualYTD(" &amp; "Account" &amp; "," &amp; $D$4 &amp; "," &amp; $T$8 &amp; "," &amp; S$11 &amp; "," &amp; "AccountGroupCode" &amp; "," &amp; $B17 &amp; "," &amp; "AccountStructureCode" &amp; "," &amp; "AccountType" &amp; "," &amp; "BalanceType" &amp; "," &amp; $D$5 &amp; "," &amp; $D$6 &amp; ")", CellContents, -40000)</f>
        <v>-40000</v>
      </c>
      <c r="T17" s="32">
        <f>CHOOSE(B, "GLActualYTD(" &amp; "Account" &amp; "," &amp; $D$4 &amp; "," &amp; $T$8 &amp; "," &amp; T$11 &amp; "," &amp; "AccountGroupCode" &amp; "," &amp; $B17 &amp; "," &amp; "AccountStructureCode" &amp; "," &amp; "AccountType" &amp; "," &amp; "BalanceType" &amp; "," &amp; $D$5 &amp; "," &amp; $D$6 &amp; ")", CellContents, -80000)</f>
        <v>-80000</v>
      </c>
      <c r="U17" s="32">
        <f>CHOOSE(B, "GLActualYTD(" &amp; "Account" &amp; "," &amp; $D$4 &amp; "," &amp; $T$8 &amp; "," &amp; U$11 &amp; "," &amp; "AccountGroupCode" &amp; "," &amp; $B17 &amp; "," &amp; "AccountStructureCode" &amp; "," &amp; "AccountType" &amp; "," &amp; "BalanceType" &amp; "," &amp; $D$5 &amp; "," &amp; $D$6 &amp; ")", CellContents, -120000)</f>
        <v>-120000</v>
      </c>
      <c r="V17" s="32">
        <f>CHOOSE(B, "GLActualYTD(" &amp; "Account" &amp; "," &amp; $D$4 &amp; "," &amp; $T$8 &amp; "," &amp; V$11 &amp; "," &amp; "AccountGroupCode" &amp; "," &amp; $B17 &amp; "," &amp; "AccountStructureCode" &amp; "," &amp; "AccountType" &amp; "," &amp; "BalanceType" &amp; "," &amp; $D$5 &amp; "," &amp; $D$6 &amp; ")", CellContents, -160000)</f>
        <v>-160000</v>
      </c>
      <c r="W17" s="32">
        <f>CHOOSE(B, "GLActualYTD(" &amp; "Account" &amp; "," &amp; $D$4 &amp; "," &amp; $T$8 &amp; "," &amp; W$11 &amp; "," &amp; "AccountGroupCode" &amp; "," &amp; $B17 &amp; "," &amp; "AccountStructureCode" &amp; "," &amp; "AccountType" &amp; "," &amp; "BalanceType" &amp; "," &amp; $D$5 &amp; "," &amp; $D$6 &amp; ")", CellContents, -200000)</f>
        <v>-200000</v>
      </c>
      <c r="X17" s="32">
        <f>CHOOSE(B, "GLActualYTD(" &amp; "Account" &amp; "," &amp; $D$4 &amp; "," &amp; $T$8 &amp; "," &amp; X$11 &amp; "," &amp; "AccountGroupCode" &amp; "," &amp; $B17 &amp; "," &amp; "AccountStructureCode" &amp; "," &amp; "AccountType" &amp; "," &amp; "BalanceType" &amp; "," &amp; $D$5 &amp; "," &amp; $D$6 &amp; ")", CellContents, -240000)</f>
        <v>-240000</v>
      </c>
      <c r="Y17" s="32">
        <f>CHOOSE(B, "GLActualYTD(" &amp; "Account" &amp; "," &amp; $D$4 &amp; "," &amp; $T$8 &amp; "," &amp; Y$11 &amp; "," &amp; "AccountGroupCode" &amp; "," &amp; $B17 &amp; "," &amp; "AccountStructureCode" &amp; "," &amp; "AccountType" &amp; "," &amp; "BalanceType" &amp; "," &amp; $D$5 &amp; "," &amp; $D$6 &amp; ")", CellContents, -280000)</f>
        <v>-280000</v>
      </c>
      <c r="Z17" s="32">
        <f>CHOOSE(B, "GLActualYTD(" &amp; "Account" &amp; "," &amp; $D$4 &amp; "," &amp; $T$8 &amp; "," &amp; Z$11 &amp; "," &amp; "AccountGroupCode" &amp; "," &amp; $B17 &amp; "," &amp; "AccountStructureCode" &amp; "," &amp; "AccountType" &amp; "," &amp; "BalanceType" &amp; "," &amp; $D$5 &amp; "," &amp; $D$6 &amp; ")", CellContents, -320000)</f>
        <v>-320000</v>
      </c>
      <c r="AA17" s="32">
        <f>CHOOSE(B, "GLActualYTD(" &amp; "Account" &amp; "," &amp; $D$4 &amp; "," &amp; $T$8 &amp; "," &amp; AA$11 &amp; "," &amp; "AccountGroupCode" &amp; "," &amp; $B17 &amp; "," &amp; "AccountStructureCode" &amp; "," &amp; "AccountType" &amp; "," &amp; "BalanceType" &amp; "," &amp; $D$5 &amp; "," &amp; $D$6 &amp; ")", CellContents, -360000)</f>
        <v>-360000</v>
      </c>
      <c r="AB17" s="32">
        <f>CHOOSE(B, "GLActualYTD(" &amp; "Account" &amp; "," &amp; $D$4 &amp; "," &amp; $T$8 &amp; "," &amp; AB$11 &amp; "," &amp; "AccountGroupCode" &amp; "," &amp; $B17 &amp; "," &amp; "AccountStructureCode" &amp; "," &amp; "AccountType" &amp; "," &amp; "BalanceType" &amp; "," &amp; $D$5 &amp; "," &amp; $D$6 &amp; ")", CellContents, -400000)</f>
        <v>-400000</v>
      </c>
      <c r="AC17" s="32">
        <f>CHOOSE(B, "GLActualYTD(" &amp; "Account" &amp; "," &amp; $D$4 &amp; "," &amp; $T$8 &amp; "," &amp; AC$11 &amp; "," &amp; "AccountGroupCode" &amp; "," &amp; $B17 &amp; "," &amp; "AccountStructureCode" &amp; "," &amp; "AccountType" &amp; "," &amp; "BalanceType" &amp; "," &amp; $D$5 &amp; "," &amp; $D$6 &amp; ")", CellContents, -435000)</f>
        <v>-435000</v>
      </c>
      <c r="AD17" s="32">
        <f>CHOOSE(B, "GLActualYTD(" &amp; "Account" &amp; "," &amp; $D$4 &amp; "," &amp; $T$8 &amp; "," &amp; AD$11 &amp; "," &amp; "AccountGroupCode" &amp; "," &amp; $B17 &amp; "," &amp; "AccountStructureCode" &amp; "," &amp; "AccountType" &amp; "," &amp; "BalanceType" &amp; "," &amp; $D$5 &amp; "," &amp; $D$6 &amp; ")", CellContents, -475000)</f>
        <v>-475000</v>
      </c>
      <c r="AE17" s="32">
        <f>CHOOSE(B, "GLActualYTD(" &amp; "Account" &amp; "," &amp; $D$4 &amp; "," &amp; $T$8 &amp; "," &amp; AE$11 &amp; "," &amp; "AccountGroupCode" &amp; "," &amp; $B17 &amp; "," &amp; "AccountStructureCode" &amp; "," &amp; "AccountType" &amp; "," &amp; "BalanceType" &amp; "," &amp; $D$5 &amp; "," &amp; $D$6 &amp; ")", CellContents, -475000)</f>
        <v>-475000</v>
      </c>
      <c r="AF17" s="32">
        <f>CHOOSE(B, "GLActualYTD(" &amp; "Account" &amp; "," &amp; $D$4 &amp; "," &amp; $T$8 &amp; "," &amp; AF$11 &amp; "," &amp; "AccountGroupCode" &amp; "," &amp; $B17 &amp; "," &amp; "AccountStructureCode" &amp; "," &amp; "AccountType" &amp; "," &amp; "BalanceType" &amp; "," &amp; $D$5 &amp; "," &amp; $D$6 &amp; ")", CellContents, -475000)</f>
        <v>-475000</v>
      </c>
    </row>
    <row r="18" spans="2:32" hidden="1" outlineLevel="1" x14ac:dyDescent="0.3">
      <c r="B18" s="29" t="s">
        <v>77</v>
      </c>
      <c r="C18" s="29" t="s">
        <v>34</v>
      </c>
      <c r="D18" s="32">
        <f t="shared" ref="D18:Q18" si="5">CHOOSE(B, "GLActualYTD(" &amp; "Account" &amp; "," &amp; $D$4 &amp; "," &amp; $E$8 &amp; "," &amp; D$11 &amp; "," &amp; "AccountGroupCode" &amp; "," &amp; $B18 &amp; "," &amp; "AccountStructureCode" &amp; "," &amp; "AccountType" &amp; "," &amp; "BalanceType" &amp; "," &amp; $D$5 &amp; "," &amp; $D$6 &amp; ")", CellContents, 0)</f>
        <v>0</v>
      </c>
      <c r="E18" s="32">
        <f t="shared" si="5"/>
        <v>0</v>
      </c>
      <c r="F18" s="32">
        <f t="shared" si="5"/>
        <v>0</v>
      </c>
      <c r="G18" s="32">
        <f t="shared" si="5"/>
        <v>0</v>
      </c>
      <c r="H18" s="32">
        <f t="shared" si="5"/>
        <v>0</v>
      </c>
      <c r="I18" s="32">
        <f t="shared" si="5"/>
        <v>0</v>
      </c>
      <c r="J18" s="32">
        <f t="shared" si="5"/>
        <v>0</v>
      </c>
      <c r="K18" s="32">
        <f t="shared" si="5"/>
        <v>0</v>
      </c>
      <c r="L18" s="32">
        <f t="shared" si="5"/>
        <v>0</v>
      </c>
      <c r="M18" s="32">
        <f t="shared" si="5"/>
        <v>0</v>
      </c>
      <c r="N18" s="32">
        <f t="shared" si="5"/>
        <v>0</v>
      </c>
      <c r="O18" s="32">
        <f t="shared" si="5"/>
        <v>0</v>
      </c>
      <c r="P18" s="32">
        <f t="shared" si="5"/>
        <v>0</v>
      </c>
      <c r="Q18" s="32">
        <f t="shared" si="5"/>
        <v>0</v>
      </c>
      <c r="R18" s="52"/>
      <c r="S18" s="32">
        <f t="shared" ref="S18:AF18" si="6">CHOOSE(B, "GLActualYTD(" &amp; "Account" &amp; "," &amp; $D$4 &amp; "," &amp; $T$8 &amp; "," &amp; S$11 &amp; "," &amp; "AccountGroupCode" &amp; "," &amp; $B18 &amp; "," &amp; "AccountStructureCode" &amp; "," &amp; "AccountType" &amp; "," &amp; "BalanceType" &amp; "," &amp; $D$5 &amp; "," &amp; $D$6 &amp; ")", CellContents, 0)</f>
        <v>0</v>
      </c>
      <c r="T18" s="32">
        <f t="shared" si="6"/>
        <v>0</v>
      </c>
      <c r="U18" s="32">
        <f t="shared" si="6"/>
        <v>0</v>
      </c>
      <c r="V18" s="32">
        <f t="shared" si="6"/>
        <v>0</v>
      </c>
      <c r="W18" s="32">
        <f t="shared" si="6"/>
        <v>0</v>
      </c>
      <c r="X18" s="32">
        <f t="shared" si="6"/>
        <v>0</v>
      </c>
      <c r="Y18" s="32">
        <f t="shared" si="6"/>
        <v>0</v>
      </c>
      <c r="Z18" s="32">
        <f t="shared" si="6"/>
        <v>0</v>
      </c>
      <c r="AA18" s="32">
        <f t="shared" si="6"/>
        <v>0</v>
      </c>
      <c r="AB18" s="32">
        <f t="shared" si="6"/>
        <v>0</v>
      </c>
      <c r="AC18" s="32">
        <f t="shared" si="6"/>
        <v>0</v>
      </c>
      <c r="AD18" s="32">
        <f t="shared" si="6"/>
        <v>0</v>
      </c>
      <c r="AE18" s="32">
        <f t="shared" si="6"/>
        <v>0</v>
      </c>
      <c r="AF18" s="32">
        <f t="shared" si="6"/>
        <v>0</v>
      </c>
    </row>
    <row r="19" spans="2:32" hidden="1" outlineLevel="1" x14ac:dyDescent="0.3">
      <c r="B19" s="29" t="s">
        <v>80</v>
      </c>
      <c r="C19" s="29" t="s">
        <v>172</v>
      </c>
      <c r="D19" s="32">
        <f>CHOOSE(B, "GLActualYTD(" &amp; "Account" &amp; "," &amp; $D$4 &amp; "," &amp; $E$8 &amp; "," &amp; D$11 &amp; "," &amp; "AccountGroupCode" &amp; "," &amp; $B19 &amp; "," &amp; "AccountStructureCode" &amp; "," &amp; "AccountType" &amp; "," &amp; "BalanceType" &amp; "," &amp; $D$5 &amp; "," &amp; $D$6 &amp; ")", CellContents, 12000)</f>
        <v>12000</v>
      </c>
      <c r="E19" s="32">
        <f>CHOOSE(B, "GLActualYTD(" &amp; "Account" &amp; "," &amp; $D$4 &amp; "," &amp; $E$8 &amp; "," &amp; E$11 &amp; "," &amp; "AccountGroupCode" &amp; "," &amp; $B19 &amp; "," &amp; "AccountStructureCode" &amp; "," &amp; "AccountType" &amp; "," &amp; "BalanceType" &amp; "," &amp; $D$5 &amp; "," &amp; $D$6 &amp; ")", CellContents, 24000)</f>
        <v>24000</v>
      </c>
      <c r="F19" s="32">
        <f>CHOOSE(B, "GLActualYTD(" &amp; "Account" &amp; "," &amp; $D$4 &amp; "," &amp; $E$8 &amp; "," &amp; F$11 &amp; "," &amp; "AccountGroupCode" &amp; "," &amp; $B19 &amp; "," &amp; "AccountStructureCode" &amp; "," &amp; "AccountType" &amp; "," &amp; "BalanceType" &amp; "," &amp; $D$5 &amp; "," &amp; $D$6 &amp; ")", CellContents, 36000)</f>
        <v>36000</v>
      </c>
      <c r="G19" s="32">
        <f>CHOOSE(B, "GLActualYTD(" &amp; "Account" &amp; "," &amp; $D$4 &amp; "," &amp; $E$8 &amp; "," &amp; G$11 &amp; "," &amp; "AccountGroupCode" &amp; "," &amp; $B19 &amp; "," &amp; "AccountStructureCode" &amp; "," &amp; "AccountType" &amp; "," &amp; "BalanceType" &amp; "," &amp; $D$5 &amp; "," &amp; $D$6 &amp; ")", CellContents, 48000)</f>
        <v>48000</v>
      </c>
      <c r="H19" s="32">
        <f t="shared" ref="H19:Q19" si="7">CHOOSE(B, "GLActualYTD(" &amp; "Account" &amp; "," &amp; $D$4 &amp; "," &amp; $E$8 &amp; "," &amp; H$11 &amp; "," &amp; "AccountGroupCode" &amp; "," &amp; $B19 &amp; "," &amp; "AccountStructureCode" &amp; "," &amp; "AccountType" &amp; "," &amp; "BalanceType" &amp; "," &amp; $D$5 &amp; "," &amp; $D$6 &amp; ")", CellContents, 60000)</f>
        <v>60000</v>
      </c>
      <c r="I19" s="32">
        <f t="shared" si="7"/>
        <v>60000</v>
      </c>
      <c r="J19" s="32">
        <f t="shared" si="7"/>
        <v>60000</v>
      </c>
      <c r="K19" s="32">
        <f t="shared" si="7"/>
        <v>60000</v>
      </c>
      <c r="L19" s="32">
        <f t="shared" si="7"/>
        <v>60000</v>
      </c>
      <c r="M19" s="32">
        <f t="shared" si="7"/>
        <v>60000</v>
      </c>
      <c r="N19" s="32">
        <f t="shared" si="7"/>
        <v>60000</v>
      </c>
      <c r="O19" s="32">
        <f t="shared" si="7"/>
        <v>60000</v>
      </c>
      <c r="P19" s="32">
        <f t="shared" si="7"/>
        <v>60000</v>
      </c>
      <c r="Q19" s="32">
        <f t="shared" si="7"/>
        <v>60000</v>
      </c>
      <c r="R19" s="52"/>
      <c r="S19" s="32">
        <f>CHOOSE(B, "GLActualYTD(" &amp; "Account" &amp; "," &amp; $D$4 &amp; "," &amp; $T$8 &amp; "," &amp; S$11 &amp; "," &amp; "AccountGroupCode" &amp; "," &amp; $B19 &amp; "," &amp; "AccountStructureCode" &amp; "," &amp; "AccountType" &amp; "," &amp; "BalanceType" &amp; "," &amp; $D$5 &amp; "," &amp; $D$6 &amp; ")", CellContents, 12000)</f>
        <v>12000</v>
      </c>
      <c r="T19" s="32">
        <f>CHOOSE(B, "GLActualYTD(" &amp; "Account" &amp; "," &amp; $D$4 &amp; "," &amp; $T$8 &amp; "," &amp; T$11 &amp; "," &amp; "AccountGroupCode" &amp; "," &amp; $B19 &amp; "," &amp; "AccountStructureCode" &amp; "," &amp; "AccountType" &amp; "," &amp; "BalanceType" &amp; "," &amp; $D$5 &amp; "," &amp; $D$6 &amp; ")", CellContents, 24000)</f>
        <v>24000</v>
      </c>
      <c r="U19" s="32">
        <f>CHOOSE(B, "GLActualYTD(" &amp; "Account" &amp; "," &amp; $D$4 &amp; "," &amp; $T$8 &amp; "," &amp; U$11 &amp; "," &amp; "AccountGroupCode" &amp; "," &amp; $B19 &amp; "," &amp; "AccountStructureCode" &amp; "," &amp; "AccountType" &amp; "," &amp; "BalanceType" &amp; "," &amp; $D$5 &amp; "," &amp; $D$6 &amp; ")", CellContents, 36000)</f>
        <v>36000</v>
      </c>
      <c r="V19" s="32">
        <f>CHOOSE(B, "GLActualYTD(" &amp; "Account" &amp; "," &amp; $D$4 &amp; "," &amp; $T$8 &amp; "," &amp; V$11 &amp; "," &amp; "AccountGroupCode" &amp; "," &amp; $B19 &amp; "," &amp; "AccountStructureCode" &amp; "," &amp; "AccountType" &amp; "," &amp; "BalanceType" &amp; "," &amp; $D$5 &amp; "," &amp; $D$6 &amp; ")", CellContents, 48000)</f>
        <v>48000</v>
      </c>
      <c r="W19" s="32">
        <f>CHOOSE(B, "GLActualYTD(" &amp; "Account" &amp; "," &amp; $D$4 &amp; "," &amp; $T$8 &amp; "," &amp; W$11 &amp; "," &amp; "AccountGroupCode" &amp; "," &amp; $B19 &amp; "," &amp; "AccountStructureCode" &amp; "," &amp; "AccountType" &amp; "," &amp; "BalanceType" &amp; "," &amp; $D$5 &amp; "," &amp; $D$6 &amp; ")", CellContents, 60000)</f>
        <v>60000</v>
      </c>
      <c r="X19" s="32">
        <f>CHOOSE(B, "GLActualYTD(" &amp; "Account" &amp; "," &amp; $D$4 &amp; "," &amp; $T$8 &amp; "," &amp; X$11 &amp; "," &amp; "AccountGroupCode" &amp; "," &amp; $B19 &amp; "," &amp; "AccountStructureCode" &amp; "," &amp; "AccountType" &amp; "," &amp; "BalanceType" &amp; "," &amp; $D$5 &amp; "," &amp; $D$6 &amp; ")", CellContents, 72000)</f>
        <v>72000</v>
      </c>
      <c r="Y19" s="32">
        <f>CHOOSE(B, "GLActualYTD(" &amp; "Account" &amp; "," &amp; $D$4 &amp; "," &amp; $T$8 &amp; "," &amp; Y$11 &amp; "," &amp; "AccountGroupCode" &amp; "," &amp; $B19 &amp; "," &amp; "AccountStructureCode" &amp; "," &amp; "AccountType" &amp; "," &amp; "BalanceType" &amp; "," &amp; $D$5 &amp; "," &amp; $D$6 &amp; ")", CellContents, 84000)</f>
        <v>84000</v>
      </c>
      <c r="Z19" s="32">
        <f>CHOOSE(B, "GLActualYTD(" &amp; "Account" &amp; "," &amp; $D$4 &amp; "," &amp; $T$8 &amp; "," &amp; Z$11 &amp; "," &amp; "AccountGroupCode" &amp; "," &amp; $B19 &amp; "," &amp; "AccountStructureCode" &amp; "," &amp; "AccountType" &amp; "," &amp; "BalanceType" &amp; "," &amp; $D$5 &amp; "," &amp; $D$6 &amp; ")", CellContents, 96000)</f>
        <v>96000</v>
      </c>
      <c r="AA19" s="32">
        <f>CHOOSE(B, "GLActualYTD(" &amp; "Account" &amp; "," &amp; $D$4 &amp; "," &amp; $T$8 &amp; "," &amp; AA$11 &amp; "," &amp; "AccountGroupCode" &amp; "," &amp; $B19 &amp; "," &amp; "AccountStructureCode" &amp; "," &amp; "AccountType" &amp; "," &amp; "BalanceType" &amp; "," &amp; $D$5 &amp; "," &amp; $D$6 &amp; ")", CellContents, 108000)</f>
        <v>108000</v>
      </c>
      <c r="AB19" s="32">
        <f>CHOOSE(B, "GLActualYTD(" &amp; "Account" &amp; "," &amp; $D$4 &amp; "," &amp; $T$8 &amp; "," &amp; AB$11 &amp; "," &amp; "AccountGroupCode" &amp; "," &amp; $B19 &amp; "," &amp; "AccountStructureCode" &amp; "," &amp; "AccountType" &amp; "," &amp; "BalanceType" &amp; "," &amp; $D$5 &amp; "," &amp; $D$6 &amp; ")", CellContents, 120000)</f>
        <v>120000</v>
      </c>
      <c r="AC19" s="32">
        <f>CHOOSE(B, "GLActualYTD(" &amp; "Account" &amp; "," &amp; $D$4 &amp; "," &amp; $T$8 &amp; "," &amp; AC$11 &amp; "," &amp; "AccountGroupCode" &amp; "," &amp; $B19 &amp; "," &amp; "AccountStructureCode" &amp; "," &amp; "AccountType" &amp; "," &amp; "BalanceType" &amp; "," &amp; $D$5 &amp; "," &amp; $D$6 &amp; ")", CellContents, 132000)</f>
        <v>132000</v>
      </c>
      <c r="AD19" s="32">
        <f>CHOOSE(B, "GLActualYTD(" &amp; "Account" &amp; "," &amp; $D$4 &amp; "," &amp; $T$8 &amp; "," &amp; AD$11 &amp; "," &amp; "AccountGroupCode" &amp; "," &amp; $B19 &amp; "," &amp; "AccountStructureCode" &amp; "," &amp; "AccountType" &amp; "," &amp; "BalanceType" &amp; "," &amp; $D$5 &amp; "," &amp; $D$6 &amp; ")", CellContents, 144000)</f>
        <v>144000</v>
      </c>
      <c r="AE19" s="32">
        <f>CHOOSE(B, "GLActualYTD(" &amp; "Account" &amp; "," &amp; $D$4 &amp; "," &amp; $T$8 &amp; "," &amp; AE$11 &amp; "," &amp; "AccountGroupCode" &amp; "," &amp; $B19 &amp; "," &amp; "AccountStructureCode" &amp; "," &amp; "AccountType" &amp; "," &amp; "BalanceType" &amp; "," &amp; $D$5 &amp; "," &amp; $D$6 &amp; ")", CellContents, 144000)</f>
        <v>144000</v>
      </c>
      <c r="AF19" s="32">
        <f>CHOOSE(B, "GLActualYTD(" &amp; "Account" &amp; "," &amp; $D$4 &amp; "," &amp; $T$8 &amp; "," &amp; AF$11 &amp; "," &amp; "AccountGroupCode" &amp; "," &amp; $B19 &amp; "," &amp; "AccountStructureCode" &amp; "," &amp; "AccountType" &amp; "," &amp; "BalanceType" &amp; "," &amp; $D$5 &amp; "," &amp; $D$6 &amp; ")", CellContents, 144000)</f>
        <v>144000</v>
      </c>
    </row>
    <row r="20" spans="2:32" hidden="1" outlineLevel="1" x14ac:dyDescent="0.3">
      <c r="B20" s="29" t="s">
        <v>81</v>
      </c>
      <c r="C20" s="29" t="s">
        <v>173</v>
      </c>
      <c r="D20" s="32">
        <f t="shared" ref="D20:Q20" si="8">CHOOSE(B, "GLActualYTD(" &amp; "Account" &amp; "," &amp; $D$4 &amp; "," &amp; $E$8 &amp; "," &amp; D$11 &amp; "," &amp; "AccountGroupCode" &amp; "," &amp; $B20 &amp; "," &amp; "AccountStructureCode" &amp; "," &amp; "AccountType" &amp; "," &amp; "BalanceType" &amp; "," &amp; $D$5 &amp; "," &amp; $D$6 &amp; ")", CellContents, 0)</f>
        <v>0</v>
      </c>
      <c r="E20" s="32">
        <f t="shared" si="8"/>
        <v>0</v>
      </c>
      <c r="F20" s="32">
        <f t="shared" si="8"/>
        <v>0</v>
      </c>
      <c r="G20" s="32">
        <f t="shared" si="8"/>
        <v>0</v>
      </c>
      <c r="H20" s="32">
        <f t="shared" si="8"/>
        <v>0</v>
      </c>
      <c r="I20" s="32">
        <f t="shared" si="8"/>
        <v>0</v>
      </c>
      <c r="J20" s="32">
        <f t="shared" si="8"/>
        <v>0</v>
      </c>
      <c r="K20" s="32">
        <f t="shared" si="8"/>
        <v>0</v>
      </c>
      <c r="L20" s="32">
        <f t="shared" si="8"/>
        <v>0</v>
      </c>
      <c r="M20" s="32">
        <f t="shared" si="8"/>
        <v>0</v>
      </c>
      <c r="N20" s="32">
        <f t="shared" si="8"/>
        <v>0</v>
      </c>
      <c r="O20" s="32">
        <f t="shared" si="8"/>
        <v>0</v>
      </c>
      <c r="P20" s="32">
        <f t="shared" si="8"/>
        <v>0</v>
      </c>
      <c r="Q20" s="32">
        <f t="shared" si="8"/>
        <v>0</v>
      </c>
      <c r="R20" s="52"/>
      <c r="S20" s="32">
        <f t="shared" ref="S20:AF20" si="9">CHOOSE(B, "GLActualYTD(" &amp; "Account" &amp; "," &amp; $D$4 &amp; "," &amp; $T$8 &amp; "," &amp; S$11 &amp; "," &amp; "AccountGroupCode" &amp; "," &amp; $B20 &amp; "," &amp; "AccountStructureCode" &amp; "," &amp; "AccountType" &amp; "," &amp; "BalanceType" &amp; "," &amp; $D$5 &amp; "," &amp; $D$6 &amp; ")", CellContents, 0)</f>
        <v>0</v>
      </c>
      <c r="T20" s="32">
        <f t="shared" si="9"/>
        <v>0</v>
      </c>
      <c r="U20" s="32">
        <f t="shared" si="9"/>
        <v>0</v>
      </c>
      <c r="V20" s="32">
        <f t="shared" si="9"/>
        <v>0</v>
      </c>
      <c r="W20" s="32">
        <f t="shared" si="9"/>
        <v>0</v>
      </c>
      <c r="X20" s="32">
        <f t="shared" si="9"/>
        <v>0</v>
      </c>
      <c r="Y20" s="32">
        <f t="shared" si="9"/>
        <v>0</v>
      </c>
      <c r="Z20" s="32">
        <f t="shared" si="9"/>
        <v>0</v>
      </c>
      <c r="AA20" s="32">
        <f t="shared" si="9"/>
        <v>0</v>
      </c>
      <c r="AB20" s="32">
        <f t="shared" si="9"/>
        <v>0</v>
      </c>
      <c r="AC20" s="32">
        <f t="shared" si="9"/>
        <v>0</v>
      </c>
      <c r="AD20" s="32">
        <f t="shared" si="9"/>
        <v>0</v>
      </c>
      <c r="AE20" s="32">
        <f t="shared" si="9"/>
        <v>0</v>
      </c>
      <c r="AF20" s="32">
        <f t="shared" si="9"/>
        <v>0</v>
      </c>
    </row>
    <row r="21" spans="2:32" ht="7.5" customHeight="1" x14ac:dyDescent="0.3">
      <c r="B21" s="28"/>
      <c r="C21" s="29"/>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row>
    <row r="22" spans="2:32" collapsed="1" x14ac:dyDescent="0.3">
      <c r="B22" s="28"/>
      <c r="C22" s="29" t="s">
        <v>109</v>
      </c>
      <c r="D22" s="32">
        <f t="shared" ref="D22:Q22" si="10">SUM(D23:D24)</f>
        <v>0</v>
      </c>
      <c r="E22" s="32">
        <f t="shared" si="10"/>
        <v>0</v>
      </c>
      <c r="F22" s="32">
        <f t="shared" si="10"/>
        <v>0</v>
      </c>
      <c r="G22" s="32">
        <f t="shared" si="10"/>
        <v>0</v>
      </c>
      <c r="H22" s="32">
        <f t="shared" si="10"/>
        <v>0</v>
      </c>
      <c r="I22" s="32">
        <f t="shared" si="10"/>
        <v>0</v>
      </c>
      <c r="J22" s="32">
        <f t="shared" si="10"/>
        <v>0</v>
      </c>
      <c r="K22" s="32">
        <f t="shared" si="10"/>
        <v>0</v>
      </c>
      <c r="L22" s="32">
        <f t="shared" si="10"/>
        <v>0</v>
      </c>
      <c r="M22" s="32">
        <f t="shared" si="10"/>
        <v>0</v>
      </c>
      <c r="N22" s="32">
        <f t="shared" si="10"/>
        <v>0</v>
      </c>
      <c r="O22" s="32">
        <f t="shared" si="10"/>
        <v>0</v>
      </c>
      <c r="P22" s="32">
        <f t="shared" si="10"/>
        <v>0</v>
      </c>
      <c r="Q22" s="32">
        <f t="shared" si="10"/>
        <v>0</v>
      </c>
      <c r="R22" s="52"/>
      <c r="S22" s="32">
        <f t="shared" ref="S22:AF22" si="11">SUM(S23:S24)</f>
        <v>0</v>
      </c>
      <c r="T22" s="32">
        <f t="shared" si="11"/>
        <v>0</v>
      </c>
      <c r="U22" s="32">
        <f t="shared" si="11"/>
        <v>0</v>
      </c>
      <c r="V22" s="32">
        <f t="shared" si="11"/>
        <v>0</v>
      </c>
      <c r="W22" s="32">
        <f t="shared" si="11"/>
        <v>0</v>
      </c>
      <c r="X22" s="32">
        <f t="shared" si="11"/>
        <v>0</v>
      </c>
      <c r="Y22" s="32">
        <f t="shared" si="11"/>
        <v>0</v>
      </c>
      <c r="Z22" s="32">
        <f t="shared" si="11"/>
        <v>0</v>
      </c>
      <c r="AA22" s="32">
        <f t="shared" si="11"/>
        <v>0</v>
      </c>
      <c r="AB22" s="32">
        <f t="shared" si="11"/>
        <v>0</v>
      </c>
      <c r="AC22" s="32">
        <f t="shared" si="11"/>
        <v>0</v>
      </c>
      <c r="AD22" s="32">
        <f t="shared" si="11"/>
        <v>0</v>
      </c>
      <c r="AE22" s="32">
        <f t="shared" si="11"/>
        <v>0</v>
      </c>
      <c r="AF22" s="32">
        <f t="shared" si="11"/>
        <v>0</v>
      </c>
    </row>
    <row r="23" spans="2:32" hidden="1" outlineLevel="1" x14ac:dyDescent="0.3">
      <c r="B23" s="29" t="s">
        <v>82</v>
      </c>
      <c r="C23" s="29" t="s">
        <v>174</v>
      </c>
      <c r="D23" s="32">
        <f t="shared" ref="D23:Q24" si="12">CHOOSE(B, "GLActualYTD(" &amp; "Account" &amp; "," &amp; $D$4 &amp; "," &amp; $E$8 &amp; "," &amp; D$11 &amp; "," &amp; "AccountGroupCode" &amp; "," &amp; $B23 &amp; "," &amp; "AccountStructureCode" &amp; "," &amp; "AccountType" &amp; "," &amp; "BalanceType" &amp; "," &amp; $D$5 &amp; "," &amp; $D$6 &amp; ")", CellContents, 0)</f>
        <v>0</v>
      </c>
      <c r="E23" s="32">
        <f t="shared" si="12"/>
        <v>0</v>
      </c>
      <c r="F23" s="32">
        <f t="shared" si="12"/>
        <v>0</v>
      </c>
      <c r="G23" s="32">
        <f t="shared" si="12"/>
        <v>0</v>
      </c>
      <c r="H23" s="32">
        <f t="shared" si="12"/>
        <v>0</v>
      </c>
      <c r="I23" s="32">
        <f t="shared" si="12"/>
        <v>0</v>
      </c>
      <c r="J23" s="32">
        <f t="shared" si="12"/>
        <v>0</v>
      </c>
      <c r="K23" s="32">
        <f t="shared" si="12"/>
        <v>0</v>
      </c>
      <c r="L23" s="32">
        <f t="shared" si="12"/>
        <v>0</v>
      </c>
      <c r="M23" s="32">
        <f t="shared" si="12"/>
        <v>0</v>
      </c>
      <c r="N23" s="32">
        <f t="shared" si="12"/>
        <v>0</v>
      </c>
      <c r="O23" s="32">
        <f t="shared" si="12"/>
        <v>0</v>
      </c>
      <c r="P23" s="32">
        <f t="shared" si="12"/>
        <v>0</v>
      </c>
      <c r="Q23" s="32">
        <f t="shared" si="12"/>
        <v>0</v>
      </c>
      <c r="R23" s="52"/>
      <c r="S23" s="32">
        <f t="shared" ref="S23:AF24" si="13">CHOOSE(B, "GLActualYTD(" &amp; "Account" &amp; "," &amp; $D$4 &amp; "," &amp; $T$8 &amp; "," &amp; S$11 &amp; "," &amp; "AccountGroupCode" &amp; "," &amp; $B23 &amp; "," &amp; "AccountStructureCode" &amp; "," &amp; "AccountType" &amp; "," &amp; "BalanceType" &amp; "," &amp; $D$5 &amp; "," &amp; $D$6 &amp; ")", CellContents, 0)</f>
        <v>0</v>
      </c>
      <c r="T23" s="32">
        <f t="shared" si="13"/>
        <v>0</v>
      </c>
      <c r="U23" s="32">
        <f t="shared" si="13"/>
        <v>0</v>
      </c>
      <c r="V23" s="32">
        <f t="shared" si="13"/>
        <v>0</v>
      </c>
      <c r="W23" s="32">
        <f t="shared" si="13"/>
        <v>0</v>
      </c>
      <c r="X23" s="32">
        <f t="shared" si="13"/>
        <v>0</v>
      </c>
      <c r="Y23" s="32">
        <f t="shared" si="13"/>
        <v>0</v>
      </c>
      <c r="Z23" s="32">
        <f t="shared" si="13"/>
        <v>0</v>
      </c>
      <c r="AA23" s="32">
        <f t="shared" si="13"/>
        <v>0</v>
      </c>
      <c r="AB23" s="32">
        <f t="shared" si="13"/>
        <v>0</v>
      </c>
      <c r="AC23" s="32">
        <f t="shared" si="13"/>
        <v>0</v>
      </c>
      <c r="AD23" s="32">
        <f t="shared" si="13"/>
        <v>0</v>
      </c>
      <c r="AE23" s="32">
        <f t="shared" si="13"/>
        <v>0</v>
      </c>
      <c r="AF23" s="32">
        <f t="shared" si="13"/>
        <v>0</v>
      </c>
    </row>
    <row r="24" spans="2:32" hidden="1" outlineLevel="1" x14ac:dyDescent="0.3">
      <c r="B24" s="29" t="s">
        <v>83</v>
      </c>
      <c r="C24" s="29" t="s">
        <v>42</v>
      </c>
      <c r="D24" s="32">
        <f t="shared" si="12"/>
        <v>0</v>
      </c>
      <c r="E24" s="32">
        <f t="shared" si="12"/>
        <v>0</v>
      </c>
      <c r="F24" s="32">
        <f t="shared" si="12"/>
        <v>0</v>
      </c>
      <c r="G24" s="32">
        <f t="shared" si="12"/>
        <v>0</v>
      </c>
      <c r="H24" s="32">
        <f t="shared" si="12"/>
        <v>0</v>
      </c>
      <c r="I24" s="32">
        <f t="shared" si="12"/>
        <v>0</v>
      </c>
      <c r="J24" s="32">
        <f t="shared" si="12"/>
        <v>0</v>
      </c>
      <c r="K24" s="32">
        <f t="shared" si="12"/>
        <v>0</v>
      </c>
      <c r="L24" s="32">
        <f t="shared" si="12"/>
        <v>0</v>
      </c>
      <c r="M24" s="32">
        <f t="shared" si="12"/>
        <v>0</v>
      </c>
      <c r="N24" s="32">
        <f t="shared" si="12"/>
        <v>0</v>
      </c>
      <c r="O24" s="32">
        <f t="shared" si="12"/>
        <v>0</v>
      </c>
      <c r="P24" s="32">
        <f t="shared" si="12"/>
        <v>0</v>
      </c>
      <c r="Q24" s="32">
        <f t="shared" si="12"/>
        <v>0</v>
      </c>
      <c r="R24" s="52"/>
      <c r="S24" s="32">
        <f t="shared" si="13"/>
        <v>0</v>
      </c>
      <c r="T24" s="32">
        <f t="shared" si="13"/>
        <v>0</v>
      </c>
      <c r="U24" s="32">
        <f t="shared" si="13"/>
        <v>0</v>
      </c>
      <c r="V24" s="32">
        <f t="shared" si="13"/>
        <v>0</v>
      </c>
      <c r="W24" s="32">
        <f t="shared" si="13"/>
        <v>0</v>
      </c>
      <c r="X24" s="32">
        <f t="shared" si="13"/>
        <v>0</v>
      </c>
      <c r="Y24" s="32">
        <f t="shared" si="13"/>
        <v>0</v>
      </c>
      <c r="Z24" s="32">
        <f t="shared" si="13"/>
        <v>0</v>
      </c>
      <c r="AA24" s="32">
        <f t="shared" si="13"/>
        <v>0</v>
      </c>
      <c r="AB24" s="32">
        <f t="shared" si="13"/>
        <v>0</v>
      </c>
      <c r="AC24" s="32">
        <f t="shared" si="13"/>
        <v>0</v>
      </c>
      <c r="AD24" s="32">
        <f t="shared" si="13"/>
        <v>0</v>
      </c>
      <c r="AE24" s="32">
        <f t="shared" si="13"/>
        <v>0</v>
      </c>
      <c r="AF24" s="32">
        <f t="shared" si="13"/>
        <v>0</v>
      </c>
    </row>
    <row r="25" spans="2:32" ht="7.5" customHeight="1" x14ac:dyDescent="0.3">
      <c r="B25" s="28"/>
      <c r="C25" s="29"/>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row>
    <row r="26" spans="2:32" x14ac:dyDescent="0.3">
      <c r="B26" s="28"/>
      <c r="C26" s="35" t="s">
        <v>110</v>
      </c>
      <c r="D26" s="36">
        <f>-D13-D15+D22</f>
        <v>1071635</v>
      </c>
      <c r="E26" s="36">
        <f>-E13-E15+E22</f>
        <v>1480539</v>
      </c>
      <c r="F26" s="36">
        <f t="shared" ref="F26:Q26" si="14">-F13-F15+F22</f>
        <v>2796962</v>
      </c>
      <c r="G26" s="36">
        <f t="shared" si="14"/>
        <v>3804787</v>
      </c>
      <c r="H26" s="36">
        <f t="shared" si="14"/>
        <v>5158909</v>
      </c>
      <c r="I26" s="36">
        <f t="shared" si="14"/>
        <v>5156086</v>
      </c>
      <c r="J26" s="36">
        <f t="shared" si="14"/>
        <v>5119245</v>
      </c>
      <c r="K26" s="36">
        <f t="shared" si="14"/>
        <v>5119645</v>
      </c>
      <c r="L26" s="36">
        <f t="shared" si="14"/>
        <v>5119645</v>
      </c>
      <c r="M26" s="36">
        <f t="shared" si="14"/>
        <v>5119645</v>
      </c>
      <c r="N26" s="36">
        <f t="shared" si="14"/>
        <v>5119645</v>
      </c>
      <c r="O26" s="36">
        <f t="shared" si="14"/>
        <v>5119645</v>
      </c>
      <c r="P26" s="36">
        <f t="shared" si="14"/>
        <v>5119645</v>
      </c>
      <c r="Q26" s="36">
        <f t="shared" si="14"/>
        <v>5119645</v>
      </c>
      <c r="R26"/>
      <c r="S26" s="36">
        <f>-S13-S15+S22</f>
        <v>729437</v>
      </c>
      <c r="T26" s="36">
        <f>-T13-T15+T22</f>
        <v>1129077</v>
      </c>
      <c r="U26" s="36">
        <f t="shared" ref="U26:AF26" si="15">-U13-U15+U22</f>
        <v>1286557</v>
      </c>
      <c r="V26" s="36">
        <f t="shared" si="15"/>
        <v>1844617</v>
      </c>
      <c r="W26" s="36">
        <f t="shared" si="15"/>
        <v>2036938</v>
      </c>
      <c r="X26" s="36">
        <f t="shared" si="15"/>
        <v>2405823</v>
      </c>
      <c r="Y26" s="36">
        <f t="shared" si="15"/>
        <v>3116975</v>
      </c>
      <c r="Z26" s="36">
        <f t="shared" si="15"/>
        <v>4170312</v>
      </c>
      <c r="AA26" s="36">
        <f t="shared" si="15"/>
        <v>4289435</v>
      </c>
      <c r="AB26" s="36">
        <f t="shared" si="15"/>
        <v>4715530</v>
      </c>
      <c r="AC26" s="36">
        <f t="shared" si="15"/>
        <v>4637341</v>
      </c>
      <c r="AD26" s="36">
        <f t="shared" si="15"/>
        <v>4821641</v>
      </c>
      <c r="AE26" s="36">
        <f t="shared" si="15"/>
        <v>4821641</v>
      </c>
      <c r="AF26" s="36">
        <f t="shared" si="15"/>
        <v>4821641</v>
      </c>
    </row>
    <row r="27" spans="2:32" ht="7.5" customHeight="1" x14ac:dyDescent="0.3">
      <c r="B27" s="28"/>
      <c r="C27" s="29"/>
      <c r="D27" s="32"/>
      <c r="E27" s="32"/>
      <c r="F27" s="32"/>
      <c r="G27" s="32"/>
      <c r="H27" s="32"/>
      <c r="I27" s="32"/>
      <c r="J27" s="32"/>
      <c r="K27" s="32"/>
      <c r="L27" s="32"/>
      <c r="M27" s="32"/>
      <c r="N27" s="32"/>
      <c r="O27" s="32"/>
      <c r="P27" s="32"/>
      <c r="Q27" s="32"/>
      <c r="R27" s="52"/>
      <c r="S27" s="32"/>
      <c r="T27" s="32"/>
      <c r="U27" s="32"/>
      <c r="V27" s="32"/>
      <c r="W27" s="32"/>
      <c r="X27" s="32"/>
      <c r="Y27" s="32"/>
      <c r="Z27" s="32"/>
      <c r="AA27" s="32"/>
      <c r="AB27" s="32"/>
      <c r="AC27" s="32"/>
      <c r="AD27" s="32"/>
      <c r="AE27" s="32"/>
      <c r="AF27" s="32"/>
    </row>
    <row r="28" spans="2:32" x14ac:dyDescent="0.3">
      <c r="B28" s="28">
        <v>10</v>
      </c>
      <c r="C28" s="35" t="s">
        <v>111</v>
      </c>
      <c r="D28" s="36">
        <f t="shared" ref="D28:Q28" si="16">CHOOSE(B, "GLOpeningBalance(" &amp; "Account" &amp; "," &amp; $D$4 &amp; "," &amp; $E$8 &amp; "," &amp; "AccountGroupCode" &amp; "," &amp; $B$28 &amp; "," &amp; "AccountStructureCode" &amp; "," &amp; "AccountType" &amp; "," &amp; "BalanceType" &amp; "," &amp; $D$5 &amp; "," &amp; $D$6 &amp; ")", CellContents, 6840727,99)</f>
        <v>6840727</v>
      </c>
      <c r="E28" s="36">
        <f t="shared" si="16"/>
        <v>6840727</v>
      </c>
      <c r="F28" s="36">
        <f t="shared" si="16"/>
        <v>6840727</v>
      </c>
      <c r="G28" s="36">
        <f t="shared" si="16"/>
        <v>6840727</v>
      </c>
      <c r="H28" s="36">
        <f t="shared" si="16"/>
        <v>6840727</v>
      </c>
      <c r="I28" s="36">
        <f t="shared" si="16"/>
        <v>6840727</v>
      </c>
      <c r="J28" s="36">
        <f t="shared" si="16"/>
        <v>6840727</v>
      </c>
      <c r="K28" s="36">
        <f t="shared" si="16"/>
        <v>6840727</v>
      </c>
      <c r="L28" s="36">
        <f t="shared" si="16"/>
        <v>6840727</v>
      </c>
      <c r="M28" s="36">
        <f t="shared" si="16"/>
        <v>6840727</v>
      </c>
      <c r="N28" s="36">
        <f t="shared" si="16"/>
        <v>6840727</v>
      </c>
      <c r="O28" s="36">
        <f t="shared" si="16"/>
        <v>6840727</v>
      </c>
      <c r="P28" s="36">
        <f t="shared" si="16"/>
        <v>6840727</v>
      </c>
      <c r="Q28" s="36">
        <f t="shared" si="16"/>
        <v>6840727</v>
      </c>
      <c r="R28" s="52"/>
      <c r="S28" s="36">
        <f t="shared" ref="S28:AF28" si="17">CHOOSE(B, "GLOpeningBalance(" &amp; "Account" &amp; "," &amp; $D$4 &amp; "," &amp; $T$8 &amp; "," &amp; "AccountGroupCode" &amp; "," &amp; $B$28 &amp; "," &amp; "AccountStructureCode" &amp; "," &amp; "AccountType" &amp; "," &amp; "BalanceType" &amp; "," &amp; $D$5 &amp; "," &amp; $D$6 &amp; ")", CellContents, 2019087,55)</f>
        <v>2019087</v>
      </c>
      <c r="T28" s="36">
        <f t="shared" si="17"/>
        <v>2019087</v>
      </c>
      <c r="U28" s="36">
        <f t="shared" si="17"/>
        <v>2019087</v>
      </c>
      <c r="V28" s="36">
        <f t="shared" si="17"/>
        <v>2019087</v>
      </c>
      <c r="W28" s="36">
        <f t="shared" si="17"/>
        <v>2019087</v>
      </c>
      <c r="X28" s="36">
        <f t="shared" si="17"/>
        <v>2019087</v>
      </c>
      <c r="Y28" s="36">
        <f t="shared" si="17"/>
        <v>2019087</v>
      </c>
      <c r="Z28" s="36">
        <f t="shared" si="17"/>
        <v>2019087</v>
      </c>
      <c r="AA28" s="36">
        <f t="shared" si="17"/>
        <v>2019087</v>
      </c>
      <c r="AB28" s="36">
        <f t="shared" si="17"/>
        <v>2019087</v>
      </c>
      <c r="AC28" s="36">
        <f t="shared" si="17"/>
        <v>2019087</v>
      </c>
      <c r="AD28" s="36">
        <f t="shared" si="17"/>
        <v>2019087</v>
      </c>
      <c r="AE28" s="36">
        <f t="shared" si="17"/>
        <v>2019087</v>
      </c>
      <c r="AF28" s="36">
        <f t="shared" si="17"/>
        <v>2019087</v>
      </c>
    </row>
    <row r="29" spans="2:32" ht="7.5" customHeight="1" x14ac:dyDescent="0.3">
      <c r="B29" s="28"/>
      <c r="C29" s="29"/>
      <c r="D29" s="32"/>
      <c r="E29" s="32"/>
      <c r="F29" s="32"/>
      <c r="G29" s="32"/>
      <c r="H29" s="32"/>
      <c r="I29" s="32"/>
      <c r="J29" s="32"/>
      <c r="K29" s="32"/>
      <c r="L29" s="32"/>
      <c r="M29" s="32"/>
      <c r="N29" s="32"/>
      <c r="O29" s="32"/>
      <c r="P29" s="32"/>
      <c r="Q29" s="32"/>
      <c r="R29" s="52"/>
      <c r="S29" s="32"/>
      <c r="T29" s="32"/>
      <c r="U29" s="32"/>
      <c r="V29" s="32"/>
      <c r="W29" s="32"/>
      <c r="X29" s="32"/>
      <c r="Y29" s="32"/>
      <c r="Z29" s="32"/>
      <c r="AA29" s="32"/>
      <c r="AB29" s="32"/>
      <c r="AC29" s="32"/>
      <c r="AD29" s="32"/>
      <c r="AE29" s="32"/>
      <c r="AF29" s="32"/>
    </row>
    <row r="30" spans="2:32" x14ac:dyDescent="0.3">
      <c r="B30" s="28"/>
      <c r="C30" s="35" t="s">
        <v>112</v>
      </c>
      <c r="D30" s="36">
        <f>SUM(D26+D28)</f>
        <v>7912362</v>
      </c>
      <c r="E30" s="36">
        <f>SUM(E26+E28)</f>
        <v>8321266</v>
      </c>
      <c r="F30" s="36">
        <f t="shared" ref="F30:AF30" si="18">SUM(F26+F28)</f>
        <v>9637689</v>
      </c>
      <c r="G30" s="36">
        <f t="shared" si="18"/>
        <v>10645514</v>
      </c>
      <c r="H30" s="36">
        <f t="shared" si="18"/>
        <v>11999636</v>
      </c>
      <c r="I30" s="36">
        <f t="shared" si="18"/>
        <v>11996813</v>
      </c>
      <c r="J30" s="36">
        <f t="shared" si="18"/>
        <v>11959972</v>
      </c>
      <c r="K30" s="36">
        <f t="shared" si="18"/>
        <v>11960372</v>
      </c>
      <c r="L30" s="36">
        <f t="shared" si="18"/>
        <v>11960372</v>
      </c>
      <c r="M30" s="36">
        <f t="shared" si="18"/>
        <v>11960372</v>
      </c>
      <c r="N30" s="36">
        <f t="shared" si="18"/>
        <v>11960372</v>
      </c>
      <c r="O30" s="36">
        <f t="shared" si="18"/>
        <v>11960372</v>
      </c>
      <c r="P30" s="36">
        <f t="shared" si="18"/>
        <v>11960372</v>
      </c>
      <c r="Q30" s="36">
        <f t="shared" si="18"/>
        <v>11960372</v>
      </c>
      <c r="R30" s="52"/>
      <c r="S30" s="36">
        <f t="shared" si="18"/>
        <v>2748524</v>
      </c>
      <c r="T30" s="36">
        <f t="shared" si="18"/>
        <v>3148164</v>
      </c>
      <c r="U30" s="36">
        <f t="shared" si="18"/>
        <v>3305644</v>
      </c>
      <c r="V30" s="36">
        <f t="shared" si="18"/>
        <v>3863704</v>
      </c>
      <c r="W30" s="36">
        <f t="shared" si="18"/>
        <v>4056025</v>
      </c>
      <c r="X30" s="36">
        <f t="shared" si="18"/>
        <v>4424910</v>
      </c>
      <c r="Y30" s="36">
        <f t="shared" si="18"/>
        <v>5136062</v>
      </c>
      <c r="Z30" s="36">
        <f t="shared" si="18"/>
        <v>6189399</v>
      </c>
      <c r="AA30" s="36">
        <f t="shared" si="18"/>
        <v>6308522</v>
      </c>
      <c r="AB30" s="36">
        <f t="shared" si="18"/>
        <v>6734617</v>
      </c>
      <c r="AC30" s="36">
        <f t="shared" si="18"/>
        <v>6656428</v>
      </c>
      <c r="AD30" s="36">
        <f t="shared" si="18"/>
        <v>6840728</v>
      </c>
      <c r="AE30" s="36">
        <f t="shared" si="18"/>
        <v>6840728</v>
      </c>
      <c r="AF30" s="36">
        <f t="shared" si="18"/>
        <v>6840728</v>
      </c>
    </row>
    <row r="31" spans="2:32" x14ac:dyDescent="0.3">
      <c r="B31" s="12"/>
    </row>
    <row r="32" spans="2:32" x14ac:dyDescent="0.3">
      <c r="B32" s="28"/>
      <c r="C32" s="29"/>
      <c r="D32" s="59"/>
      <c r="E32" s="59"/>
      <c r="F32" s="59"/>
      <c r="G32" s="59"/>
      <c r="H32" s="59"/>
      <c r="I32" s="59"/>
      <c r="J32" s="59"/>
      <c r="K32" s="59"/>
      <c r="L32" s="59"/>
      <c r="M32" s="59"/>
      <c r="N32" s="59"/>
      <c r="O32" s="59"/>
      <c r="P32" s="59"/>
      <c r="Q32" s="59"/>
    </row>
    <row r="33" spans="2:4" x14ac:dyDescent="0.3">
      <c r="B33" s="28"/>
      <c r="C33" s="29"/>
      <c r="D33" s="59"/>
    </row>
    <row r="34" spans="2:4" x14ac:dyDescent="0.3">
      <c r="B34" s="28"/>
      <c r="C34" s="29"/>
    </row>
    <row r="35" spans="2:4" x14ac:dyDescent="0.3">
      <c r="B35" s="28"/>
      <c r="C35" s="29"/>
      <c r="D35" s="61"/>
    </row>
    <row r="54" spans="3:32" x14ac:dyDescent="0.3">
      <c r="C54" s="26" t="s">
        <v>202</v>
      </c>
    </row>
    <row r="56" spans="3:32" x14ac:dyDescent="0.3">
      <c r="C56" s="35" t="s">
        <v>112</v>
      </c>
      <c r="D56" s="32">
        <f>SUM(D26+D28)</f>
        <v>7912362</v>
      </c>
      <c r="E56" s="32">
        <f t="shared" ref="E56:Q56" si="19">SUM(E26+E28)</f>
        <v>8321266</v>
      </c>
      <c r="F56" s="32">
        <f t="shared" si="19"/>
        <v>9637689</v>
      </c>
      <c r="G56" s="32">
        <f t="shared" si="19"/>
        <v>10645514</v>
      </c>
      <c r="H56" s="32">
        <f t="shared" si="19"/>
        <v>11999636</v>
      </c>
      <c r="I56" s="32">
        <f t="shared" si="19"/>
        <v>11996813</v>
      </c>
      <c r="J56" s="32">
        <f t="shared" si="19"/>
        <v>11959972</v>
      </c>
      <c r="K56" s="32">
        <f t="shared" si="19"/>
        <v>11960372</v>
      </c>
      <c r="L56" s="32">
        <f t="shared" si="19"/>
        <v>11960372</v>
      </c>
      <c r="M56" s="32">
        <f t="shared" si="19"/>
        <v>11960372</v>
      </c>
      <c r="N56" s="32">
        <f t="shared" si="19"/>
        <v>11960372</v>
      </c>
      <c r="O56" s="32">
        <f t="shared" si="19"/>
        <v>11960372</v>
      </c>
      <c r="P56" s="32">
        <f t="shared" si="19"/>
        <v>11960372</v>
      </c>
      <c r="Q56" s="32">
        <f t="shared" si="19"/>
        <v>11960372</v>
      </c>
      <c r="S56"/>
      <c r="T56"/>
      <c r="U56"/>
      <c r="V56"/>
      <c r="W56"/>
      <c r="X56"/>
      <c r="Y56"/>
      <c r="Z56"/>
      <c r="AA56"/>
      <c r="AB56"/>
      <c r="AC56"/>
      <c r="AD56"/>
      <c r="AE56"/>
      <c r="AF56"/>
    </row>
    <row r="57" spans="3:32" x14ac:dyDescent="0.3">
      <c r="C57" s="35" t="s">
        <v>203</v>
      </c>
      <c r="D57" s="32">
        <f>CHOOSE(B, "GLClosingBalance(" &amp; "Account" &amp; "," &amp; $D$4 &amp; "," &amp; $E$8 &amp; "," &amp; D$11 &amp; "," &amp; "AccountGroupCode" &amp; "," &amp; $B$28 &amp; "," &amp; "AccountStructureCode" &amp; "," &amp; "AccountType" &amp; "," &amp; "BalanceType" &amp; "," &amp; $D$5 &amp; "," &amp; $D$6 &amp; ")", CellContents, 7912363,97)</f>
        <v>7912363</v>
      </c>
      <c r="E57" s="32">
        <f>CHOOSE(B, "GLClosingBalance(" &amp; "Account" &amp; "," &amp; $D$4 &amp; "," &amp; $E$8 &amp; "," &amp; E$11 &amp; "," &amp; "AccountGroupCode" &amp; "," &amp; $B$28 &amp; "," &amp; "AccountStructureCode" &amp; "," &amp; "AccountType" &amp; "," &amp; "BalanceType" &amp; "," &amp; $D$5 &amp; "," &amp; $D$6 &amp; ")", CellContents, 8321268,38)</f>
        <v>8321268</v>
      </c>
      <c r="F57" s="32">
        <f>CHOOSE(B, "GLClosingBalance(" &amp; "Account" &amp; "," &amp; $D$4 &amp; "," &amp; $E$8 &amp; "," &amp; F$11 &amp; "," &amp; "AccountGroupCode" &amp; "," &amp; $B$28 &amp; "," &amp; "AccountStructureCode" &amp; "," &amp; "AccountType" &amp; "," &amp; "BalanceType" &amp; "," &amp; $D$5 &amp; "," &amp; $D$6 &amp; ")", CellContents, 9637690,75)</f>
        <v>9637690</v>
      </c>
      <c r="G57" s="32">
        <f>CHOOSE(B, "GLClosingBalance(" &amp; "Account" &amp; "," &amp; $D$4 &amp; "," &amp; $E$8 &amp; "," &amp; G$11 &amp; "," &amp; "AccountGroupCode" &amp; "," &amp; $B$28 &amp; "," &amp; "AccountStructureCode" &amp; "," &amp; "AccountType" &amp; "," &amp; "BalanceType" &amp; "," &amp; $D$5 &amp; "," &amp; $D$6 &amp; ")", CellContents, 10645516,95)</f>
        <v>10645516</v>
      </c>
      <c r="H57" s="32">
        <f>CHOOSE(B, "GLClosingBalance(" &amp; "Account" &amp; "," &amp; $D$4 &amp; "," &amp; $E$8 &amp; "," &amp; H$11 &amp; "," &amp; "AccountGroupCode" &amp; "," &amp; $B$28 &amp; "," &amp; "AccountStructureCode" &amp; "," &amp; "AccountType" &amp; "," &amp; "BalanceType" &amp; "," &amp; $D$5 &amp; "," &amp; $D$6 &amp; ")", CellContents, 11999640,2)</f>
        <v>11999640</v>
      </c>
      <c r="I57" s="32">
        <f>CHOOSE(B, "GLClosingBalance(" &amp; "Account" &amp; "," &amp; $D$4 &amp; "," &amp; $E$8 &amp; "," &amp; I$11 &amp; "," &amp; "AccountGroupCode" &amp; "," &amp; $B$28 &amp; "," &amp; "AccountStructureCode" &amp; "," &amp; "AccountType" &amp; "," &amp; "BalanceType" &amp; "," &amp; $D$5 &amp; "," &amp; $D$6 &amp; ")", CellContents, 11996815,57)</f>
        <v>11996815</v>
      </c>
      <c r="J57" s="32">
        <f>CHOOSE(B, "GLClosingBalance(" &amp; "Account" &amp; "," &amp; $D$4 &amp; "," &amp; $E$8 &amp; "," &amp; J$11 &amp; "," &amp; "AccountGroupCode" &amp; "," &amp; $B$28 &amp; "," &amp; "AccountStructureCode" &amp; "," &amp; "AccountType" &amp; "," &amp; "BalanceType" &amp; "," &amp; $D$5 &amp; "," &amp; $D$6 &amp; ")", CellContents, 11959973,73)</f>
        <v>11959973</v>
      </c>
      <c r="K57" s="32">
        <f t="shared" ref="K57:Q57" si="20">CHOOSE(B, "GLClosingBalance(" &amp; "Account" &amp; "," &amp; $D$4 &amp; "," &amp; $E$8 &amp; "," &amp; K$11 &amp; "," &amp; "AccountGroupCode" &amp; "," &amp; $B$28 &amp; "," &amp; "AccountStructureCode" &amp; "," &amp; "AccountType" &amp; "," &amp; "BalanceType" &amp; "," &amp; $D$5 &amp; "," &amp; $D$6 &amp; ")", CellContents, 11960373)</f>
        <v>11960373</v>
      </c>
      <c r="L57" s="32">
        <f t="shared" si="20"/>
        <v>11960373</v>
      </c>
      <c r="M57" s="32">
        <f t="shared" si="20"/>
        <v>11960373</v>
      </c>
      <c r="N57" s="32">
        <f t="shared" si="20"/>
        <v>11960373</v>
      </c>
      <c r="O57" s="32">
        <f t="shared" si="20"/>
        <v>11960373</v>
      </c>
      <c r="P57" s="32">
        <f t="shared" si="20"/>
        <v>11960373</v>
      </c>
      <c r="Q57" s="32">
        <f t="shared" si="20"/>
        <v>11960373</v>
      </c>
      <c r="S57"/>
      <c r="T57"/>
      <c r="U57"/>
      <c r="V57"/>
      <c r="W57"/>
      <c r="X57"/>
      <c r="Y57"/>
      <c r="Z57"/>
      <c r="AA57"/>
      <c r="AB57"/>
      <c r="AC57"/>
      <c r="AD57"/>
      <c r="AE57"/>
      <c r="AF57"/>
    </row>
    <row r="58" spans="3:32" x14ac:dyDescent="0.3">
      <c r="C58" s="35" t="s">
        <v>204</v>
      </c>
      <c r="D58" s="36">
        <f>D56-D57</f>
        <v>-1</v>
      </c>
      <c r="E58" s="36">
        <f t="shared" ref="E58:Q58" si="21">E56-E57</f>
        <v>-2</v>
      </c>
      <c r="F58" s="36">
        <f t="shared" si="21"/>
        <v>-1</v>
      </c>
      <c r="G58" s="36">
        <f t="shared" si="21"/>
        <v>-2</v>
      </c>
      <c r="H58" s="36">
        <f t="shared" si="21"/>
        <v>-4</v>
      </c>
      <c r="I58" s="36">
        <f t="shared" si="21"/>
        <v>-2</v>
      </c>
      <c r="J58" s="36">
        <f t="shared" si="21"/>
        <v>-1</v>
      </c>
      <c r="K58" s="36">
        <f t="shared" si="21"/>
        <v>-1</v>
      </c>
      <c r="L58" s="36">
        <f t="shared" si="21"/>
        <v>-1</v>
      </c>
      <c r="M58" s="36">
        <f t="shared" si="21"/>
        <v>-1</v>
      </c>
      <c r="N58" s="36">
        <f t="shared" si="21"/>
        <v>-1</v>
      </c>
      <c r="O58" s="36">
        <f t="shared" si="21"/>
        <v>-1</v>
      </c>
      <c r="P58" s="36">
        <f t="shared" si="21"/>
        <v>-1</v>
      </c>
      <c r="Q58" s="36">
        <f t="shared" si="21"/>
        <v>-1</v>
      </c>
      <c r="S58"/>
      <c r="T58"/>
      <c r="U58"/>
      <c r="V58"/>
      <c r="W58"/>
      <c r="X58"/>
      <c r="Y58"/>
      <c r="Z58"/>
      <c r="AA58"/>
      <c r="AB58"/>
      <c r="AC58"/>
      <c r="AD58"/>
      <c r="AE58"/>
      <c r="AF58"/>
    </row>
  </sheetData>
  <mergeCells count="3">
    <mergeCell ref="D10:Q10"/>
    <mergeCell ref="S10:AF10"/>
    <mergeCell ref="G3:J7"/>
  </mergeCells>
  <dataValidations count="2">
    <dataValidation type="list" allowBlank="1" showInputMessage="1" showErrorMessage="1" sqref="D4">
      <formula1>CompaniesTemplate</formula1>
    </dataValidation>
    <dataValidation type="list" allowBlank="1" showInputMessage="1" sqref="E8 T8">
      <formula1>FiscalYearsTemplate</formula1>
    </dataValidation>
  </dataValidations>
  <hyperlinks>
    <hyperlink ref="B2" location="Home!A1" tooltip="Click to navigate to the Home sheet." display="ß"/>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outlinePr summaryBelow="0"/>
  </sheetPr>
  <dimension ref="B1:AF40"/>
  <sheetViews>
    <sheetView showGridLines="0" zoomScale="90" zoomScaleNormal="90" workbookViewId="0"/>
  </sheetViews>
  <sheetFormatPr defaultRowHeight="16.5" outlineLevelRow="1" x14ac:dyDescent="0.3"/>
  <cols>
    <col min="1" max="1" width="2.85546875" style="12" customWidth="1"/>
    <col min="2" max="2" width="5.5703125" style="11" customWidth="1"/>
    <col min="3" max="3" width="39.5703125" style="12" customWidth="1"/>
    <col min="4" max="17" width="14" style="12" bestFit="1" customWidth="1"/>
    <col min="18" max="18" width="3.5703125" style="12" customWidth="1"/>
    <col min="19" max="32" width="15" style="12" bestFit="1" customWidth="1"/>
    <col min="33" max="16384" width="9.140625" style="12"/>
  </cols>
  <sheetData>
    <row r="1" spans="2:32" ht="15" customHeight="1" x14ac:dyDescent="0.3"/>
    <row r="2" spans="2:32" ht="33.75" customHeight="1" x14ac:dyDescent="0.7">
      <c r="B2" s="91" t="s">
        <v>154</v>
      </c>
      <c r="C2" s="13" t="str">
        <f>CONCATENATE(D4," Statement of Cash flows")</f>
        <v>0 Statement of Cash flows</v>
      </c>
    </row>
    <row r="3" spans="2:32" x14ac:dyDescent="0.3">
      <c r="G3" s="128" t="s">
        <v>184</v>
      </c>
      <c r="H3" s="128"/>
      <c r="I3" s="128"/>
      <c r="J3" s="128"/>
    </row>
    <row r="4" spans="2:32" x14ac:dyDescent="0.3">
      <c r="C4" s="14" t="s">
        <v>26</v>
      </c>
      <c r="D4" s="68">
        <f>INDEX(Companies,1)</f>
        <v>0</v>
      </c>
      <c r="G4" s="128"/>
      <c r="H4" s="128"/>
      <c r="I4" s="128"/>
      <c r="J4" s="128"/>
    </row>
    <row r="5" spans="2:32" x14ac:dyDescent="0.3">
      <c r="C5" s="14" t="s">
        <v>27</v>
      </c>
      <c r="D5" s="15" t="str">
        <f>CHOOSE(B, "GLHomeCurrency(" &amp; $D$4 &amp; ")", CellContents, "CAD")</f>
        <v>CAD</v>
      </c>
      <c r="G5" s="128"/>
      <c r="H5" s="128"/>
      <c r="I5" s="128"/>
      <c r="J5" s="128"/>
    </row>
    <row r="6" spans="2:32" x14ac:dyDescent="0.3">
      <c r="C6" s="14" t="s">
        <v>28</v>
      </c>
      <c r="D6" s="15" t="s">
        <v>29</v>
      </c>
      <c r="G6" s="128"/>
      <c r="H6" s="128"/>
      <c r="I6" s="128"/>
      <c r="J6" s="128"/>
    </row>
    <row r="7" spans="2:32" ht="7.5" customHeight="1" x14ac:dyDescent="0.3">
      <c r="D7" s="16"/>
      <c r="E7" s="17"/>
      <c r="G7" s="128"/>
      <c r="H7" s="128"/>
      <c r="I7" s="128"/>
      <c r="J7" s="128"/>
    </row>
    <row r="8" spans="2:32" x14ac:dyDescent="0.3">
      <c r="D8" s="14" t="s">
        <v>56</v>
      </c>
      <c r="E8" s="68">
        <f>CHOOSE(B, "GLCurrentYear(" &amp; $D$4 &amp; ")", CellContents, 2020)</f>
        <v>2020</v>
      </c>
      <c r="S8" s="14" t="s">
        <v>106</v>
      </c>
      <c r="T8" s="68">
        <v>2019</v>
      </c>
    </row>
    <row r="9" spans="2:32" x14ac:dyDescent="0.3">
      <c r="C9" s="19"/>
      <c r="D9" s="131" t="s">
        <v>21</v>
      </c>
      <c r="E9" s="131"/>
      <c r="F9" s="131"/>
      <c r="G9" s="131"/>
      <c r="H9" s="131"/>
      <c r="I9" s="131"/>
      <c r="J9" s="131"/>
      <c r="K9" s="131"/>
      <c r="L9" s="131"/>
      <c r="M9" s="131"/>
      <c r="N9" s="131"/>
      <c r="O9" s="131"/>
      <c r="P9" s="131"/>
      <c r="Q9" s="131"/>
      <c r="R9" s="47"/>
      <c r="S9" s="131" t="s">
        <v>21</v>
      </c>
      <c r="T9" s="131"/>
      <c r="U9" s="131"/>
      <c r="V9" s="131"/>
      <c r="W9" s="131"/>
      <c r="X9" s="131"/>
      <c r="Y9" s="131"/>
      <c r="Z9" s="131"/>
      <c r="AA9" s="131"/>
      <c r="AB9" s="131"/>
      <c r="AC9" s="131"/>
      <c r="AD9" s="131"/>
      <c r="AE9" s="131"/>
      <c r="AF9" s="131"/>
    </row>
    <row r="10" spans="2:32" x14ac:dyDescent="0.3">
      <c r="B10" s="18"/>
      <c r="D10" s="62">
        <v>1</v>
      </c>
      <c r="E10" s="62">
        <v>2</v>
      </c>
      <c r="F10" s="62">
        <v>3</v>
      </c>
      <c r="G10" s="62">
        <v>4</v>
      </c>
      <c r="H10" s="62">
        <v>5</v>
      </c>
      <c r="I10" s="62">
        <v>6</v>
      </c>
      <c r="J10" s="62">
        <v>7</v>
      </c>
      <c r="K10" s="62">
        <v>8</v>
      </c>
      <c r="L10" s="62">
        <v>9</v>
      </c>
      <c r="M10" s="62">
        <v>10</v>
      </c>
      <c r="N10" s="62">
        <v>11</v>
      </c>
      <c r="O10" s="62">
        <v>12</v>
      </c>
      <c r="P10" s="62">
        <v>13</v>
      </c>
      <c r="Q10" s="62">
        <v>14</v>
      </c>
      <c r="R10" s="47"/>
      <c r="S10" s="62">
        <v>1</v>
      </c>
      <c r="T10" s="62">
        <v>2</v>
      </c>
      <c r="U10" s="62">
        <v>3</v>
      </c>
      <c r="V10" s="62">
        <v>4</v>
      </c>
      <c r="W10" s="62">
        <v>5</v>
      </c>
      <c r="X10" s="62">
        <v>6</v>
      </c>
      <c r="Y10" s="62">
        <v>7</v>
      </c>
      <c r="Z10" s="62">
        <v>8</v>
      </c>
      <c r="AA10" s="62">
        <v>9</v>
      </c>
      <c r="AB10" s="62">
        <v>10</v>
      </c>
      <c r="AC10" s="62">
        <v>11</v>
      </c>
      <c r="AD10" s="62">
        <v>12</v>
      </c>
      <c r="AE10" s="62">
        <v>13</v>
      </c>
      <c r="AF10" s="62">
        <v>14</v>
      </c>
    </row>
    <row r="11" spans="2:32" ht="7.5" customHeight="1" x14ac:dyDescent="0.3"/>
    <row r="12" spans="2:32" x14ac:dyDescent="0.3">
      <c r="C12" s="29" t="s">
        <v>113</v>
      </c>
    </row>
    <row r="13" spans="2:32" ht="7.5" customHeight="1" x14ac:dyDescent="0.3"/>
    <row r="14" spans="2:32" x14ac:dyDescent="0.3">
      <c r="B14" s="28" t="s">
        <v>128</v>
      </c>
      <c r="C14" s="29" t="s">
        <v>114</v>
      </c>
      <c r="D14" s="32">
        <f>CHOOSE(B, "-GLActualYTD(" &amp; "Account" &amp; "," &amp; $D$4 &amp; "," &amp; $E$8 &amp; "," &amp; D$10 &amp; "," &amp; "AccountGroupCode" &amp; "," &amp; "AccountCategoryCode" &amp; "," &amp; "AccountStructureCode" &amp; "," &amp; $B$14 &amp; "," &amp; "BalanceType" &amp; "," &amp; $D$5 &amp; "," &amp; $D$6 &amp; ")", CellContents, 88110,4800000002)</f>
        <v>88110</v>
      </c>
      <c r="E14" s="32">
        <f>CHOOSE(B, "-GLActualYTD(" &amp; "Account" &amp; "," &amp; $D$4 &amp; "," &amp; $E$8 &amp; "," &amp; E$10 &amp; "," &amp; "AccountGroupCode" &amp; "," &amp; "AccountCategoryCode" &amp; "," &amp; "AccountStructureCode" &amp; "," &amp; $B$14 &amp; "," &amp; "BalanceType" &amp; "," &amp; $D$5 &amp; "," &amp; $D$6 &amp; ")", CellContents, 272489,47)</f>
        <v>272489</v>
      </c>
      <c r="F14" s="32">
        <f>CHOOSE(B, "-GLActualYTD(" &amp; "Account" &amp; "," &amp; $D$4 &amp; "," &amp; $E$8 &amp; "," &amp; F$10 &amp; "," &amp; "AccountGroupCode" &amp; "," &amp; "AccountCategoryCode" &amp; "," &amp; "AccountStructureCode" &amp; "," &amp; $B$14 &amp; "," &amp; "BalanceType" &amp; "," &amp; $D$5 &amp; "," &amp; $D$6 &amp; ")", CellContents, 499192,22)</f>
        <v>499192</v>
      </c>
      <c r="G14" s="32">
        <f>CHOOSE(B, "-GLActualYTD(" &amp; "Account" &amp; "," &amp; $D$4 &amp; "," &amp; $E$8 &amp; "," &amp; G$10 &amp; "," &amp; "AccountGroupCode" &amp; "," &amp; "AccountCategoryCode" &amp; "," &amp; "AccountStructureCode" &amp; "," &amp; $B$14 &amp; "," &amp; "BalanceType" &amp; "," &amp; $D$5 &amp; "," &amp; $D$6 &amp; ")", CellContents, 685198,240000001)</f>
        <v>685198</v>
      </c>
      <c r="H14" s="32">
        <f>CHOOSE(B, "-GLActualYTD(" &amp; "Account" &amp; "," &amp; $D$4 &amp; "," &amp; $E$8 &amp; "," &amp; H$10 &amp; "," &amp; "AccountGroupCode" &amp; "," &amp; "AccountCategoryCode" &amp; "," &amp; "AccountStructureCode" &amp; "," &amp; $B$14 &amp; "," &amp; "BalanceType" &amp; "," &amp; $D$5 &amp; "," &amp; $D$6 &amp; ")", CellContents, 1003523,2)</f>
        <v>1003523</v>
      </c>
      <c r="I14" s="32">
        <f>CHOOSE(B, "-GLActualYTD(" &amp; "Account" &amp; "," &amp; $D$4 &amp; "," &amp; $E$8 &amp; "," &amp; I$10 &amp; "," &amp; "AccountGroupCode" &amp; "," &amp; "AccountCategoryCode" &amp; "," &amp; "AccountStructureCode" &amp; "," &amp; $B$14 &amp; "," &amp; "BalanceType" &amp; "," &amp; $D$5 &amp; "," &amp; $D$6 &amp; ")", CellContents, 1006468,77)</f>
        <v>1006468</v>
      </c>
      <c r="J14" s="32">
        <f>CHOOSE(B, "-GLActualYTD(" &amp; "Account" &amp; "," &amp; $D$4 &amp; "," &amp; $E$8 &amp; "," &amp; J$10 &amp; "," &amp; "AccountGroupCode" &amp; "," &amp; "AccountCategoryCode" &amp; "," &amp; "AccountStructureCode" &amp; "," &amp; $B$14 &amp; "," &amp; "BalanceType" &amp; "," &amp; $D$5 &amp; "," &amp; $D$6 &amp; ")", CellContents, 990651,810000002)</f>
        <v>990651</v>
      </c>
      <c r="K14" s="32">
        <f t="shared" ref="K14:Q14" si="0">CHOOSE(B, "-GLActualYTD(" &amp; "Account" &amp; "," &amp; $D$4 &amp; "," &amp; $E$8 &amp; "," &amp; K$10 &amp; "," &amp; "AccountGroupCode" &amp; "," &amp; "AccountCategoryCode" &amp; "," &amp; "AccountStructureCode" &amp; "," &amp; $B$14 &amp; "," &amp; "BalanceType" &amp; "," &amp; $D$5 &amp; "," &amp; $D$6 &amp; ")", CellContents, 991071,480000002)</f>
        <v>991071</v>
      </c>
      <c r="L14" s="32">
        <f t="shared" si="0"/>
        <v>991071</v>
      </c>
      <c r="M14" s="32">
        <f t="shared" si="0"/>
        <v>991071</v>
      </c>
      <c r="N14" s="32">
        <f t="shared" si="0"/>
        <v>991071</v>
      </c>
      <c r="O14" s="32">
        <f t="shared" si="0"/>
        <v>991071</v>
      </c>
      <c r="P14" s="32">
        <f t="shared" si="0"/>
        <v>991071</v>
      </c>
      <c r="Q14" s="32">
        <f t="shared" si="0"/>
        <v>991071</v>
      </c>
      <c r="R14" s="52"/>
      <c r="S14" s="32">
        <f>CHOOSE(B, "-GLActualYTD(" &amp; "Account" &amp; "," &amp; $D$4 &amp; "," &amp; $T$8 &amp; "," &amp; S$10 &amp; "," &amp; "AccountGroupCode" &amp; "," &amp; "AccountCategoryCode" &amp; "," &amp; "AccountStructureCode" &amp; "," &amp; $B$14 &amp; "," &amp; "BalanceType" &amp; "," &amp; $D$5 &amp; "," &amp; $D$6 &amp; ")", CellContents, -7618833,14)</f>
        <v>-7618833</v>
      </c>
      <c r="T14" s="32">
        <f>CHOOSE(B, "-GLActualYTD(" &amp; "Account" &amp; "," &amp; $D$4 &amp; "," &amp; $T$8 &amp; "," &amp; T$10 &amp; "," &amp; "AccountGroupCode" &amp; "," &amp; "AccountCategoryCode" &amp; "," &amp; "AccountStructureCode" &amp; "," &amp; $B$14 &amp; "," &amp; "BalanceType" &amp; "," &amp; $D$5 &amp; "," &amp; $D$6 &amp; ")", CellContents, -6355068,74)</f>
        <v>-6355068</v>
      </c>
      <c r="U14" s="32">
        <f>CHOOSE(B, "-GLActualYTD(" &amp; "Account" &amp; "," &amp; $D$4 &amp; "," &amp; $T$8 &amp; "," &amp; U$10 &amp; "," &amp; "AccountGroupCode" &amp; "," &amp; "AccountCategoryCode" &amp; "," &amp; "AccountStructureCode" &amp; "," &amp; $B$14 &amp; "," &amp; "BalanceType" &amp; "," &amp; $D$5 &amp; "," &amp; $D$6 &amp; ")", CellContents, -5227390,39)</f>
        <v>-5227390</v>
      </c>
      <c r="V14" s="32">
        <f>CHOOSE(B, "-GLActualYTD(" &amp; "Account" &amp; "," &amp; $D$4 &amp; "," &amp; $T$8 &amp; "," &amp; V$10 &amp; "," &amp; "AccountGroupCode" &amp; "," &amp; "AccountCategoryCode" &amp; "," &amp; "AccountStructureCode" &amp; "," &amp; $B$14 &amp; "," &amp; "BalanceType" &amp; "," &amp; $D$5 &amp; "," &amp; $D$6 &amp; ")", CellContents, -4973163,91)</f>
        <v>-4973163</v>
      </c>
      <c r="W14" s="32">
        <f>CHOOSE(B, "-GLActualYTD(" &amp; "Account" &amp; "," &amp; $D$4 &amp; "," &amp; $T$8 &amp; "," &amp; W$10 &amp; "," &amp; "AccountGroupCode" &amp; "," &amp; "AccountCategoryCode" &amp; "," &amp; "AccountStructureCode" &amp; "," &amp; $B$14 &amp; "," &amp; "BalanceType" &amp; "," &amp; $D$5 &amp; "," &amp; $D$6 &amp; ")", CellContents, -4500548,53)</f>
        <v>-4500548</v>
      </c>
      <c r="X14" s="32">
        <f>CHOOSE(B, "-GLActualYTD(" &amp; "Account" &amp; "," &amp; $D$4 &amp; "," &amp; $T$8 &amp; "," &amp; X$10 &amp; "," &amp; "AccountGroupCode" &amp; "," &amp; "AccountCategoryCode" &amp; "," &amp; "AccountStructureCode" &amp; "," &amp; $B$14 &amp; "," &amp; "BalanceType" &amp; "," &amp; $D$5 &amp; "," &amp; $D$6 &amp; ")", CellContents, -4337802,98)</f>
        <v>-4337802</v>
      </c>
      <c r="Y14" s="32">
        <f>CHOOSE(B, "-GLActualYTD(" &amp; "Account" &amp; "," &amp; $D$4 &amp; "," &amp; $T$8 &amp; "," &amp; Y$10 &amp; "," &amp; "AccountGroupCode" &amp; "," &amp; "AccountCategoryCode" &amp; "," &amp; "AccountStructureCode" &amp; "," &amp; $B$14 &amp; "," &amp; "BalanceType" &amp; "," &amp; $D$5 &amp; "," &amp; $D$6 &amp; ")", CellContents, -4175368,79)</f>
        <v>-4175368</v>
      </c>
      <c r="Z14" s="32">
        <f>CHOOSE(B, "-GLActualYTD(" &amp; "Account" &amp; "," &amp; $D$4 &amp; "," &amp; $T$8 &amp; "," &amp; Z$10 &amp; "," &amp; "AccountGroupCode" &amp; "," &amp; "AccountCategoryCode" &amp; "," &amp; "AccountStructureCode" &amp; "," &amp; $B$14 &amp; "," &amp; "BalanceType" &amp; "," &amp; $D$5 &amp; "," &amp; $D$6 &amp; ")", CellContents, -3971764,5)</f>
        <v>-3971764</v>
      </c>
      <c r="AA14" s="32">
        <f>CHOOSE(B, "-GLActualYTD(" &amp; "Account" &amp; "," &amp; $D$4 &amp; "," &amp; $T$8 &amp; "," &amp; AA$10 &amp; "," &amp; "AccountGroupCode" &amp; "," &amp; "AccountCategoryCode" &amp; "," &amp; "AccountStructureCode" &amp; "," &amp; $B$14 &amp; "," &amp; "BalanceType" &amp; "," &amp; $D$5 &amp; "," &amp; $D$6 &amp; ")", CellContents, -3790754,94)</f>
        <v>-3790754</v>
      </c>
      <c r="AB14" s="32">
        <f>CHOOSE(B, "-GLActualYTD(" &amp; "Account" &amp; "," &amp; $D$4 &amp; "," &amp; $T$8 &amp; "," &amp; AB$10 &amp; "," &amp; "AccountGroupCode" &amp; "," &amp; "AccountCategoryCode" &amp; "," &amp; "AccountStructureCode" &amp; "," &amp; $B$14 &amp; "," &amp; "BalanceType" &amp; "," &amp; $D$5 &amp; "," &amp; $D$6 &amp; ")", CellContents, -3607621,68)</f>
        <v>-3607621</v>
      </c>
      <c r="AC14" s="32">
        <f>CHOOSE(B, "-GLActualYTD(" &amp; "Account" &amp; "," &amp; $D$4 &amp; "," &amp; $T$8 &amp; "," &amp; AC$10 &amp; "," &amp; "AccountGroupCode" &amp; "," &amp; "AccountCategoryCode" &amp; "," &amp; "AccountStructureCode" &amp; "," &amp; $B$14 &amp; "," &amp; "BalanceType" &amp; "," &amp; $D$5 &amp; "," &amp; $D$6 &amp; ")", CellContents, -3437050,35)</f>
        <v>-3437050</v>
      </c>
      <c r="AD14" s="32">
        <f>CHOOSE(B, "-GLActualYTD(" &amp; "Account" &amp; "," &amp; $D$4 &amp; "," &amp; $T$8 &amp; "," &amp; AD$10 &amp; "," &amp; "AccountGroupCode" &amp; "," &amp; "AccountCategoryCode" &amp; "," &amp; "AccountStructureCode" &amp; "," &amp; $B$14 &amp; "," &amp; "BalanceType" &amp; "," &amp; $D$5 &amp; "," &amp; $D$6 &amp; ")", CellContents, -3222421,5)</f>
        <v>-3222421</v>
      </c>
      <c r="AE14" s="32">
        <f>CHOOSE(B, "-GLActualYTD(" &amp; "Account" &amp; "," &amp; $D$4 &amp; "," &amp; $T$8 &amp; "," &amp; AE$10 &amp; "," &amp; "AccountGroupCode" &amp; "," &amp; "AccountCategoryCode" &amp; "," &amp; "AccountStructureCode" &amp; "," &amp; $B$14 &amp; "," &amp; "BalanceType" &amp; "," &amp; $D$5 &amp; "," &amp; $D$6 &amp; ")", CellContents, -3222421,5)</f>
        <v>-3222421</v>
      </c>
      <c r="AF14" s="32">
        <f>CHOOSE(B, "-GLActualYTD(" &amp; "Account" &amp; "," &amp; $D$4 &amp; "," &amp; $T$8 &amp; "," &amp; AF$10 &amp; "," &amp; "AccountGroupCode" &amp; "," &amp; "AccountCategoryCode" &amp; "," &amp; "AccountStructureCode" &amp; "," &amp; $B$14 &amp; "," &amp; "BalanceType" &amp; "," &amp; $D$5 &amp; "," &amp; $D$6 &amp; ")", CellContents, -3222421,5)</f>
        <v>-3222421</v>
      </c>
    </row>
    <row r="15" spans="2:32" ht="7.5" customHeight="1" x14ac:dyDescent="0.3">
      <c r="C15" s="29"/>
      <c r="D15" s="32"/>
      <c r="E15" s="52"/>
      <c r="F15" s="52"/>
      <c r="G15" s="52"/>
      <c r="H15" s="52"/>
      <c r="I15" s="52"/>
      <c r="J15" s="52"/>
      <c r="K15" s="52"/>
      <c r="L15" s="52"/>
      <c r="M15" s="52"/>
      <c r="N15" s="52"/>
      <c r="O15" s="52"/>
      <c r="P15" s="52"/>
      <c r="Q15" s="52"/>
      <c r="R15" s="52"/>
      <c r="S15" s="32"/>
      <c r="T15" s="52"/>
      <c r="U15" s="52"/>
      <c r="V15" s="52"/>
      <c r="W15" s="52"/>
      <c r="X15" s="52"/>
      <c r="Y15" s="52"/>
      <c r="Z15" s="52"/>
      <c r="AA15" s="52"/>
      <c r="AB15" s="52"/>
      <c r="AC15" s="52"/>
      <c r="AD15" s="52"/>
      <c r="AE15" s="52"/>
      <c r="AF15" s="52"/>
    </row>
    <row r="16" spans="2:32" collapsed="1" x14ac:dyDescent="0.3">
      <c r="B16" s="28"/>
      <c r="C16" s="29" t="s">
        <v>115</v>
      </c>
      <c r="D16" s="32">
        <f>SUM(D18:D23)</f>
        <v>-955525</v>
      </c>
      <c r="E16" s="32">
        <f t="shared" ref="E16:Q16" si="1">SUM(E18:E22)</f>
        <v>-1647050</v>
      </c>
      <c r="F16" s="32">
        <f t="shared" si="1"/>
        <v>-3198770</v>
      </c>
      <c r="G16" s="32">
        <f t="shared" si="1"/>
        <v>-4277589</v>
      </c>
      <c r="H16" s="32">
        <f t="shared" si="1"/>
        <v>-5565386</v>
      </c>
      <c r="I16" s="32">
        <f t="shared" si="1"/>
        <v>-5559724</v>
      </c>
      <c r="J16" s="32">
        <f t="shared" si="1"/>
        <v>-5539760</v>
      </c>
      <c r="K16" s="32">
        <f t="shared" si="1"/>
        <v>-5539740</v>
      </c>
      <c r="L16" s="32">
        <f t="shared" si="1"/>
        <v>-5539740</v>
      </c>
      <c r="M16" s="32">
        <f t="shared" si="1"/>
        <v>-5539740</v>
      </c>
      <c r="N16" s="32">
        <f t="shared" si="1"/>
        <v>-5539740</v>
      </c>
      <c r="O16" s="32">
        <f t="shared" si="1"/>
        <v>-5539740</v>
      </c>
      <c r="P16" s="32">
        <f t="shared" si="1"/>
        <v>-5539740</v>
      </c>
      <c r="Q16" s="32">
        <f t="shared" si="1"/>
        <v>-5539740</v>
      </c>
      <c r="R16" s="52"/>
      <c r="S16" s="32">
        <f>SUM(S18:S23)</f>
        <v>-8320270</v>
      </c>
      <c r="T16" s="32">
        <f t="shared" ref="T16:AF16" si="2">SUM(T18:T22)</f>
        <v>-7428145</v>
      </c>
      <c r="U16" s="32">
        <f t="shared" si="2"/>
        <v>-6429947</v>
      </c>
      <c r="V16" s="32">
        <f t="shared" si="2"/>
        <v>-6905780</v>
      </c>
      <c r="W16" s="32">
        <f t="shared" si="2"/>
        <v>-6697486</v>
      </c>
      <c r="X16" s="32">
        <f t="shared" si="2"/>
        <v>-6875625</v>
      </c>
      <c r="Y16" s="32">
        <f t="shared" si="2"/>
        <v>-7396343</v>
      </c>
      <c r="Z16" s="32">
        <f t="shared" si="2"/>
        <v>-8218076</v>
      </c>
      <c r="AA16" s="32">
        <f t="shared" si="2"/>
        <v>-8128189</v>
      </c>
      <c r="AB16" s="32">
        <f t="shared" si="2"/>
        <v>-8343151</v>
      </c>
      <c r="AC16" s="32">
        <f t="shared" si="2"/>
        <v>-8071391</v>
      </c>
      <c r="AD16" s="32">
        <f t="shared" si="2"/>
        <v>-8013062</v>
      </c>
      <c r="AE16" s="32">
        <f t="shared" si="2"/>
        <v>-8013062</v>
      </c>
      <c r="AF16" s="32">
        <f t="shared" si="2"/>
        <v>-8013062</v>
      </c>
    </row>
    <row r="17" spans="2:32" ht="7.5" hidden="1" customHeight="1" outlineLevel="1" x14ac:dyDescent="0.3">
      <c r="B17" s="28"/>
      <c r="D17" s="32"/>
      <c r="E17" s="52"/>
      <c r="F17" s="52"/>
      <c r="G17" s="52"/>
      <c r="H17" s="52"/>
      <c r="I17" s="52"/>
      <c r="J17" s="52"/>
      <c r="K17" s="52"/>
      <c r="L17" s="52"/>
      <c r="M17" s="52"/>
      <c r="N17" s="52"/>
      <c r="O17" s="52"/>
      <c r="P17" s="52"/>
      <c r="Q17" s="52"/>
      <c r="R17" s="52"/>
      <c r="S17" s="32"/>
      <c r="T17" s="52"/>
      <c r="U17" s="52"/>
      <c r="V17" s="52"/>
      <c r="W17" s="52"/>
      <c r="X17" s="52"/>
      <c r="Y17" s="52"/>
      <c r="Z17" s="52"/>
      <c r="AA17" s="52"/>
      <c r="AB17" s="52"/>
      <c r="AC17" s="52"/>
      <c r="AD17" s="52"/>
      <c r="AE17" s="52"/>
      <c r="AF17" s="52"/>
    </row>
    <row r="18" spans="2:32" hidden="1" outlineLevel="1" x14ac:dyDescent="0.3">
      <c r="B18" s="29" t="s">
        <v>72</v>
      </c>
      <c r="C18" s="29" t="s">
        <v>33</v>
      </c>
      <c r="D18" s="32">
        <f>CHOOSE(B, "GLActualYTD(" &amp; "Account" &amp; "," &amp; $D$4 &amp; "," &amp; $E$8 &amp; "," &amp; D$10 &amp; "," &amp; "AccountGroupCode" &amp; "," &amp; $B18 &amp; "," &amp; "AccountStructureCode" &amp; "," &amp; "AccountType" &amp; "," &amp; "BalanceType" &amp; "," &amp; $D$5 &amp; "," &amp; $D$6 &amp; ")", CellContents, -149165,7)</f>
        <v>-149165</v>
      </c>
      <c r="E18" s="32">
        <f>CHOOSE(B, "GLActualYTD(" &amp; "Account" &amp; "," &amp; $D$4 &amp; "," &amp; $E$8 &amp; "," &amp; E$10 &amp; "," &amp; "AccountGroupCode" &amp; "," &amp; $B18 &amp; "," &amp; "AccountStructureCode" &amp; "," &amp; "AccountType" &amp; "," &amp; "BalanceType" &amp; "," &amp; $D$5 &amp; "," &amp; $D$6 &amp; ")", CellContents, -122954,96)</f>
        <v>-122954</v>
      </c>
      <c r="F18" s="32">
        <f>CHOOSE(B, "GLActualYTD(" &amp; "Account" &amp; "," &amp; $D$4 &amp; "," &amp; $E$8 &amp; "," &amp; F$10 &amp; "," &amp; "AccountGroupCode" &amp; "," &amp; $B18 &amp; "," &amp; "AccountStructureCode" &amp; "," &amp; "AccountType" &amp; "," &amp; "BalanceType" &amp; "," &amp; $D$5 &amp; "," &amp; $D$6 &amp; ")", CellContents, -549342,1)</f>
        <v>-549342</v>
      </c>
      <c r="G18" s="32">
        <f>CHOOSE(B, "GLActualYTD(" &amp; "Account" &amp; "," &amp; $D$4 &amp; "," &amp; $E$8 &amp; "," &amp; G$10 &amp; "," &amp; "AccountGroupCode" &amp; "," &amp; $B18 &amp; "," &amp; "AccountStructureCode" &amp; "," &amp; "AccountType" &amp; "," &amp; "BalanceType" &amp; "," &amp; $D$5 &amp; "," &amp; $D$6 &amp; ")", CellContents, -583240,77)</f>
        <v>-583240</v>
      </c>
      <c r="H18" s="32">
        <f>CHOOSE(B, "GLActualYTD(" &amp; "Account" &amp; "," &amp; $D$4 &amp; "," &amp; $E$8 &amp; "," &amp; H$10 &amp; "," &amp; "AccountGroupCode" &amp; "," &amp; $B18 &amp; "," &amp; "AccountStructureCode" &amp; "," &amp; "AccountType" &amp; "," &amp; "BalanceType" &amp; "," &amp; $D$5 &amp; "," &amp; $D$6 &amp; ")", CellContents, -374566,77)</f>
        <v>-374566</v>
      </c>
      <c r="I18" s="32">
        <f>CHOOSE(B, "GLActualYTD(" &amp; "Account" &amp; "," &amp; $D$4 &amp; "," &amp; $E$8 &amp; "," &amp; I$10 &amp; "," &amp; "AccountGroupCode" &amp; "," &amp; $B18 &amp; "," &amp; "AccountStructureCode" &amp; "," &amp; "AccountType" &amp; "," &amp; "BalanceType" &amp; "," &amp; $D$5 &amp; "," &amp; $D$6 &amp; ")", CellContents, -368178,64)</f>
        <v>-368178</v>
      </c>
      <c r="J18" s="32">
        <f t="shared" ref="J18:Q18" si="3">CHOOSE(B, "GLActualYTD(" &amp; "Account" &amp; "," &amp; $D$4 &amp; "," &amp; $E$8 &amp; "," &amp; J$10 &amp; "," &amp; "AccountGroupCode" &amp; "," &amp; $B18 &amp; "," &amp; "AccountStructureCode" &amp; "," &amp; "AccountType" &amp; "," &amp; "BalanceType" &amp; "," &amp; $D$5 &amp; "," &amp; $D$6 &amp; ")", CellContents, -364061,22)</f>
        <v>-364061</v>
      </c>
      <c r="K18" s="32">
        <f t="shared" si="3"/>
        <v>-364061</v>
      </c>
      <c r="L18" s="32">
        <f t="shared" si="3"/>
        <v>-364061</v>
      </c>
      <c r="M18" s="32">
        <f t="shared" si="3"/>
        <v>-364061</v>
      </c>
      <c r="N18" s="32">
        <f t="shared" si="3"/>
        <v>-364061</v>
      </c>
      <c r="O18" s="32">
        <f t="shared" si="3"/>
        <v>-364061</v>
      </c>
      <c r="P18" s="32">
        <f t="shared" si="3"/>
        <v>-364061</v>
      </c>
      <c r="Q18" s="32">
        <f t="shared" si="3"/>
        <v>-364061</v>
      </c>
      <c r="R18" s="52"/>
      <c r="S18" s="32">
        <f>CHOOSE(B, "GLActualYTD(" &amp; "Account" &amp; "," &amp; $D$4 &amp; "," &amp; $T$8 &amp; "," &amp; S$10 &amp; "," &amp; "AccountGroupCode" &amp; "," &amp; $B18 &amp; "," &amp; "AccountStructureCode" &amp; "," &amp; "AccountType" &amp; "," &amp; "BalanceType" &amp; "," &amp; $D$5 &amp; "," &amp; $D$6 &amp; ")", CellContents, 884217,21)</f>
        <v>884217</v>
      </c>
      <c r="T18" s="32">
        <f>CHOOSE(B, "GLActualYTD(" &amp; "Account" &amp; "," &amp; $D$4 &amp; "," &amp; $T$8 &amp; "," &amp; T$10 &amp; "," &amp; "AccountGroupCode" &amp; "," &amp; $B18 &amp; "," &amp; "AccountStructureCode" &amp; "," &amp; "AccountType" &amp; "," &amp; "BalanceType" &amp; "," &amp; $D$5 &amp; "," &amp; $D$6 &amp; ")", CellContents, 715556,65)</f>
        <v>715556</v>
      </c>
      <c r="U18" s="32">
        <f>CHOOSE(B, "GLActualYTD(" &amp; "Account" &amp; "," &amp; $D$4 &amp; "," &amp; $T$8 &amp; "," &amp; U$10 &amp; "," &amp; "AccountGroupCode" &amp; "," &amp; $B18 &amp; "," &amp; "AccountStructureCode" &amp; "," &amp; "AccountType" &amp; "," &amp; "BalanceType" &amp; "," &amp; $D$5 &amp; "," &amp; $D$6 &amp; ")", CellContents, 783443,99)</f>
        <v>783443</v>
      </c>
      <c r="V18" s="32">
        <f>CHOOSE(B, "GLActualYTD(" &amp; "Account" &amp; "," &amp; $D$4 &amp; "," &amp; $T$8 &amp; "," &amp; V$10 &amp; "," &amp; "AccountGroupCode" &amp; "," &amp; $B18 &amp; "," &amp; "AccountStructureCode" &amp; "," &amp; "AccountType" &amp; "," &amp; "BalanceType" &amp; "," &amp; $D$5 &amp; "," &amp; $D$6 &amp; ")", CellContents, 888105,73)</f>
        <v>888105</v>
      </c>
      <c r="W18" s="32">
        <f>CHOOSE(B, "GLActualYTD(" &amp; "Account" &amp; "," &amp; $D$4 &amp; "," &amp; $T$8 &amp; "," &amp; W$10 &amp; "," &amp; "AccountGroupCode" &amp; "," &amp; $B18 &amp; "," &amp; "AccountStructureCode" &amp; "," &amp; "AccountType" &amp; "," &amp; "BalanceType" &amp; "," &amp; $D$5 &amp; "," &amp; $D$6 &amp; ")", CellContents, 910000,11)</f>
        <v>910000</v>
      </c>
      <c r="X18" s="32">
        <f>CHOOSE(B, "GLActualYTD(" &amp; "Account" &amp; "," &amp; $D$4 &amp; "," &amp; $T$8 &amp; "," &amp; X$10 &amp; "," &amp; "AccountGroupCode" &amp; "," &amp; $B18 &amp; "," &amp; "AccountStructureCode" &amp; "," &amp; "AccountType" &amp; "," &amp; "BalanceType" &amp; "," &amp; $D$5 &amp; "," &amp; $D$6 &amp; ")", CellContents, 1057465,22)</f>
        <v>1057465</v>
      </c>
      <c r="Y18" s="32">
        <f>CHOOSE(B, "GLActualYTD(" &amp; "Account" &amp; "," &amp; $D$4 &amp; "," &amp; $T$8 &amp; "," &amp; Y$10 &amp; "," &amp; "AccountGroupCode" &amp; "," &amp; $B18 &amp; "," &amp; "AccountStructureCode" &amp; "," &amp; "AccountType" &amp; "," &amp; "BalanceType" &amp; "," &amp; $D$5 &amp; "," &amp; $D$6 &amp; ")", CellContents, 1335365,18)</f>
        <v>1335365</v>
      </c>
      <c r="Z18" s="32">
        <f>CHOOSE(B, "GLActualYTD(" &amp; "Account" &amp; "," &amp; $D$4 &amp; "," &amp; $T$8 &amp; "," &amp; Z$10 &amp; "," &amp; "AccountGroupCode" &amp; "," &amp; $B18 &amp; "," &amp; "AccountStructureCode" &amp; "," &amp; "AccountType" &amp; "," &amp; "BalanceType" &amp; "," &amp; $D$5 &amp; "," &amp; $D$6 &amp; ")", CellContents, 1343170,18)</f>
        <v>1343170</v>
      </c>
      <c r="AA18" s="32">
        <f>CHOOSE(B, "GLActualYTD(" &amp; "Account" &amp; "," &amp; $D$4 &amp; "," &amp; $T$8 &amp; "," &amp; AA$10 &amp; "," &amp; "AccountGroupCode" &amp; "," &amp; $B18 &amp; "," &amp; "AccountStructureCode" &amp; "," &amp; "AccountType" &amp; "," &amp; "BalanceType" &amp; "," &amp; $D$5 &amp; "," &amp; $D$6 &amp; ")", CellContents, 1534103,22)</f>
        <v>1534103</v>
      </c>
      <c r="AB18" s="32">
        <f>CHOOSE(B, "GLActualYTD(" &amp; "Account" &amp; "," &amp; $D$4 &amp; "," &amp; $T$8 &amp; "," &amp; AB$10 &amp; "," &amp; "AccountGroupCode" &amp; "," &amp; $B18 &amp; "," &amp; "AccountStructureCode" &amp; "," &amp; "AccountType" &amp; "," &amp; "BalanceType" &amp; "," &amp; $D$5 &amp; "," &amp; $D$6 &amp; ")", CellContents, 1795443,6)</f>
        <v>1795443</v>
      </c>
      <c r="AC18" s="32">
        <f>CHOOSE(B, "GLActualYTD(" &amp; "Account" &amp; "," &amp; $D$4 &amp; "," &amp; $T$8 &amp; "," &amp; AC$10 &amp; "," &amp; "AccountGroupCode" &amp; "," &amp; $B18 &amp; "," &amp; "AccountStructureCode" &amp; "," &amp; "AccountType" &amp; "," &amp; "BalanceType" &amp; "," &amp; $D$5 &amp; "," &amp; $D$6 &amp; ")", CellContents, 2013406,99)</f>
        <v>2013406</v>
      </c>
      <c r="AD18" s="32">
        <f>CHOOSE(B, "GLActualYTD(" &amp; "Account" &amp; "," &amp; $D$4 &amp; "," &amp; $T$8 &amp; "," &amp; AD$10 &amp; "," &amp; "AccountGroupCode" &amp; "," &amp; $B18 &amp; "," &amp; "AccountStructureCode" &amp; "," &amp; "AccountType" &amp; "," &amp; "BalanceType" &amp; "," &amp; $D$5 &amp; "," &amp; $D$6 &amp; ")", CellContents, 2072476,44)</f>
        <v>2072476</v>
      </c>
      <c r="AE18" s="32">
        <f>CHOOSE(B, "GLActualYTD(" &amp; "Account" &amp; "," &amp; $D$4 &amp; "," &amp; $T$8 &amp; "," &amp; AE$10 &amp; "," &amp; "AccountGroupCode" &amp; "," &amp; $B18 &amp; "," &amp; "AccountStructureCode" &amp; "," &amp; "AccountType" &amp; "," &amp; "BalanceType" &amp; "," &amp; $D$5 &amp; "," &amp; $D$6 &amp; ")", CellContents, 2072476,44)</f>
        <v>2072476</v>
      </c>
      <c r="AF18" s="32">
        <f>CHOOSE(B, "GLActualYTD(" &amp; "Account" &amp; "," &amp; $D$4 &amp; "," &amp; $T$8 &amp; "," &amp; AF$10 &amp; "," &amp; "AccountGroupCode" &amp; "," &amp; $B18 &amp; "," &amp; "AccountStructureCode" &amp; "," &amp; "AccountType" &amp; "," &amp; "BalanceType" &amp; "," &amp; $D$5 &amp; "," &amp; $D$6 &amp; ")", CellContents, 2072476,44)</f>
        <v>2072476</v>
      </c>
    </row>
    <row r="19" spans="2:32" hidden="1" outlineLevel="1" x14ac:dyDescent="0.3">
      <c r="B19" s="29" t="s">
        <v>73</v>
      </c>
      <c r="C19" s="29" t="s">
        <v>35</v>
      </c>
      <c r="D19" s="32">
        <f>CHOOSE(B, "GLActualYTD(" &amp; "Account" &amp; "," &amp; $D$4 &amp; "," &amp; $E$8 &amp; "," &amp; D$10 &amp; "," &amp; "AccountGroupCode" &amp; "," &amp; $B19 &amp; "," &amp; "AccountStructureCode" &amp; "," &amp; "AccountType" &amp; "," &amp; "BalanceType" &amp; "," &amp; $D$5 &amp; "," &amp; $D$6 &amp; ")", CellContents, -4910,9)</f>
        <v>-4910</v>
      </c>
      <c r="E19" s="32">
        <f>CHOOSE(B, "GLActualYTD(" &amp; "Account" &amp; "," &amp; $D$4 &amp; "," &amp; $E$8 &amp; "," &amp; E$10 &amp; "," &amp; "AccountGroupCode" &amp; "," &amp; $B19 &amp; "," &amp; "AccountStructureCode" &amp; "," &amp; "AccountType" &amp; "," &amp; "BalanceType" &amp; "," &amp; $D$5 &amp; "," &amp; $D$6 &amp; ")", CellContents, -6072,71)</f>
        <v>-6072</v>
      </c>
      <c r="F19" s="32">
        <f>CHOOSE(B, "GLActualYTD(" &amp; "Account" &amp; "," &amp; $D$4 &amp; "," &amp; $E$8 &amp; "," &amp; F$10 &amp; "," &amp; "AccountGroupCode" &amp; "," &amp; $B19 &amp; "," &amp; "AccountStructureCode" &amp; "," &amp; "AccountType" &amp; "," &amp; "BalanceType" &amp; "," &amp; $D$5 &amp; "," &amp; $D$6 &amp; ")", CellContents, -10083,7)</f>
        <v>-10083</v>
      </c>
      <c r="G19" s="32">
        <f>CHOOSE(B, "GLActualYTD(" &amp; "Account" &amp; "," &amp; $D$4 &amp; "," &amp; $E$8 &amp; "," &amp; G$10 &amp; "," &amp; "AccountGroupCode" &amp; "," &amp; $B19 &amp; "," &amp; "AccountStructureCode" &amp; "," &amp; "AccountType" &amp; "," &amp; "BalanceType" &amp; "," &amp; $D$5 &amp; "," &amp; $D$6 &amp; ")", CellContents, -116121,71)</f>
        <v>-116121</v>
      </c>
      <c r="H19" s="32">
        <f>CHOOSE(B, "GLActualYTD(" &amp; "Account" &amp; "," &amp; $D$4 &amp; "," &amp; $E$8 &amp; "," &amp; H$10 &amp; "," &amp; "AccountGroupCode" &amp; "," &amp; $B19 &amp; "," &amp; "AccountStructureCode" &amp; "," &amp; "AccountType" &amp; "," &amp; "BalanceType" &amp; "," &amp; $D$5 &amp; "," &amp; $D$6 &amp; ")", CellContents, -75607,54)</f>
        <v>-75607</v>
      </c>
      <c r="I19" s="32">
        <f>CHOOSE(B, "GLActualYTD(" &amp; "Account" &amp; "," &amp; $D$4 &amp; "," &amp; $E$8 &amp; "," &amp; I$10 &amp; "," &amp; "AccountGroupCode" &amp; "," &amp; $B19 &amp; "," &amp; "AccountStructureCode" &amp; "," &amp; "AccountType" &amp; "," &amp; "BalanceType" &amp; "," &amp; $D$5 &amp; "," &amp; $D$6 &amp; ")", CellContents, 12738,53)</f>
        <v>12738</v>
      </c>
      <c r="J19" s="32">
        <f>CHOOSE(B, "GLActualYTD(" &amp; "Account" &amp; "," &amp; $D$4 &amp; "," &amp; $E$8 &amp; "," &amp; J$10 &amp; "," &amp; "AccountGroupCode" &amp; "," &amp; $B19 &amp; "," &amp; "AccountStructureCode" &amp; "," &amp; "AccountType" &amp; "," &amp; "BalanceType" &amp; "," &amp; $D$5 &amp; "," &amp; $D$6 &amp; ")", CellContents, 23454,15)</f>
        <v>23454</v>
      </c>
      <c r="K19" s="32">
        <f t="shared" ref="K19:Q19" si="4">CHOOSE(B, "GLActualYTD(" &amp; "Account" &amp; "," &amp; $D$4 &amp; "," &amp; $E$8 &amp; "," &amp; K$10 &amp; "," &amp; "AccountGroupCode" &amp; "," &amp; $B19 &amp; "," &amp; "AccountStructureCode" &amp; "," &amp; "AccountType" &amp; "," &amp; "BalanceType" &amp; "," &amp; $D$5 &amp; "," &amp; $D$6 &amp; ")", CellContents, 23529,24)</f>
        <v>23529</v>
      </c>
      <c r="L19" s="32">
        <f t="shared" si="4"/>
        <v>23529</v>
      </c>
      <c r="M19" s="32">
        <f t="shared" si="4"/>
        <v>23529</v>
      </c>
      <c r="N19" s="32">
        <f t="shared" si="4"/>
        <v>23529</v>
      </c>
      <c r="O19" s="32">
        <f t="shared" si="4"/>
        <v>23529</v>
      </c>
      <c r="P19" s="32">
        <f t="shared" si="4"/>
        <v>23529</v>
      </c>
      <c r="Q19" s="32">
        <f t="shared" si="4"/>
        <v>23529</v>
      </c>
      <c r="R19" s="52"/>
      <c r="S19" s="32">
        <f>CHOOSE(B, "GLActualYTD(" &amp; "Account" &amp; "," &amp; $D$4 &amp; "," &amp; $T$8 &amp; "," &amp; S$10 &amp; "," &amp; "AccountGroupCode" &amp; "," &amp; $B19 &amp; "," &amp; "AccountStructureCode" &amp; "," &amp; "AccountType" &amp; "," &amp; "BalanceType" &amp; "," &amp; $D$5 &amp; "," &amp; $D$6 &amp; ")", CellContents, 890629,56)</f>
        <v>890629</v>
      </c>
      <c r="T19" s="32">
        <f>CHOOSE(B, "GLActualYTD(" &amp; "Account" &amp; "," &amp; $D$4 &amp; "," &amp; $T$8 &amp; "," &amp; T$10 &amp; "," &amp; "AccountGroupCode" &amp; "," &amp; $B19 &amp; "," &amp; "AccountStructureCode" &amp; "," &amp; "AccountType" &amp; "," &amp; "BalanceType" &amp; "," &amp; $D$5 &amp; "," &amp; $D$6 &amp; ")", CellContents, 810381,15)</f>
        <v>810381</v>
      </c>
      <c r="U19" s="32">
        <f>CHOOSE(B, "GLActualYTD(" &amp; "Account" &amp; "," &amp; $D$4 &amp; "," &amp; $T$8 &amp; "," &amp; U$10 &amp; "," &amp; "AccountGroupCode" &amp; "," &amp; $B19 &amp; "," &amp; "AccountStructureCode" &amp; "," &amp; "AccountType" &amp; "," &amp; "BalanceType" &amp; "," &amp; $D$5 &amp; "," &amp; $D$6 &amp; ")", CellContents, 802074,75)</f>
        <v>802074</v>
      </c>
      <c r="V19" s="32">
        <f>CHOOSE(B, "GLActualYTD(" &amp; "Account" &amp; "," &amp; $D$4 &amp; "," &amp; $T$8 &amp; "," &amp; V$10 &amp; "," &amp; "AccountGroupCode" &amp; "," &amp; $B19 &amp; "," &amp; "AccountStructureCode" &amp; "," &amp; "AccountType" &amp; "," &amp; "BalanceType" &amp; "," &amp; $D$5 &amp; "," &amp; $D$6 &amp; ")", CellContents, 884289,8)</f>
        <v>884289</v>
      </c>
      <c r="W19" s="32">
        <f>CHOOSE(B, "GLActualYTD(" &amp; "Account" &amp; "," &amp; $D$4 &amp; "," &amp; $T$8 &amp; "," &amp; W$10 &amp; "," &amp; "AccountGroupCode" &amp; "," &amp; $B19 &amp; "," &amp; "AccountStructureCode" &amp; "," &amp; "AccountType" &amp; "," &amp; "BalanceType" &amp; "," &amp; $D$5 &amp; "," &amp; $D$6 &amp; ")", CellContents, 882520,6)</f>
        <v>882520</v>
      </c>
      <c r="X19" s="32">
        <f>CHOOSE(B, "GLActualYTD(" &amp; "Account" &amp; "," &amp; $D$4 &amp; "," &amp; $T$8 &amp; "," &amp; X$10 &amp; "," &amp; "AccountGroupCode" &amp; "," &amp; $B19 &amp; "," &amp; "AccountStructureCode" &amp; "," &amp; "AccountType" &amp; "," &amp; "BalanceType" &amp; "," &amp; $D$5 &amp; "," &amp; $D$6 &amp; ")", CellContents, 882520,6)</f>
        <v>882520</v>
      </c>
      <c r="Y19" s="32">
        <f>CHOOSE(B, "GLActualYTD(" &amp; "Account" &amp; "," &amp; $D$4 &amp; "," &amp; $T$8 &amp; "," &amp; Y$10 &amp; "," &amp; "AccountGroupCode" &amp; "," &amp; $B19 &amp; "," &amp; "AccountStructureCode" &amp; "," &amp; "AccountType" &amp; "," &amp; "BalanceType" &amp; "," &amp; $D$5 &amp; "," &amp; $D$6 &amp; ")", CellContents, 892673,7)</f>
        <v>892673</v>
      </c>
      <c r="Z19" s="32">
        <f>CHOOSE(B, "GLActualYTD(" &amp; "Account" &amp; "," &amp; $D$4 &amp; "," &amp; $T$8 &amp; "," &amp; Z$10 &amp; "," &amp; "AccountGroupCode" &amp; "," &amp; $B19 &amp; "," &amp; "AccountStructureCode" &amp; "," &amp; "AccountType" &amp; "," &amp; "BalanceType" &amp; "," &amp; $D$5 &amp; "," &amp; $D$6 &amp; ")", CellContents, 840903,99)</f>
        <v>840903</v>
      </c>
      <c r="AA19" s="32">
        <f>CHOOSE(B, "GLActualYTD(" &amp; "Account" &amp; "," &amp; $D$4 &amp; "," &amp; $T$8 &amp; "," &amp; AA$10 &amp; "," &amp; "AccountGroupCode" &amp; "," &amp; $B19 &amp; "," &amp; "AccountStructureCode" &amp; "," &amp; "AccountType" &amp; "," &amp; "BalanceType" &amp; "," &amp; $D$5 &amp; "," &amp; $D$6 &amp; ")", CellContents, 835521,19)</f>
        <v>835521</v>
      </c>
      <c r="AB19" s="32">
        <f>CHOOSE(B, "GLActualYTD(" &amp; "Account" &amp; "," &amp; $D$4 &amp; "," &amp; $T$8 &amp; "," &amp; AB$10 &amp; "," &amp; "AccountGroupCode" &amp; "," &amp; $B19 &amp; "," &amp; "AccountStructureCode" &amp; "," &amp; "AccountType" &amp; "," &amp; "BalanceType" &amp; "," &amp; $D$5 &amp; "," &amp; $D$6 &amp; ")", CellContents, 844130,81)</f>
        <v>844130</v>
      </c>
      <c r="AC19" s="32">
        <f>CHOOSE(B, "GLActualYTD(" &amp; "Account" &amp; "," &amp; $D$4 &amp; "," &amp; $T$8 &amp; "," &amp; AC$10 &amp; "," &amp; "AccountGroupCode" &amp; "," &amp; $B19 &amp; "," &amp; "AccountStructureCode" &amp; "," &amp; "AccountType" &amp; "," &amp; "BalanceType" &amp; "," &amp; $D$5 &amp; "," &amp; $D$6 &amp; ")", CellContents, 842481,8)</f>
        <v>842481</v>
      </c>
      <c r="AD19" s="32">
        <f>CHOOSE(B, "GLActualYTD(" &amp; "Account" &amp; "," &amp; $D$4 &amp; "," &amp; $T$8 &amp; "," &amp; AD$10 &amp; "," &amp; "AccountGroupCode" &amp; "," &amp; $B19 &amp; "," &amp; "AccountStructureCode" &amp; "," &amp; "AccountType" &amp; "," &amp; "BalanceType" &amp; "," &amp; $D$5 &amp; "," &amp; $D$6 &amp; ")", CellContents, 951381,9)</f>
        <v>951381</v>
      </c>
      <c r="AE19" s="32">
        <f>CHOOSE(B, "GLActualYTD(" &amp; "Account" &amp; "," &amp; $D$4 &amp; "," &amp; $T$8 &amp; "," &amp; AE$10 &amp; "," &amp; "AccountGroupCode" &amp; "," &amp; $B19 &amp; "," &amp; "AccountStructureCode" &amp; "," &amp; "AccountType" &amp; "," &amp; "BalanceType" &amp; "," &amp; $D$5 &amp; "," &amp; $D$6 &amp; ")", CellContents, 951381,9)</f>
        <v>951381</v>
      </c>
      <c r="AF19" s="32">
        <f>CHOOSE(B, "GLActualYTD(" &amp; "Account" &amp; "," &amp; $D$4 &amp; "," &amp; $T$8 &amp; "," &amp; AF$10 &amp; "," &amp; "AccountGroupCode" &amp; "," &amp; $B19 &amp; "," &amp; "AccountStructureCode" &amp; "," &amp; "AccountType" &amp; "," &amp; "BalanceType" &amp; "," &amp; $D$5 &amp; "," &amp; $D$6 &amp; ")", CellContents, 951381,9)</f>
        <v>951381</v>
      </c>
    </row>
    <row r="20" spans="2:32" hidden="1" outlineLevel="1" x14ac:dyDescent="0.3">
      <c r="B20" s="29" t="s">
        <v>74</v>
      </c>
      <c r="C20" s="29" t="s">
        <v>36</v>
      </c>
      <c r="D20" s="32">
        <f>CHOOSE(B, "GLActualYTD(" &amp; "Account" &amp; "," &amp; $D$4 &amp; "," &amp; $E$8 &amp; "," &amp; D$10 &amp; "," &amp; "AccountGroupCode" &amp; "," &amp; $B20 &amp; "," &amp; "AccountStructureCode" &amp; "," &amp; "AccountType" &amp; "," &amp; "BalanceType" &amp; "," &amp; $D$5 &amp; "," &amp; $D$6 &amp; ")", CellContents, 0)</f>
        <v>0</v>
      </c>
      <c r="E20" s="32">
        <f>CHOOSE(B, "GLActualYTD(" &amp; "Account" &amp; "," &amp; $D$4 &amp; "," &amp; $E$8 &amp; "," &amp; E$10 &amp; "," &amp; "AccountGroupCode" &amp; "," &amp; $B20 &amp; "," &amp; "AccountStructureCode" &amp; "," &amp; "AccountType" &amp; "," &amp; "BalanceType" &amp; "," &amp; $D$5 &amp; "," &amp; $D$6 &amp; ")", CellContents, 0)</f>
        <v>0</v>
      </c>
      <c r="F20" s="32">
        <f>CHOOSE(B, "GLActualYTD(" &amp; "Account" &amp; "," &amp; $D$4 &amp; "," &amp; $E$8 &amp; "," &amp; F$10 &amp; "," &amp; "AccountGroupCode" &amp; "," &amp; $B20 &amp; "," &amp; "AccountStructureCode" &amp; "," &amp; "AccountType" &amp; "," &amp; "BalanceType" &amp; "," &amp; $D$5 &amp; "," &amp; $D$6 &amp; ")", CellContents, 0)</f>
        <v>0</v>
      </c>
      <c r="G20" s="32">
        <f>CHOOSE(B, "GLActualYTD(" &amp; "Account" &amp; "," &amp; $D$4 &amp; "," &amp; $E$8 &amp; "," &amp; G$10 &amp; "," &amp; "AccountGroupCode" &amp; "," &amp; $B20 &amp; "," &amp; "AccountStructureCode" &amp; "," &amp; "AccountType" &amp; "," &amp; "BalanceType" &amp; "," &amp; $D$5 &amp; "," &amp; $D$6 &amp; ")", CellContents, 0)</f>
        <v>0</v>
      </c>
      <c r="H20" s="32">
        <f>CHOOSE(B, "GLActualYTD(" &amp; "Account" &amp; "," &amp; $D$4 &amp; "," &amp; $E$8 &amp; "," &amp; H$10 &amp; "," &amp; "AccountGroupCode" &amp; "," &amp; $B20 &amp; "," &amp; "AccountStructureCode" &amp; "," &amp; "AccountType" &amp; "," &amp; "BalanceType" &amp; "," &amp; $D$5 &amp; "," &amp; $D$6 &amp; ")", CellContents, 0)</f>
        <v>0</v>
      </c>
      <c r="I20" s="32">
        <f>CHOOSE(B, "GLActualYTD(" &amp; "Account" &amp; "," &amp; $D$4 &amp; "," &amp; $E$8 &amp; "," &amp; I$10 &amp; "," &amp; "AccountGroupCode" &amp; "," &amp; $B20 &amp; "," &amp; "AccountStructureCode" &amp; "," &amp; "AccountType" &amp; "," &amp; "BalanceType" &amp; "," &amp; $D$5 &amp; "," &amp; $D$6 &amp; ")", CellContents, 343,6)</f>
        <v>343</v>
      </c>
      <c r="J20" s="32">
        <f t="shared" ref="J20:Q20" si="5">CHOOSE(B, "GLActualYTD(" &amp; "Account" &amp; "," &amp; $D$4 &amp; "," &amp; $E$8 &amp; "," &amp; J$10 &amp; "," &amp; "AccountGroupCode" &amp; "," &amp; $B20 &amp; "," &amp; "AccountStructureCode" &amp; "," &amp; "AccountType" &amp; "," &amp; "BalanceType" &amp; "," &amp; $D$5 &amp; "," &amp; $D$6 &amp; ")", CellContents, 843,6)</f>
        <v>843</v>
      </c>
      <c r="K20" s="32">
        <f t="shared" si="5"/>
        <v>843</v>
      </c>
      <c r="L20" s="32">
        <f t="shared" si="5"/>
        <v>843</v>
      </c>
      <c r="M20" s="32">
        <f t="shared" si="5"/>
        <v>843</v>
      </c>
      <c r="N20" s="32">
        <f t="shared" si="5"/>
        <v>843</v>
      </c>
      <c r="O20" s="32">
        <f t="shared" si="5"/>
        <v>843</v>
      </c>
      <c r="P20" s="32">
        <f t="shared" si="5"/>
        <v>843</v>
      </c>
      <c r="Q20" s="32">
        <f t="shared" si="5"/>
        <v>843</v>
      </c>
      <c r="R20" s="52"/>
      <c r="S20" s="32">
        <f t="shared" ref="S20:AF20" si="6">CHOOSE(B, "GLActualYTD(" &amp; "Account" &amp; "," &amp; $D$4 &amp; "," &amp; $T$8 &amp; "," &amp; S$10 &amp; "," &amp; "AccountGroupCode" &amp; "," &amp; $B20 &amp; "," &amp; "AccountStructureCode" &amp; "," &amp; "AccountType" &amp; "," &amp; "BalanceType" &amp; "," &amp; $D$5 &amp; "," &amp; $D$6 &amp; ")", CellContents, 5455,49)</f>
        <v>5455</v>
      </c>
      <c r="T20" s="32">
        <f t="shared" si="6"/>
        <v>5455</v>
      </c>
      <c r="U20" s="32">
        <f t="shared" si="6"/>
        <v>5455</v>
      </c>
      <c r="V20" s="32">
        <f t="shared" si="6"/>
        <v>5455</v>
      </c>
      <c r="W20" s="32">
        <f t="shared" si="6"/>
        <v>5455</v>
      </c>
      <c r="X20" s="32">
        <f t="shared" si="6"/>
        <v>5455</v>
      </c>
      <c r="Y20" s="32">
        <f t="shared" si="6"/>
        <v>5455</v>
      </c>
      <c r="Z20" s="32">
        <f t="shared" si="6"/>
        <v>5455</v>
      </c>
      <c r="AA20" s="32">
        <f t="shared" si="6"/>
        <v>5455</v>
      </c>
      <c r="AB20" s="32">
        <f t="shared" si="6"/>
        <v>5455</v>
      </c>
      <c r="AC20" s="32">
        <f t="shared" si="6"/>
        <v>5455</v>
      </c>
      <c r="AD20" s="32">
        <f t="shared" si="6"/>
        <v>5455</v>
      </c>
      <c r="AE20" s="32">
        <f t="shared" si="6"/>
        <v>5455</v>
      </c>
      <c r="AF20" s="32">
        <f t="shared" si="6"/>
        <v>5455</v>
      </c>
    </row>
    <row r="21" spans="2:32" hidden="1" outlineLevel="1" x14ac:dyDescent="0.3">
      <c r="B21" s="29" t="s">
        <v>78</v>
      </c>
      <c r="C21" s="29" t="s">
        <v>41</v>
      </c>
      <c r="D21" s="32">
        <f>CHOOSE(B, "GLActualYTD(" &amp; "Account" &amp; "," &amp; $D$4 &amp; "," &amp; $E$8 &amp; "," &amp; D$10 &amp; "," &amp; "AccountGroupCode" &amp; "," &amp; $B21 &amp; "," &amp; "AccountStructureCode" &amp; "," &amp; "AccountType" &amp; "," &amp; "BalanceType" &amp; "," &amp; $D$5 &amp; "," &amp; $D$6 &amp; ")", CellContents, -832473,77)</f>
        <v>-832473</v>
      </c>
      <c r="E21" s="32">
        <f>CHOOSE(B, "GLActualYTD(" &amp; "Account" &amp; "," &amp; $D$4 &amp; "," &amp; $E$8 &amp; "," &amp; E$10 &amp; "," &amp; "AccountGroupCode" &amp; "," &amp; $B21 &amp; "," &amp; "AccountStructureCode" &amp; "," &amp; "AccountType" &amp; "," &amp; "BalanceType" &amp; "," &amp; $D$5 &amp; "," &amp; $D$6 &amp; ")", CellContents, -1620192,22)</f>
        <v>-1620192</v>
      </c>
      <c r="F21" s="32">
        <f>CHOOSE(B, "GLActualYTD(" &amp; "Account" &amp; "," &amp; $D$4 &amp; "," &amp; $E$8 &amp; "," &amp; F$10 &amp; "," &amp; "AccountGroupCode" &amp; "," &amp; $B21 &amp; "," &amp; "AccountStructureCode" &amp; "," &amp; "AccountType" &amp; "," &amp; "BalanceType" &amp; "," &amp; $D$5 &amp; "," &amp; $D$6 &amp; ")", CellContents, -2598808,21)</f>
        <v>-2598808</v>
      </c>
      <c r="G21" s="32">
        <f>CHOOSE(B, "GLActualYTD(" &amp; "Account" &amp; "," &amp; $D$4 &amp; "," &amp; $E$8 &amp; "," &amp; G$10 &amp; "," &amp; "AccountGroupCode" &amp; "," &amp; $B21 &amp; "," &amp; "AccountStructureCode" &amp; "," &amp; "AccountType" &amp; "," &amp; "BalanceType" &amp; "," &amp; $D$5 &amp; "," &amp; $D$6 &amp; ")", CellContents, -3514739,24)</f>
        <v>-3514739</v>
      </c>
      <c r="H21" s="32">
        <f>CHOOSE(B, "GLActualYTD(" &amp; "Account" &amp; "," &amp; $D$4 &amp; "," &amp; $E$8 &amp; "," &amp; H$10 &amp; "," &amp; "AccountGroupCode" &amp; "," &amp; $B21 &amp; "," &amp; "AccountStructureCode" &amp; "," &amp; "AccountType" &amp; "," &amp; "BalanceType" &amp; "," &amp; $D$5 &amp; "," &amp; $D$6 &amp; ")", CellContents, -4997874,64)</f>
        <v>-4997874</v>
      </c>
      <c r="I21" s="32">
        <f>CHOOSE(B, "GLActualYTD(" &amp; "Account" &amp; "," &amp; $D$4 &amp; "," &amp; $E$8 &amp; "," &amp; I$10 &amp; "," &amp; "AccountGroupCode" &amp; "," &amp; $B21 &amp; "," &amp; "AccountStructureCode" &amp; "," &amp; "AccountType" &amp; "," &amp; "BalanceType" &amp; "," &amp; $D$5 &amp; "," &amp; $D$6 &amp; ")", CellContents, -5048697,54)</f>
        <v>-5048697</v>
      </c>
      <c r="J21" s="32">
        <f t="shared" ref="J21:Q21" si="7">CHOOSE(B, "GLActualYTD(" &amp; "Account" &amp; "," &amp; $D$4 &amp; "," &amp; $E$8 &amp; "," &amp; J$10 &amp; "," &amp; "AccountGroupCode" &amp; "," &amp; $B21 &amp; "," &amp; "AccountStructureCode" &amp; "," &amp; "AccountType" &amp; "," &amp; "BalanceType" &amp; "," &amp; $D$5 &amp; "," &amp; $D$6 &amp; ")", CellContents, -5041537)</f>
        <v>-5041537</v>
      </c>
      <c r="K21" s="32">
        <f t="shared" si="7"/>
        <v>-5041537</v>
      </c>
      <c r="L21" s="32">
        <f t="shared" si="7"/>
        <v>-5041537</v>
      </c>
      <c r="M21" s="32">
        <f t="shared" si="7"/>
        <v>-5041537</v>
      </c>
      <c r="N21" s="32">
        <f t="shared" si="7"/>
        <v>-5041537</v>
      </c>
      <c r="O21" s="32">
        <f t="shared" si="7"/>
        <v>-5041537</v>
      </c>
      <c r="P21" s="32">
        <f t="shared" si="7"/>
        <v>-5041537</v>
      </c>
      <c r="Q21" s="32">
        <f t="shared" si="7"/>
        <v>-5041537</v>
      </c>
      <c r="R21" s="52"/>
      <c r="S21" s="32">
        <f>CHOOSE(B, "GLActualYTD(" &amp; "Account" &amp; "," &amp; $D$4 &amp; "," &amp; $T$8 &amp; "," &amp; S$10 &amp; "," &amp; "AccountGroupCode" &amp; "," &amp; $B21 &amp; "," &amp; "AccountStructureCode" &amp; "," &amp; "AccountType" &amp; "," &amp; "BalanceType" &amp; "," &amp; $D$5 &amp; "," &amp; $D$6 &amp; ")", CellContents, -9970361)</f>
        <v>-9970361</v>
      </c>
      <c r="T21" s="32">
        <f>CHOOSE(B, "GLActualYTD(" &amp; "Account" &amp; "," &amp; $D$4 &amp; "," &amp; $T$8 &amp; "," &amp; T$10 &amp; "," &amp; "AccountGroupCode" &amp; "," &amp; $B21 &amp; "," &amp; "AccountStructureCode" &amp; "," &amp; "AccountType" &amp; "," &amp; "BalanceType" &amp; "," &amp; $D$5 &amp; "," &amp; $D$6 &amp; ")", CellContents, -9097949,9)</f>
        <v>-9097949</v>
      </c>
      <c r="U21" s="32">
        <f>CHOOSE(B, "GLActualYTD(" &amp; "Account" &amp; "," &amp; $D$4 &amp; "," &amp; $T$8 &amp; "," &amp; U$10 &amp; "," &amp; "AccountGroupCode" &amp; "," &amp; $B21 &amp; "," &amp; "AccountStructureCode" &amp; "," &amp; "AccountType" &amp; "," &amp; "BalanceType" &amp; "," &amp; $D$5 &amp; "," &amp; $D$6 &amp; ")", CellContents, -7993484,93)</f>
        <v>-7993484</v>
      </c>
      <c r="V21" s="32">
        <f>CHOOSE(B, "GLActualYTD(" &amp; "Account" &amp; "," &amp; $D$4 &amp; "," &amp; $T$8 &amp; "," &amp; V$10 &amp; "," &amp; "AccountGroupCode" &amp; "," &amp; $B21 &amp; "," &amp; "AccountStructureCode" &amp; "," &amp; "AccountType" &amp; "," &amp; "BalanceType" &amp; "," &amp; $D$5 &amp; "," &amp; $D$6 &amp; ")", CellContents, -8632498,67)</f>
        <v>-8632498</v>
      </c>
      <c r="W21" s="32">
        <f>CHOOSE(B, "GLActualYTD(" &amp; "Account" &amp; "," &amp; $D$4 &amp; "," &amp; $T$8 &amp; "," &amp; W$10 &amp; "," &amp; "AccountGroupCode" &amp; "," &amp; $B21 &amp; "," &amp; "AccountStructureCode" &amp; "," &amp; "AccountType" &amp; "," &amp; "BalanceType" &amp; "," &amp; $D$5 &amp; "," &amp; $D$6 &amp; ")", CellContents, -8444983,45)</f>
        <v>-8444983</v>
      </c>
      <c r="X21" s="32">
        <f>CHOOSE(B, "GLActualYTD(" &amp; "Account" &amp; "," &amp; $D$4 &amp; "," &amp; $T$8 &amp; "," &amp; X$10 &amp; "," &amp; "AccountGroupCode" &amp; "," &amp; $B21 &amp; "," &amp; "AccountStructureCode" &amp; "," &amp; "AccountType" &amp; "," &amp; "BalanceType" &amp; "," &amp; $D$5 &amp; "," &amp; $D$6 &amp; ")", CellContents, -8768258,53)</f>
        <v>-8768258</v>
      </c>
      <c r="Y21" s="32">
        <f>CHOOSE(B, "GLActualYTD(" &amp; "Account" &amp; "," &amp; $D$4 &amp; "," &amp; $T$8 &amp; "," &amp; Y$10 &amp; "," &amp; "AccountGroupCode" &amp; "," &amp; $B21 &amp; "," &amp; "AccountStructureCode" &amp; "," &amp; "AccountType" &amp; "," &amp; "BalanceType" &amp; "," &amp; $D$5 &amp; "," &amp; $D$6 &amp; ")", CellContents, -9591416,94)</f>
        <v>-9591416</v>
      </c>
      <c r="Z21" s="32">
        <f>CHOOSE(B, "GLActualYTD(" &amp; "Account" &amp; "," &amp; $D$4 &amp; "," &amp; $T$8 &amp; "," &amp; Z$10 &amp; "," &amp; "AccountGroupCode" &amp; "," &amp; $B21 &amp; "," &amp; "AccountStructureCode" &amp; "," &amp; "AccountType" &amp; "," &amp; "BalanceType" &amp; "," &amp; $D$5 &amp; "," &amp; $D$6 &amp; ")", CellContents, -10349691,45)</f>
        <v>-10349691</v>
      </c>
      <c r="AA21" s="32">
        <f>CHOOSE(B, "GLActualYTD(" &amp; "Account" &amp; "," &amp; $D$4 &amp; "," &amp; $T$8 &amp; "," &amp; AA$10 &amp; "," &amp; "AccountGroupCode" &amp; "," &amp; $B21 &amp; "," &amp; "AccountStructureCode" &amp; "," &amp; "AccountType" &amp; "," &amp; "BalanceType" &amp; "," &amp; $D$5 &amp; "," &amp; $D$6 &amp; ")", CellContents, -10416225,54)</f>
        <v>-10416225</v>
      </c>
      <c r="AB21" s="32">
        <f>CHOOSE(B, "GLActualYTD(" &amp; "Account" &amp; "," &amp; $D$4 &amp; "," &amp; $T$8 &amp; "," &amp; AB$10 &amp; "," &amp; "AccountGroupCode" &amp; "," &amp; $B21 &amp; "," &amp; "AccountStructureCode" &amp; "," &amp; "AccountType" &amp; "," &amp; "BalanceType" &amp; "," &amp; $D$5 &amp; "," &amp; $D$6 &amp; ")", CellContents, -10878711,8)</f>
        <v>-10878711</v>
      </c>
      <c r="AC21" s="32">
        <f>CHOOSE(B, "GLActualYTD(" &amp; "Account" &amp; "," &amp; $D$4 &amp; "," &amp; $T$8 &amp; "," &amp; AC$10 &amp; "," &amp; "AccountGroupCode" &amp; "," &amp; $B21 &amp; "," &amp; "AccountStructureCode" &amp; "," &amp; "AccountType" &amp; "," &amp; "BalanceType" &amp; "," &amp; $D$5 &amp; "," &amp; $D$6 &amp; ")", CellContents, -10798801,91)</f>
        <v>-10798801</v>
      </c>
      <c r="AD21" s="32">
        <f>CHOOSE(B, "GLActualYTD(" &amp; "Account" &amp; "," &amp; $D$4 &amp; "," &amp; $T$8 &amp; "," &amp; AD$10 &amp; "," &amp; "AccountGroupCode" &amp; "," &amp; $B21 &amp; "," &amp; "AccountStructureCode" &amp; "," &amp; "AccountType" &amp; "," &amp; "BalanceType" &amp; "," &amp; $D$5 &amp; "," &amp; $D$6 &amp; ")", CellContents, -10890437,37)</f>
        <v>-10890437</v>
      </c>
      <c r="AE21" s="32">
        <f>CHOOSE(B, "GLActualYTD(" &amp; "Account" &amp; "," &amp; $D$4 &amp; "," &amp; $T$8 &amp; "," &amp; AE$10 &amp; "," &amp; "AccountGroupCode" &amp; "," &amp; $B21 &amp; "," &amp; "AccountStructureCode" &amp; "," &amp; "AccountType" &amp; "," &amp; "BalanceType" &amp; "," &amp; $D$5 &amp; "," &amp; $D$6 &amp; ")", CellContents, -10890437,37)</f>
        <v>-10890437</v>
      </c>
      <c r="AF21" s="32">
        <f>CHOOSE(B, "GLActualYTD(" &amp; "Account" &amp; "," &amp; $D$4 &amp; "," &amp; $T$8 &amp; "," &amp; AF$10 &amp; "," &amp; "AccountGroupCode" &amp; "," &amp; $B21 &amp; "," &amp; "AccountStructureCode" &amp; "," &amp; "AccountType" &amp; "," &amp; "BalanceType" &amp; "," &amp; $D$5 &amp; "," &amp; $D$6 &amp; ")", CellContents, -10890437,37)</f>
        <v>-10890437</v>
      </c>
    </row>
    <row r="22" spans="2:32" hidden="1" outlineLevel="1" x14ac:dyDescent="0.3">
      <c r="B22" s="29" t="s">
        <v>79</v>
      </c>
      <c r="C22" s="29" t="s">
        <v>40</v>
      </c>
      <c r="D22" s="32">
        <f>CHOOSE(B, "GLActualYTD(" &amp; "Account" &amp; "," &amp; $D$4 &amp; "," &amp; $E$8 &amp; "," &amp; D$10 &amp; "," &amp; "AccountGroupCode" &amp; "," &amp; $B22 &amp; "," &amp; "AccountStructureCode" &amp; "," &amp; "AccountType" &amp; "," &amp; "BalanceType" &amp; "," &amp; $D$5 &amp; "," &amp; $D$6 &amp; ")", CellContents, 31023,43)</f>
        <v>31023</v>
      </c>
      <c r="E22" s="32">
        <f>CHOOSE(B, "GLActualYTD(" &amp; "Account" &amp; "," &amp; $D$4 &amp; "," &amp; $E$8 &amp; "," &amp; E$10 &amp; "," &amp; "AccountGroupCode" &amp; "," &amp; $B22 &amp; "," &amp; "AccountStructureCode" &amp; "," &amp; "AccountType" &amp; "," &amp; "BalanceType" &amp; "," &amp; $D$5 &amp; "," &amp; $D$6 &amp; ")", CellContents, 102168,97)</f>
        <v>102168</v>
      </c>
      <c r="F22" s="32">
        <f>CHOOSE(B, "GLActualYTD(" &amp; "Account" &amp; "," &amp; $D$4 &amp; "," &amp; $E$8 &amp; "," &amp; F$10 &amp; "," &amp; "AccountGroupCode" &amp; "," &amp; $B22 &amp; "," &amp; "AccountStructureCode" &amp; "," &amp; "AccountType" &amp; "," &amp; "BalanceType" &amp; "," &amp; $D$5 &amp; "," &amp; $D$6 &amp; ")", CellContents, -40537,16)</f>
        <v>-40537</v>
      </c>
      <c r="G22" s="32">
        <f>CHOOSE(B, "GLActualYTD(" &amp; "Account" &amp; "," &amp; $D$4 &amp; "," &amp; $E$8 &amp; "," &amp; G$10 &amp; "," &amp; "AccountGroupCode" &amp; "," &amp; $B22 &amp; "," &amp; "AccountStructureCode" &amp; "," &amp; "AccountType" &amp; "," &amp; "BalanceType" &amp; "," &amp; $D$5 &amp; "," &amp; $D$6 &amp; ")", CellContents, -63489)</f>
        <v>-63489</v>
      </c>
      <c r="H22" s="32">
        <f>CHOOSE(B, "GLActualYTD(" &amp; "Account" &amp; "," &amp; $D$4 &amp; "," &amp; $E$8 &amp; "," &amp; H$10 &amp; "," &amp; "AccountGroupCode" &amp; "," &amp; $B22 &amp; "," &amp; "AccountStructureCode" &amp; "," &amp; "AccountType" &amp; "," &amp; "BalanceType" &amp; "," &amp; $D$5 &amp; "," &amp; $D$6 &amp; ")", CellContents, -117339,88)</f>
        <v>-117339</v>
      </c>
      <c r="I22" s="32">
        <f>CHOOSE(B, "GLActualYTD(" &amp; "Account" &amp; "," &amp; $D$4 &amp; "," &amp; $E$8 &amp; "," &amp; I$10 &amp; "," &amp; "AccountGroupCode" &amp; "," &amp; $B22 &amp; "," &amp; "AccountStructureCode" &amp; "," &amp; "AccountType" &amp; "," &amp; "BalanceType" &amp; "," &amp; $D$5 &amp; "," &amp; $D$6 &amp; ")", CellContents, -155930,76)</f>
        <v>-155930</v>
      </c>
      <c r="J22" s="32">
        <f>CHOOSE(B, "GLActualYTD(" &amp; "Account" &amp; "," &amp; $D$4 &amp; "," &amp; $E$8 &amp; "," &amp; J$10 &amp; "," &amp; "AccountGroupCode" &amp; "," &amp; $B22 &amp; "," &amp; "AccountStructureCode" &amp; "," &amp; "AccountType" &amp; "," &amp; "BalanceType" &amp; "," &amp; $D$5 &amp; "," &amp; $D$6 &amp; ")", CellContents, -158459,46)</f>
        <v>-158459</v>
      </c>
      <c r="K22" s="32">
        <f t="shared" ref="K22:Q22" si="8">CHOOSE(B, "GLActualYTD(" &amp; "Account" &amp; "," &amp; $D$4 &amp; "," &amp; $E$8 &amp; "," &amp; K$10 &amp; "," &amp; "AccountGroupCode" &amp; "," &amp; $B22 &amp; "," &amp; "AccountStructureCode" &amp; "," &amp; "AccountType" &amp; "," &amp; "BalanceType" &amp; "," &amp; $D$5 &amp; "," &amp; $D$6 &amp; ")", CellContents, -158514,15)</f>
        <v>-158514</v>
      </c>
      <c r="L22" s="32">
        <f t="shared" si="8"/>
        <v>-158514</v>
      </c>
      <c r="M22" s="32">
        <f t="shared" si="8"/>
        <v>-158514</v>
      </c>
      <c r="N22" s="32">
        <f t="shared" si="8"/>
        <v>-158514</v>
      </c>
      <c r="O22" s="32">
        <f t="shared" si="8"/>
        <v>-158514</v>
      </c>
      <c r="P22" s="32">
        <f t="shared" si="8"/>
        <v>-158514</v>
      </c>
      <c r="Q22" s="32">
        <f t="shared" si="8"/>
        <v>-158514</v>
      </c>
      <c r="R22" s="52"/>
      <c r="S22" s="32">
        <f>CHOOSE(B, "GLActualYTD(" &amp; "Account" &amp; "," &amp; $D$4 &amp; "," &amp; $T$8 &amp; "," &amp; S$10 &amp; "," &amp; "AccountGroupCode" &amp; "," &amp; $B22 &amp; "," &amp; "AccountStructureCode" &amp; "," &amp; "AccountType" &amp; "," &amp; "BalanceType" &amp; "," &amp; $D$5 &amp; "," &amp; $D$6 &amp; ")", CellContents, -130210,45)</f>
        <v>-130210</v>
      </c>
      <c r="T22" s="32">
        <f>CHOOSE(B, "GLActualYTD(" &amp; "Account" &amp; "," &amp; $D$4 &amp; "," &amp; $T$8 &amp; "," &amp; T$10 &amp; "," &amp; "AccountGroupCode" &amp; "," &amp; $B22 &amp; "," &amp; "AccountStructureCode" &amp; "," &amp; "AccountType" &amp; "," &amp; "BalanceType" &amp; "," &amp; $D$5 &amp; "," &amp; $D$6 &amp; ")", CellContents, 138412,37)</f>
        <v>138412</v>
      </c>
      <c r="U22" s="32">
        <f>CHOOSE(B, "GLActualYTD(" &amp; "Account" &amp; "," &amp; $D$4 &amp; "," &amp; $T$8 &amp; "," &amp; U$10 &amp; "," &amp; "AccountGroupCode" &amp; "," &amp; $B22 &amp; "," &amp; "AccountStructureCode" &amp; "," &amp; "AccountType" &amp; "," &amp; "BalanceType" &amp; "," &amp; $D$5 &amp; "," &amp; $D$6 &amp; ")", CellContents, -27435,92)</f>
        <v>-27435</v>
      </c>
      <c r="V22" s="32">
        <f>CHOOSE(B, "GLActualYTD(" &amp; "Account" &amp; "," &amp; $D$4 &amp; "," &amp; $T$8 &amp; "," &amp; V$10 &amp; "," &amp; "AccountGroupCode" &amp; "," &amp; $B22 &amp; "," &amp; "AccountStructureCode" &amp; "," &amp; "AccountType" &amp; "," &amp; "BalanceType" &amp; "," &amp; $D$5 &amp; "," &amp; $D$6 &amp; ")", CellContents, -51131,99)</f>
        <v>-51131</v>
      </c>
      <c r="W22" s="32">
        <f>CHOOSE(B, "GLActualYTD(" &amp; "Account" &amp; "," &amp; $D$4 &amp; "," &amp; $T$8 &amp; "," &amp; W$10 &amp; "," &amp; "AccountGroupCode" &amp; "," &amp; $B22 &amp; "," &amp; "AccountStructureCode" &amp; "," &amp; "AccountType" &amp; "," &amp; "BalanceType" &amp; "," &amp; $D$5 &amp; "," &amp; $D$6 &amp; ")", CellContents, -50478,52)</f>
        <v>-50478</v>
      </c>
      <c r="X22" s="32">
        <f>CHOOSE(B, "GLActualYTD(" &amp; "Account" &amp; "," &amp; $D$4 &amp; "," &amp; $T$8 &amp; "," &amp; X$10 &amp; "," &amp; "AccountGroupCode" &amp; "," &amp; $B22 &amp; "," &amp; "AccountStructureCode" &amp; "," &amp; "AccountType" &amp; "," &amp; "BalanceType" &amp; "," &amp; $D$5 &amp; "," &amp; $D$6 &amp; ")", CellContents, -52807,96)</f>
        <v>-52807</v>
      </c>
      <c r="Y22" s="32">
        <f>CHOOSE(B, "GLActualYTD(" &amp; "Account" &amp; "," &amp; $D$4 &amp; "," &amp; $T$8 &amp; "," &amp; Y$10 &amp; "," &amp; "AccountGroupCode" &amp; "," &amp; $B22 &amp; "," &amp; "AccountStructureCode" &amp; "," &amp; "AccountType" &amp; "," &amp; "BalanceType" &amp; "," &amp; $D$5 &amp; "," &amp; $D$6 &amp; ")", CellContents, -38420,35)</f>
        <v>-38420</v>
      </c>
      <c r="Z22" s="32">
        <f>CHOOSE(B, "GLActualYTD(" &amp; "Account" &amp; "," &amp; $D$4 &amp; "," &amp; $T$8 &amp; "," &amp; Z$10 &amp; "," &amp; "AccountGroupCode" &amp; "," &amp; $B22 &amp; "," &amp; "AccountStructureCode" &amp; "," &amp; "AccountType" &amp; "," &amp; "BalanceType" &amp; "," &amp; $D$5 &amp; "," &amp; $D$6 &amp; ")", CellContents, -57913,37)</f>
        <v>-57913</v>
      </c>
      <c r="AA22" s="32">
        <f>CHOOSE(B, "GLActualYTD(" &amp; "Account" &amp; "," &amp; $D$4 &amp; "," &amp; $T$8 &amp; "," &amp; AA$10 &amp; "," &amp; "AccountGroupCode" &amp; "," &amp; $B22 &amp; "," &amp; "AccountStructureCode" &amp; "," &amp; "AccountType" &amp; "," &amp; "BalanceType" &amp; "," &amp; $D$5 &amp; "," &amp; $D$6 &amp; ")", CellContents, -87043,500000001)</f>
        <v>-87043</v>
      </c>
      <c r="AB22" s="32">
        <f>CHOOSE(B, "GLActualYTD(" &amp; "Account" &amp; "," &amp; $D$4 &amp; "," &amp; $T$8 &amp; "," &amp; AB$10 &amp; "," &amp; "AccountGroupCode" &amp; "," &amp; $B22 &amp; "," &amp; "AccountStructureCode" &amp; "," &amp; "AccountType" &amp; "," &amp; "BalanceType" &amp; "," &amp; $D$5 &amp; "," &amp; $D$6 &amp; ")", CellContents, -109468,92)</f>
        <v>-109468</v>
      </c>
      <c r="AC22" s="32">
        <f>CHOOSE(B, "GLActualYTD(" &amp; "Account" &amp; "," &amp; $D$4 &amp; "," &amp; $T$8 &amp; "," &amp; AC$10 &amp; "," &amp; "AccountGroupCode" &amp; "," &amp; $B22 &amp; "," &amp; "AccountStructureCode" &amp; "," &amp; "AccountType" &amp; "," &amp; "BalanceType" &amp; "," &amp; $D$5 &amp; "," &amp; $D$6 &amp; ")", CellContents, -133932,81)</f>
        <v>-133932</v>
      </c>
      <c r="AD22" s="32">
        <f>CHOOSE(B, "GLActualYTD(" &amp; "Account" &amp; "," &amp; $D$4 &amp; "," &amp; $T$8 &amp; "," &amp; AD$10 &amp; "," &amp; "AccountGroupCode" &amp; "," &amp; $B22 &amp; "," &amp; "AccountStructureCode" &amp; "," &amp; "AccountType" &amp; "," &amp; "BalanceType" &amp; "," &amp; $D$5 &amp; "," &amp; $D$6 &amp; ")", CellContents, -151937,95)</f>
        <v>-151937</v>
      </c>
      <c r="AE22" s="32">
        <f>CHOOSE(B, "GLActualYTD(" &amp; "Account" &amp; "," &amp; $D$4 &amp; "," &amp; $T$8 &amp; "," &amp; AE$10 &amp; "," &amp; "AccountGroupCode" &amp; "," &amp; $B22 &amp; "," &amp; "AccountStructureCode" &amp; "," &amp; "AccountType" &amp; "," &amp; "BalanceType" &amp; "," &amp; $D$5 &amp; "," &amp; $D$6 &amp; ")", CellContents, -151937,95)</f>
        <v>-151937</v>
      </c>
      <c r="AF22" s="32">
        <f>CHOOSE(B, "GLActualYTD(" &amp; "Account" &amp; "," &amp; $D$4 &amp; "," &amp; $T$8 &amp; "," &amp; AF$10 &amp; "," &amp; "AccountGroupCode" &amp; "," &amp; $B22 &amp; "," &amp; "AccountStructureCode" &amp; "," &amp; "AccountType" &amp; "," &amp; "BalanceType" &amp; "," &amp; $D$5 &amp; "," &amp; $D$6 &amp; ")", CellContents, -151937,95)</f>
        <v>-151937</v>
      </c>
    </row>
    <row r="23" spans="2:32" ht="7.5" customHeight="1" x14ac:dyDescent="0.3">
      <c r="D23" s="32"/>
      <c r="E23" s="52"/>
      <c r="F23" s="52"/>
      <c r="G23" s="52"/>
      <c r="H23" s="52"/>
      <c r="I23" s="52"/>
      <c r="J23" s="52"/>
      <c r="K23" s="52"/>
      <c r="L23" s="52"/>
      <c r="M23" s="52"/>
      <c r="N23" s="52"/>
      <c r="O23" s="52"/>
      <c r="P23" s="52"/>
      <c r="Q23" s="52"/>
      <c r="R23" s="52"/>
      <c r="S23" s="32"/>
      <c r="T23" s="52"/>
      <c r="U23" s="52"/>
      <c r="V23" s="52"/>
      <c r="W23" s="52"/>
      <c r="X23" s="52"/>
      <c r="Y23" s="52"/>
      <c r="Z23" s="52"/>
      <c r="AA23" s="52"/>
      <c r="AB23" s="52"/>
      <c r="AC23" s="52"/>
      <c r="AD23" s="52"/>
      <c r="AE23" s="52"/>
      <c r="AF23" s="52"/>
    </row>
    <row r="24" spans="2:32" x14ac:dyDescent="0.3">
      <c r="C24" s="35" t="s">
        <v>116</v>
      </c>
      <c r="D24" s="36">
        <f>-D14+D16</f>
        <v>-1043635</v>
      </c>
      <c r="E24" s="36">
        <f t="shared" ref="E24:AF24" si="9">-E14+E16</f>
        <v>-1919539</v>
      </c>
      <c r="F24" s="36">
        <f t="shared" si="9"/>
        <v>-3697962</v>
      </c>
      <c r="G24" s="36">
        <f t="shared" si="9"/>
        <v>-4962787</v>
      </c>
      <c r="H24" s="36">
        <f t="shared" si="9"/>
        <v>-6568909</v>
      </c>
      <c r="I24" s="36">
        <f t="shared" si="9"/>
        <v>-6566192</v>
      </c>
      <c r="J24" s="36">
        <f t="shared" si="9"/>
        <v>-6530411</v>
      </c>
      <c r="K24" s="36">
        <f t="shared" si="9"/>
        <v>-6530811</v>
      </c>
      <c r="L24" s="36">
        <f t="shared" si="9"/>
        <v>-6530811</v>
      </c>
      <c r="M24" s="36">
        <f t="shared" si="9"/>
        <v>-6530811</v>
      </c>
      <c r="N24" s="36">
        <f t="shared" si="9"/>
        <v>-6530811</v>
      </c>
      <c r="O24" s="36">
        <f t="shared" si="9"/>
        <v>-6530811</v>
      </c>
      <c r="P24" s="36">
        <f t="shared" si="9"/>
        <v>-6530811</v>
      </c>
      <c r="Q24" s="36">
        <f t="shared" si="9"/>
        <v>-6530811</v>
      </c>
      <c r="R24" s="52"/>
      <c r="S24" s="36">
        <f t="shared" si="9"/>
        <v>-701437</v>
      </c>
      <c r="T24" s="36">
        <f t="shared" si="9"/>
        <v>-1073077</v>
      </c>
      <c r="U24" s="36">
        <f t="shared" si="9"/>
        <v>-1202557</v>
      </c>
      <c r="V24" s="36">
        <f t="shared" si="9"/>
        <v>-1932617</v>
      </c>
      <c r="W24" s="36">
        <f t="shared" si="9"/>
        <v>-2196938</v>
      </c>
      <c r="X24" s="36">
        <f t="shared" si="9"/>
        <v>-2537823</v>
      </c>
      <c r="Y24" s="36">
        <f t="shared" si="9"/>
        <v>-3220975</v>
      </c>
      <c r="Z24" s="36">
        <f t="shared" si="9"/>
        <v>-4246312</v>
      </c>
      <c r="AA24" s="36">
        <f t="shared" si="9"/>
        <v>-4337435</v>
      </c>
      <c r="AB24" s="36">
        <f t="shared" si="9"/>
        <v>-4735530</v>
      </c>
      <c r="AC24" s="36">
        <f t="shared" si="9"/>
        <v>-4634341</v>
      </c>
      <c r="AD24" s="36">
        <f t="shared" si="9"/>
        <v>-4790641</v>
      </c>
      <c r="AE24" s="36">
        <f t="shared" si="9"/>
        <v>-4790641</v>
      </c>
      <c r="AF24" s="36">
        <f t="shared" si="9"/>
        <v>-4790641</v>
      </c>
    </row>
    <row r="25" spans="2:32" x14ac:dyDescent="0.3">
      <c r="D25" s="3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row>
    <row r="26" spans="2:32" x14ac:dyDescent="0.3">
      <c r="D26" s="59"/>
    </row>
    <row r="27" spans="2:32" x14ac:dyDescent="0.3">
      <c r="D27" s="59"/>
    </row>
    <row r="28" spans="2:32" x14ac:dyDescent="0.3">
      <c r="D28" s="59"/>
    </row>
    <row r="29" spans="2:32" x14ac:dyDescent="0.3">
      <c r="D29" s="59"/>
    </row>
    <row r="30" spans="2:32" x14ac:dyDescent="0.3">
      <c r="D30" s="59"/>
    </row>
    <row r="31" spans="2:32" x14ac:dyDescent="0.3">
      <c r="D31" s="59"/>
    </row>
    <row r="32" spans="2:32" x14ac:dyDescent="0.3">
      <c r="D32" s="59"/>
    </row>
    <row r="33" spans="4:4" x14ac:dyDescent="0.3">
      <c r="D33" s="59"/>
    </row>
    <row r="34" spans="4:4" x14ac:dyDescent="0.3">
      <c r="D34" s="59"/>
    </row>
    <row r="35" spans="4:4" x14ac:dyDescent="0.3">
      <c r="D35" s="59"/>
    </row>
    <row r="36" spans="4:4" x14ac:dyDescent="0.3">
      <c r="D36" s="59"/>
    </row>
    <row r="37" spans="4:4" x14ac:dyDescent="0.3">
      <c r="D37" s="59"/>
    </row>
    <row r="38" spans="4:4" x14ac:dyDescent="0.3">
      <c r="D38" s="59"/>
    </row>
    <row r="39" spans="4:4" x14ac:dyDescent="0.3">
      <c r="D39" s="59"/>
    </row>
    <row r="40" spans="4:4" x14ac:dyDescent="0.3">
      <c r="D40" s="59"/>
    </row>
  </sheetData>
  <mergeCells count="3">
    <mergeCell ref="D9:Q9"/>
    <mergeCell ref="S9:AF9"/>
    <mergeCell ref="G3:J7"/>
  </mergeCells>
  <dataValidations count="2">
    <dataValidation type="list" allowBlank="1" showInputMessage="1" showErrorMessage="1" sqref="D4">
      <formula1>CompaniesTemplate</formula1>
    </dataValidation>
    <dataValidation type="list" allowBlank="1" showInputMessage="1" sqref="E8 T8">
      <formula1>FiscalYearsTemplate</formula1>
    </dataValidation>
  </dataValidations>
  <hyperlinks>
    <hyperlink ref="B2" location="Home!A1" tooltip="Click to navigate to the Home sheet." display="ß"/>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M34"/>
  <sheetViews>
    <sheetView showGridLines="0" zoomScale="90" zoomScaleNormal="90" workbookViewId="0"/>
  </sheetViews>
  <sheetFormatPr defaultRowHeight="16.5" x14ac:dyDescent="0.3"/>
  <cols>
    <col min="1" max="1" width="2.85546875" style="12" customWidth="1"/>
    <col min="2" max="2" width="5.5703125" style="12" customWidth="1"/>
    <col min="3" max="3" width="22.7109375" style="12" customWidth="1"/>
    <col min="4" max="4" width="21.42578125" style="12" bestFit="1" customWidth="1"/>
    <col min="5" max="5" width="1.7109375" style="80" customWidth="1"/>
    <col min="6" max="7" width="18.7109375" style="12" customWidth="1"/>
    <col min="8" max="8" width="1.7109375" style="12" customWidth="1"/>
    <col min="9" max="9" width="15.7109375" style="12" bestFit="1" customWidth="1"/>
    <col min="10" max="10" width="13.7109375" style="12" bestFit="1" customWidth="1"/>
    <col min="11" max="11" width="1.7109375" style="12" customWidth="1"/>
    <col min="12" max="12" width="15.7109375" style="12" bestFit="1" customWidth="1"/>
    <col min="13" max="13" width="14.28515625" style="12" bestFit="1" customWidth="1"/>
    <col min="14" max="16384" width="9.140625" style="12"/>
  </cols>
  <sheetData>
    <row r="1" spans="2:13" ht="15" customHeight="1" x14ac:dyDescent="0.3"/>
    <row r="2" spans="2:13" ht="33.75" customHeight="1" x14ac:dyDescent="0.7">
      <c r="B2" s="91" t="s">
        <v>154</v>
      </c>
      <c r="C2" s="13" t="str">
        <f>CONCATENATE(D3," Divisional Summary By Account Category")</f>
        <v>0 Divisional Summary By Account Category</v>
      </c>
      <c r="D2" s="13"/>
      <c r="E2" s="83"/>
    </row>
    <row r="3" spans="2:13" x14ac:dyDescent="0.3">
      <c r="C3" s="14" t="s">
        <v>26</v>
      </c>
      <c r="D3" s="78">
        <f>INDEX(Companies,1)</f>
        <v>0</v>
      </c>
      <c r="E3" s="68"/>
      <c r="F3" s="128" t="s">
        <v>183</v>
      </c>
      <c r="G3" s="128"/>
      <c r="H3" s="128"/>
      <c r="I3" s="128"/>
    </row>
    <row r="4" spans="2:13" x14ac:dyDescent="0.3">
      <c r="C4" s="14" t="s">
        <v>56</v>
      </c>
      <c r="D4" s="68">
        <f>CHOOSE(B, "GLCurrentYear(" &amp; $D$3 &amp; ")", CellContents, 2020)</f>
        <v>2020</v>
      </c>
      <c r="E4" s="84"/>
      <c r="F4" s="128"/>
      <c r="G4" s="128"/>
      <c r="H4" s="128"/>
      <c r="I4" s="128"/>
    </row>
    <row r="5" spans="2:13" x14ac:dyDescent="0.3">
      <c r="C5" s="14" t="s">
        <v>25</v>
      </c>
      <c r="D5" s="78">
        <f>CHOOSE(B, "GLCurrentPeriod(" &amp; $D$3 &amp; ")", CellContents, 1)</f>
        <v>1</v>
      </c>
      <c r="E5" s="84"/>
      <c r="F5" s="128"/>
      <c r="G5" s="128"/>
      <c r="H5" s="128"/>
      <c r="I5" s="128"/>
    </row>
    <row r="6" spans="2:13" x14ac:dyDescent="0.3">
      <c r="C6" s="14" t="s">
        <v>27</v>
      </c>
      <c r="D6" s="78" t="str">
        <f>CHOOSE(B, "GLHomeCurrency(" &amp; $D$3 &amp; ")", CellContents, "CAD")</f>
        <v>CAD</v>
      </c>
      <c r="E6" s="84"/>
      <c r="F6" s="128"/>
      <c r="G6" s="128"/>
      <c r="H6" s="128"/>
      <c r="I6" s="128"/>
    </row>
    <row r="7" spans="2:13" x14ac:dyDescent="0.3">
      <c r="C7" s="14" t="s">
        <v>28</v>
      </c>
      <c r="D7" s="78" t="s">
        <v>29</v>
      </c>
      <c r="E7" s="84"/>
    </row>
    <row r="8" spans="2:13" x14ac:dyDescent="0.3">
      <c r="C8" s="14" t="s">
        <v>117</v>
      </c>
      <c r="D8" s="14"/>
      <c r="E8" s="85"/>
    </row>
    <row r="9" spans="2:13" x14ac:dyDescent="0.3">
      <c r="C9" s="14"/>
      <c r="D9" s="14"/>
      <c r="E9" s="85"/>
    </row>
    <row r="10" spans="2:13" x14ac:dyDescent="0.3">
      <c r="F10" s="79" t="s">
        <v>139</v>
      </c>
      <c r="G10" s="79" t="s">
        <v>138</v>
      </c>
      <c r="I10" s="79" t="s">
        <v>140</v>
      </c>
      <c r="J10" s="79" t="s">
        <v>141</v>
      </c>
    </row>
    <row r="11" spans="2:13" s="80" customFormat="1" ht="5.0999999999999996" customHeight="1" x14ac:dyDescent="0.3">
      <c r="C11" s="81"/>
      <c r="D11" s="81"/>
      <c r="E11" s="81"/>
      <c r="F11" s="82"/>
      <c r="G11" s="82"/>
      <c r="I11" s="82"/>
      <c r="J11" s="82"/>
    </row>
    <row r="12" spans="2:13" x14ac:dyDescent="0.3">
      <c r="C12" s="133" t="s">
        <v>69</v>
      </c>
      <c r="D12" s="134" t="s">
        <v>70</v>
      </c>
      <c r="E12" s="81"/>
      <c r="F12" s="132">
        <f>D4</f>
        <v>2020</v>
      </c>
      <c r="G12" s="127"/>
      <c r="I12" s="132">
        <f>D4</f>
        <v>2020</v>
      </c>
      <c r="J12" s="127"/>
      <c r="L12" s="132" t="s">
        <v>93</v>
      </c>
      <c r="M12" s="132"/>
    </row>
    <row r="13" spans="2:13" ht="16.5" customHeight="1" x14ac:dyDescent="0.3">
      <c r="C13" s="133"/>
      <c r="D13" s="134"/>
      <c r="E13" s="81"/>
      <c r="F13" s="48" t="s">
        <v>94</v>
      </c>
      <c r="G13" s="48" t="s">
        <v>95</v>
      </c>
      <c r="I13" s="48" t="s">
        <v>94</v>
      </c>
      <c r="J13" s="48" t="s">
        <v>95</v>
      </c>
      <c r="L13" s="48" t="s">
        <v>94</v>
      </c>
      <c r="M13" s="48" t="s">
        <v>95</v>
      </c>
    </row>
    <row r="14" spans="2:13" s="31" customFormat="1" ht="7.5" customHeight="1" x14ac:dyDescent="0.3">
      <c r="C14" s="40"/>
      <c r="D14" s="41"/>
      <c r="E14" s="86"/>
      <c r="F14" s="32"/>
      <c r="I14" s="32"/>
      <c r="L14" s="32"/>
    </row>
    <row r="15" spans="2:13" s="31" customFormat="1" x14ac:dyDescent="0.3">
      <c r="C15" s="40" t="s">
        <v>85</v>
      </c>
      <c r="D15" s="29" t="s">
        <v>43</v>
      </c>
      <c r="E15" s="86"/>
      <c r="F15" s="110">
        <f>CHOOSE(B, "-GLActual(" &amp; G$10 &amp; "," &amp; $D$3 &amp; "," &amp; $D$4 &amp; "," &amp; $D$5 &amp; "," &amp; "AccountGroupCode" &amp; "," &amp; $C$15 &amp; "," &amp; "AccountStructureCode" &amp; "," &amp; "AccountType" &amp; "," &amp; "BalanceType" &amp; "," &amp; $D$6 &amp; "," &amp; $D$7 &amp; ")", CellContents, 392272,45)</f>
        <v>392272</v>
      </c>
      <c r="G15" s="110">
        <f>CHOOSE(B, "-GLActualYTD(" &amp; G$10 &amp; "," &amp; $D$3 &amp; "," &amp; $D$4 &amp; "," &amp; $D$5 &amp; "," &amp; "AccountGroupCode" &amp; "," &amp; $C15 &amp; "," &amp; "AccountStructureCode" &amp; "," &amp; "AccountType" &amp; "," &amp; "BalanceType" &amp; "," &amp; $D$6 &amp; "," &amp; $D$7 &amp; ")", CellContents, 392272,45)</f>
        <v>392272</v>
      </c>
      <c r="H15" s="112"/>
      <c r="I15" s="110">
        <f>CHOOSE(B, "-GLActual(" &amp; J$10 &amp; "," &amp; $D$3 &amp; "," &amp; $D$4 &amp; "," &amp; $D$5 &amp; "," &amp; "AccountGroupCode" &amp; "," &amp; $C15 &amp; "," &amp; "AccountStructureCode" &amp; "," &amp; "AccountType" &amp; "," &amp; "BalanceType" &amp; "," &amp; $D$6 &amp; "," &amp; $D$7 &amp; ")", CellContents, 196863,58)</f>
        <v>196863</v>
      </c>
      <c r="J15" s="110">
        <f>CHOOSE(B, "-GLActualYTD(" &amp; J$10 &amp; "," &amp; $D$3 &amp; "," &amp; $D$4 &amp; "," &amp; $D$5 &amp; "," &amp; "AccountGroupCode" &amp; "," &amp; $C15 &amp; "," &amp; "AccountStructureCode" &amp; "," &amp; "AccountType" &amp; "," &amp; "BalanceType" &amp; "," &amp; $D$6 &amp; "," &amp; $D$7 &amp; ")", CellContents, 196863,58)</f>
        <v>196863</v>
      </c>
      <c r="K15" s="112"/>
      <c r="L15" s="110">
        <f>F15-I15</f>
        <v>195409</v>
      </c>
      <c r="M15" s="110">
        <f>G15-J15</f>
        <v>195409</v>
      </c>
    </row>
    <row r="16" spans="2:13" s="31" customFormat="1" x14ac:dyDescent="0.3">
      <c r="C16" s="40" t="s">
        <v>86</v>
      </c>
      <c r="D16" s="41" t="str">
        <f>MID("Cost of Sales", 1, 255)</f>
        <v>Cost of Sales</v>
      </c>
      <c r="E16" s="86"/>
      <c r="F16" s="111">
        <f>CHOOSE(B, "GLActual(" &amp; G$10 &amp; "," &amp; $D$3 &amp; "," &amp; $D$4 &amp; "," &amp; $D$5 &amp; "," &amp; "AccountGroupCode" &amp; "," &amp; $C16 &amp; "," &amp; "AccountStructureCode" &amp; "," &amp; "AccountType" &amp; "," &amp; "BalanceType" &amp; "," &amp; $D$6 &amp; "," &amp; $D$7 &amp; ")", CellContents, 152006,85)</f>
        <v>152006</v>
      </c>
      <c r="G16" s="111">
        <f>CHOOSE(B, "GLActualYTD(" &amp; G$10 &amp; "," &amp; $D$3 &amp; "," &amp; $D$4 &amp; "," &amp; $D$5 &amp; "," &amp; "AccountGroupCode" &amp; "," &amp; $C16 &amp; "," &amp; "AccountStructureCode" &amp; "," &amp; "AccountType" &amp; "," &amp; "BalanceType" &amp; "," &amp; $D$6 &amp; "," &amp; $D$7 &amp; ")", CellContents, 152006,85)</f>
        <v>152006</v>
      </c>
      <c r="H16" s="113"/>
      <c r="I16" s="111">
        <f>CHOOSE(B, "GLActual(" &amp; J$10 &amp; "," &amp; $D$3 &amp; "," &amp; $D$4 &amp; "," &amp; $D$5 &amp; "," &amp; "AccountGroupCode" &amp; "," &amp; $C16 &amp; "," &amp; "AccountStructureCode" &amp; "," &amp; "AccountType" &amp; "," &amp; "BalanceType" &amp; "," &amp; $D$6 &amp; "," &amp; $D$7 &amp; ")", CellContents, 76790,72)</f>
        <v>76790</v>
      </c>
      <c r="J16" s="111">
        <f>CHOOSE(B, "GLActualYTD(" &amp; J$10 &amp; "," &amp; $D$3 &amp; "," &amp; $D$4 &amp; "," &amp; $D$5 &amp; "," &amp; "AccountGroupCode" &amp; "," &amp; $C16 &amp; "," &amp; "AccountStructureCode" &amp; "," &amp; "AccountType" &amp; "," &amp; "BalanceType" &amp; "," &amp; $D$6 &amp; "," &amp; $D$7 &amp; ")", CellContents, 76790,72)</f>
        <v>76790</v>
      </c>
      <c r="K16" s="113"/>
      <c r="L16" s="110">
        <f>F16-I16</f>
        <v>75216</v>
      </c>
      <c r="M16" s="110">
        <f>G16-J16</f>
        <v>75216</v>
      </c>
    </row>
    <row r="17" spans="3:13" s="31" customFormat="1" ht="16.5" customHeight="1" x14ac:dyDescent="0.3">
      <c r="C17" s="40"/>
      <c r="D17" s="35" t="s">
        <v>96</v>
      </c>
      <c r="E17" s="86"/>
      <c r="F17" s="114">
        <f>F15-F16</f>
        <v>240266</v>
      </c>
      <c r="G17" s="114">
        <f>G15-G16</f>
        <v>240266</v>
      </c>
      <c r="H17" s="113"/>
      <c r="I17" s="114">
        <f>I15-I16</f>
        <v>120073</v>
      </c>
      <c r="J17" s="114">
        <f t="shared" ref="J17" si="0">J15-J16</f>
        <v>120073</v>
      </c>
      <c r="K17" s="113"/>
      <c r="L17" s="114">
        <f t="shared" ref="L17:M17" si="1">L15-L16</f>
        <v>120193</v>
      </c>
      <c r="M17" s="114">
        <f t="shared" si="1"/>
        <v>120193</v>
      </c>
    </row>
    <row r="18" spans="3:13" s="31" customFormat="1" ht="16.5" customHeight="1" x14ac:dyDescent="0.3">
      <c r="C18" s="40"/>
      <c r="D18" s="41"/>
      <c r="E18" s="86"/>
      <c r="F18" s="111"/>
      <c r="G18" s="111"/>
      <c r="H18" s="113"/>
      <c r="I18" s="111"/>
      <c r="J18" s="111"/>
      <c r="K18" s="113"/>
      <c r="L18" s="111"/>
      <c r="M18" s="111"/>
    </row>
    <row r="19" spans="3:13" s="31" customFormat="1" x14ac:dyDescent="0.3">
      <c r="C19" s="40" t="s">
        <v>87</v>
      </c>
      <c r="D19" s="41" t="str">
        <f>MID("Other Revenue", 1, 255)</f>
        <v>Other Revenue</v>
      </c>
      <c r="E19" s="86"/>
      <c r="F19" s="111">
        <f>CHOOSE(B, "GLActual(" &amp; G$10 &amp; "," &amp; $D$3 &amp; "," &amp; $D$4 &amp; "," &amp; $D$5 &amp; "," &amp; "AccountGroupCode" &amp; "," &amp; $C19 &amp; "," &amp; "AccountStructureCode" &amp; "," &amp; "AccountType" &amp; "," &amp; "BalanceType" &amp; "," &amp; $D$6 &amp; "," &amp; $D$7 &amp; ")", CellContents, 0)</f>
        <v>0</v>
      </c>
      <c r="G19" s="111">
        <f>CHOOSE(B, "GLActualYTD(" &amp; G$10 &amp; "," &amp; $D$3 &amp; "," &amp; $D$4 &amp; "," &amp; $D$5 &amp; "," &amp; "AccountGroupCode" &amp; "," &amp; $C19 &amp; "," &amp; "AccountStructureCode" &amp; "," &amp; "AccountType" &amp; "," &amp; "BalanceType" &amp; "," &amp; $D$6 &amp; "," &amp; $D$7 &amp; ")", CellContents, 0)</f>
        <v>0</v>
      </c>
      <c r="H19" s="113"/>
      <c r="I19" s="110">
        <f>CHOOSE(B, "-GLActual(" &amp; J$10 &amp; "," &amp; $D$3 &amp; "," &amp; $D$4 &amp; "," &amp; $D$5 &amp; "," &amp; "AccountGroupCode" &amp; "," &amp; $C19 &amp; "," &amp; "AccountStructureCode" &amp; "," &amp; "AccountType" &amp; "," &amp; "BalanceType" &amp; "," &amp; $D$6 &amp; "," &amp; $D$7 &amp; ")", CellContents, 0)</f>
        <v>0</v>
      </c>
      <c r="J19" s="110">
        <f>CHOOSE(B, "-GLActualYTD(" &amp; J$10 &amp; "," &amp; $D$3 &amp; "," &amp; $D$4 &amp; "," &amp; $D$5 &amp; "," &amp; "AccountGroupCode" &amp; "," &amp; $C19 &amp; "," &amp; "AccountStructureCode" &amp; "," &amp; "AccountType" &amp; "," &amp; "BalanceType" &amp; "," &amp; $D$6 &amp; "," &amp; $D$7 &amp; ")", CellContents, 0)</f>
        <v>0</v>
      </c>
      <c r="K19" s="113"/>
      <c r="L19" s="110">
        <f>F19-I19</f>
        <v>0</v>
      </c>
      <c r="M19" s="110">
        <f>G19-J19</f>
        <v>0</v>
      </c>
    </row>
    <row r="20" spans="3:13" s="31" customFormat="1" x14ac:dyDescent="0.3">
      <c r="C20" s="40"/>
      <c r="D20" s="35" t="s">
        <v>97</v>
      </c>
      <c r="E20" s="86"/>
      <c r="F20" s="114">
        <f>SUM(F17:F19)</f>
        <v>240266</v>
      </c>
      <c r="G20" s="114">
        <f>SUM(G17:G19)</f>
        <v>240266</v>
      </c>
      <c r="H20" s="113"/>
      <c r="I20" s="114">
        <f>SUM(I17:I19)</f>
        <v>120073</v>
      </c>
      <c r="J20" s="114">
        <f>SUM(J17:J19)</f>
        <v>120073</v>
      </c>
      <c r="K20" s="113"/>
      <c r="L20" s="114">
        <f>SUM(L17)-SUM(L19)</f>
        <v>120193</v>
      </c>
      <c r="M20" s="114">
        <f>SUM(M17)-SUM(M19)</f>
        <v>120193</v>
      </c>
    </row>
    <row r="21" spans="3:13" s="31" customFormat="1" x14ac:dyDescent="0.3">
      <c r="C21" s="40"/>
      <c r="D21" s="41"/>
      <c r="E21" s="86"/>
      <c r="F21" s="111"/>
      <c r="G21" s="111"/>
      <c r="H21" s="113"/>
      <c r="I21" s="111"/>
      <c r="J21" s="111"/>
      <c r="K21" s="113"/>
      <c r="L21" s="111"/>
      <c r="M21" s="111"/>
    </row>
    <row r="22" spans="3:13" s="31" customFormat="1" x14ac:dyDescent="0.3">
      <c r="C22" s="40" t="s">
        <v>88</v>
      </c>
      <c r="D22" s="41" t="str">
        <f>MID("Other Expenses", 1, 255)</f>
        <v>Other Expenses</v>
      </c>
      <c r="E22" s="86"/>
      <c r="F22" s="111">
        <f>CHOOSE(B, "GLActual(" &amp; G$10 &amp; "," &amp; $D$3 &amp; "," &amp; $D$4 &amp; "," &amp; $D$5 &amp; "," &amp; "AccountGroupCode" &amp; "," &amp; $C22 &amp; "," &amp; "AccountStructureCode" &amp; "," &amp; "AccountType" &amp; "," &amp; "BalanceType" &amp; "," &amp; $D$6 &amp; "," &amp; $D$7 &amp; ")", CellContents, 108328,25)</f>
        <v>108328</v>
      </c>
      <c r="G22" s="111">
        <f>CHOOSE(B, "GLActualYTD(" &amp; G$10 &amp; "," &amp; $D$3 &amp; "," &amp; $D$4 &amp; "," &amp; $D$5 &amp; "," &amp; "AccountGroupCode" &amp; "," &amp; $C22 &amp; "," &amp; "AccountStructureCode" &amp; "," &amp; "AccountType" &amp; "," &amp; "BalanceType" &amp; "," &amp; $D$6 &amp; "," &amp; $D$7 &amp; ")", CellContents, 108328,25)</f>
        <v>108328</v>
      </c>
      <c r="H22" s="113"/>
      <c r="I22" s="111">
        <f>CHOOSE(B, "GLActual(" &amp; J$10 &amp; "," &amp; $D$3 &amp; "," &amp; $D$4 &amp; "," &amp; $D$5 &amp; "," &amp; "AccountGroupCode" &amp; "," &amp; $C22 &amp; "," &amp; "AccountStructureCode" &amp; "," &amp; "AccountType" &amp; "," &amp; "BalanceType" &amp; "," &amp; $D$6 &amp; "," &amp; $D$7 &amp; ")", CellContents, 292728,63)</f>
        <v>292728</v>
      </c>
      <c r="J22" s="111">
        <f>CHOOSE(B, "GLActualYTD(" &amp; J$10 &amp; "," &amp; $D$3 &amp; "," &amp; $D$4 &amp; "," &amp; $D$5 &amp; "," &amp; "AccountGroupCode" &amp; "," &amp; $C22 &amp; "," &amp; "AccountStructureCode" &amp; "," &amp; "AccountType" &amp; "," &amp; "BalanceType" &amp; "," &amp; $D$6 &amp; "," &amp; $D$7 &amp; ")", CellContents, 292728,63)</f>
        <v>292728</v>
      </c>
      <c r="K22" s="113"/>
      <c r="L22" s="110">
        <f>F22-I22</f>
        <v>-184400</v>
      </c>
      <c r="M22" s="110">
        <f>G22-J22</f>
        <v>-184400</v>
      </c>
    </row>
    <row r="23" spans="3:13" s="31" customFormat="1" x14ac:dyDescent="0.3">
      <c r="C23" s="40" t="s">
        <v>89</v>
      </c>
      <c r="D23" s="41" t="str">
        <f>MID("Depreciation Expense", 1, 255)</f>
        <v>Depreciation Expense</v>
      </c>
      <c r="E23" s="86"/>
      <c r="F23" s="111">
        <f>CHOOSE(B, "GLActual(" &amp; G$10 &amp; "," &amp; $D$3 &amp; "," &amp; $D$4 &amp; "," &amp; $D$5 &amp; "," &amp; "AccountGroupCode" &amp; "," &amp; $C23 &amp; "," &amp; "AccountStructureCode" &amp; "," &amp; "AccountType" &amp; "," &amp; "BalanceType" &amp; "," &amp; $D$6 &amp; "," &amp; $D$7 &amp; ")", CellContents, 0)</f>
        <v>0</v>
      </c>
      <c r="G23" s="111">
        <f>CHOOSE(B, "GLActualYTD(" &amp; G$10 &amp; "," &amp; $D$3 &amp; "," &amp; $D$4 &amp; "," &amp; $D$5 &amp; "," &amp; "AccountGroupCode" &amp; "," &amp; $C23 &amp; "," &amp; "AccountStructureCode" &amp; "," &amp; "AccountType" &amp; "," &amp; "BalanceType" &amp; "," &amp; $D$6 &amp; "," &amp; $D$7 &amp; ")", CellContents, 0)</f>
        <v>0</v>
      </c>
      <c r="H23" s="113"/>
      <c r="I23" s="111">
        <f>CHOOSE(B, "GLActual(" &amp; J$10 &amp; "," &amp; $D$3 &amp; "," &amp; $D$4 &amp; "," &amp; $D$5 &amp; "," &amp; "AccountGroupCode" &amp; "," &amp; $C23 &amp; "," &amp; "AccountStructureCode" &amp; "," &amp; "AccountType" &amp; "," &amp; "BalanceType" &amp; "," &amp; $D$6 &amp; "," &amp; $D$7 &amp; ")", CellContents, 0)</f>
        <v>0</v>
      </c>
      <c r="J23" s="111">
        <f>CHOOSE(B, "GLActualYTD(" &amp; J$10 &amp; "," &amp; $D$3 &amp; "," &amp; $D$4 &amp; "," &amp; $D$5 &amp; "," &amp; "AccountGroupCode" &amp; "," &amp; $C23 &amp; "," &amp; "AccountStructureCode" &amp; "," &amp; "AccountType" &amp; "," &amp; "BalanceType" &amp; "," &amp; $D$6 &amp; "," &amp; $D$7 &amp; ")", CellContents, 0)</f>
        <v>0</v>
      </c>
      <c r="K23" s="113"/>
      <c r="L23" s="110">
        <f t="shared" ref="L23:L26" si="2">F23-I23</f>
        <v>0</v>
      </c>
      <c r="M23" s="110">
        <f t="shared" ref="M23:M26" si="3">G23-J23</f>
        <v>0</v>
      </c>
    </row>
    <row r="24" spans="3:13" s="31" customFormat="1" x14ac:dyDescent="0.3">
      <c r="C24" s="40" t="s">
        <v>90</v>
      </c>
      <c r="D24" s="41" t="str">
        <f>MID("Gains and Losses", 1, 255)</f>
        <v>Gains and Losses</v>
      </c>
      <c r="E24" s="86"/>
      <c r="F24" s="111">
        <f>CHOOSE(B, "GLActual(" &amp; G$10 &amp; "," &amp; $D$3 &amp; "," &amp; $D$4 &amp; "," &amp; $D$5 &amp; "," &amp; "AccountGroupCode" &amp; "," &amp; $C24 &amp; "," &amp; "AccountStructureCode" &amp; "," &amp; "AccountType" &amp; "," &amp; "BalanceType" &amp; "," &amp; $D$6 &amp; "," &amp; $D$7 &amp; ")", CellContents, 0)</f>
        <v>0</v>
      </c>
      <c r="G24" s="111">
        <f>CHOOSE(B, "GLActualYTD(" &amp; G$10 &amp; "," &amp; $D$3 &amp; "," &amp; $D$4 &amp; "," &amp; $D$5 &amp; "," &amp; "AccountGroupCode" &amp; "," &amp; $C24 &amp; "," &amp; "AccountStructureCode" &amp; "," &amp; "AccountType" &amp; "," &amp; "BalanceType" &amp; "," &amp; $D$6 &amp; "," &amp; $D$7 &amp; ")", CellContents, 0)</f>
        <v>0</v>
      </c>
      <c r="H24" s="113"/>
      <c r="I24" s="111">
        <f>CHOOSE(B, "GLActual(" &amp; J$10 &amp; "," &amp; $D$3 &amp; "," &amp; $D$4 &amp; "," &amp; $D$5 &amp; "," &amp; "AccountGroupCode" &amp; "," &amp; $C24 &amp; "," &amp; "AccountStructureCode" &amp; "," &amp; "AccountType" &amp; "," &amp; "BalanceType" &amp; "," &amp; $D$6 &amp; "," &amp; $D$7 &amp; ")", CellContents, 0)</f>
        <v>0</v>
      </c>
      <c r="J24" s="111">
        <f>CHOOSE(B, "GLActualYTD(" &amp; J$10 &amp; "," &amp; $D$3 &amp; "," &amp; $D$4 &amp; "," &amp; $D$5 &amp; "," &amp; "AccountGroupCode" &amp; "," &amp; $C24 &amp; "," &amp; "AccountStructureCode" &amp; "," &amp; "AccountType" &amp; "," &amp; "BalanceType" &amp; "," &amp; $D$6 &amp; "," &amp; $D$7 &amp; ")", CellContents, 0)</f>
        <v>0</v>
      </c>
      <c r="K24" s="113"/>
      <c r="L24" s="110">
        <f t="shared" si="2"/>
        <v>0</v>
      </c>
      <c r="M24" s="110">
        <f t="shared" si="3"/>
        <v>0</v>
      </c>
    </row>
    <row r="25" spans="3:13" s="31" customFormat="1" x14ac:dyDescent="0.3">
      <c r="C25" s="40" t="s">
        <v>91</v>
      </c>
      <c r="D25" s="41" t="str">
        <f>MID("Interest Expense", 1, 255)</f>
        <v>Interest Expense</v>
      </c>
      <c r="E25" s="86"/>
      <c r="F25" s="111">
        <f>CHOOSE(B, "GLActual(" &amp; G$10 &amp; "," &amp; $D$3 &amp; "," &amp; $D$4 &amp; "," &amp; $D$5 &amp; "," &amp; "AccountGroupCode" &amp; "," &amp; $C25 &amp; "," &amp; "AccountStructureCode" &amp; "," &amp; "AccountType" &amp; "," &amp; "BalanceType" &amp; "," &amp; $D$6 &amp; "," &amp; $D$7 &amp; ")", CellContents, 0)</f>
        <v>0</v>
      </c>
      <c r="G25" s="111">
        <f>CHOOSE(B, "GLActualYTD(" &amp; G$10 &amp; "," &amp; $D$3 &amp; "," &amp; $D$4 &amp; "," &amp; $D$5 &amp; "," &amp; "AccountGroupCode" &amp; "," &amp; $C25 &amp; "," &amp; "AccountStructureCode" &amp; "," &amp; "AccountType" &amp; "," &amp; "BalanceType" &amp; "," &amp; $D$6 &amp; "," &amp; $D$7 &amp; ")", CellContents, 0)</f>
        <v>0</v>
      </c>
      <c r="H25" s="113"/>
      <c r="I25" s="111">
        <f>CHOOSE(B, "GLActual(" &amp; J$10 &amp; "," &amp; $D$3 &amp; "," &amp; $D$4 &amp; "," &amp; $D$5 &amp; "," &amp; "AccountGroupCode" &amp; "," &amp; $C25 &amp; "," &amp; "AccountStructureCode" &amp; "," &amp; "AccountType" &amp; "," &amp; "BalanceType" &amp; "," &amp; $D$6 &amp; "," &amp; $D$7 &amp; ")", CellContents, 0)</f>
        <v>0</v>
      </c>
      <c r="J25" s="111">
        <f>CHOOSE(B, "GLActualYTD(" &amp; J$10 &amp; "," &amp; $D$3 &amp; "," &amp; $D$4 &amp; "," &amp; $D$5 &amp; "," &amp; "AccountGroupCode" &amp; "," &amp; $C25 &amp; "," &amp; "AccountStructureCode" &amp; "," &amp; "AccountType" &amp; "," &amp; "BalanceType" &amp; "," &amp; $D$6 &amp; "," &amp; $D$7 &amp; ")", CellContents, 0)</f>
        <v>0</v>
      </c>
      <c r="K25" s="113"/>
      <c r="L25" s="110">
        <f t="shared" si="2"/>
        <v>0</v>
      </c>
      <c r="M25" s="110">
        <f t="shared" si="3"/>
        <v>0</v>
      </c>
    </row>
    <row r="26" spans="3:13" s="31" customFormat="1" x14ac:dyDescent="0.3">
      <c r="C26" s="40">
        <f>210</f>
        <v>210</v>
      </c>
      <c r="D26" s="41" t="str">
        <f>MID("Income Taxes", 1, 255)</f>
        <v>Income Taxes</v>
      </c>
      <c r="E26" s="86"/>
      <c r="F26" s="111">
        <f>CHOOSE(B, "GLActual(" &amp; G$10 &amp; "," &amp; $D$3 &amp; "," &amp; $D$4 &amp; "," &amp; $D$5 &amp; "," &amp; "AccountGroupCode" &amp; "," &amp; $C26 &amp; "," &amp; "AccountStructureCode" &amp; "," &amp; "AccountType" &amp; "," &amp; "BalanceType" &amp; "," &amp; $D$6 &amp; "," &amp; $D$7 &amp; ")", CellContents, 0)</f>
        <v>0</v>
      </c>
      <c r="G26" s="111">
        <f>CHOOSE(B, "GLActualYTD(" &amp; G$10 &amp; "," &amp; $D$3 &amp; "," &amp; $D$4 &amp; "," &amp; $D$5 &amp; "," &amp; "AccountGroupCode" &amp; "," &amp; $C26 &amp; "," &amp; "AccountStructureCode" &amp; "," &amp; "AccountType" &amp; "," &amp; "BalanceType" &amp; "," &amp; $D$6 &amp; "," &amp; $D$7 &amp; ")", CellContents, 0)</f>
        <v>0</v>
      </c>
      <c r="H26" s="113"/>
      <c r="I26" s="111">
        <f>CHOOSE(B, "GLActual(" &amp; J$10 &amp; "," &amp; $D$3 &amp; "," &amp; $D$4 &amp; "," &amp; $D$5 &amp; "," &amp; "AccountGroupCode" &amp; "," &amp; $C26 &amp; "," &amp; "AccountStructureCode" &amp; "," &amp; "AccountType" &amp; "," &amp; "BalanceType" &amp; "," &amp; $D$6 &amp; "," &amp; $D$7 &amp; ")", CellContents, 0)</f>
        <v>0</v>
      </c>
      <c r="J26" s="111">
        <f>CHOOSE(B, "GLActualYTD(" &amp; J$10 &amp; "," &amp; $D$3 &amp; "," &amp; $D$4 &amp; "," &amp; $D$5 &amp; "," &amp; "AccountGroupCode" &amp; "," &amp; $C26 &amp; "," &amp; "AccountStructureCode" &amp; "," &amp; "AccountType" &amp; "," &amp; "BalanceType" &amp; "," &amp; $D$6 &amp; "," &amp; $D$7 &amp; ")", CellContents, 0)</f>
        <v>0</v>
      </c>
      <c r="K26" s="113"/>
      <c r="L26" s="110">
        <f t="shared" si="2"/>
        <v>0</v>
      </c>
      <c r="M26" s="110">
        <f t="shared" si="3"/>
        <v>0</v>
      </c>
    </row>
    <row r="27" spans="3:13" s="31" customFormat="1" ht="7.5" customHeight="1" x14ac:dyDescent="0.3">
      <c r="C27" s="40"/>
      <c r="D27" s="41"/>
      <c r="E27" s="86"/>
      <c r="F27" s="115"/>
      <c r="G27" s="115"/>
      <c r="H27" s="113"/>
      <c r="I27" s="115"/>
      <c r="J27" s="115"/>
      <c r="K27" s="113"/>
      <c r="L27" s="115"/>
      <c r="M27" s="115"/>
    </row>
    <row r="28" spans="3:13" s="31" customFormat="1" x14ac:dyDescent="0.3">
      <c r="C28" s="17"/>
      <c r="D28" s="35" t="s">
        <v>105</v>
      </c>
      <c r="E28" s="87"/>
      <c r="F28" s="116">
        <f>SUM(F20)-SUM(F22:F26)</f>
        <v>131938</v>
      </c>
      <c r="G28" s="116">
        <f>SUM(G20)-SUM(G22:G26)</f>
        <v>131938</v>
      </c>
      <c r="H28" s="113"/>
      <c r="I28" s="116">
        <f>SUM(I20)-SUM(I22:I26)</f>
        <v>-172655</v>
      </c>
      <c r="J28" s="116">
        <f t="shared" ref="J28" si="4">SUM(J20)-SUM(J22:J26)</f>
        <v>-172655</v>
      </c>
      <c r="K28" s="113"/>
      <c r="L28" s="116">
        <f t="shared" ref="L28:M28" si="5">SUM(L20)-SUM(L22:L26)</f>
        <v>304593</v>
      </c>
      <c r="M28" s="116">
        <f t="shared" si="5"/>
        <v>304593</v>
      </c>
    </row>
    <row r="29" spans="3:13" s="31" customFormat="1" x14ac:dyDescent="0.3">
      <c r="C29" s="17"/>
      <c r="E29" s="88"/>
      <c r="F29" s="117"/>
      <c r="G29" s="113"/>
      <c r="H29" s="113"/>
      <c r="I29" s="113"/>
      <c r="J29" s="113"/>
      <c r="K29" s="113"/>
      <c r="L29" s="113"/>
      <c r="M29" s="113"/>
    </row>
    <row r="30" spans="3:13" s="31" customFormat="1" x14ac:dyDescent="0.3">
      <c r="C30" s="17"/>
      <c r="E30" s="88"/>
      <c r="F30" s="117"/>
      <c r="G30" s="113"/>
      <c r="H30" s="113"/>
      <c r="I30" s="113"/>
      <c r="J30" s="113"/>
      <c r="K30" s="113"/>
      <c r="L30" s="113"/>
      <c r="M30" s="113"/>
    </row>
    <row r="31" spans="3:13" s="31" customFormat="1" x14ac:dyDescent="0.3">
      <c r="C31" s="17"/>
      <c r="E31" s="88"/>
      <c r="F31" s="44"/>
    </row>
    <row r="32" spans="3:13" s="31" customFormat="1" x14ac:dyDescent="0.3">
      <c r="C32" s="17"/>
      <c r="E32" s="88"/>
      <c r="F32" s="44"/>
    </row>
    <row r="33" spans="3:6" x14ac:dyDescent="0.3">
      <c r="C33" s="45"/>
      <c r="F33" s="46"/>
    </row>
    <row r="34" spans="3:6" x14ac:dyDescent="0.3">
      <c r="C34" s="45"/>
    </row>
  </sheetData>
  <mergeCells count="6">
    <mergeCell ref="F3:I6"/>
    <mergeCell ref="I12:J12"/>
    <mergeCell ref="C12:C13"/>
    <mergeCell ref="D12:D13"/>
    <mergeCell ref="L12:M12"/>
    <mergeCell ref="F12:G12"/>
  </mergeCells>
  <dataValidations count="3">
    <dataValidation type="list" allowBlank="1" showInputMessage="1" showErrorMessage="1" sqref="E3 D4">
      <formula1>FiscalYearsTemplate</formula1>
    </dataValidation>
    <dataValidation type="list" allowBlank="1" showInputMessage="1" showErrorMessage="1" sqref="E4 D5">
      <formula1>Periods</formula1>
    </dataValidation>
    <dataValidation type="list" allowBlank="1" showInputMessage="1" showErrorMessage="1" sqref="E5 D3">
      <formula1>CompaniesTemplate</formula1>
    </dataValidation>
  </dataValidations>
  <hyperlinks>
    <hyperlink ref="B2" location="Home!A1" tooltip="Click to navigate to the Home sheet." display="ß"/>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1:S32"/>
  <sheetViews>
    <sheetView showGridLines="0" zoomScale="90" zoomScaleNormal="90" workbookViewId="0"/>
  </sheetViews>
  <sheetFormatPr defaultRowHeight="16.5" x14ac:dyDescent="0.3"/>
  <cols>
    <col min="1" max="1" width="2.85546875" style="12" customWidth="1"/>
    <col min="2" max="2" width="5.5703125" style="12" customWidth="1"/>
    <col min="3" max="3" width="19" style="12" customWidth="1"/>
    <col min="4" max="4" width="27.7109375" style="12" customWidth="1"/>
    <col min="5" max="5" width="0.5703125" style="12" customWidth="1"/>
    <col min="6" max="8" width="13.28515625" style="12" customWidth="1"/>
    <col min="9" max="9" width="15" style="12" bestFit="1" customWidth="1"/>
    <col min="10" max="10" width="0.5703125" style="12" customWidth="1"/>
    <col min="11" max="13" width="13.28515625" style="12" customWidth="1"/>
    <col min="14" max="14" width="15" style="12" bestFit="1" customWidth="1"/>
    <col min="15" max="16384" width="9.140625" style="12"/>
  </cols>
  <sheetData>
    <row r="1" spans="2:19" ht="15" customHeight="1" x14ac:dyDescent="0.3"/>
    <row r="2" spans="2:19" ht="33.75" customHeight="1" x14ac:dyDescent="0.7">
      <c r="B2" s="91" t="s">
        <v>154</v>
      </c>
      <c r="C2" s="13" t="str">
        <f>CONCATENATE(D3," Regional Summary By Account Category")</f>
        <v>0 Regional Summary By Account Category</v>
      </c>
      <c r="D2" s="13"/>
      <c r="E2" s="13"/>
      <c r="P2" s="128" t="s">
        <v>183</v>
      </c>
      <c r="Q2" s="128"/>
      <c r="R2" s="128"/>
      <c r="S2" s="128"/>
    </row>
    <row r="3" spans="2:19" x14ac:dyDescent="0.3">
      <c r="C3" s="14" t="s">
        <v>26</v>
      </c>
      <c r="D3" s="68">
        <f>INDEX(Companies,1)</f>
        <v>0</v>
      </c>
      <c r="E3" s="15"/>
      <c r="F3" s="14" t="s">
        <v>117</v>
      </c>
      <c r="K3" s="14" t="s">
        <v>117</v>
      </c>
      <c r="P3" s="128"/>
      <c r="Q3" s="128"/>
      <c r="R3" s="128"/>
      <c r="S3" s="128"/>
    </row>
    <row r="4" spans="2:19" x14ac:dyDescent="0.3">
      <c r="C4" s="14" t="s">
        <v>56</v>
      </c>
      <c r="D4" s="68">
        <f>CHOOSE(B, "GLCurrentYear(" &amp; $D$3 &amp; ")", CellContents, 2020)</f>
        <v>2020</v>
      </c>
      <c r="E4" s="15"/>
      <c r="F4" s="14" t="s">
        <v>142</v>
      </c>
      <c r="H4" s="89" t="s">
        <v>146</v>
      </c>
      <c r="K4" s="14" t="s">
        <v>142</v>
      </c>
      <c r="M4" s="89" t="s">
        <v>150</v>
      </c>
      <c r="P4" s="128"/>
      <c r="Q4" s="128"/>
      <c r="R4" s="128"/>
      <c r="S4" s="128"/>
    </row>
    <row r="5" spans="2:19" x14ac:dyDescent="0.3">
      <c r="C5" s="14" t="s">
        <v>25</v>
      </c>
      <c r="D5" s="78">
        <f>CHOOSE(B, "GLCurrentPeriod(" &amp; $D$3 &amp; ")", CellContents, 1)</f>
        <v>1</v>
      </c>
      <c r="E5" s="15"/>
      <c r="F5" s="14" t="s">
        <v>143</v>
      </c>
      <c r="H5" s="89" t="s">
        <v>147</v>
      </c>
      <c r="K5" s="14" t="s">
        <v>143</v>
      </c>
      <c r="M5" s="89" t="s">
        <v>151</v>
      </c>
      <c r="P5" s="128"/>
      <c r="Q5" s="128"/>
      <c r="R5" s="128"/>
      <c r="S5" s="128"/>
    </row>
    <row r="6" spans="2:19" x14ac:dyDescent="0.3">
      <c r="C6" s="14" t="s">
        <v>27</v>
      </c>
      <c r="D6" s="15" t="str">
        <f>CHOOSE(B, "GLHomeCurrency(" &amp; $D$3 &amp; ")", CellContents, "CAD")</f>
        <v>CAD</v>
      </c>
      <c r="E6" s="15"/>
      <c r="F6" s="14" t="s">
        <v>144</v>
      </c>
      <c r="H6" s="89" t="s">
        <v>148</v>
      </c>
      <c r="K6" s="14" t="s">
        <v>144</v>
      </c>
      <c r="M6" s="89" t="s">
        <v>152</v>
      </c>
    </row>
    <row r="7" spans="2:19" x14ac:dyDescent="0.3">
      <c r="C7" s="14" t="s">
        <v>28</v>
      </c>
      <c r="D7" s="15" t="s">
        <v>29</v>
      </c>
      <c r="E7" s="15"/>
      <c r="F7" s="14" t="s">
        <v>145</v>
      </c>
      <c r="H7" s="89" t="s">
        <v>149</v>
      </c>
      <c r="K7" s="14" t="s">
        <v>145</v>
      </c>
      <c r="M7" s="89" t="s">
        <v>153</v>
      </c>
    </row>
    <row r="8" spans="2:19" x14ac:dyDescent="0.3">
      <c r="D8" s="15"/>
      <c r="E8" s="15"/>
    </row>
    <row r="9" spans="2:19" x14ac:dyDescent="0.3">
      <c r="C9" s="133" t="s">
        <v>69</v>
      </c>
      <c r="D9" s="134" t="s">
        <v>70</v>
      </c>
      <c r="E9" s="47"/>
      <c r="F9" s="133" t="s">
        <v>118</v>
      </c>
      <c r="G9" s="133"/>
      <c r="H9" s="133"/>
      <c r="I9" s="133"/>
      <c r="K9" s="133" t="s">
        <v>118</v>
      </c>
      <c r="L9" s="133"/>
      <c r="M9" s="133"/>
      <c r="N9" s="133"/>
    </row>
    <row r="10" spans="2:19" x14ac:dyDescent="0.3">
      <c r="C10" s="133"/>
      <c r="D10" s="134"/>
      <c r="E10" s="47"/>
      <c r="F10" s="133" t="s">
        <v>49</v>
      </c>
      <c r="G10" s="133"/>
      <c r="H10" s="133"/>
      <c r="I10" s="133"/>
      <c r="K10" s="133" t="s">
        <v>50</v>
      </c>
      <c r="L10" s="133"/>
      <c r="M10" s="133"/>
      <c r="N10" s="133"/>
    </row>
    <row r="11" spans="2:19" ht="20.25" customHeight="1" x14ac:dyDescent="0.3">
      <c r="C11" s="133"/>
      <c r="D11" s="134"/>
      <c r="E11" s="47"/>
      <c r="F11" s="39" t="s">
        <v>51</v>
      </c>
      <c r="G11" s="39" t="s">
        <v>119</v>
      </c>
      <c r="H11" s="39" t="s">
        <v>52</v>
      </c>
      <c r="I11" s="39" t="s">
        <v>53</v>
      </c>
      <c r="K11" s="39" t="s">
        <v>51</v>
      </c>
      <c r="L11" s="39" t="s">
        <v>119</v>
      </c>
      <c r="M11" s="39" t="s">
        <v>52</v>
      </c>
      <c r="N11" s="39" t="s">
        <v>53</v>
      </c>
    </row>
    <row r="12" spans="2:19" s="31" customFormat="1" ht="7.5" customHeight="1" x14ac:dyDescent="0.3">
      <c r="C12" s="40"/>
      <c r="D12" s="41"/>
      <c r="E12" s="47"/>
      <c r="F12" s="63"/>
      <c r="G12" s="63"/>
      <c r="H12" s="63"/>
      <c r="I12" s="63"/>
      <c r="J12" s="12"/>
      <c r="K12" s="63"/>
      <c r="L12" s="63"/>
      <c r="M12" s="63"/>
      <c r="N12" s="63"/>
    </row>
    <row r="13" spans="2:19" s="31" customFormat="1" x14ac:dyDescent="0.3">
      <c r="C13" s="40">
        <f>140</f>
        <v>140</v>
      </c>
      <c r="D13" s="41" t="str">
        <f>MID("Revenue", 1, 255)</f>
        <v>Revenue</v>
      </c>
      <c r="E13" s="47"/>
      <c r="F13" s="32">
        <f>CHOOSE(B, "-GLActualYTD(" &amp; $H4 &amp; "," &amp; $D$3 &amp; "," &amp; $D$4 &amp; "," &amp; $D$5 &amp; "," &amp; "AccountGroupCode" &amp; "," &amp; $C13 &amp; "," &amp; "AccountStructureCode" &amp; "," &amp; "AccountType" &amp; "," &amp; "BalanceType" &amp; "," &amp; $D$6 &amp; "," &amp; $D$7 &amp; ")", CellContents, 4576,55)</f>
        <v>4576</v>
      </c>
      <c r="G13" s="32">
        <f>CHOOSE(B, "-GLActualYTD(" &amp; $H5 &amp; "," &amp; $D$3 &amp; "," &amp; $D$4 &amp; "," &amp; $D$5 &amp; "," &amp; "AccountGroupCode" &amp; "," &amp; $C13 &amp; "," &amp; "AccountStructureCode" &amp; "," &amp; "AccountType" &amp; "," &amp; "BalanceType" &amp; "," &amp; $D$6 &amp; "," &amp; $D$7 &amp; ")", CellContents, 6714,44)</f>
        <v>6714</v>
      </c>
      <c r="H13" s="32">
        <f>CHOOSE(B, "-GLActualYTD(" &amp; $H$6 &amp; "," &amp; $D$3 &amp; "," &amp; $D$4 &amp; "," &amp; $D$5 &amp; "," &amp; "AccountGroupCode" &amp; "," &amp; $C13 &amp; "," &amp; "AccountStructureCode" &amp; "," &amp; "AccountType" &amp; "," &amp; "BalanceType" &amp; "," &amp; $D$6 &amp; "," &amp; $D$7 &amp; ")", CellContents, 1601,56)</f>
        <v>1601</v>
      </c>
      <c r="I13" s="32">
        <f>CHOOSE(B, "-GLActualYTD(" &amp; $H$7 &amp; "," &amp; $D$3 &amp; "," &amp; $D$4 &amp; "," &amp; $D$5 &amp; "," &amp; "AccountGroupCode" &amp; "," &amp; $C13 &amp; "," &amp; "AccountStructureCode" &amp; "," &amp; "AccountType" &amp; "," &amp; "BalanceType" &amp; "," &amp; $D$6 &amp; "," &amp; $D$7 &amp; ")", CellContents, 12163,6)</f>
        <v>12163</v>
      </c>
      <c r="J13" s="46"/>
      <c r="K13" s="32">
        <f>CHOOSE(B, "-GLActualYTD(" &amp; $M$4 &amp; "," &amp; $D$3 &amp; "," &amp; $D$4 &amp; "," &amp; $D$5 &amp; "," &amp; "AccountGroupCode" &amp; "," &amp; $C13 &amp; "," &amp; "AccountStructureCode" &amp; "," &amp; "AccountType" &amp; "," &amp; "BalanceType" &amp; "," &amp; $D$6 &amp; "," &amp; $D$7 &amp; ")", CellContents, 4945,78)</f>
        <v>4945</v>
      </c>
      <c r="L13" s="32">
        <f>CHOOSE(B, "-GLActualYTD(" &amp; $M$5 &amp; "," &amp; $D$3 &amp; "," &amp; $D$4 &amp; "," &amp; $D$5 &amp; "," &amp; "AccountGroupCode" &amp; "," &amp; $C13 &amp; "," &amp; "AccountStructureCode" &amp; "," &amp; "AccountType" &amp; "," &amp; "BalanceType" &amp; "," &amp; $D$6 &amp; "," &amp; $D$7 &amp; ")", CellContents, 5335,13)</f>
        <v>5335</v>
      </c>
      <c r="M13" s="32">
        <f>CHOOSE(B, "-GLActualYTD(" &amp; $M$6 &amp; "," &amp; $D$3 &amp; "," &amp; $D$4 &amp; "," &amp; $D$5 &amp; "," &amp; "AccountGroupCode" &amp; "," &amp; $C13 &amp; "," &amp; "AccountStructureCode" &amp; "," &amp; "AccountType" &amp; "," &amp; "BalanceType" &amp; "," &amp; $D$6 &amp; "," &amp; $D$7 &amp; ")", CellContents, 3153,26)</f>
        <v>3153</v>
      </c>
      <c r="N13" s="32">
        <f>CHOOSE(B, "-GLActualYTD(" &amp; $M$7 &amp; "," &amp; $D$3 &amp; "," &amp; $D$4 &amp; "," &amp; $D$5 &amp; "," &amp; "AccountGroupCode" &amp; "," &amp; $C13 &amp; "," &amp; "AccountStructureCode" &amp; "," &amp; "AccountType" &amp; "," &amp; "BalanceType" &amp; "," &amp; $D$6 &amp; "," &amp; $D$7 &amp; ")", CellContents, 2664,29)</f>
        <v>2664</v>
      </c>
    </row>
    <row r="14" spans="2:19" s="31" customFormat="1" x14ac:dyDescent="0.3">
      <c r="C14" s="40">
        <f>150</f>
        <v>150</v>
      </c>
      <c r="D14" s="41" t="str">
        <f>MID("Cost of Sales", 1, 255)</f>
        <v>Cost of Sales</v>
      </c>
      <c r="E14" s="47"/>
      <c r="F14" s="32">
        <f>CHOOSE(B, "GLActualYTD(" &amp; $H4 &amp; "," &amp; $D$3 &amp; "," &amp; $D$4 &amp; "," &amp; $D$5 &amp; "," &amp; "AccountGroupCode" &amp; "," &amp; $C14 &amp; "," &amp; "AccountStructureCode" &amp; "," &amp; "AccountType" &amp; "," &amp; "BalanceType" &amp; "," &amp; $D$6 &amp; "," &amp; $D$7 &amp; ")", CellContents, 1921,8)</f>
        <v>1921</v>
      </c>
      <c r="G14" s="32">
        <f>CHOOSE(B, "GLActualYTD(" &amp; $H5 &amp; "," &amp; $D$3 &amp; "," &amp; $D$4 &amp; "," &amp; $D$5 &amp; "," &amp; "AccountGroupCode" &amp; "," &amp; $C14 &amp; "," &amp; "AccountStructureCode" &amp; "," &amp; "AccountType" &amp; "," &amp; "BalanceType" &amp; "," &amp; $D$6 &amp; "," &amp; $D$7 &amp; ")", CellContents, 3057,56)</f>
        <v>3057</v>
      </c>
      <c r="H14" s="32">
        <f>CHOOSE(B, "GLActualYTD(" &amp; $H$6 &amp; "," &amp; $D$3 &amp; "," &amp; $D$4 &amp; "," &amp; $D$5 &amp; "," &amp; "AccountGroupCode" &amp; "," &amp; $C14 &amp; "," &amp; "AccountStructureCode" &amp; "," &amp; "AccountType" &amp; "," &amp; "BalanceType" &amp; "," &amp; $D$6 &amp; "," &amp; $D$7 &amp; ")", CellContents, 836,83)</f>
        <v>836</v>
      </c>
      <c r="I14" s="32">
        <f>CHOOSE(B, "GLActualYTD(" &amp; $H$7 &amp; "," &amp; $D$3 &amp; "," &amp; $D$4 &amp; "," &amp; $D$5 &amp; "," &amp; "AccountGroupCode" &amp; "," &amp; $C14 &amp; "," &amp; "AccountStructureCode" &amp; "," &amp; "AccountType" &amp; "," &amp; "BalanceType" &amp; "," &amp; $D$6 &amp; "," &amp; $D$7 &amp; ")", CellContents, 4341,77)</f>
        <v>4341</v>
      </c>
      <c r="J14" s="46"/>
      <c r="K14" s="32">
        <f>CHOOSE(B, "GLActualYTD(" &amp; $M$4 &amp; "," &amp; $D$3 &amp; "," &amp; $D$4 &amp; "," &amp; $D$5 &amp; "," &amp; "AccountGroupCode" &amp; "," &amp; $C14 &amp; "," &amp; "AccountStructureCode" &amp; "," &amp; "AccountType" &amp; "," &amp; "BalanceType" &amp; "," &amp; $D$6 &amp; "," &amp; $D$7 &amp; ")", CellContents, 2522,35)</f>
        <v>2522</v>
      </c>
      <c r="L14" s="32">
        <f>CHOOSE(B, "GLActualYTD(" &amp; $M$5 &amp; "," &amp; $D$3 &amp; "," &amp; $D$4 &amp; "," &amp; $D$5 &amp; "," &amp; "AccountGroupCode" &amp; "," &amp; $C14 &amp; "," &amp; "AccountStructureCode" &amp; "," &amp; "AccountType" &amp; "," &amp; "BalanceType" &amp; "," &amp; $D$6 &amp; "," &amp; $D$7 &amp; ")", CellContents, 2400,81)</f>
        <v>2400</v>
      </c>
      <c r="M14" s="32">
        <f>CHOOSE(B, "GLActualYTD(" &amp; $M$6 &amp; "," &amp; $D$3 &amp; "," &amp; $D$4 &amp; "," &amp; $D$5 &amp; "," &amp; "AccountGroupCode" &amp; "," &amp; $C14 &amp; "," &amp; "AccountStructureCode" &amp; "," &amp; "AccountType" &amp; "," &amp; "BalanceType" &amp; "," &amp; $D$6 &amp; "," &amp; $D$7 &amp; ")", CellContents, 1639,7)</f>
        <v>1639</v>
      </c>
      <c r="N14" s="32">
        <f>CHOOSE(B, "GLActualYTD(" &amp; $M$7 &amp; "," &amp; $D$3 &amp; "," &amp; $D$4 &amp; "," &amp; $D$5 &amp; "," &amp; "AccountGroupCode" &amp; "," &amp; $C14 &amp; "," &amp; "AccountStructureCode" &amp; "," &amp; "AccountType" &amp; "," &amp; "BalanceType" &amp; "," &amp; $D$6 &amp; "," &amp; $D$7 &amp; ")", CellContents, 1332,15)</f>
        <v>1332</v>
      </c>
    </row>
    <row r="15" spans="2:19" s="31" customFormat="1" x14ac:dyDescent="0.3">
      <c r="C15" s="40"/>
      <c r="D15" s="35" t="s">
        <v>96</v>
      </c>
      <c r="E15" s="47"/>
      <c r="F15" s="36">
        <f>F13-F14</f>
        <v>2655</v>
      </c>
      <c r="G15" s="36">
        <f t="shared" ref="G15" si="0">G13-G14</f>
        <v>3657</v>
      </c>
      <c r="H15" s="36">
        <f>H13-H14</f>
        <v>765</v>
      </c>
      <c r="I15" s="36">
        <f>I13-I14</f>
        <v>7822</v>
      </c>
      <c r="J15" s="46"/>
      <c r="K15" s="36">
        <f>K13-K14</f>
        <v>2423</v>
      </c>
      <c r="L15" s="36">
        <f t="shared" ref="L15" si="1">L13-L14</f>
        <v>2935</v>
      </c>
      <c r="M15" s="36">
        <f>M13-M14</f>
        <v>1514</v>
      </c>
      <c r="N15" s="36">
        <f>N13-N14</f>
        <v>1332</v>
      </c>
    </row>
    <row r="16" spans="2:19" s="31" customFormat="1" x14ac:dyDescent="0.3">
      <c r="C16" s="40"/>
      <c r="D16" s="41"/>
      <c r="E16" s="47"/>
      <c r="F16" s="32"/>
      <c r="G16" s="32"/>
      <c r="H16" s="32"/>
      <c r="I16" s="32"/>
      <c r="J16" s="46"/>
      <c r="K16" s="32"/>
      <c r="L16" s="32"/>
      <c r="M16" s="32"/>
      <c r="N16" s="32"/>
    </row>
    <row r="17" spans="3:14" s="31" customFormat="1" x14ac:dyDescent="0.3">
      <c r="C17" s="40">
        <f>160</f>
        <v>160</v>
      </c>
      <c r="D17" s="41" t="str">
        <f>MID("Other Revenue", 1, 255)</f>
        <v>Other Revenue</v>
      </c>
      <c r="E17" s="47"/>
      <c r="F17" s="32">
        <f>CHOOSE(B, "-GLActualYTD(" &amp; $H4 &amp; "," &amp; $D$3 &amp; "," &amp; $D$4 &amp; "," &amp; $D$5 &amp; "," &amp; "AccountGroupCode" &amp; "," &amp; $C17 &amp; "," &amp; "AccountStructureCode" &amp; "," &amp; "AccountType" &amp; "," &amp; "BalanceType" &amp; "," &amp; $D$6 &amp; "," &amp; $D$7 &amp; ")", CellContents, 0)</f>
        <v>0</v>
      </c>
      <c r="G17" s="32">
        <f>CHOOSE(B, "-GLActualYTD(" &amp; $H5 &amp; "," &amp; $D$3 &amp; "," &amp; $D$4 &amp; "," &amp; $D$5 &amp; "," &amp; "AccountGroupCode" &amp; "," &amp; $C17 &amp; "," &amp; "AccountStructureCode" &amp; "," &amp; "AccountType" &amp; "," &amp; "BalanceType" &amp; "," &amp; $D$6 &amp; "," &amp; $D$7 &amp; ")", CellContents, 0)</f>
        <v>0</v>
      </c>
      <c r="H17" s="32">
        <f>CHOOSE(B, "-GLActualYTD(" &amp; $H$6 &amp; "," &amp; $D$3 &amp; "," &amp; $D$4 &amp; "," &amp; $D$5 &amp; "," &amp; "AccountGroupCode" &amp; "," &amp; $C17 &amp; "," &amp; "AccountStructureCode" &amp; "," &amp; "AccountType" &amp; "," &amp; "BalanceType" &amp; "," &amp; $D$6 &amp; "," &amp; $D$7 &amp; ")", CellContents, 0)</f>
        <v>0</v>
      </c>
      <c r="I17" s="32">
        <f>CHOOSE(B, "-GLActualYTD(" &amp; $H$7 &amp; "," &amp; $D$3 &amp; "," &amp; $D$4 &amp; "," &amp; $D$5 &amp; "," &amp; "AccountGroupCode" &amp; "," &amp; $C17 &amp; "," &amp; "AccountStructureCode" &amp; "," &amp; "AccountType" &amp; "," &amp; "BalanceType" &amp; "," &amp; $D$6 &amp; "," &amp; $D$7 &amp; ")", CellContents, 0)</f>
        <v>0</v>
      </c>
      <c r="J17" s="46"/>
      <c r="K17" s="32">
        <f>CHOOSE(B, "-GLActualYTD(" &amp; $M$4 &amp; "," &amp; $D$3 &amp; "," &amp; $D$4 &amp; "," &amp; $D$5 &amp; "," &amp; "AccountGroupCode" &amp; "," &amp; $C17 &amp; "," &amp; "AccountStructureCode" &amp; "," &amp; "AccountType" &amp; "," &amp; "BalanceType" &amp; "," &amp; $D$6 &amp; "," &amp; $D$7 &amp; ")", CellContents, 0)</f>
        <v>0</v>
      </c>
      <c r="L17" s="32">
        <f>CHOOSE(B, "-GLActualYTD(" &amp; $M$5 &amp; "," &amp; $D$3 &amp; "," &amp; $D$4 &amp; "," &amp; $D$5 &amp; "," &amp; "AccountGroupCode" &amp; "," &amp; $C17 &amp; "," &amp; "AccountStructureCode" &amp; "," &amp; "AccountType" &amp; "," &amp; "BalanceType" &amp; "," &amp; $D$6 &amp; "," &amp; $D$7 &amp; ")", CellContents, 0)</f>
        <v>0</v>
      </c>
      <c r="M17" s="32">
        <f>CHOOSE(B, "-GLActualYTD(" &amp; $M$6 &amp; "," &amp; $D$3 &amp; "," &amp; $D$4 &amp; "," &amp; $D$5 &amp; "," &amp; "AccountGroupCode" &amp; "," &amp; $C17 &amp; "," &amp; "AccountStructureCode" &amp; "," &amp; "AccountType" &amp; "," &amp; "BalanceType" &amp; "," &amp; $D$6 &amp; "," &amp; $D$7 &amp; ")", CellContents, 0)</f>
        <v>0</v>
      </c>
      <c r="N17" s="32">
        <f>CHOOSE(B, "-GLActualYTD(" &amp; $M$7 &amp; "," &amp; $D$3 &amp; "," &amp; $D$4 &amp; "," &amp; $D$5 &amp; "," &amp; "AccountGroupCode" &amp; "," &amp; $C17 &amp; "," &amp; "AccountStructureCode" &amp; "," &amp; "AccountType" &amp; "," &amp; "BalanceType" &amp; "," &amp; $D$6 &amp; "," &amp; $D$7 &amp; ")", CellContents, 0)</f>
        <v>0</v>
      </c>
    </row>
    <row r="18" spans="3:14" s="31" customFormat="1" x14ac:dyDescent="0.3">
      <c r="C18" s="40"/>
      <c r="D18" s="35" t="s">
        <v>97</v>
      </c>
      <c r="E18" s="47"/>
      <c r="F18" s="36">
        <f>SUM(F15:F17)</f>
        <v>2655</v>
      </c>
      <c r="G18" s="36">
        <f>SUM(G15:G17)</f>
        <v>3657</v>
      </c>
      <c r="H18" s="36">
        <f>SUM(H15:H17)</f>
        <v>765</v>
      </c>
      <c r="I18" s="36">
        <f>SUM(I15:I17)</f>
        <v>7822</v>
      </c>
      <c r="J18" s="46"/>
      <c r="K18" s="36">
        <f>SUM(K15:K17)</f>
        <v>2423</v>
      </c>
      <c r="L18" s="36">
        <f t="shared" ref="L18:M18" si="2">SUM(L15:L17)</f>
        <v>2935</v>
      </c>
      <c r="M18" s="36">
        <f t="shared" si="2"/>
        <v>1514</v>
      </c>
      <c r="N18" s="36">
        <f>SUM(N15:N17)</f>
        <v>1332</v>
      </c>
    </row>
    <row r="19" spans="3:14" s="31" customFormat="1" x14ac:dyDescent="0.3">
      <c r="C19" s="40"/>
      <c r="D19" s="41"/>
      <c r="E19" s="47"/>
      <c r="F19" s="32"/>
      <c r="G19" s="32"/>
      <c r="H19" s="32"/>
      <c r="I19" s="32"/>
      <c r="J19" s="46"/>
      <c r="K19" s="32"/>
      <c r="L19" s="32"/>
      <c r="M19" s="32"/>
      <c r="N19" s="32"/>
    </row>
    <row r="20" spans="3:14" s="31" customFormat="1" x14ac:dyDescent="0.3">
      <c r="C20" s="40">
        <f>170</f>
        <v>170</v>
      </c>
      <c r="D20" s="41" t="str">
        <f>MID("Other Expenses", 1, 255)</f>
        <v>Other Expenses</v>
      </c>
      <c r="E20" s="47"/>
      <c r="F20" s="32">
        <f>CHOOSE(B, "GLActualYTD(" &amp; $H$4 &amp; "," &amp; $D$3 &amp; "," &amp; $D$4 &amp; "," &amp; $D$5 &amp; "," &amp; "AccountGroupCode" &amp; "," &amp; $C20 &amp; "," &amp; "AccountStructureCode" &amp; "," &amp; "AccountType" &amp; "," &amp; "BalanceType" &amp; "," &amp; $D$6 &amp; "," &amp; $D$7 &amp; ")", CellContents, 0)</f>
        <v>0</v>
      </c>
      <c r="G20" s="32">
        <f>CHOOSE(B, "GLActualYTD(" &amp; $H$5 &amp; "," &amp; $D$3 &amp; "," &amp; $D$4 &amp; "," &amp; $D$5 &amp; "," &amp; "AccountGroupCode" &amp; "," &amp; $C$20 &amp; "," &amp; "AccountStructureCode" &amp; "," &amp; "AccountType" &amp; "," &amp; "BalanceType" &amp; "," &amp; $D$6 &amp; "," &amp; $D$7 &amp; ")", CellContents, 0)</f>
        <v>0</v>
      </c>
      <c r="H20" s="32">
        <f>CHOOSE(B, "GLActualYTD(" &amp; $H$6 &amp; "," &amp; $D$3 &amp; "," &amp; $D$4 &amp; "," &amp; $D$5 &amp; "," &amp; "AccountGroupCode" &amp; "," &amp; $C20 &amp; "," &amp; "AccountStructureCode" &amp; "," &amp; "AccountType" &amp; "," &amp; "BalanceType" &amp; "," &amp; $D$6 &amp; "," &amp; $D$7 &amp; ")", CellContents, 0)</f>
        <v>0</v>
      </c>
      <c r="I20" s="32">
        <f>CHOOSE(B, "GLActualYTD(" &amp; $H$7 &amp; "," &amp; $D$3 &amp; "," &amp; $D$4 &amp; "," &amp; $D$5 &amp; "," &amp; "AccountGroupCode" &amp; "," &amp; $C20 &amp; "," &amp; "AccountStructureCode" &amp; "," &amp; "AccountType" &amp; "," &amp; "BalanceType" &amp; "," &amp; $D$6 &amp; "," &amp; $D$7 &amp; ")", CellContents, 0)</f>
        <v>0</v>
      </c>
      <c r="J20" s="46"/>
      <c r="K20" s="32">
        <f>CHOOSE(B, "GLActualYTD(" &amp; $M$4 &amp; "," &amp; $D$3 &amp; "," &amp; $D$4 &amp; "," &amp; $D$5 &amp; "," &amp; "AccountGroupCode" &amp; "," &amp; $C20 &amp; "," &amp; "AccountStructureCode" &amp; "," &amp; "AccountType" &amp; "," &amp; "BalanceType" &amp; "," &amp; $D$6 &amp; "," &amp; $D$7 &amp; ")", CellContents, 0)</f>
        <v>0</v>
      </c>
      <c r="L20" s="32">
        <f>CHOOSE(B, "GLActualYTD(" &amp; $M$5 &amp; "," &amp; $D$3 &amp; "," &amp; $D$4 &amp; "," &amp; $D$5 &amp; "," &amp; "AccountGroupCode" &amp; "," &amp; $C20 &amp; "," &amp; "AccountStructureCode" &amp; "," &amp; "AccountType" &amp; "," &amp; "BalanceType" &amp; "," &amp; $D$6 &amp; "," &amp; $D$7 &amp; ")", CellContents, 0)</f>
        <v>0</v>
      </c>
      <c r="M20" s="32">
        <f>CHOOSE(B, "GLActualYTD(" &amp; $M$6 &amp; "," &amp; $D$3 &amp; "," &amp; $D$4 &amp; "," &amp; $D$5 &amp; "," &amp; "AccountGroupCode" &amp; "," &amp; $C20 &amp; "," &amp; "AccountStructureCode" &amp; "," &amp; "AccountType" &amp; "," &amp; "BalanceType" &amp; "," &amp; $D$6 &amp; "," &amp; $D$7 &amp; ")", CellContents, 0)</f>
        <v>0</v>
      </c>
      <c r="N20" s="32">
        <f>CHOOSE(B, "GLActualYTD(" &amp; $M$7 &amp; "," &amp; $D$3 &amp; "," &amp; $D$4 &amp; "," &amp; $D$5 &amp; "," &amp; "AccountGroupCode" &amp; "," &amp; $C20 &amp; "," &amp; "AccountStructureCode" &amp; "," &amp; "AccountType" &amp; "," &amp; "BalanceType" &amp; "," &amp; $D$6 &amp; "," &amp; $D$7 &amp; ")", CellContents, 0)</f>
        <v>0</v>
      </c>
    </row>
    <row r="21" spans="3:14" s="31" customFormat="1" x14ac:dyDescent="0.3">
      <c r="C21" s="40">
        <f>180</f>
        <v>180</v>
      </c>
      <c r="D21" s="41" t="str">
        <f>MID("Depreciation Expense", 1, 255)</f>
        <v>Depreciation Expense</v>
      </c>
      <c r="E21" s="47"/>
      <c r="F21" s="32">
        <f>CHOOSE(B, "GLActualYTD(" &amp; $H$4 &amp; "," &amp; $D$3 &amp; "," &amp; $D$4 &amp; "," &amp; $D$5 &amp; "," &amp; "AccountGroupCode" &amp; "," &amp; $C21 &amp; "," &amp; "AccountStructureCode" &amp; "," &amp; "AccountType" &amp; "," &amp; "BalanceType" &amp; "," &amp; $D$6 &amp; "," &amp; $D$7 &amp; ")", CellContents, 0)</f>
        <v>0</v>
      </c>
      <c r="G21" s="32">
        <f>CHOOSE(B, "GLActualYTD(" &amp; $H$5 &amp; "," &amp; $D$3 &amp; "," &amp; $D$4 &amp; "," &amp; $D$5 &amp; "," &amp; "AccountGroupCode" &amp; "," &amp; $C$21 &amp; "," &amp; "AccountStructureCode" &amp; "," &amp; "AccountType" &amp; "," &amp; "BalanceType" &amp; "," &amp; $D$6 &amp; "," &amp; $D$7 &amp; ")", CellContents, 0)</f>
        <v>0</v>
      </c>
      <c r="H21" s="32">
        <f>CHOOSE(B, "GLActualYTD(" &amp; $H$6 &amp; "," &amp; $D$3 &amp; "," &amp; $D$4 &amp; "," &amp; $D$5 &amp; "," &amp; "AccountGroupCode" &amp; "," &amp; $C21 &amp; "," &amp; "AccountStructureCode" &amp; "," &amp; "AccountType" &amp; "," &amp; "BalanceType" &amp; "," &amp; $D$6 &amp; "," &amp; $D$7 &amp; ")", CellContents, 0)</f>
        <v>0</v>
      </c>
      <c r="I21" s="32">
        <f>CHOOSE(B, "GLActualYTD(" &amp; $H$7 &amp; "," &amp; $D$3 &amp; "," &amp; $D$4 &amp; "," &amp; $D$5 &amp; "," &amp; "AccountGroupCode" &amp; "," &amp; $C21 &amp; "," &amp; "AccountStructureCode" &amp; "," &amp; "AccountType" &amp; "," &amp; "BalanceType" &amp; "," &amp; $D$6 &amp; "," &amp; $D$7 &amp; ")", CellContents, 0)</f>
        <v>0</v>
      </c>
      <c r="J21" s="46"/>
      <c r="K21" s="32">
        <f>CHOOSE(B, "GLActualYTD(" &amp; $M$4 &amp; "," &amp; $D$3 &amp; "," &amp; $D$4 &amp; "," &amp; $D$5 &amp; "," &amp; "AccountGroupCode" &amp; "," &amp; $C21 &amp; "," &amp; "AccountStructureCode" &amp; "," &amp; "AccountType" &amp; "," &amp; "BalanceType" &amp; "," &amp; $D$6 &amp; "," &amp; $D$7 &amp; ")", CellContents, 0)</f>
        <v>0</v>
      </c>
      <c r="L21" s="32">
        <f>CHOOSE(B, "GLActualYTD(" &amp; $M$5 &amp; "," &amp; $D$3 &amp; "," &amp; $D$4 &amp; "," &amp; $D$5 &amp; "," &amp; "AccountGroupCode" &amp; "," &amp; $C21 &amp; "," &amp; "AccountStructureCode" &amp; "," &amp; "AccountType" &amp; "," &amp; "BalanceType" &amp; "," &amp; $D$6 &amp; "," &amp; $D$7 &amp; ")", CellContents, 0)</f>
        <v>0</v>
      </c>
      <c r="M21" s="32">
        <f>CHOOSE(B, "GLActualYTD(" &amp; $M$6 &amp; "," &amp; $D$3 &amp; "," &amp; $D$4 &amp; "," &amp; $D$5 &amp; "," &amp; "AccountGroupCode" &amp; "," &amp; $C21 &amp; "," &amp; "AccountStructureCode" &amp; "," &amp; "AccountType" &amp; "," &amp; "BalanceType" &amp; "," &amp; $D$6 &amp; "," &amp; $D$7 &amp; ")", CellContents, 0)</f>
        <v>0</v>
      </c>
      <c r="N21" s="32">
        <f>CHOOSE(B, "GLActualYTD(" &amp; $M$7 &amp; "," &amp; $D$3 &amp; "," &amp; $D$4 &amp; "," &amp; $D$5 &amp; "," &amp; "AccountGroupCode" &amp; "," &amp; $C21 &amp; "," &amp; "AccountStructureCode" &amp; "," &amp; "AccountType" &amp; "," &amp; "BalanceType" &amp; "," &amp; $D$6 &amp; "," &amp; $D$7 &amp; ")", CellContents, 0)</f>
        <v>0</v>
      </c>
    </row>
    <row r="22" spans="3:14" s="31" customFormat="1" x14ac:dyDescent="0.3">
      <c r="C22" s="40">
        <f>190</f>
        <v>190</v>
      </c>
      <c r="D22" s="41" t="str">
        <f>MID("Gains and Losses", 1, 255)</f>
        <v>Gains and Losses</v>
      </c>
      <c r="E22" s="47"/>
      <c r="F22" s="32">
        <f>CHOOSE(B, "GLActualYTD(" &amp; $H$4 &amp; "," &amp; $D$3 &amp; "," &amp; $D$4 &amp; "," &amp; $D$5 &amp; "," &amp; "AccountGroupCode" &amp; "," &amp; $C22 &amp; "," &amp; "AccountStructureCode" &amp; "," &amp; "AccountType" &amp; "," &amp; "BalanceType" &amp; "," &amp; $D$6 &amp; "," &amp; $D$7 &amp; ")", CellContents, 0)</f>
        <v>0</v>
      </c>
      <c r="G22" s="32">
        <f>CHOOSE(B, "GLActualYTD(" &amp; $H$5 &amp; "," &amp; $D$3 &amp; "," &amp; $D$4 &amp; "," &amp; $D$5 &amp; "," &amp; "AccountGroupCode" &amp; "," &amp; $C$22 &amp; "," &amp; "AccountStructureCode" &amp; "," &amp; "AccountType" &amp; "," &amp; "BalanceType" &amp; "," &amp; $D$6 &amp; "," &amp; $D$7 &amp; ")", CellContents, 0)</f>
        <v>0</v>
      </c>
      <c r="H22" s="32">
        <f>CHOOSE(B, "GLActualYTD(" &amp; $H$6 &amp; "," &amp; $D$3 &amp; "," &amp; $D$4 &amp; "," &amp; $D$5 &amp; "," &amp; "AccountGroupCode" &amp; "," &amp; $C22 &amp; "," &amp; "AccountStructureCode" &amp; "," &amp; "AccountType" &amp; "," &amp; "BalanceType" &amp; "," &amp; $D$6 &amp; "," &amp; $D$7 &amp; ")", CellContents, 0)</f>
        <v>0</v>
      </c>
      <c r="I22" s="32">
        <f>CHOOSE(B, "GLActualYTD(" &amp; $H$7 &amp; "," &amp; $D$3 &amp; "," &amp; $D$4 &amp; "," &amp; $D$5 &amp; "," &amp; "AccountGroupCode" &amp; "," &amp; $C22 &amp; "," &amp; "AccountStructureCode" &amp; "," &amp; "AccountType" &amp; "," &amp; "BalanceType" &amp; "," &amp; $D$6 &amp; "," &amp; $D$7 &amp; ")", CellContents, 0)</f>
        <v>0</v>
      </c>
      <c r="J22" s="46"/>
      <c r="K22" s="32">
        <f>CHOOSE(B, "GLActualYTD(" &amp; $M$4 &amp; "," &amp; $D$3 &amp; "," &amp; $D$4 &amp; "," &amp; $D$5 &amp; "," &amp; "AccountGroupCode" &amp; "," &amp; $C22 &amp; "," &amp; "AccountStructureCode" &amp; "," &amp; "AccountType" &amp; "," &amp; "BalanceType" &amp; "," &amp; $D$6 &amp; "," &amp; $D$7 &amp; ")", CellContents, 0)</f>
        <v>0</v>
      </c>
      <c r="L22" s="32">
        <f>CHOOSE(B, "GLActualYTD(" &amp; $M$5 &amp; "," &amp; $D$3 &amp; "," &amp; $D$4 &amp; "," &amp; $D$5 &amp; "," &amp; "AccountGroupCode" &amp; "," &amp; $C22 &amp; "," &amp; "AccountStructureCode" &amp; "," &amp; "AccountType" &amp; "," &amp; "BalanceType" &amp; "," &amp; $D$6 &amp; "," &amp; $D$7 &amp; ")", CellContents, 0)</f>
        <v>0</v>
      </c>
      <c r="M22" s="32">
        <f>CHOOSE(B, "GLActualYTD(" &amp; $M$6 &amp; "," &amp; $D$3 &amp; "," &amp; $D$4 &amp; "," &amp; $D$5 &amp; "," &amp; "AccountGroupCode" &amp; "," &amp; $C22 &amp; "," &amp; "AccountStructureCode" &amp; "," &amp; "AccountType" &amp; "," &amp; "BalanceType" &amp; "," &amp; $D$6 &amp; "," &amp; $D$7 &amp; ")", CellContents, 0)</f>
        <v>0</v>
      </c>
      <c r="N22" s="32">
        <f>CHOOSE(B, "GLActualYTD(" &amp; $M$7 &amp; "," &amp; $D$3 &amp; "," &amp; $D$4 &amp; "," &amp; $D$5 &amp; "," &amp; "AccountGroupCode" &amp; "," &amp; $C22 &amp; "," &amp; "AccountStructureCode" &amp; "," &amp; "AccountType" &amp; "," &amp; "BalanceType" &amp; "," &amp; $D$6 &amp; "," &amp; $D$7 &amp; ")", CellContents, 0)</f>
        <v>0</v>
      </c>
    </row>
    <row r="23" spans="3:14" s="31" customFormat="1" x14ac:dyDescent="0.3">
      <c r="C23" s="40">
        <f>200</f>
        <v>200</v>
      </c>
      <c r="D23" s="41" t="str">
        <f>MID("Interest Expense", 1, 255)</f>
        <v>Interest Expense</v>
      </c>
      <c r="E23" s="47"/>
      <c r="F23" s="32">
        <f>CHOOSE(B, "GLActualYTD(" &amp; $H$4 &amp; "," &amp; $D$3 &amp; "," &amp; $D$4 &amp; "," &amp; $D$5 &amp; "," &amp; "AccountGroupCode" &amp; "," &amp; $C23 &amp; "," &amp; "AccountStructureCode" &amp; "," &amp; "AccountType" &amp; "," &amp; "BalanceType" &amp; "," &amp; $D$6 &amp; "," &amp; $D$7 &amp; ")", CellContents, 0)</f>
        <v>0</v>
      </c>
      <c r="G23" s="32">
        <f>CHOOSE(B, "GLActualYTD(" &amp; $H$5 &amp; "," &amp; $D$3 &amp; "," &amp; $D$4 &amp; "," &amp; $D$5 &amp; "," &amp; "AccountGroupCode" &amp; "," &amp; $C$23 &amp; "," &amp; "AccountStructureCode" &amp; "," &amp; "AccountType" &amp; "," &amp; "BalanceType" &amp; "," &amp; $D$6 &amp; "," &amp; $D$7 &amp; ")", CellContents, 0)</f>
        <v>0</v>
      </c>
      <c r="H23" s="32">
        <f>CHOOSE(B, "GLActualYTD(" &amp; $H$6 &amp; "," &amp; $D$3 &amp; "," &amp; $D$4 &amp; "," &amp; $D$5 &amp; "," &amp; "AccountGroupCode" &amp; "," &amp; $C23 &amp; "," &amp; "AccountStructureCode" &amp; "," &amp; "AccountType" &amp; "," &amp; "BalanceType" &amp; "," &amp; $D$6 &amp; "," &amp; $D$7 &amp; ")", CellContents, 0)</f>
        <v>0</v>
      </c>
      <c r="I23" s="32">
        <f>CHOOSE(B, "GLActualYTD(" &amp; $H$7 &amp; "," &amp; $D$3 &amp; "," &amp; $D$4 &amp; "," &amp; $D$5 &amp; "," &amp; "AccountGroupCode" &amp; "," &amp; $C23 &amp; "," &amp; "AccountStructureCode" &amp; "," &amp; "AccountType" &amp; "," &amp; "BalanceType" &amp; "," &amp; $D$6 &amp; "," &amp; $D$7 &amp; ")", CellContents, 0)</f>
        <v>0</v>
      </c>
      <c r="J23" s="46"/>
      <c r="K23" s="32">
        <f>CHOOSE(B, "GLActualYTD(" &amp; $M$4 &amp; "," &amp; $D$3 &amp; "," &amp; $D$4 &amp; "," &amp; $D$5 &amp; "," &amp; "AccountGroupCode" &amp; "," &amp; $C23 &amp; "," &amp; "AccountStructureCode" &amp; "," &amp; "AccountType" &amp; "," &amp; "BalanceType" &amp; "," &amp; $D$6 &amp; "," &amp; $D$7 &amp; ")", CellContents, 0)</f>
        <v>0</v>
      </c>
      <c r="L23" s="32">
        <f>CHOOSE(B, "GLActualYTD(" &amp; $M$5 &amp; "," &amp; $D$3 &amp; "," &amp; $D$4 &amp; "," &amp; $D$5 &amp; "," &amp; "AccountGroupCode" &amp; "," &amp; $C23 &amp; "," &amp; "AccountStructureCode" &amp; "," &amp; "AccountType" &amp; "," &amp; "BalanceType" &amp; "," &amp; $D$6 &amp; "," &amp; $D$7 &amp; ")", CellContents, 0)</f>
        <v>0</v>
      </c>
      <c r="M23" s="32">
        <f>CHOOSE(B, "GLActualYTD(" &amp; $M$6 &amp; "," &amp; $D$3 &amp; "," &amp; $D$4 &amp; "," &amp; $D$5 &amp; "," &amp; "AccountGroupCode" &amp; "," &amp; $C23 &amp; "," &amp; "AccountStructureCode" &amp; "," &amp; "AccountType" &amp; "," &amp; "BalanceType" &amp; "," &amp; $D$6 &amp; "," &amp; $D$7 &amp; ")", CellContents, 0)</f>
        <v>0</v>
      </c>
      <c r="N23" s="32">
        <f>CHOOSE(B, "GLActualYTD(" &amp; $M$7 &amp; "," &amp; $D$3 &amp; "," &amp; $D$4 &amp; "," &amp; $D$5 &amp; "," &amp; "AccountGroupCode" &amp; "," &amp; $C23 &amp; "," &amp; "AccountStructureCode" &amp; "," &amp; "AccountType" &amp; "," &amp; "BalanceType" &amp; "," &amp; $D$6 &amp; "," &amp; $D$7 &amp; ")", CellContents, 0)</f>
        <v>0</v>
      </c>
    </row>
    <row r="24" spans="3:14" s="31" customFormat="1" x14ac:dyDescent="0.3">
      <c r="C24" s="40">
        <f>210</f>
        <v>210</v>
      </c>
      <c r="D24" s="41" t="str">
        <f>MID("Income Taxes", 1, 255)</f>
        <v>Income Taxes</v>
      </c>
      <c r="E24" s="47"/>
      <c r="F24" s="32">
        <f>CHOOSE(B, "GLActualYTD(" &amp; $H$4 &amp; "," &amp; $D$3 &amp; "," &amp; $D$4 &amp; "," &amp; $D$5 &amp; "," &amp; "AccountGroupCode" &amp; "," &amp; $C24 &amp; "," &amp; "AccountStructureCode" &amp; "," &amp; "AccountType" &amp; "," &amp; "BalanceType" &amp; "," &amp; $D$6 &amp; "," &amp; $D$7 &amp; ")", CellContents, 0)</f>
        <v>0</v>
      </c>
      <c r="G24" s="32">
        <f>CHOOSE(B, "GLActualYTD(" &amp; $H$5 &amp; "," &amp; $D$3 &amp; "," &amp; $D$4 &amp; "," &amp; $D$5 &amp; "," &amp; "AccountGroupCode" &amp; "," &amp; $C$24 &amp; "," &amp; "AccountStructureCode" &amp; "," &amp; "AccountType" &amp; "," &amp; "BalanceType" &amp; "," &amp; $D$6 &amp; "," &amp; $D$7 &amp; ")", CellContents, 0)</f>
        <v>0</v>
      </c>
      <c r="H24" s="32">
        <f>CHOOSE(B, "GLActualYTD(" &amp; $H$6 &amp; "," &amp; $D$3 &amp; "," &amp; $D$4 &amp; "," &amp; $D$5 &amp; "," &amp; "AccountGroupCode" &amp; "," &amp; $C24 &amp; "," &amp; "AccountStructureCode" &amp; "," &amp; "AccountType" &amp; "," &amp; "BalanceType" &amp; "," &amp; $D$6 &amp; "," &amp; $D$7 &amp; ")", CellContents, 0)</f>
        <v>0</v>
      </c>
      <c r="I24" s="32">
        <f>CHOOSE(B, "GLActualYTD(" &amp; $H$7 &amp; "," &amp; $D$3 &amp; "," &amp; $D$4 &amp; "," &amp; $D$5 &amp; "," &amp; "AccountGroupCode" &amp; "," &amp; $C24 &amp; "," &amp; "AccountStructureCode" &amp; "," &amp; "AccountType" &amp; "," &amp; "BalanceType" &amp; "," &amp; $D$6 &amp; "," &amp; $D$7 &amp; ")", CellContents, 0)</f>
        <v>0</v>
      </c>
      <c r="J24" s="46"/>
      <c r="K24" s="32">
        <f>CHOOSE(B, "GLActualYTD(" &amp; $M$4 &amp; "," &amp; $D$3 &amp; "," &amp; $D$4 &amp; "," &amp; $D$5 &amp; "," &amp; "AccountGroupCode" &amp; "," &amp; $C24 &amp; "," &amp; "AccountStructureCode" &amp; "," &amp; "AccountType" &amp; "," &amp; "BalanceType" &amp; "," &amp; $D$6 &amp; "," &amp; $D$7 &amp; ")", CellContents, 0)</f>
        <v>0</v>
      </c>
      <c r="L24" s="32">
        <f>CHOOSE(B, "GLActualYTD(" &amp; $M$5 &amp; "," &amp; $D$3 &amp; "," &amp; $D$4 &amp; "," &amp; $D$5 &amp; "," &amp; "AccountGroupCode" &amp; "," &amp; $C24 &amp; "," &amp; "AccountStructureCode" &amp; "," &amp; "AccountType" &amp; "," &amp; "BalanceType" &amp; "," &amp; $D$6 &amp; "," &amp; $D$7 &amp; ")", CellContents, 0)</f>
        <v>0</v>
      </c>
      <c r="M24" s="32">
        <f>CHOOSE(B, "GLActualYTD(" &amp; $M$6 &amp; "," &amp; $D$3 &amp; "," &amp; $D$4 &amp; "," &amp; $D$5 &amp; "," &amp; "AccountGroupCode" &amp; "," &amp; $C24 &amp; "," &amp; "AccountStructureCode" &amp; "," &amp; "AccountType" &amp; "," &amp; "BalanceType" &amp; "," &amp; $D$6 &amp; "," &amp; $D$7 &amp; ")", CellContents, 0)</f>
        <v>0</v>
      </c>
      <c r="N24" s="32">
        <f>CHOOSE(B, "GLActualYTD(" &amp; $M$7 &amp; "," &amp; $D$3 &amp; "," &amp; $D$4 &amp; "," &amp; $D$5 &amp; "," &amp; "AccountGroupCode" &amp; "," &amp; $C24 &amp; "," &amp; "AccountStructureCode" &amp; "," &amp; "AccountType" &amp; "," &amp; "BalanceType" &amp; "," &amp; $D$6 &amp; "," &amp; $D$7 &amp; ")", CellContents, 0)</f>
        <v>0</v>
      </c>
    </row>
    <row r="25" spans="3:14" s="31" customFormat="1" x14ac:dyDescent="0.3">
      <c r="C25" s="40"/>
      <c r="D25" s="35" t="s">
        <v>11</v>
      </c>
      <c r="E25" s="47"/>
      <c r="F25" s="43">
        <f>SUM(F18)-SUM(F20:F24)</f>
        <v>2655</v>
      </c>
      <c r="G25" s="43">
        <f>SUM(G18)-SUM(G20:G24)</f>
        <v>3657</v>
      </c>
      <c r="H25" s="43">
        <f t="shared" ref="H25" si="3">SUM(H18)-SUM(H20:H24)</f>
        <v>765</v>
      </c>
      <c r="I25" s="43">
        <f>SUM(I18)-SUM(I20:I24)</f>
        <v>7822</v>
      </c>
      <c r="J25" s="46"/>
      <c r="K25" s="43">
        <f>SUM(K18)-SUM(K20:K24)</f>
        <v>2423</v>
      </c>
      <c r="L25" s="43">
        <f t="shared" ref="L25" si="4">SUM(L18)-SUM(L20:L24)</f>
        <v>2935</v>
      </c>
      <c r="M25" s="43">
        <f t="shared" ref="M25" si="5">SUM(M18)-SUM(M20:M24)</f>
        <v>1514</v>
      </c>
      <c r="N25" s="43">
        <f>SUM(N18)-SUM(N20:N24)</f>
        <v>1332</v>
      </c>
    </row>
    <row r="26" spans="3:14" s="31" customFormat="1" x14ac:dyDescent="0.3">
      <c r="C26" s="64"/>
      <c r="D26" s="65"/>
      <c r="E26" s="47"/>
      <c r="F26" s="37"/>
      <c r="G26" s="37"/>
      <c r="H26" s="37"/>
      <c r="I26" s="37"/>
      <c r="J26" s="46"/>
      <c r="K26" s="37"/>
      <c r="L26" s="37"/>
      <c r="M26" s="37"/>
      <c r="N26" s="37"/>
    </row>
    <row r="27" spans="3:14" s="31" customFormat="1" x14ac:dyDescent="0.3">
      <c r="C27" s="17"/>
      <c r="J27" s="12"/>
    </row>
    <row r="28" spans="3:14" s="31" customFormat="1" x14ac:dyDescent="0.3">
      <c r="C28" s="17"/>
      <c r="J28" s="12"/>
    </row>
    <row r="29" spans="3:14" s="31" customFormat="1" x14ac:dyDescent="0.3">
      <c r="C29" s="17"/>
      <c r="J29" s="12"/>
    </row>
    <row r="30" spans="3:14" s="31" customFormat="1" x14ac:dyDescent="0.3">
      <c r="C30" s="17"/>
      <c r="J30" s="12"/>
    </row>
    <row r="31" spans="3:14" x14ac:dyDescent="0.3">
      <c r="C31" s="45"/>
    </row>
    <row r="32" spans="3:14" x14ac:dyDescent="0.3">
      <c r="C32" s="45"/>
    </row>
  </sheetData>
  <mergeCells count="7">
    <mergeCell ref="P2:S5"/>
    <mergeCell ref="C9:C11"/>
    <mergeCell ref="D9:D11"/>
    <mergeCell ref="F9:I9"/>
    <mergeCell ref="K9:N9"/>
    <mergeCell ref="F10:I10"/>
    <mergeCell ref="K10:N10"/>
  </mergeCells>
  <dataValidations count="3">
    <dataValidation type="list" allowBlank="1" showInputMessage="1" showErrorMessage="1" sqref="D3">
      <formula1>CompaniesTemplate</formula1>
    </dataValidation>
    <dataValidation type="list" allowBlank="1" showInputMessage="1" sqref="D4">
      <formula1>FiscalYearsTemplate</formula1>
    </dataValidation>
    <dataValidation type="list" allowBlank="1" showInputMessage="1" showErrorMessage="1" sqref="D5">
      <formula1>Periods</formula1>
    </dataValidation>
  </dataValidations>
  <hyperlinks>
    <hyperlink ref="B2" location="Home!A1" tooltip="Click to navigate to the Home sheet." display="ß"/>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outlinePr summaryBelow="0"/>
  </sheetPr>
  <dimension ref="B1:O211"/>
  <sheetViews>
    <sheetView showGridLines="0" zoomScale="90" zoomScaleNormal="90" workbookViewId="0"/>
  </sheetViews>
  <sheetFormatPr defaultRowHeight="16.5" x14ac:dyDescent="0.3"/>
  <cols>
    <col min="1" max="1" width="2.85546875" style="12" customWidth="1"/>
    <col min="2" max="2" width="7.28515625" style="11" customWidth="1"/>
    <col min="3" max="3" width="45" style="12" customWidth="1"/>
    <col min="4" max="4" width="9.140625" style="12" customWidth="1"/>
    <col min="5" max="5" width="0.7109375" customWidth="1"/>
    <col min="6" max="6" width="17.5703125" style="12" bestFit="1" customWidth="1"/>
    <col min="7" max="7" width="1.85546875" style="12" customWidth="1"/>
    <col min="8" max="11" width="13.85546875" style="12" customWidth="1"/>
    <col min="12" max="12" width="1.85546875" style="12" customWidth="1"/>
    <col min="13" max="14" width="14" style="12" bestFit="1" customWidth="1"/>
    <col min="15" max="15" width="9.140625" style="12"/>
    <col min="16" max="16" width="13.42578125" style="12" bestFit="1" customWidth="1"/>
    <col min="17" max="16384" width="9.140625" style="12"/>
  </cols>
  <sheetData>
    <row r="1" spans="2:15" ht="15" customHeight="1" x14ac:dyDescent="0.3"/>
    <row r="2" spans="2:15" ht="33.75" customHeight="1" x14ac:dyDescent="0.7">
      <c r="B2" s="91" t="s">
        <v>154</v>
      </c>
      <c r="C2" s="13" t="str">
        <f>CONCATENATE(F3," Balance Sheet")</f>
        <v>0 Balance Sheet</v>
      </c>
      <c r="D2" s="13"/>
    </row>
    <row r="3" spans="2:15" ht="16.5" customHeight="1" x14ac:dyDescent="0.3">
      <c r="C3" s="14" t="s">
        <v>26</v>
      </c>
      <c r="D3" s="14"/>
      <c r="F3" s="68">
        <f>INDEX(Companies,1)</f>
        <v>0</v>
      </c>
      <c r="H3" s="128" t="s">
        <v>170</v>
      </c>
      <c r="I3" s="128"/>
      <c r="J3" s="128"/>
      <c r="K3" s="128"/>
      <c r="L3" s="128"/>
      <c r="M3" s="128"/>
      <c r="N3" s="128"/>
    </row>
    <row r="4" spans="2:15" x14ac:dyDescent="0.3">
      <c r="C4" s="14" t="s">
        <v>56</v>
      </c>
      <c r="D4" s="14"/>
      <c r="F4" s="68">
        <f>CHOOSE(B, "GLCurrentYear(" &amp; $F$3 &amp; ")", CellContents, 2020)</f>
        <v>2020</v>
      </c>
      <c r="H4" s="128"/>
      <c r="I4" s="128"/>
      <c r="J4" s="128"/>
      <c r="K4" s="128"/>
      <c r="L4" s="128"/>
      <c r="M4" s="128"/>
      <c r="N4" s="128"/>
    </row>
    <row r="5" spans="2:15" x14ac:dyDescent="0.3">
      <c r="C5" s="14" t="s">
        <v>25</v>
      </c>
      <c r="D5" s="14"/>
      <c r="F5" s="78">
        <f>CHOOSE(B, "GLCurrentPeriod(" &amp; $F$3 &amp; ")", CellContents, 1)</f>
        <v>1</v>
      </c>
      <c r="H5" s="128"/>
      <c r="I5" s="128"/>
      <c r="J5" s="128"/>
      <c r="K5" s="128"/>
      <c r="L5" s="128"/>
      <c r="M5" s="128"/>
      <c r="N5" s="128"/>
    </row>
    <row r="6" spans="2:15" x14ac:dyDescent="0.3">
      <c r="C6" s="14" t="s">
        <v>27</v>
      </c>
      <c r="D6" s="14"/>
      <c r="F6" s="78" t="str">
        <f>CHOOSE(B, "GLHomeCurrency(" &amp; $F$3 &amp; ")", CellContents, "CAD")</f>
        <v>CAD</v>
      </c>
      <c r="H6" s="128"/>
      <c r="I6" s="128"/>
      <c r="J6" s="128"/>
      <c r="K6" s="128"/>
      <c r="L6" s="128"/>
      <c r="M6" s="128"/>
      <c r="N6" s="128"/>
    </row>
    <row r="7" spans="2:15" x14ac:dyDescent="0.3">
      <c r="C7" s="14" t="s">
        <v>28</v>
      </c>
      <c r="D7" s="14"/>
      <c r="F7" s="78" t="s">
        <v>29</v>
      </c>
    </row>
    <row r="8" spans="2:15" ht="7.5" customHeight="1" x14ac:dyDescent="0.3">
      <c r="F8" s="16"/>
      <c r="G8" s="17"/>
    </row>
    <row r="9" spans="2:15" ht="33" x14ac:dyDescent="0.3">
      <c r="B9" s="130" t="s">
        <v>181</v>
      </c>
      <c r="C9" s="135" t="s">
        <v>12</v>
      </c>
      <c r="D9" s="136" t="s">
        <v>182</v>
      </c>
      <c r="F9" s="108" t="s">
        <v>13</v>
      </c>
      <c r="G9" s="21"/>
      <c r="H9" s="108" t="s">
        <v>57</v>
      </c>
      <c r="I9" s="108" t="s">
        <v>58</v>
      </c>
      <c r="J9" s="108" t="s">
        <v>59</v>
      </c>
      <c r="K9" s="108" t="s">
        <v>60</v>
      </c>
      <c r="L9" s="21"/>
      <c r="M9" s="22" t="s">
        <v>61</v>
      </c>
      <c r="N9" s="22" t="s">
        <v>8</v>
      </c>
      <c r="O9" s="23"/>
    </row>
    <row r="10" spans="2:15" x14ac:dyDescent="0.3">
      <c r="B10" s="130"/>
      <c r="C10" s="135"/>
      <c r="D10" s="136"/>
      <c r="F10" s="108"/>
      <c r="G10" s="21"/>
      <c r="H10" s="24">
        <v>3</v>
      </c>
      <c r="I10" s="24">
        <v>6</v>
      </c>
      <c r="J10" s="24">
        <v>9</v>
      </c>
      <c r="K10" s="24">
        <v>12</v>
      </c>
      <c r="L10" s="21"/>
      <c r="M10" s="24" t="s">
        <v>62</v>
      </c>
      <c r="N10" s="24"/>
      <c r="O10" s="23"/>
    </row>
    <row r="11" spans="2:15" ht="7.5" customHeight="1" x14ac:dyDescent="0.3"/>
    <row r="12" spans="2:15" s="31" customFormat="1" x14ac:dyDescent="0.3">
      <c r="B12" s="28">
        <v>1500</v>
      </c>
      <c r="C12" s="29" t="s">
        <v>37</v>
      </c>
      <c r="D12" s="29" t="s">
        <v>30</v>
      </c>
      <c r="E12"/>
      <c r="F12" s="32">
        <f>CHOOSE(B, "GLOpeningBalance(" &amp; $B12 &amp; "," &amp; $F$3 &amp; "," &amp; $F$4 &amp; "," &amp; "AccountGroupCode" &amp; "," &amp; "AccountCategoryCode" &amp; "," &amp; $D12 &amp; "," &amp; "AccountType" &amp; "," &amp; "BalanceType" &amp; "," &amp; $F$6 &amp; "," &amp; $F$7 &amp; ")", CellContents, 102996,25)</f>
        <v>102996</v>
      </c>
      <c r="G12" s="32"/>
      <c r="H12" s="32">
        <f>CHOOSE(B, "GLClosingBalance(" &amp; $B12 &amp; "," &amp; $F$3 &amp; "," &amp; $F$4 &amp; "," &amp; H$10 &amp; "," &amp; "AccountGroupCode" &amp; "," &amp; "AccountCategoryCode" &amp; "," &amp; $D12 &amp; "," &amp; "AccountType" &amp; "," &amp; "BalanceType" &amp; "," &amp; $F$6 &amp; "," &amp; $F$7 &amp; ")", CellContents, 102996,25)</f>
        <v>102996</v>
      </c>
      <c r="I12" s="32">
        <f>CHOOSE(B, "GLClosingBalance(" &amp; $B12 &amp; "," &amp; $F$3 &amp; "," &amp; $F$4 &amp; "," &amp; I$10 &amp; "," &amp; "AccountGroupCode" &amp; "," &amp; "AccountCategoryCode" &amp; "," &amp; $D12 &amp; "," &amp; "AccountType" &amp; "," &amp; "BalanceType" &amp; "," &amp; $F$6 &amp; "," &amp; $F$7 &amp; ")", CellContents, 702996,25)</f>
        <v>702996</v>
      </c>
      <c r="J12" s="32">
        <f>CHOOSE(B, "GLClosingBalance(" &amp; $B12 &amp; "," &amp; $F$3 &amp; "," &amp; $F$4 &amp; "," &amp; J$10 &amp; "," &amp; "AccountGroupCode" &amp; "," &amp; "AccountCategoryCode" &amp; "," &amp; $D12 &amp; "," &amp; "AccountType" &amp; "," &amp; "BalanceType" &amp; "," &amp; $F$6 &amp; "," &amp; $F$7 &amp; ")", CellContents, 702996,25)</f>
        <v>702996</v>
      </c>
      <c r="K12" s="32">
        <f>CHOOSE(B, "GLClosingBalance(" &amp; $B12 &amp; "," &amp; $F$3 &amp; "," &amp; $F$4 &amp; "," &amp; K$10 &amp; "," &amp; "AccountGroupCode" &amp; "," &amp; "AccountCategoryCode" &amp; "," &amp; $D12 &amp; "," &amp; "AccountType" &amp; "," &amp; "BalanceType" &amp; "," &amp; $F$6 &amp; "," &amp; $F$7 &amp; ")", CellContents, 702996,25)</f>
        <v>702996</v>
      </c>
      <c r="L12" s="32"/>
      <c r="M12" s="32">
        <f>CHOOSE(B, "GLActual(" &amp; $B12 &amp; "," &amp; $F$3 &amp; "," &amp; $F$4 &amp; "," &amp; $F$5 &amp; "," &amp; "AccountGroupCode" &amp; "," &amp; "AccountCategoryCode" &amp; "," &amp; $D12 &amp; "," &amp; "AccountType" &amp; "," &amp; "BalanceType" &amp; "," &amp; $F$6 &amp; "," &amp; $F$7 &amp; ")", CellContents, 0)</f>
        <v>0</v>
      </c>
      <c r="N12" s="32">
        <f>CHOOSE(B, "GLActualYTD(" &amp; $B12 &amp; "," &amp; $F$3 &amp; "," &amp; $F$4 &amp; "," &amp; $F$5 &amp; "," &amp; "AccountGroupCode" &amp; "," &amp; "AccountCategoryCode" &amp; "," &amp; $D12 &amp; "," &amp; "AccountType" &amp; "," &amp; "BalanceType" &amp; "," &amp; $F$6 &amp; "," &amp; $F$7 &amp; ")", CellContents, 0)</f>
        <v>0</v>
      </c>
      <c r="O12" s="29"/>
    </row>
    <row r="13" spans="2:15" s="31" customFormat="1" x14ac:dyDescent="0.3">
      <c r="B13" s="28"/>
      <c r="C13" s="29"/>
      <c r="D13" s="29"/>
      <c r="E13"/>
      <c r="F13" s="30"/>
      <c r="G13" s="30"/>
      <c r="H13" s="30"/>
      <c r="I13" s="30"/>
      <c r="J13" s="30"/>
      <c r="K13" s="30"/>
      <c r="L13" s="30"/>
      <c r="M13" s="30"/>
      <c r="N13" s="30"/>
      <c r="O13" s="29"/>
    </row>
    <row r="14" spans="2:15" s="31" customFormat="1" x14ac:dyDescent="0.3">
      <c r="B14" s="28"/>
      <c r="C14" s="29"/>
      <c r="D14" s="29"/>
      <c r="E14"/>
      <c r="F14" s="30"/>
      <c r="G14" s="30"/>
      <c r="H14" s="30"/>
      <c r="I14" s="30"/>
      <c r="J14" s="30"/>
      <c r="K14" s="30"/>
      <c r="L14" s="30"/>
      <c r="M14" s="30"/>
      <c r="N14" s="30"/>
      <c r="O14" s="29"/>
    </row>
    <row r="15" spans="2:15" s="31" customFormat="1" x14ac:dyDescent="0.3">
      <c r="B15" s="28"/>
      <c r="C15" s="29"/>
      <c r="D15" s="29"/>
      <c r="E15"/>
      <c r="F15" s="30"/>
      <c r="G15" s="30"/>
      <c r="H15" s="30"/>
      <c r="I15" s="30"/>
      <c r="J15" s="30"/>
      <c r="K15" s="30"/>
      <c r="L15" s="30"/>
      <c r="M15" s="30"/>
      <c r="N15" s="30"/>
      <c r="O15" s="29"/>
    </row>
    <row r="16" spans="2:15" s="31" customFormat="1" x14ac:dyDescent="0.3">
      <c r="B16" s="28"/>
      <c r="C16" s="29"/>
      <c r="D16" s="29"/>
      <c r="E16"/>
      <c r="F16" s="30"/>
      <c r="G16" s="30"/>
      <c r="H16" s="30"/>
      <c r="I16" s="30"/>
      <c r="J16" s="30"/>
      <c r="K16" s="30"/>
      <c r="L16" s="30"/>
      <c r="M16" s="30"/>
      <c r="N16" s="30"/>
      <c r="O16" s="29"/>
    </row>
    <row r="17" spans="2:15" s="31" customFormat="1" x14ac:dyDescent="0.3">
      <c r="B17" s="28"/>
      <c r="C17" s="29"/>
      <c r="D17" s="29"/>
      <c r="E17"/>
      <c r="F17" s="30"/>
      <c r="G17" s="30"/>
      <c r="H17" s="30"/>
      <c r="I17" s="30"/>
      <c r="J17" s="30"/>
      <c r="K17" s="30"/>
      <c r="L17" s="30"/>
      <c r="M17" s="30"/>
      <c r="N17" s="30"/>
      <c r="O17" s="29"/>
    </row>
    <row r="18" spans="2:15" s="31" customFormat="1" x14ac:dyDescent="0.3">
      <c r="B18" s="28"/>
      <c r="C18" s="29"/>
      <c r="D18" s="29"/>
      <c r="E18"/>
      <c r="F18" s="30"/>
      <c r="G18" s="30"/>
      <c r="H18" s="30"/>
      <c r="I18" s="30"/>
      <c r="J18" s="30"/>
      <c r="K18" s="30"/>
      <c r="L18" s="30"/>
      <c r="M18" s="30"/>
      <c r="N18" s="30"/>
      <c r="O18" s="29"/>
    </row>
    <row r="19" spans="2:15" s="31" customFormat="1" x14ac:dyDescent="0.3">
      <c r="B19" s="28"/>
      <c r="C19" s="29"/>
      <c r="D19" s="29"/>
      <c r="E19"/>
      <c r="F19" s="30"/>
      <c r="G19" s="30"/>
      <c r="H19" s="30"/>
      <c r="I19" s="30"/>
      <c r="J19" s="30"/>
      <c r="K19" s="30"/>
      <c r="L19" s="30"/>
      <c r="M19" s="30"/>
      <c r="N19" s="30"/>
      <c r="O19" s="29"/>
    </row>
    <row r="20" spans="2:15" s="31" customFormat="1" x14ac:dyDescent="0.3">
      <c r="B20" s="28"/>
      <c r="C20" s="29"/>
      <c r="D20" s="29"/>
      <c r="E20"/>
      <c r="F20" s="30"/>
      <c r="G20" s="30"/>
      <c r="H20" s="30"/>
      <c r="I20" s="30"/>
      <c r="J20" s="30"/>
      <c r="K20" s="30"/>
      <c r="L20" s="30"/>
      <c r="M20" s="30"/>
      <c r="N20" s="30"/>
      <c r="O20" s="29"/>
    </row>
    <row r="21" spans="2:15" s="31" customFormat="1" x14ac:dyDescent="0.3">
      <c r="B21" s="28"/>
      <c r="C21" s="29"/>
      <c r="D21" s="29"/>
      <c r="E21"/>
      <c r="F21" s="30"/>
      <c r="G21" s="30"/>
      <c r="H21" s="30"/>
      <c r="I21" s="30"/>
      <c r="J21" s="30"/>
      <c r="K21" s="30"/>
      <c r="L21" s="30"/>
      <c r="M21" s="30"/>
      <c r="N21" s="30"/>
      <c r="O21" s="29"/>
    </row>
    <row r="22" spans="2:15" s="31" customFormat="1" x14ac:dyDescent="0.3">
      <c r="B22" s="28"/>
      <c r="C22" s="29"/>
      <c r="D22" s="29"/>
      <c r="E22"/>
      <c r="F22" s="30"/>
      <c r="G22" s="30"/>
      <c r="H22" s="30"/>
      <c r="I22" s="30"/>
      <c r="J22" s="30"/>
      <c r="K22" s="30"/>
      <c r="L22" s="30"/>
      <c r="M22" s="30"/>
      <c r="N22" s="30"/>
      <c r="O22" s="29"/>
    </row>
    <row r="23" spans="2:15" s="31" customFormat="1" x14ac:dyDescent="0.3">
      <c r="B23" s="28"/>
      <c r="C23" s="29"/>
      <c r="D23" s="29"/>
      <c r="E23"/>
      <c r="F23" s="30"/>
      <c r="G23" s="30"/>
      <c r="H23" s="30"/>
      <c r="I23" s="30"/>
      <c r="J23" s="30"/>
      <c r="K23" s="30"/>
      <c r="L23" s="30"/>
      <c r="M23" s="30"/>
      <c r="N23" s="30"/>
      <c r="O23" s="29"/>
    </row>
    <row r="24" spans="2:15" s="31" customFormat="1" x14ac:dyDescent="0.3">
      <c r="B24" s="28"/>
      <c r="C24" s="29"/>
      <c r="D24" s="29"/>
      <c r="E24"/>
      <c r="F24" s="30"/>
      <c r="G24" s="30"/>
      <c r="H24" s="30"/>
      <c r="I24" s="30"/>
      <c r="J24" s="30"/>
      <c r="K24" s="30"/>
      <c r="L24" s="30"/>
      <c r="M24" s="30"/>
      <c r="N24" s="30"/>
      <c r="O24" s="29"/>
    </row>
    <row r="25" spans="2:15" s="31" customFormat="1" x14ac:dyDescent="0.3">
      <c r="B25" s="28"/>
      <c r="C25" s="29"/>
      <c r="D25" s="29"/>
      <c r="E25"/>
      <c r="F25" s="30"/>
      <c r="G25" s="30"/>
      <c r="H25" s="30"/>
      <c r="I25" s="30"/>
      <c r="J25" s="30"/>
      <c r="K25" s="30"/>
      <c r="L25" s="30"/>
      <c r="M25" s="30"/>
      <c r="N25" s="30"/>
      <c r="O25" s="29"/>
    </row>
    <row r="26" spans="2:15" s="31" customFormat="1" x14ac:dyDescent="0.3">
      <c r="B26" s="28"/>
      <c r="C26" s="29"/>
      <c r="D26" s="29"/>
      <c r="E26"/>
      <c r="F26" s="30"/>
      <c r="G26" s="30"/>
      <c r="H26" s="30"/>
      <c r="I26" s="30"/>
      <c r="J26" s="30"/>
      <c r="K26" s="30"/>
      <c r="L26" s="30"/>
      <c r="M26" s="30"/>
      <c r="N26" s="30"/>
      <c r="O26" s="29"/>
    </row>
    <row r="27" spans="2:15" s="31" customFormat="1" x14ac:dyDescent="0.3">
      <c r="B27" s="28"/>
      <c r="C27" s="29"/>
      <c r="D27" s="29"/>
      <c r="E27"/>
      <c r="F27" s="30"/>
      <c r="G27" s="30"/>
      <c r="H27" s="30"/>
      <c r="I27" s="30"/>
      <c r="J27" s="30"/>
      <c r="K27" s="30"/>
      <c r="L27" s="30"/>
      <c r="M27" s="30"/>
      <c r="N27" s="30"/>
      <c r="O27" s="29"/>
    </row>
    <row r="28" spans="2:15" s="31" customFormat="1" x14ac:dyDescent="0.3">
      <c r="B28" s="28"/>
      <c r="C28" s="29"/>
      <c r="D28" s="29"/>
      <c r="E28"/>
      <c r="F28" s="30"/>
      <c r="G28" s="30"/>
      <c r="H28" s="30"/>
      <c r="I28" s="30"/>
      <c r="J28" s="30"/>
      <c r="K28" s="30"/>
      <c r="L28" s="30"/>
      <c r="M28" s="30"/>
      <c r="N28" s="30"/>
      <c r="O28" s="29"/>
    </row>
    <row r="29" spans="2:15" s="31" customFormat="1" x14ac:dyDescent="0.3">
      <c r="B29" s="28"/>
      <c r="C29" s="29"/>
      <c r="D29" s="29"/>
      <c r="E29"/>
      <c r="F29" s="30"/>
      <c r="G29" s="30"/>
      <c r="H29" s="30"/>
      <c r="I29" s="30"/>
      <c r="J29" s="30"/>
      <c r="K29" s="30"/>
      <c r="L29" s="30"/>
      <c r="M29" s="30"/>
      <c r="N29" s="30"/>
      <c r="O29" s="29"/>
    </row>
    <row r="30" spans="2:15" s="31" customFormat="1" x14ac:dyDescent="0.3">
      <c r="B30" s="28"/>
      <c r="C30" s="29"/>
      <c r="D30" s="29"/>
      <c r="E30"/>
      <c r="F30" s="30"/>
      <c r="G30" s="30"/>
      <c r="H30" s="30"/>
      <c r="I30" s="30"/>
      <c r="J30" s="30"/>
      <c r="K30" s="30"/>
      <c r="L30" s="30"/>
      <c r="M30" s="30"/>
      <c r="N30" s="30"/>
      <c r="O30" s="29"/>
    </row>
    <row r="31" spans="2:15" s="31" customFormat="1" x14ac:dyDescent="0.3">
      <c r="B31" s="28"/>
      <c r="C31" s="29"/>
      <c r="D31" s="29"/>
      <c r="E31"/>
      <c r="F31" s="30"/>
      <c r="G31" s="30"/>
      <c r="H31" s="30"/>
      <c r="I31" s="30"/>
      <c r="J31" s="30"/>
      <c r="K31" s="30"/>
      <c r="L31" s="30"/>
      <c r="M31" s="30"/>
      <c r="N31" s="30"/>
      <c r="O31" s="29"/>
    </row>
    <row r="32" spans="2:15" s="31" customFormat="1" x14ac:dyDescent="0.3">
      <c r="B32" s="28"/>
      <c r="C32" s="29"/>
      <c r="D32" s="29"/>
      <c r="E32"/>
      <c r="F32" s="29"/>
      <c r="G32" s="29"/>
      <c r="H32" s="29"/>
      <c r="I32" s="29"/>
      <c r="J32" s="29"/>
      <c r="K32" s="29"/>
      <c r="L32" s="29"/>
      <c r="M32" s="29"/>
      <c r="N32" s="29"/>
      <c r="O32" s="29"/>
    </row>
    <row r="33" spans="2:15" s="31" customFormat="1" x14ac:dyDescent="0.3">
      <c r="B33" s="28"/>
      <c r="C33" s="29"/>
      <c r="D33" s="29"/>
      <c r="E33"/>
      <c r="F33" s="29"/>
      <c r="G33" s="29"/>
      <c r="H33" s="29"/>
      <c r="I33" s="29"/>
      <c r="J33" s="29"/>
      <c r="K33" s="29"/>
      <c r="L33" s="29"/>
      <c r="M33" s="29"/>
      <c r="N33" s="29"/>
      <c r="O33" s="29"/>
    </row>
    <row r="34" spans="2:15" s="31" customFormat="1" x14ac:dyDescent="0.3">
      <c r="B34" s="28"/>
      <c r="C34" s="29"/>
      <c r="D34" s="29"/>
      <c r="E34"/>
      <c r="F34" s="29"/>
      <c r="G34" s="29"/>
      <c r="H34" s="29"/>
      <c r="I34" s="29"/>
      <c r="J34" s="29"/>
      <c r="K34" s="29"/>
      <c r="L34" s="29"/>
      <c r="M34" s="29"/>
      <c r="N34" s="29"/>
      <c r="O34" s="29"/>
    </row>
    <row r="35" spans="2:15" s="31" customFormat="1" x14ac:dyDescent="0.3">
      <c r="B35" s="28"/>
      <c r="C35" s="29"/>
      <c r="D35" s="29"/>
      <c r="E35"/>
      <c r="F35" s="29"/>
      <c r="G35" s="29"/>
      <c r="H35" s="29"/>
      <c r="I35" s="29"/>
      <c r="J35" s="29"/>
      <c r="K35" s="29"/>
      <c r="L35" s="29"/>
      <c r="M35" s="29"/>
      <c r="N35" s="29"/>
      <c r="O35" s="29"/>
    </row>
    <row r="36" spans="2:15" s="31" customFormat="1" x14ac:dyDescent="0.3">
      <c r="B36" s="28"/>
      <c r="C36" s="29"/>
      <c r="D36" s="29"/>
      <c r="E36"/>
      <c r="F36" s="29"/>
      <c r="G36" s="29"/>
      <c r="H36" s="29"/>
      <c r="I36" s="29"/>
      <c r="J36" s="29"/>
      <c r="K36" s="29"/>
      <c r="L36" s="29"/>
      <c r="M36" s="29"/>
      <c r="N36" s="29"/>
      <c r="O36" s="29"/>
    </row>
    <row r="37" spans="2:15" s="31" customFormat="1" x14ac:dyDescent="0.3">
      <c r="B37" s="28"/>
      <c r="C37" s="29"/>
      <c r="D37" s="29"/>
      <c r="E37"/>
      <c r="F37" s="29"/>
      <c r="G37" s="29"/>
      <c r="H37" s="29"/>
      <c r="I37" s="29"/>
      <c r="J37" s="29"/>
      <c r="K37" s="29"/>
      <c r="L37" s="29"/>
      <c r="M37" s="29"/>
      <c r="N37" s="29"/>
      <c r="O37" s="29"/>
    </row>
    <row r="38" spans="2:15" s="31" customFormat="1" x14ac:dyDescent="0.3">
      <c r="B38" s="28"/>
      <c r="C38" s="29"/>
      <c r="D38" s="29"/>
      <c r="E38"/>
      <c r="F38" s="29"/>
      <c r="G38" s="29"/>
      <c r="H38" s="29"/>
      <c r="I38" s="29"/>
      <c r="J38" s="29"/>
      <c r="K38" s="29"/>
      <c r="L38" s="29"/>
      <c r="M38" s="29"/>
      <c r="N38" s="29"/>
      <c r="O38" s="29"/>
    </row>
    <row r="39" spans="2:15" s="31" customFormat="1" x14ac:dyDescent="0.3">
      <c r="B39" s="28"/>
      <c r="C39" s="29"/>
      <c r="D39" s="29"/>
      <c r="E39"/>
      <c r="F39" s="29"/>
      <c r="G39" s="29"/>
      <c r="H39" s="29"/>
      <c r="I39" s="29"/>
      <c r="J39" s="29"/>
      <c r="K39" s="29"/>
      <c r="L39" s="29"/>
      <c r="M39" s="29"/>
      <c r="N39" s="29"/>
      <c r="O39" s="29"/>
    </row>
    <row r="40" spans="2:15" s="31" customFormat="1" x14ac:dyDescent="0.3">
      <c r="B40" s="28"/>
      <c r="C40" s="29"/>
      <c r="D40" s="29"/>
      <c r="E40"/>
      <c r="F40" s="29"/>
      <c r="G40" s="29"/>
      <c r="H40" s="29"/>
      <c r="I40" s="29"/>
      <c r="J40" s="29"/>
      <c r="K40" s="29"/>
      <c r="L40" s="29"/>
      <c r="M40" s="29"/>
      <c r="N40" s="29"/>
      <c r="O40" s="29"/>
    </row>
    <row r="41" spans="2:15" s="31" customFormat="1" x14ac:dyDescent="0.3">
      <c r="B41" s="28"/>
      <c r="C41" s="29"/>
      <c r="D41" s="29"/>
      <c r="E41"/>
      <c r="F41" s="29"/>
      <c r="G41" s="29"/>
      <c r="H41" s="29"/>
      <c r="I41" s="29"/>
      <c r="J41" s="29"/>
      <c r="K41" s="29"/>
      <c r="L41" s="29"/>
      <c r="M41" s="29"/>
      <c r="N41" s="29"/>
      <c r="O41" s="29"/>
    </row>
    <row r="42" spans="2:15" s="31" customFormat="1" x14ac:dyDescent="0.3">
      <c r="B42" s="28"/>
      <c r="C42" s="29"/>
      <c r="D42" s="29"/>
      <c r="E42"/>
      <c r="F42" s="29"/>
      <c r="G42" s="29"/>
      <c r="H42" s="29"/>
      <c r="I42" s="29"/>
      <c r="J42" s="29"/>
      <c r="K42" s="29"/>
      <c r="L42" s="29"/>
      <c r="M42" s="29"/>
      <c r="N42" s="29"/>
      <c r="O42" s="29"/>
    </row>
    <row r="43" spans="2:15" s="31" customFormat="1" x14ac:dyDescent="0.3">
      <c r="B43" s="28"/>
      <c r="C43" s="29"/>
      <c r="D43" s="29"/>
      <c r="E43"/>
      <c r="F43" s="29"/>
      <c r="G43" s="29"/>
      <c r="H43" s="29"/>
      <c r="I43" s="29"/>
      <c r="J43" s="29"/>
      <c r="K43" s="29"/>
      <c r="L43" s="29"/>
      <c r="M43" s="29"/>
      <c r="N43" s="29"/>
      <c r="O43" s="29"/>
    </row>
    <row r="44" spans="2:15" s="31" customFormat="1" x14ac:dyDescent="0.3">
      <c r="B44" s="28"/>
      <c r="C44" s="29"/>
      <c r="D44" s="29"/>
      <c r="E44"/>
      <c r="F44" s="29"/>
      <c r="G44" s="29"/>
      <c r="H44" s="29"/>
      <c r="I44" s="29"/>
      <c r="J44" s="29"/>
      <c r="K44" s="29"/>
      <c r="L44" s="29"/>
      <c r="M44" s="29"/>
      <c r="N44" s="29"/>
      <c r="O44" s="29"/>
    </row>
    <row r="45" spans="2:15" s="31" customFormat="1" x14ac:dyDescent="0.3">
      <c r="B45" s="28"/>
      <c r="C45" s="29"/>
      <c r="D45" s="29"/>
      <c r="E45"/>
      <c r="F45" s="29"/>
      <c r="G45" s="29"/>
      <c r="H45" s="29"/>
      <c r="I45" s="29"/>
      <c r="J45" s="29"/>
      <c r="K45" s="29"/>
      <c r="L45" s="29"/>
      <c r="M45" s="29"/>
      <c r="N45" s="29"/>
      <c r="O45" s="29"/>
    </row>
    <row r="46" spans="2:15" s="31" customFormat="1" x14ac:dyDescent="0.3">
      <c r="B46" s="28"/>
      <c r="C46" s="29"/>
      <c r="D46" s="29"/>
      <c r="E46"/>
      <c r="F46" s="29"/>
      <c r="G46" s="29"/>
      <c r="H46" s="29"/>
      <c r="I46" s="29"/>
      <c r="J46" s="29"/>
      <c r="K46" s="29"/>
      <c r="L46" s="29"/>
      <c r="M46" s="29"/>
      <c r="N46" s="29"/>
      <c r="O46" s="29"/>
    </row>
    <row r="47" spans="2:15" s="31" customFormat="1" x14ac:dyDescent="0.3">
      <c r="B47" s="28"/>
      <c r="C47" s="29"/>
      <c r="D47" s="29"/>
      <c r="E47"/>
      <c r="F47" s="29"/>
      <c r="G47" s="29"/>
      <c r="H47" s="29"/>
      <c r="I47" s="29"/>
      <c r="J47" s="29"/>
      <c r="K47" s="29"/>
      <c r="L47" s="29"/>
      <c r="M47" s="29"/>
      <c r="N47" s="29"/>
      <c r="O47" s="29"/>
    </row>
    <row r="48" spans="2:15" s="31" customFormat="1" x14ac:dyDescent="0.3">
      <c r="B48" s="28"/>
      <c r="C48" s="29"/>
      <c r="D48" s="29"/>
      <c r="E48"/>
      <c r="F48" s="29"/>
      <c r="G48" s="29"/>
      <c r="H48" s="29"/>
      <c r="I48" s="29"/>
      <c r="J48" s="29"/>
      <c r="K48" s="29"/>
      <c r="L48" s="29"/>
      <c r="M48" s="29"/>
      <c r="N48" s="29"/>
      <c r="O48" s="29"/>
    </row>
    <row r="49" spans="2:15" s="31" customFormat="1" x14ac:dyDescent="0.3">
      <c r="B49" s="28"/>
      <c r="C49" s="29"/>
      <c r="D49" s="29"/>
      <c r="E49"/>
      <c r="F49" s="29"/>
      <c r="G49" s="29"/>
      <c r="H49" s="29"/>
      <c r="I49" s="29"/>
      <c r="J49" s="29"/>
      <c r="K49" s="29"/>
      <c r="L49" s="29"/>
      <c r="M49" s="29"/>
      <c r="N49" s="29"/>
      <c r="O49" s="29"/>
    </row>
    <row r="50" spans="2:15" s="31" customFormat="1" x14ac:dyDescent="0.3">
      <c r="B50" s="28"/>
      <c r="C50" s="29"/>
      <c r="D50" s="29"/>
      <c r="E50"/>
      <c r="F50" s="29"/>
      <c r="G50" s="29"/>
      <c r="H50" s="29"/>
      <c r="I50" s="29"/>
      <c r="J50" s="29"/>
      <c r="K50" s="29"/>
      <c r="L50" s="29"/>
      <c r="M50" s="29"/>
      <c r="N50" s="29"/>
      <c r="O50" s="29"/>
    </row>
    <row r="51" spans="2:15" s="31" customFormat="1" x14ac:dyDescent="0.3">
      <c r="B51" s="28"/>
      <c r="C51" s="29"/>
      <c r="D51" s="29"/>
      <c r="E51"/>
      <c r="F51" s="29"/>
      <c r="G51" s="29"/>
      <c r="H51" s="29"/>
      <c r="I51" s="29"/>
      <c r="J51" s="29"/>
      <c r="K51" s="29"/>
      <c r="L51" s="29"/>
      <c r="M51" s="29"/>
      <c r="N51" s="29"/>
      <c r="O51" s="29"/>
    </row>
    <row r="52" spans="2:15" s="31" customFormat="1" x14ac:dyDescent="0.3">
      <c r="B52" s="28"/>
      <c r="C52" s="29"/>
      <c r="D52" s="29"/>
      <c r="E52"/>
      <c r="F52" s="29"/>
      <c r="G52" s="29"/>
      <c r="H52" s="29"/>
      <c r="I52" s="29"/>
      <c r="J52" s="29"/>
      <c r="K52" s="29"/>
      <c r="L52" s="29"/>
      <c r="M52" s="29"/>
      <c r="N52" s="29"/>
      <c r="O52" s="29"/>
    </row>
    <row r="53" spans="2:15" s="31" customFormat="1" x14ac:dyDescent="0.3">
      <c r="B53" s="28"/>
      <c r="C53" s="29"/>
      <c r="D53" s="29"/>
      <c r="E53"/>
      <c r="F53" s="29"/>
      <c r="G53" s="29"/>
      <c r="H53" s="29"/>
      <c r="I53" s="29"/>
      <c r="J53" s="29"/>
      <c r="K53" s="29"/>
      <c r="L53" s="29"/>
      <c r="M53" s="29"/>
      <c r="N53" s="29"/>
      <c r="O53" s="29"/>
    </row>
    <row r="54" spans="2:15" s="31" customFormat="1" x14ac:dyDescent="0.3">
      <c r="B54" s="28"/>
      <c r="C54" s="29"/>
      <c r="D54" s="29"/>
      <c r="E54"/>
      <c r="F54" s="29"/>
      <c r="G54" s="29"/>
      <c r="H54" s="29"/>
      <c r="I54" s="29"/>
      <c r="J54" s="29"/>
      <c r="K54" s="29"/>
      <c r="L54" s="29"/>
      <c r="M54" s="29"/>
      <c r="N54" s="29"/>
      <c r="O54" s="29"/>
    </row>
    <row r="55" spans="2:15" s="31" customFormat="1" x14ac:dyDescent="0.3">
      <c r="B55" s="28"/>
      <c r="C55" s="29"/>
      <c r="D55" s="29"/>
      <c r="E55"/>
      <c r="F55" s="29"/>
      <c r="G55" s="29"/>
      <c r="H55" s="29"/>
      <c r="I55" s="29"/>
      <c r="J55" s="29"/>
      <c r="K55" s="29"/>
      <c r="L55" s="29"/>
      <c r="M55" s="29"/>
      <c r="N55" s="29"/>
      <c r="O55" s="29"/>
    </row>
    <row r="56" spans="2:15" s="31" customFormat="1" x14ac:dyDescent="0.3">
      <c r="B56" s="28"/>
      <c r="C56" s="29"/>
      <c r="D56" s="29"/>
      <c r="E56"/>
      <c r="F56" s="29"/>
      <c r="G56" s="29"/>
      <c r="H56" s="29"/>
      <c r="I56" s="29"/>
      <c r="J56" s="29"/>
      <c r="K56" s="29"/>
      <c r="L56" s="29"/>
      <c r="M56" s="29"/>
      <c r="N56" s="29"/>
      <c r="O56" s="29"/>
    </row>
    <row r="57" spans="2:15" s="31" customFormat="1" x14ac:dyDescent="0.3">
      <c r="B57" s="28"/>
      <c r="C57" s="29"/>
      <c r="D57" s="29"/>
      <c r="E57"/>
      <c r="F57" s="29"/>
      <c r="G57" s="29"/>
      <c r="H57" s="29"/>
      <c r="I57" s="29"/>
      <c r="J57" s="29"/>
      <c r="K57" s="29"/>
      <c r="L57" s="29"/>
      <c r="M57" s="29"/>
      <c r="N57" s="29"/>
      <c r="O57" s="29"/>
    </row>
    <row r="58" spans="2:15" s="31" customFormat="1" x14ac:dyDescent="0.3">
      <c r="B58" s="28"/>
      <c r="C58" s="29"/>
      <c r="D58" s="29"/>
      <c r="E58"/>
      <c r="F58" s="29"/>
      <c r="G58" s="29"/>
      <c r="H58" s="29"/>
      <c r="I58" s="29"/>
      <c r="J58" s="29"/>
      <c r="K58" s="29"/>
      <c r="L58" s="29"/>
      <c r="M58" s="29"/>
      <c r="N58" s="29"/>
      <c r="O58" s="29"/>
    </row>
    <row r="59" spans="2:15" s="31" customFormat="1" x14ac:dyDescent="0.3">
      <c r="B59" s="28"/>
      <c r="C59" s="29"/>
      <c r="D59" s="29"/>
      <c r="E59"/>
      <c r="F59" s="29"/>
      <c r="G59" s="29"/>
      <c r="H59" s="29"/>
      <c r="I59" s="29"/>
      <c r="J59" s="29"/>
      <c r="K59" s="29"/>
      <c r="L59" s="29"/>
      <c r="M59" s="29"/>
      <c r="N59" s="29"/>
      <c r="O59" s="29"/>
    </row>
    <row r="60" spans="2:15" s="31" customFormat="1" x14ac:dyDescent="0.3">
      <c r="B60" s="28"/>
      <c r="C60" s="29"/>
      <c r="D60" s="29"/>
      <c r="E60"/>
      <c r="F60" s="29"/>
      <c r="G60" s="29"/>
      <c r="H60" s="29"/>
      <c r="I60" s="29"/>
      <c r="J60" s="29"/>
      <c r="K60" s="29"/>
      <c r="L60" s="29"/>
      <c r="M60" s="29"/>
      <c r="N60" s="29"/>
      <c r="O60" s="29"/>
    </row>
    <row r="61" spans="2:15" s="31" customFormat="1" x14ac:dyDescent="0.3">
      <c r="B61" s="28"/>
      <c r="C61" s="29"/>
      <c r="D61" s="29"/>
      <c r="E61"/>
      <c r="F61" s="29"/>
      <c r="G61" s="29"/>
      <c r="H61" s="29"/>
      <c r="I61" s="29"/>
      <c r="J61" s="29"/>
      <c r="K61" s="29"/>
      <c r="L61" s="29"/>
      <c r="M61" s="29"/>
      <c r="N61" s="29"/>
      <c r="O61" s="29"/>
    </row>
    <row r="62" spans="2:15" s="31" customFormat="1" x14ac:dyDescent="0.3">
      <c r="B62" s="28"/>
      <c r="C62" s="29"/>
      <c r="D62" s="29"/>
      <c r="E62"/>
      <c r="F62" s="29"/>
      <c r="G62" s="29"/>
      <c r="H62" s="29"/>
      <c r="I62" s="29"/>
      <c r="J62" s="29"/>
      <c r="K62" s="29"/>
      <c r="L62" s="29"/>
      <c r="M62" s="29"/>
      <c r="N62" s="29"/>
      <c r="O62" s="29"/>
    </row>
    <row r="63" spans="2:15" s="31" customFormat="1" x14ac:dyDescent="0.3">
      <c r="B63" s="28"/>
      <c r="C63" s="29"/>
      <c r="D63" s="29"/>
      <c r="E63"/>
      <c r="F63" s="29"/>
      <c r="G63" s="29"/>
      <c r="H63" s="29"/>
      <c r="I63" s="29"/>
      <c r="J63" s="29"/>
      <c r="K63" s="29"/>
      <c r="L63" s="29"/>
      <c r="M63" s="29"/>
      <c r="N63" s="29"/>
      <c r="O63" s="29"/>
    </row>
    <row r="64" spans="2:15" s="31" customFormat="1" x14ac:dyDescent="0.3">
      <c r="B64" s="28"/>
      <c r="C64" s="29"/>
      <c r="D64" s="29"/>
      <c r="E64"/>
      <c r="F64" s="29"/>
      <c r="G64" s="29"/>
      <c r="H64" s="29"/>
      <c r="I64" s="29"/>
      <c r="J64" s="29"/>
      <c r="K64" s="29"/>
      <c r="L64" s="29"/>
      <c r="M64" s="29"/>
      <c r="N64" s="29"/>
      <c r="O64" s="29"/>
    </row>
    <row r="65" spans="2:15" s="31" customFormat="1" x14ac:dyDescent="0.3">
      <c r="B65" s="28"/>
      <c r="C65" s="29"/>
      <c r="D65" s="29"/>
      <c r="E65"/>
      <c r="F65" s="29"/>
      <c r="G65" s="29"/>
      <c r="H65" s="29"/>
      <c r="I65" s="29"/>
      <c r="J65" s="29"/>
      <c r="K65" s="29"/>
      <c r="L65" s="29"/>
      <c r="M65" s="29"/>
      <c r="N65" s="29"/>
      <c r="O65" s="29"/>
    </row>
    <row r="66" spans="2:15" s="31" customFormat="1" x14ac:dyDescent="0.3">
      <c r="B66" s="28"/>
      <c r="C66" s="29"/>
      <c r="D66" s="29"/>
      <c r="E66"/>
      <c r="F66" s="29"/>
      <c r="G66" s="29"/>
      <c r="H66" s="29"/>
      <c r="I66" s="29"/>
      <c r="J66" s="29"/>
      <c r="K66" s="29"/>
      <c r="L66" s="29"/>
      <c r="M66" s="29"/>
      <c r="N66" s="29"/>
      <c r="O66" s="29"/>
    </row>
    <row r="67" spans="2:15" s="31" customFormat="1" x14ac:dyDescent="0.3">
      <c r="B67" s="28"/>
      <c r="C67" s="29"/>
      <c r="D67" s="29"/>
      <c r="E67"/>
      <c r="F67" s="29"/>
      <c r="G67" s="29"/>
      <c r="H67" s="29"/>
      <c r="I67" s="29"/>
      <c r="J67" s="29"/>
      <c r="K67" s="29"/>
      <c r="L67" s="29"/>
      <c r="M67" s="29"/>
      <c r="N67" s="29"/>
      <c r="O67" s="29"/>
    </row>
    <row r="68" spans="2:15" s="31" customFormat="1" x14ac:dyDescent="0.3">
      <c r="B68" s="28"/>
      <c r="C68" s="29"/>
      <c r="D68" s="29"/>
      <c r="E68"/>
      <c r="F68" s="29"/>
      <c r="G68" s="29"/>
      <c r="H68" s="29"/>
      <c r="I68" s="29"/>
      <c r="J68" s="29"/>
      <c r="K68" s="29"/>
      <c r="L68" s="29"/>
      <c r="M68" s="29"/>
      <c r="N68" s="29"/>
      <c r="O68" s="29"/>
    </row>
    <row r="69" spans="2:15" s="31" customFormat="1" x14ac:dyDescent="0.3">
      <c r="B69" s="28"/>
      <c r="C69" s="29"/>
      <c r="D69" s="29"/>
      <c r="E69"/>
      <c r="F69" s="29"/>
      <c r="G69" s="29"/>
      <c r="H69" s="29"/>
      <c r="I69" s="29"/>
      <c r="J69" s="29"/>
      <c r="K69" s="29"/>
      <c r="L69" s="29"/>
      <c r="M69" s="29"/>
      <c r="N69" s="29"/>
      <c r="O69" s="29"/>
    </row>
    <row r="70" spans="2:15" s="31" customFormat="1" x14ac:dyDescent="0.3">
      <c r="B70" s="28"/>
      <c r="C70" s="29"/>
      <c r="D70" s="29"/>
      <c r="E70"/>
      <c r="F70" s="29"/>
      <c r="G70" s="29"/>
      <c r="H70" s="29"/>
      <c r="I70" s="29"/>
      <c r="J70" s="29"/>
      <c r="K70" s="29"/>
      <c r="L70" s="29"/>
      <c r="M70" s="29"/>
      <c r="N70" s="29"/>
      <c r="O70" s="29"/>
    </row>
    <row r="71" spans="2:15" s="31" customFormat="1" x14ac:dyDescent="0.3">
      <c r="B71" s="28"/>
      <c r="C71" s="29"/>
      <c r="D71" s="29"/>
      <c r="E71"/>
      <c r="F71" s="29"/>
      <c r="G71" s="29"/>
      <c r="H71" s="29"/>
      <c r="I71" s="29"/>
      <c r="J71" s="29"/>
      <c r="K71" s="29"/>
      <c r="L71" s="29"/>
      <c r="M71" s="29"/>
      <c r="N71" s="29"/>
      <c r="O71" s="29"/>
    </row>
    <row r="72" spans="2:15" s="31" customFormat="1" x14ac:dyDescent="0.3">
      <c r="B72" s="28"/>
      <c r="C72" s="29"/>
      <c r="D72" s="29"/>
      <c r="E72"/>
      <c r="F72" s="29"/>
      <c r="G72" s="29"/>
      <c r="H72" s="29"/>
      <c r="I72" s="29"/>
      <c r="J72" s="29"/>
      <c r="K72" s="29"/>
      <c r="L72" s="29"/>
      <c r="M72" s="29"/>
      <c r="N72" s="29"/>
      <c r="O72" s="29"/>
    </row>
    <row r="73" spans="2:15" s="31" customFormat="1" x14ac:dyDescent="0.3">
      <c r="B73" s="28"/>
      <c r="C73" s="29"/>
      <c r="D73" s="29"/>
      <c r="E73"/>
      <c r="F73" s="29"/>
      <c r="G73" s="29"/>
      <c r="H73" s="29"/>
      <c r="I73" s="29"/>
      <c r="J73" s="29"/>
      <c r="K73" s="29"/>
      <c r="L73" s="29"/>
      <c r="M73" s="29"/>
      <c r="N73" s="29"/>
      <c r="O73" s="29"/>
    </row>
    <row r="74" spans="2:15" s="31" customFormat="1" x14ac:dyDescent="0.3">
      <c r="B74" s="28"/>
      <c r="C74" s="29"/>
      <c r="D74" s="29"/>
      <c r="E74"/>
      <c r="F74" s="29"/>
      <c r="G74" s="29"/>
      <c r="H74" s="29"/>
      <c r="I74" s="29"/>
      <c r="J74" s="29"/>
      <c r="K74" s="29"/>
      <c r="L74" s="29"/>
      <c r="M74" s="29"/>
      <c r="N74" s="29"/>
      <c r="O74" s="29"/>
    </row>
    <row r="75" spans="2:15" s="31" customFormat="1" x14ac:dyDescent="0.3">
      <c r="B75" s="28"/>
      <c r="C75" s="29"/>
      <c r="D75" s="29"/>
      <c r="E75"/>
      <c r="F75" s="29"/>
      <c r="G75" s="29"/>
      <c r="H75" s="29"/>
      <c r="I75" s="29"/>
      <c r="J75" s="29"/>
      <c r="K75" s="29"/>
      <c r="L75" s="29"/>
      <c r="M75" s="29"/>
      <c r="N75" s="29"/>
      <c r="O75" s="29"/>
    </row>
    <row r="76" spans="2:15" s="31" customFormat="1" x14ac:dyDescent="0.3">
      <c r="B76" s="28"/>
      <c r="C76" s="29"/>
      <c r="D76" s="29"/>
      <c r="E76"/>
      <c r="F76" s="29"/>
      <c r="G76" s="29"/>
      <c r="H76" s="29"/>
      <c r="I76" s="29"/>
      <c r="J76" s="29"/>
      <c r="K76" s="29"/>
      <c r="L76" s="29"/>
      <c r="M76" s="29"/>
      <c r="N76" s="29"/>
      <c r="O76" s="29"/>
    </row>
    <row r="77" spans="2:15" s="31" customFormat="1" x14ac:dyDescent="0.3">
      <c r="B77" s="28"/>
      <c r="C77" s="29"/>
      <c r="D77" s="29"/>
      <c r="E77"/>
      <c r="F77" s="29"/>
      <c r="G77" s="29"/>
      <c r="H77" s="29"/>
      <c r="I77" s="29"/>
      <c r="J77" s="29"/>
      <c r="K77" s="29"/>
      <c r="L77" s="29"/>
      <c r="M77" s="29"/>
      <c r="N77" s="29"/>
      <c r="O77" s="29"/>
    </row>
    <row r="78" spans="2:15" s="31" customFormat="1" x14ac:dyDescent="0.3">
      <c r="B78" s="28"/>
      <c r="C78" s="29"/>
      <c r="D78" s="29"/>
      <c r="E78"/>
      <c r="F78" s="29"/>
      <c r="G78" s="29"/>
      <c r="H78" s="29"/>
      <c r="I78" s="29"/>
      <c r="J78" s="29"/>
      <c r="K78" s="29"/>
      <c r="L78" s="29"/>
      <c r="M78" s="29"/>
      <c r="N78" s="29"/>
      <c r="O78" s="29"/>
    </row>
    <row r="79" spans="2:15" s="31" customFormat="1" x14ac:dyDescent="0.3">
      <c r="B79" s="28"/>
      <c r="C79" s="29"/>
      <c r="D79" s="29"/>
      <c r="E79"/>
      <c r="F79" s="29"/>
      <c r="G79" s="29"/>
      <c r="H79" s="29"/>
      <c r="I79" s="29"/>
      <c r="J79" s="29"/>
      <c r="K79" s="29"/>
      <c r="L79" s="29"/>
      <c r="M79" s="29"/>
      <c r="N79" s="29"/>
      <c r="O79" s="29"/>
    </row>
    <row r="80" spans="2:15" s="31" customFormat="1" x14ac:dyDescent="0.3">
      <c r="B80" s="28"/>
      <c r="C80" s="29"/>
      <c r="D80" s="29"/>
      <c r="E80"/>
      <c r="F80" s="29"/>
      <c r="G80" s="29"/>
      <c r="H80" s="29"/>
      <c r="I80" s="29"/>
      <c r="J80" s="29"/>
      <c r="K80" s="29"/>
      <c r="L80" s="29"/>
      <c r="M80" s="29"/>
      <c r="N80" s="29"/>
      <c r="O80" s="29"/>
    </row>
    <row r="81" spans="2:15" s="31" customFormat="1" x14ac:dyDescent="0.3">
      <c r="B81" s="28"/>
      <c r="C81" s="29"/>
      <c r="D81" s="29"/>
      <c r="E81"/>
      <c r="F81" s="29"/>
      <c r="G81" s="29"/>
      <c r="H81" s="29"/>
      <c r="I81" s="29"/>
      <c r="J81" s="29"/>
      <c r="K81" s="29"/>
      <c r="L81" s="29"/>
      <c r="M81" s="29"/>
      <c r="N81" s="29"/>
      <c r="O81" s="29"/>
    </row>
    <row r="82" spans="2:15" s="31" customFormat="1" x14ac:dyDescent="0.3">
      <c r="B82" s="28"/>
      <c r="C82" s="29"/>
      <c r="D82" s="29"/>
      <c r="E82"/>
      <c r="F82" s="29"/>
      <c r="G82" s="29"/>
      <c r="H82" s="29"/>
      <c r="I82" s="29"/>
      <c r="J82" s="29"/>
      <c r="K82" s="29"/>
      <c r="L82" s="29"/>
      <c r="M82" s="29"/>
      <c r="N82" s="29"/>
      <c r="O82" s="29"/>
    </row>
    <row r="83" spans="2:15" s="31" customFormat="1" x14ac:dyDescent="0.3">
      <c r="B83" s="28"/>
      <c r="C83" s="29"/>
      <c r="D83" s="29"/>
      <c r="E83"/>
      <c r="F83" s="29"/>
      <c r="G83" s="29"/>
      <c r="H83" s="29"/>
      <c r="I83" s="29"/>
      <c r="J83" s="29"/>
      <c r="K83" s="29"/>
      <c r="L83" s="29"/>
      <c r="M83" s="29"/>
      <c r="N83" s="29"/>
      <c r="O83" s="29"/>
    </row>
    <row r="84" spans="2:15" s="31" customFormat="1" x14ac:dyDescent="0.3">
      <c r="B84" s="28"/>
      <c r="C84" s="29"/>
      <c r="D84" s="29"/>
      <c r="E84"/>
      <c r="F84" s="29"/>
      <c r="G84" s="29"/>
      <c r="H84" s="29"/>
      <c r="I84" s="29"/>
      <c r="J84" s="29"/>
      <c r="K84" s="29"/>
      <c r="L84" s="29"/>
      <c r="M84" s="29"/>
      <c r="N84" s="29"/>
      <c r="O84" s="29"/>
    </row>
    <row r="85" spans="2:15" s="31" customFormat="1" x14ac:dyDescent="0.3">
      <c r="B85" s="28"/>
      <c r="C85" s="29"/>
      <c r="D85" s="29"/>
      <c r="E85"/>
      <c r="F85" s="29"/>
      <c r="G85" s="29"/>
      <c r="H85" s="29"/>
      <c r="I85" s="29"/>
      <c r="J85" s="29"/>
      <c r="K85" s="29"/>
      <c r="L85" s="29"/>
      <c r="M85" s="29"/>
      <c r="N85" s="29"/>
      <c r="O85" s="29"/>
    </row>
    <row r="86" spans="2:15" s="31" customFormat="1" x14ac:dyDescent="0.3">
      <c r="B86" s="28"/>
      <c r="C86" s="29"/>
      <c r="D86" s="29"/>
      <c r="E86"/>
      <c r="F86" s="29"/>
      <c r="G86" s="29"/>
      <c r="H86" s="29"/>
      <c r="I86" s="29"/>
      <c r="J86" s="29"/>
      <c r="K86" s="29"/>
      <c r="L86" s="29"/>
      <c r="M86" s="29"/>
      <c r="N86" s="29"/>
      <c r="O86" s="29"/>
    </row>
    <row r="87" spans="2:15" s="31" customFormat="1" x14ac:dyDescent="0.3">
      <c r="B87" s="28"/>
      <c r="C87" s="29"/>
      <c r="D87" s="29"/>
      <c r="E87"/>
      <c r="F87" s="29"/>
      <c r="G87" s="29"/>
      <c r="H87" s="29"/>
      <c r="I87" s="29"/>
      <c r="J87" s="29"/>
      <c r="K87" s="29"/>
      <c r="L87" s="29"/>
      <c r="M87" s="29"/>
      <c r="N87" s="29"/>
      <c r="O87" s="29"/>
    </row>
    <row r="88" spans="2:15" s="31" customFormat="1" x14ac:dyDescent="0.3">
      <c r="B88" s="28"/>
      <c r="C88" s="29"/>
      <c r="D88" s="29"/>
      <c r="E88"/>
      <c r="F88" s="29"/>
      <c r="G88" s="29"/>
      <c r="H88" s="29"/>
      <c r="I88" s="29"/>
      <c r="J88" s="29"/>
      <c r="K88" s="29"/>
      <c r="L88" s="29"/>
      <c r="M88" s="29"/>
      <c r="N88" s="29"/>
      <c r="O88" s="29"/>
    </row>
    <row r="89" spans="2:15" s="31" customFormat="1" x14ac:dyDescent="0.3">
      <c r="B89" s="28"/>
      <c r="C89" s="29"/>
      <c r="D89" s="29"/>
      <c r="E89"/>
      <c r="F89" s="29"/>
      <c r="G89" s="29"/>
      <c r="H89" s="29"/>
      <c r="I89" s="29"/>
      <c r="J89" s="29"/>
      <c r="K89" s="29"/>
      <c r="L89" s="29"/>
      <c r="M89" s="29"/>
      <c r="N89" s="29"/>
      <c r="O89" s="29"/>
    </row>
    <row r="90" spans="2:15" s="31" customFormat="1" x14ac:dyDescent="0.3">
      <c r="B90" s="28"/>
      <c r="C90" s="29"/>
      <c r="D90" s="29"/>
      <c r="E90"/>
      <c r="F90" s="29"/>
      <c r="G90" s="29"/>
      <c r="H90" s="29"/>
      <c r="I90" s="29"/>
      <c r="J90" s="29"/>
      <c r="K90" s="29"/>
      <c r="L90" s="29"/>
      <c r="M90" s="29"/>
      <c r="N90" s="29"/>
      <c r="O90" s="29"/>
    </row>
    <row r="91" spans="2:15" s="31" customFormat="1" x14ac:dyDescent="0.3">
      <c r="B91" s="28"/>
      <c r="C91" s="29"/>
      <c r="D91" s="29"/>
      <c r="E91"/>
      <c r="F91" s="29"/>
      <c r="G91" s="29"/>
      <c r="H91" s="29"/>
      <c r="I91" s="29"/>
      <c r="J91" s="29"/>
      <c r="K91" s="29"/>
      <c r="L91" s="29"/>
      <c r="M91" s="29"/>
      <c r="N91" s="29"/>
      <c r="O91" s="29"/>
    </row>
    <row r="92" spans="2:15" s="31" customFormat="1" x14ac:dyDescent="0.3">
      <c r="B92" s="28"/>
      <c r="C92" s="29"/>
      <c r="D92" s="29"/>
      <c r="E92"/>
      <c r="F92" s="29"/>
      <c r="G92" s="29"/>
      <c r="H92" s="29"/>
      <c r="I92" s="29"/>
      <c r="J92" s="29"/>
      <c r="K92" s="29"/>
      <c r="L92" s="29"/>
      <c r="M92" s="29"/>
      <c r="N92" s="29"/>
      <c r="O92" s="29"/>
    </row>
    <row r="93" spans="2:15" s="31" customFormat="1" x14ac:dyDescent="0.3">
      <c r="B93" s="28"/>
      <c r="C93" s="29"/>
      <c r="D93" s="29"/>
      <c r="E93"/>
      <c r="F93" s="29"/>
      <c r="G93" s="29"/>
      <c r="H93" s="29"/>
      <c r="I93" s="29"/>
      <c r="J93" s="29"/>
      <c r="K93" s="29"/>
      <c r="L93" s="29"/>
      <c r="M93" s="29"/>
      <c r="N93" s="29"/>
      <c r="O93" s="29"/>
    </row>
    <row r="94" spans="2:15" s="31" customFormat="1" x14ac:dyDescent="0.3">
      <c r="B94" s="28"/>
      <c r="C94" s="29"/>
      <c r="D94" s="29"/>
      <c r="E94"/>
      <c r="F94" s="29"/>
      <c r="G94" s="29"/>
      <c r="H94" s="29"/>
      <c r="I94" s="29"/>
      <c r="J94" s="29"/>
      <c r="K94" s="29"/>
      <c r="L94" s="29"/>
      <c r="M94" s="29"/>
      <c r="N94" s="29"/>
      <c r="O94" s="29"/>
    </row>
    <row r="95" spans="2:15" s="31" customFormat="1" x14ac:dyDescent="0.3">
      <c r="B95" s="28"/>
      <c r="C95" s="29"/>
      <c r="D95" s="29"/>
      <c r="E95"/>
      <c r="F95" s="29"/>
      <c r="G95" s="29"/>
      <c r="H95" s="29"/>
      <c r="I95" s="29"/>
      <c r="J95" s="29"/>
      <c r="K95" s="29"/>
      <c r="L95" s="29"/>
      <c r="M95" s="29"/>
      <c r="N95" s="29"/>
      <c r="O95" s="29"/>
    </row>
    <row r="96" spans="2:15" s="31" customFormat="1" x14ac:dyDescent="0.3">
      <c r="B96" s="28"/>
      <c r="C96" s="29"/>
      <c r="D96" s="29"/>
      <c r="E96"/>
      <c r="F96" s="29"/>
      <c r="G96" s="29"/>
      <c r="H96" s="29"/>
      <c r="I96" s="29"/>
      <c r="J96" s="29"/>
      <c r="K96" s="29"/>
      <c r="L96" s="29"/>
      <c r="M96" s="29"/>
      <c r="N96" s="29"/>
      <c r="O96" s="29"/>
    </row>
    <row r="97" spans="2:15" s="31" customFormat="1" x14ac:dyDescent="0.3">
      <c r="B97" s="28"/>
      <c r="C97" s="29"/>
      <c r="D97" s="29"/>
      <c r="E97"/>
      <c r="F97" s="29"/>
      <c r="G97" s="29"/>
      <c r="H97" s="29"/>
      <c r="I97" s="29"/>
      <c r="J97" s="29"/>
      <c r="K97" s="29"/>
      <c r="L97" s="29"/>
      <c r="M97" s="29"/>
      <c r="N97" s="29"/>
      <c r="O97" s="29"/>
    </row>
    <row r="98" spans="2:15" s="31" customFormat="1" x14ac:dyDescent="0.3">
      <c r="B98" s="28"/>
      <c r="C98" s="29"/>
      <c r="D98" s="29"/>
      <c r="E98"/>
      <c r="F98" s="29"/>
      <c r="G98" s="29"/>
      <c r="H98" s="29"/>
      <c r="I98" s="29"/>
      <c r="J98" s="29"/>
      <c r="K98" s="29"/>
      <c r="L98" s="29"/>
      <c r="M98" s="29"/>
      <c r="N98" s="29"/>
      <c r="O98" s="29"/>
    </row>
    <row r="99" spans="2:15" s="31" customFormat="1" x14ac:dyDescent="0.3">
      <c r="B99" s="28"/>
      <c r="C99" s="29"/>
      <c r="D99" s="29"/>
      <c r="E99"/>
      <c r="F99" s="29"/>
      <c r="G99" s="29"/>
      <c r="H99" s="29"/>
      <c r="I99" s="29"/>
      <c r="J99" s="29"/>
      <c r="K99" s="29"/>
      <c r="L99" s="29"/>
      <c r="M99" s="29"/>
      <c r="N99" s="29"/>
      <c r="O99" s="29"/>
    </row>
    <row r="100" spans="2:15" s="31" customFormat="1" x14ac:dyDescent="0.3">
      <c r="B100" s="28"/>
      <c r="C100" s="29"/>
      <c r="D100" s="29"/>
      <c r="E100"/>
      <c r="F100" s="29"/>
      <c r="G100" s="29"/>
      <c r="H100" s="29"/>
      <c r="I100" s="29"/>
      <c r="J100" s="29"/>
      <c r="K100" s="29"/>
      <c r="L100" s="29"/>
      <c r="M100" s="29"/>
      <c r="N100" s="29"/>
      <c r="O100" s="29"/>
    </row>
    <row r="101" spans="2:15" s="31" customFormat="1" x14ac:dyDescent="0.3">
      <c r="B101" s="28"/>
      <c r="C101" s="29"/>
      <c r="D101" s="29"/>
      <c r="E101"/>
      <c r="F101" s="29"/>
      <c r="G101" s="29"/>
      <c r="H101" s="29"/>
      <c r="I101" s="29"/>
      <c r="J101" s="29"/>
      <c r="K101" s="29"/>
      <c r="L101" s="29"/>
      <c r="M101" s="29"/>
      <c r="N101" s="29"/>
      <c r="O101" s="29"/>
    </row>
    <row r="102" spans="2:15" s="31" customFormat="1" x14ac:dyDescent="0.3">
      <c r="B102" s="28"/>
      <c r="C102" s="29"/>
      <c r="D102" s="29"/>
      <c r="E102"/>
      <c r="F102" s="29"/>
      <c r="G102" s="29"/>
      <c r="H102" s="29"/>
      <c r="I102" s="29"/>
      <c r="J102" s="29"/>
      <c r="K102" s="29"/>
      <c r="L102" s="29"/>
      <c r="M102" s="29"/>
      <c r="N102" s="29"/>
      <c r="O102" s="29"/>
    </row>
    <row r="103" spans="2:15" s="31" customFormat="1" x14ac:dyDescent="0.3">
      <c r="B103" s="28"/>
      <c r="C103" s="29"/>
      <c r="D103" s="29"/>
      <c r="E103"/>
      <c r="F103" s="29"/>
      <c r="G103" s="29"/>
      <c r="H103" s="29"/>
      <c r="I103" s="29"/>
      <c r="J103" s="29"/>
      <c r="K103" s="29"/>
      <c r="L103" s="29"/>
      <c r="M103" s="29"/>
      <c r="N103" s="29"/>
      <c r="O103" s="29"/>
    </row>
    <row r="104" spans="2:15" s="31" customFormat="1" x14ac:dyDescent="0.3">
      <c r="B104" s="28"/>
      <c r="C104" s="29"/>
      <c r="D104" s="29"/>
      <c r="E104"/>
      <c r="F104" s="29"/>
      <c r="G104" s="29"/>
      <c r="H104" s="29"/>
      <c r="I104" s="29"/>
      <c r="J104" s="29"/>
      <c r="K104" s="29"/>
      <c r="L104" s="29"/>
      <c r="M104" s="29"/>
      <c r="N104" s="29"/>
      <c r="O104" s="29"/>
    </row>
    <row r="105" spans="2:15" s="31" customFormat="1" x14ac:dyDescent="0.3">
      <c r="B105" s="28"/>
      <c r="C105" s="29"/>
      <c r="D105" s="29"/>
      <c r="E105"/>
      <c r="F105" s="29"/>
      <c r="G105" s="29"/>
      <c r="H105" s="29"/>
      <c r="I105" s="29"/>
      <c r="J105" s="29"/>
      <c r="K105" s="29"/>
      <c r="L105" s="29"/>
      <c r="M105" s="29"/>
      <c r="N105" s="29"/>
      <c r="O105" s="29"/>
    </row>
    <row r="106" spans="2:15" s="31" customFormat="1" x14ac:dyDescent="0.3">
      <c r="B106" s="28"/>
      <c r="C106" s="29"/>
      <c r="D106" s="29"/>
      <c r="E106"/>
      <c r="F106" s="29"/>
      <c r="G106" s="29"/>
      <c r="H106" s="29"/>
      <c r="I106" s="29"/>
      <c r="J106" s="29"/>
      <c r="K106" s="29"/>
      <c r="L106" s="29"/>
      <c r="M106" s="29"/>
      <c r="N106" s="29"/>
      <c r="O106" s="29"/>
    </row>
    <row r="107" spans="2:15" x14ac:dyDescent="0.3">
      <c r="B107" s="25"/>
      <c r="C107" s="27"/>
      <c r="D107" s="27"/>
      <c r="F107" s="27"/>
      <c r="G107" s="27"/>
      <c r="H107" s="27"/>
      <c r="I107" s="27"/>
      <c r="J107" s="27"/>
      <c r="K107" s="27"/>
      <c r="L107" s="27"/>
      <c r="M107" s="27"/>
      <c r="N107" s="27"/>
      <c r="O107" s="27"/>
    </row>
    <row r="108" spans="2:15" x14ac:dyDescent="0.3">
      <c r="B108" s="25"/>
      <c r="C108" s="27"/>
      <c r="D108" s="27"/>
      <c r="F108" s="27"/>
      <c r="G108" s="27"/>
      <c r="H108" s="27"/>
      <c r="I108" s="27"/>
      <c r="J108" s="27"/>
      <c r="K108" s="27"/>
      <c r="L108" s="27"/>
      <c r="M108" s="27"/>
      <c r="N108" s="27"/>
      <c r="O108" s="27"/>
    </row>
    <row r="109" spans="2:15" x14ac:dyDescent="0.3">
      <c r="B109" s="25"/>
      <c r="C109" s="27"/>
      <c r="D109" s="27"/>
      <c r="F109" s="27"/>
      <c r="G109" s="27"/>
      <c r="H109" s="27"/>
      <c r="I109" s="27"/>
      <c r="J109" s="27"/>
      <c r="K109" s="27"/>
      <c r="L109" s="27"/>
      <c r="M109" s="27"/>
      <c r="N109" s="27"/>
      <c r="O109" s="27"/>
    </row>
    <row r="110" spans="2:15" x14ac:dyDescent="0.3">
      <c r="B110" s="25"/>
      <c r="C110" s="27"/>
      <c r="D110" s="27"/>
      <c r="F110" s="27"/>
      <c r="G110" s="27"/>
      <c r="H110" s="27"/>
      <c r="I110" s="27"/>
      <c r="J110" s="27"/>
      <c r="K110" s="27"/>
      <c r="L110" s="27"/>
      <c r="M110" s="27"/>
      <c r="N110" s="27"/>
      <c r="O110" s="27"/>
    </row>
    <row r="111" spans="2:15" x14ac:dyDescent="0.3">
      <c r="B111" s="25"/>
      <c r="C111" s="27"/>
      <c r="D111" s="27"/>
      <c r="F111" s="27"/>
      <c r="G111" s="27"/>
      <c r="H111" s="27"/>
      <c r="I111" s="27"/>
      <c r="J111" s="27"/>
      <c r="K111" s="27"/>
      <c r="L111" s="27"/>
      <c r="M111" s="27"/>
      <c r="N111" s="27"/>
      <c r="O111" s="27"/>
    </row>
    <row r="112" spans="2:15" x14ac:dyDescent="0.3">
      <c r="B112" s="25"/>
      <c r="C112" s="27"/>
      <c r="D112" s="27"/>
      <c r="F112" s="27"/>
      <c r="G112" s="27"/>
      <c r="H112" s="27"/>
      <c r="I112" s="27"/>
      <c r="J112" s="27"/>
      <c r="K112" s="27"/>
      <c r="L112" s="27"/>
      <c r="M112" s="27"/>
      <c r="N112" s="27"/>
      <c r="O112" s="27"/>
    </row>
    <row r="113" spans="2:15" x14ac:dyDescent="0.3">
      <c r="B113" s="25"/>
      <c r="C113" s="27"/>
      <c r="D113" s="27"/>
      <c r="F113" s="27"/>
      <c r="G113" s="27"/>
      <c r="H113" s="27"/>
      <c r="I113" s="27"/>
      <c r="J113" s="27"/>
      <c r="K113" s="27"/>
      <c r="L113" s="27"/>
      <c r="M113" s="27"/>
      <c r="N113" s="27"/>
      <c r="O113" s="27"/>
    </row>
    <row r="114" spans="2:15" x14ac:dyDescent="0.3">
      <c r="B114" s="25"/>
      <c r="C114" s="27"/>
      <c r="D114" s="27"/>
      <c r="F114" s="27"/>
      <c r="G114" s="27"/>
      <c r="H114" s="27"/>
      <c r="I114" s="27"/>
      <c r="J114" s="27"/>
      <c r="K114" s="27"/>
      <c r="L114" s="27"/>
      <c r="M114" s="27"/>
      <c r="N114" s="27"/>
      <c r="O114" s="27"/>
    </row>
    <row r="115" spans="2:15" x14ac:dyDescent="0.3">
      <c r="B115" s="25"/>
      <c r="C115" s="27"/>
      <c r="D115" s="27"/>
      <c r="F115" s="27"/>
      <c r="G115" s="27"/>
      <c r="H115" s="27"/>
      <c r="I115" s="27"/>
      <c r="J115" s="27"/>
      <c r="K115" s="27"/>
      <c r="L115" s="27"/>
      <c r="M115" s="27"/>
      <c r="N115" s="27"/>
      <c r="O115" s="27"/>
    </row>
    <row r="116" spans="2:15" x14ac:dyDescent="0.3">
      <c r="B116" s="25"/>
      <c r="C116" s="27"/>
      <c r="D116" s="27"/>
      <c r="F116" s="27"/>
      <c r="G116" s="27"/>
      <c r="H116" s="27"/>
      <c r="I116" s="27"/>
      <c r="J116" s="27"/>
      <c r="K116" s="27"/>
      <c r="L116" s="27"/>
      <c r="M116" s="27"/>
      <c r="N116" s="27"/>
      <c r="O116" s="27"/>
    </row>
    <row r="117" spans="2:15" x14ac:dyDescent="0.3">
      <c r="B117" s="25"/>
      <c r="C117" s="27"/>
      <c r="D117" s="27"/>
      <c r="F117" s="27"/>
      <c r="G117" s="27"/>
      <c r="H117" s="27"/>
      <c r="I117" s="27"/>
      <c r="J117" s="27"/>
      <c r="K117" s="27"/>
      <c r="L117" s="27"/>
      <c r="M117" s="27"/>
      <c r="N117" s="27"/>
      <c r="O117" s="27"/>
    </row>
    <row r="118" spans="2:15" x14ac:dyDescent="0.3">
      <c r="B118" s="25"/>
      <c r="C118" s="27"/>
      <c r="D118" s="27"/>
      <c r="F118" s="27"/>
      <c r="G118" s="27"/>
      <c r="H118" s="27"/>
      <c r="I118" s="27"/>
      <c r="J118" s="27"/>
      <c r="K118" s="27"/>
      <c r="L118" s="27"/>
      <c r="M118" s="27"/>
      <c r="N118" s="27"/>
      <c r="O118" s="27"/>
    </row>
    <row r="119" spans="2:15" x14ac:dyDescent="0.3">
      <c r="B119" s="25"/>
      <c r="C119" s="27"/>
      <c r="D119" s="27"/>
      <c r="F119" s="27"/>
      <c r="G119" s="27"/>
      <c r="H119" s="27"/>
      <c r="I119" s="27"/>
      <c r="J119" s="27"/>
      <c r="K119" s="27"/>
      <c r="L119" s="27"/>
      <c r="M119" s="27"/>
      <c r="N119" s="27"/>
      <c r="O119" s="27"/>
    </row>
    <row r="120" spans="2:15" x14ac:dyDescent="0.3">
      <c r="B120" s="25"/>
      <c r="C120" s="27"/>
      <c r="D120" s="27"/>
      <c r="F120" s="27"/>
      <c r="G120" s="27"/>
      <c r="H120" s="27"/>
      <c r="I120" s="27"/>
      <c r="J120" s="27"/>
      <c r="K120" s="27"/>
      <c r="L120" s="27"/>
      <c r="M120" s="27"/>
      <c r="N120" s="27"/>
      <c r="O120" s="27"/>
    </row>
    <row r="121" spans="2:15" x14ac:dyDescent="0.3">
      <c r="B121" s="25"/>
      <c r="C121" s="27"/>
      <c r="D121" s="27"/>
      <c r="F121" s="27"/>
      <c r="G121" s="27"/>
      <c r="H121" s="27"/>
      <c r="I121" s="27"/>
      <c r="J121" s="27"/>
      <c r="K121" s="27"/>
      <c r="L121" s="27"/>
      <c r="M121" s="27"/>
      <c r="N121" s="27"/>
      <c r="O121" s="27"/>
    </row>
    <row r="122" spans="2:15" x14ac:dyDescent="0.3">
      <c r="B122" s="25"/>
      <c r="C122" s="27"/>
      <c r="D122" s="27"/>
      <c r="F122" s="27"/>
      <c r="G122" s="27"/>
      <c r="H122" s="27"/>
      <c r="I122" s="27"/>
      <c r="J122" s="27"/>
      <c r="K122" s="27"/>
      <c r="L122" s="27"/>
      <c r="M122" s="27"/>
      <c r="N122" s="27"/>
      <c r="O122" s="27"/>
    </row>
    <row r="123" spans="2:15" x14ac:dyDescent="0.3">
      <c r="B123" s="25"/>
      <c r="C123" s="27"/>
      <c r="D123" s="27"/>
      <c r="F123" s="27"/>
      <c r="G123" s="27"/>
      <c r="H123" s="27"/>
      <c r="I123" s="27"/>
      <c r="J123" s="27"/>
      <c r="K123" s="27"/>
      <c r="L123" s="27"/>
      <c r="M123" s="27"/>
      <c r="N123" s="27"/>
      <c r="O123" s="27"/>
    </row>
    <row r="124" spans="2:15" x14ac:dyDescent="0.3">
      <c r="B124" s="25"/>
      <c r="C124" s="27"/>
      <c r="D124" s="27"/>
      <c r="F124" s="27"/>
      <c r="G124" s="27"/>
      <c r="H124" s="27"/>
      <c r="I124" s="27"/>
      <c r="J124" s="27"/>
      <c r="K124" s="27"/>
      <c r="L124" s="27"/>
      <c r="M124" s="27"/>
      <c r="N124" s="27"/>
      <c r="O124" s="27"/>
    </row>
    <row r="125" spans="2:15" x14ac:dyDescent="0.3">
      <c r="B125" s="25"/>
      <c r="C125" s="27"/>
      <c r="D125" s="27"/>
      <c r="F125" s="27"/>
      <c r="G125" s="27"/>
      <c r="H125" s="27"/>
      <c r="I125" s="27"/>
      <c r="J125" s="27"/>
      <c r="K125" s="27"/>
      <c r="L125" s="27"/>
      <c r="M125" s="27"/>
      <c r="N125" s="27"/>
      <c r="O125" s="27"/>
    </row>
    <row r="126" spans="2:15" x14ac:dyDescent="0.3">
      <c r="B126" s="25"/>
      <c r="C126" s="27"/>
      <c r="D126" s="27"/>
      <c r="F126" s="27"/>
      <c r="G126" s="27"/>
      <c r="H126" s="27"/>
      <c r="I126" s="27"/>
      <c r="J126" s="27"/>
      <c r="K126" s="27"/>
      <c r="L126" s="27"/>
      <c r="M126" s="27"/>
      <c r="N126" s="27"/>
      <c r="O126" s="27"/>
    </row>
    <row r="127" spans="2:15" x14ac:dyDescent="0.3">
      <c r="B127" s="25"/>
      <c r="C127" s="27"/>
      <c r="D127" s="27"/>
      <c r="F127" s="27"/>
      <c r="G127" s="27"/>
      <c r="H127" s="27"/>
      <c r="I127" s="27"/>
      <c r="J127" s="27"/>
      <c r="K127" s="27"/>
      <c r="L127" s="27"/>
      <c r="M127" s="27"/>
      <c r="N127" s="27"/>
      <c r="O127" s="27"/>
    </row>
    <row r="128" spans="2:15" x14ac:dyDescent="0.3">
      <c r="B128" s="25"/>
      <c r="C128" s="27"/>
      <c r="D128" s="27"/>
      <c r="F128" s="27"/>
      <c r="G128" s="27"/>
      <c r="H128" s="27"/>
      <c r="I128" s="27"/>
      <c r="J128" s="27"/>
      <c r="K128" s="27"/>
      <c r="L128" s="27"/>
      <c r="M128" s="27"/>
      <c r="N128" s="27"/>
      <c r="O128" s="27"/>
    </row>
    <row r="129" spans="2:15" x14ac:dyDescent="0.3">
      <c r="B129" s="25"/>
      <c r="C129" s="27"/>
      <c r="D129" s="27"/>
      <c r="F129" s="27"/>
      <c r="G129" s="27"/>
      <c r="H129" s="27"/>
      <c r="I129" s="27"/>
      <c r="J129" s="27"/>
      <c r="K129" s="27"/>
      <c r="L129" s="27"/>
      <c r="M129" s="27"/>
      <c r="N129" s="27"/>
      <c r="O129" s="27"/>
    </row>
    <row r="130" spans="2:15" x14ac:dyDescent="0.3">
      <c r="B130" s="25"/>
      <c r="C130" s="27"/>
      <c r="D130" s="27"/>
      <c r="F130" s="27"/>
      <c r="G130" s="27"/>
      <c r="H130" s="27"/>
      <c r="I130" s="27"/>
      <c r="J130" s="27"/>
      <c r="K130" s="27"/>
      <c r="L130" s="27"/>
      <c r="M130" s="27"/>
      <c r="N130" s="27"/>
      <c r="O130" s="27"/>
    </row>
    <row r="131" spans="2:15" x14ac:dyDescent="0.3">
      <c r="B131" s="25"/>
      <c r="C131" s="27"/>
      <c r="D131" s="27"/>
      <c r="F131" s="27"/>
      <c r="G131" s="27"/>
      <c r="H131" s="27"/>
      <c r="I131" s="27"/>
      <c r="J131" s="27"/>
      <c r="K131" s="27"/>
      <c r="L131" s="27"/>
      <c r="M131" s="27"/>
      <c r="N131" s="27"/>
      <c r="O131" s="27"/>
    </row>
    <row r="132" spans="2:15" x14ac:dyDescent="0.3">
      <c r="B132" s="25"/>
      <c r="C132" s="27"/>
      <c r="D132" s="27"/>
      <c r="F132" s="27"/>
      <c r="G132" s="27"/>
      <c r="H132" s="27"/>
      <c r="I132" s="27"/>
      <c r="J132" s="27"/>
      <c r="K132" s="27"/>
      <c r="L132" s="27"/>
      <c r="M132" s="27"/>
      <c r="N132" s="27"/>
      <c r="O132" s="27"/>
    </row>
    <row r="133" spans="2:15" x14ac:dyDescent="0.3">
      <c r="B133" s="25"/>
      <c r="C133" s="27"/>
      <c r="D133" s="27"/>
      <c r="F133" s="27"/>
      <c r="G133" s="27"/>
      <c r="H133" s="27"/>
      <c r="I133" s="27"/>
      <c r="J133" s="27"/>
      <c r="K133" s="27"/>
      <c r="L133" s="27"/>
      <c r="M133" s="27"/>
      <c r="N133" s="27"/>
      <c r="O133" s="27"/>
    </row>
    <row r="134" spans="2:15" x14ac:dyDescent="0.3">
      <c r="B134" s="25"/>
      <c r="C134" s="27"/>
      <c r="D134" s="27"/>
      <c r="F134" s="27"/>
      <c r="G134" s="27"/>
      <c r="H134" s="27"/>
      <c r="I134" s="27"/>
      <c r="J134" s="27"/>
      <c r="K134" s="27"/>
      <c r="L134" s="27"/>
      <c r="M134" s="27"/>
      <c r="N134" s="27"/>
      <c r="O134" s="27"/>
    </row>
    <row r="135" spans="2:15" x14ac:dyDescent="0.3">
      <c r="B135" s="25"/>
      <c r="C135" s="27"/>
      <c r="D135" s="27"/>
      <c r="F135" s="27"/>
      <c r="G135" s="27"/>
      <c r="H135" s="27"/>
      <c r="I135" s="27"/>
      <c r="J135" s="27"/>
      <c r="K135" s="27"/>
      <c r="L135" s="27"/>
      <c r="M135" s="27"/>
      <c r="N135" s="27"/>
      <c r="O135" s="27"/>
    </row>
    <row r="136" spans="2:15" x14ac:dyDescent="0.3">
      <c r="B136" s="25"/>
      <c r="C136" s="27"/>
      <c r="D136" s="27"/>
      <c r="F136" s="27"/>
      <c r="G136" s="27"/>
      <c r="H136" s="27"/>
      <c r="I136" s="27"/>
      <c r="J136" s="27"/>
      <c r="K136" s="27"/>
      <c r="L136" s="27"/>
      <c r="M136" s="27"/>
      <c r="N136" s="27"/>
      <c r="O136" s="27"/>
    </row>
    <row r="137" spans="2:15" x14ac:dyDescent="0.3">
      <c r="B137" s="25"/>
      <c r="C137" s="27"/>
      <c r="D137" s="27"/>
      <c r="F137" s="27"/>
      <c r="G137" s="27"/>
      <c r="H137" s="27"/>
      <c r="I137" s="27"/>
      <c r="J137" s="27"/>
      <c r="K137" s="27"/>
      <c r="L137" s="27"/>
      <c r="M137" s="27"/>
      <c r="N137" s="27"/>
      <c r="O137" s="27"/>
    </row>
    <row r="138" spans="2:15" x14ac:dyDescent="0.3">
      <c r="B138" s="25"/>
      <c r="C138" s="27"/>
      <c r="D138" s="27"/>
      <c r="F138" s="27"/>
      <c r="G138" s="27"/>
      <c r="H138" s="27"/>
      <c r="I138" s="27"/>
      <c r="J138" s="27"/>
      <c r="K138" s="27"/>
      <c r="L138" s="27"/>
      <c r="M138" s="27"/>
      <c r="N138" s="27"/>
      <c r="O138" s="27"/>
    </row>
    <row r="139" spans="2:15" x14ac:dyDescent="0.3">
      <c r="B139" s="25"/>
      <c r="C139" s="27"/>
      <c r="D139" s="27"/>
      <c r="F139" s="27"/>
      <c r="G139" s="27"/>
      <c r="H139" s="27"/>
      <c r="I139" s="27"/>
      <c r="J139" s="27"/>
      <c r="K139" s="27"/>
      <c r="L139" s="27"/>
      <c r="M139" s="27"/>
      <c r="N139" s="27"/>
      <c r="O139" s="27"/>
    </row>
    <row r="140" spans="2:15" x14ac:dyDescent="0.3">
      <c r="B140" s="25"/>
      <c r="C140" s="27"/>
      <c r="D140" s="27"/>
      <c r="F140" s="27"/>
      <c r="G140" s="27"/>
      <c r="H140" s="27"/>
      <c r="I140" s="27"/>
      <c r="J140" s="27"/>
      <c r="K140" s="27"/>
      <c r="L140" s="27"/>
      <c r="M140" s="27"/>
      <c r="N140" s="27"/>
      <c r="O140" s="27"/>
    </row>
    <row r="141" spans="2:15" x14ac:dyDescent="0.3">
      <c r="B141" s="25"/>
      <c r="C141" s="27"/>
      <c r="D141" s="27"/>
      <c r="F141" s="27"/>
      <c r="G141" s="27"/>
      <c r="H141" s="27"/>
      <c r="I141" s="27"/>
      <c r="J141" s="27"/>
      <c r="K141" s="27"/>
      <c r="L141" s="27"/>
      <c r="M141" s="27"/>
      <c r="N141" s="27"/>
      <c r="O141" s="27"/>
    </row>
    <row r="142" spans="2:15" x14ac:dyDescent="0.3">
      <c r="B142" s="25"/>
      <c r="C142" s="27"/>
      <c r="D142" s="27"/>
      <c r="F142" s="27"/>
      <c r="G142" s="27"/>
      <c r="H142" s="27"/>
      <c r="I142" s="27"/>
      <c r="J142" s="27"/>
      <c r="K142" s="27"/>
      <c r="L142" s="27"/>
      <c r="M142" s="27"/>
      <c r="N142" s="27"/>
      <c r="O142" s="27"/>
    </row>
    <row r="143" spans="2:15" x14ac:dyDescent="0.3">
      <c r="B143" s="25"/>
      <c r="C143" s="27"/>
      <c r="D143" s="27"/>
      <c r="F143" s="27"/>
      <c r="G143" s="27"/>
      <c r="H143" s="27"/>
      <c r="I143" s="27"/>
      <c r="J143" s="27"/>
      <c r="K143" s="27"/>
      <c r="L143" s="27"/>
      <c r="M143" s="27"/>
      <c r="N143" s="27"/>
      <c r="O143" s="27"/>
    </row>
    <row r="144" spans="2:15" x14ac:dyDescent="0.3">
      <c r="B144" s="25"/>
      <c r="C144" s="27"/>
      <c r="D144" s="27"/>
      <c r="F144" s="27"/>
      <c r="G144" s="27"/>
      <c r="H144" s="27"/>
      <c r="I144" s="27"/>
      <c r="J144" s="27"/>
      <c r="K144" s="27"/>
      <c r="L144" s="27"/>
      <c r="M144" s="27"/>
      <c r="N144" s="27"/>
      <c r="O144" s="27"/>
    </row>
    <row r="145" spans="2:15" x14ac:dyDescent="0.3">
      <c r="B145" s="25"/>
      <c r="C145" s="27"/>
      <c r="D145" s="27"/>
      <c r="F145" s="27"/>
      <c r="G145" s="27"/>
      <c r="H145" s="27"/>
      <c r="I145" s="27"/>
      <c r="J145" s="27"/>
      <c r="K145" s="27"/>
      <c r="L145" s="27"/>
      <c r="M145" s="27"/>
      <c r="N145" s="27"/>
      <c r="O145" s="27"/>
    </row>
    <row r="146" spans="2:15" x14ac:dyDescent="0.3">
      <c r="B146" s="25"/>
      <c r="C146" s="27"/>
      <c r="D146" s="27"/>
      <c r="F146" s="27"/>
      <c r="G146" s="27"/>
      <c r="H146" s="27"/>
      <c r="I146" s="27"/>
      <c r="J146" s="27"/>
      <c r="K146" s="27"/>
      <c r="L146" s="27"/>
      <c r="M146" s="27"/>
      <c r="N146" s="27"/>
      <c r="O146" s="27"/>
    </row>
    <row r="147" spans="2:15" x14ac:dyDescent="0.3">
      <c r="B147" s="25"/>
      <c r="C147" s="27"/>
      <c r="D147" s="27"/>
      <c r="F147" s="27"/>
      <c r="G147" s="27"/>
      <c r="H147" s="27"/>
      <c r="I147" s="27"/>
      <c r="J147" s="27"/>
      <c r="K147" s="27"/>
      <c r="L147" s="27"/>
      <c r="M147" s="27"/>
      <c r="N147" s="27"/>
      <c r="O147" s="27"/>
    </row>
    <row r="148" spans="2:15" x14ac:dyDescent="0.3">
      <c r="B148" s="25"/>
      <c r="C148" s="27"/>
      <c r="D148" s="27"/>
      <c r="F148" s="27"/>
      <c r="G148" s="27"/>
      <c r="H148" s="27"/>
      <c r="I148" s="27"/>
      <c r="J148" s="27"/>
      <c r="K148" s="27"/>
      <c r="L148" s="27"/>
      <c r="M148" s="27"/>
      <c r="N148" s="27"/>
      <c r="O148" s="27"/>
    </row>
    <row r="149" spans="2:15" x14ac:dyDescent="0.3">
      <c r="B149" s="25"/>
      <c r="C149" s="27"/>
      <c r="D149" s="27"/>
      <c r="F149" s="27"/>
      <c r="G149" s="27"/>
      <c r="H149" s="27"/>
      <c r="I149" s="27"/>
      <c r="J149" s="27"/>
      <c r="K149" s="27"/>
      <c r="L149" s="27"/>
      <c r="M149" s="27"/>
      <c r="N149" s="27"/>
      <c r="O149" s="27"/>
    </row>
    <row r="150" spans="2:15" x14ac:dyDescent="0.3">
      <c r="B150" s="25"/>
      <c r="C150" s="27"/>
      <c r="D150" s="27"/>
      <c r="F150" s="27"/>
      <c r="G150" s="27"/>
      <c r="H150" s="27"/>
      <c r="I150" s="27"/>
      <c r="J150" s="27"/>
      <c r="K150" s="27"/>
      <c r="L150" s="27"/>
      <c r="M150" s="27"/>
      <c r="N150" s="27"/>
      <c r="O150" s="27"/>
    </row>
    <row r="151" spans="2:15" x14ac:dyDescent="0.3">
      <c r="B151" s="25"/>
      <c r="C151" s="27"/>
      <c r="D151" s="27"/>
      <c r="F151" s="27"/>
      <c r="G151" s="27"/>
      <c r="H151" s="27"/>
      <c r="I151" s="27"/>
      <c r="J151" s="27"/>
      <c r="K151" s="27"/>
      <c r="L151" s="27"/>
      <c r="M151" s="27"/>
      <c r="N151" s="27"/>
      <c r="O151" s="27"/>
    </row>
    <row r="152" spans="2:15" x14ac:dyDescent="0.3">
      <c r="B152" s="25"/>
      <c r="C152" s="27"/>
      <c r="D152" s="27"/>
      <c r="F152" s="27"/>
      <c r="G152" s="27"/>
      <c r="H152" s="27"/>
      <c r="I152" s="27"/>
      <c r="J152" s="27"/>
      <c r="K152" s="27"/>
      <c r="L152" s="27"/>
      <c r="M152" s="27"/>
      <c r="N152" s="27"/>
      <c r="O152" s="27"/>
    </row>
    <row r="153" spans="2:15" x14ac:dyDescent="0.3">
      <c r="B153" s="25"/>
      <c r="C153" s="27"/>
      <c r="D153" s="27"/>
      <c r="F153" s="27"/>
      <c r="G153" s="27"/>
      <c r="H153" s="27"/>
      <c r="I153" s="27"/>
      <c r="J153" s="27"/>
      <c r="K153" s="27"/>
      <c r="L153" s="27"/>
      <c r="M153" s="27"/>
      <c r="N153" s="27"/>
      <c r="O153" s="27"/>
    </row>
    <row r="154" spans="2:15" x14ac:dyDescent="0.3">
      <c r="B154" s="25"/>
      <c r="C154" s="27"/>
      <c r="D154" s="27"/>
      <c r="F154" s="27"/>
      <c r="G154" s="27"/>
      <c r="H154" s="27"/>
      <c r="I154" s="27"/>
      <c r="J154" s="27"/>
      <c r="K154" s="27"/>
      <c r="L154" s="27"/>
      <c r="M154" s="27"/>
      <c r="N154" s="27"/>
      <c r="O154" s="27"/>
    </row>
    <row r="155" spans="2:15" x14ac:dyDescent="0.3">
      <c r="B155" s="25"/>
      <c r="C155" s="27"/>
      <c r="D155" s="27"/>
      <c r="F155" s="27"/>
      <c r="G155" s="27"/>
      <c r="H155" s="27"/>
      <c r="I155" s="27"/>
      <c r="J155" s="27"/>
      <c r="K155" s="27"/>
      <c r="L155" s="27"/>
      <c r="M155" s="27"/>
      <c r="N155" s="27"/>
      <c r="O155" s="27"/>
    </row>
    <row r="156" spans="2:15" x14ac:dyDescent="0.3">
      <c r="B156" s="25"/>
      <c r="C156" s="27"/>
      <c r="D156" s="27"/>
      <c r="F156" s="27"/>
      <c r="G156" s="27"/>
      <c r="H156" s="27"/>
      <c r="I156" s="27"/>
      <c r="J156" s="27"/>
      <c r="K156" s="27"/>
      <c r="L156" s="27"/>
      <c r="M156" s="27"/>
      <c r="N156" s="27"/>
      <c r="O156" s="27"/>
    </row>
    <row r="157" spans="2:15" x14ac:dyDescent="0.3">
      <c r="B157" s="25"/>
      <c r="C157" s="27"/>
      <c r="D157" s="27"/>
      <c r="F157" s="27"/>
      <c r="G157" s="27"/>
      <c r="H157" s="27"/>
      <c r="I157" s="27"/>
      <c r="J157" s="27"/>
      <c r="K157" s="27"/>
      <c r="L157" s="27"/>
      <c r="M157" s="27"/>
      <c r="N157" s="27"/>
      <c r="O157" s="27"/>
    </row>
    <row r="158" spans="2:15" x14ac:dyDescent="0.3">
      <c r="B158" s="25"/>
      <c r="C158" s="27"/>
      <c r="D158" s="27"/>
      <c r="F158" s="27"/>
      <c r="G158" s="27"/>
      <c r="H158" s="27"/>
      <c r="I158" s="27"/>
      <c r="J158" s="27"/>
      <c r="K158" s="27"/>
      <c r="L158" s="27"/>
      <c r="M158" s="27"/>
      <c r="N158" s="27"/>
      <c r="O158" s="27"/>
    </row>
    <row r="159" spans="2:15" x14ac:dyDescent="0.3">
      <c r="B159" s="25"/>
      <c r="C159" s="27"/>
      <c r="D159" s="27"/>
      <c r="F159" s="27"/>
      <c r="G159" s="27"/>
      <c r="H159" s="27"/>
      <c r="I159" s="27"/>
      <c r="J159" s="27"/>
      <c r="K159" s="27"/>
      <c r="L159" s="27"/>
      <c r="M159" s="27"/>
      <c r="N159" s="27"/>
      <c r="O159" s="27"/>
    </row>
    <row r="160" spans="2:15" x14ac:dyDescent="0.3">
      <c r="B160" s="25"/>
      <c r="C160" s="27"/>
      <c r="D160" s="27"/>
      <c r="F160" s="27"/>
      <c r="G160" s="27"/>
      <c r="H160" s="27"/>
      <c r="I160" s="27"/>
      <c r="J160" s="27"/>
      <c r="K160" s="27"/>
      <c r="L160" s="27"/>
      <c r="M160" s="27"/>
      <c r="N160" s="27"/>
      <c r="O160" s="27"/>
    </row>
    <row r="161" spans="2:15" x14ac:dyDescent="0.3">
      <c r="B161" s="25"/>
      <c r="C161" s="27"/>
      <c r="D161" s="27"/>
      <c r="F161" s="27"/>
      <c r="G161" s="27"/>
      <c r="H161" s="27"/>
      <c r="I161" s="27"/>
      <c r="J161" s="27"/>
      <c r="K161" s="27"/>
      <c r="L161" s="27"/>
      <c r="M161" s="27"/>
      <c r="N161" s="27"/>
      <c r="O161" s="27"/>
    </row>
    <row r="162" spans="2:15" x14ac:dyDescent="0.3">
      <c r="B162" s="25"/>
      <c r="C162" s="27"/>
      <c r="D162" s="27"/>
      <c r="F162" s="27"/>
      <c r="G162" s="27"/>
      <c r="H162" s="27"/>
      <c r="I162" s="27"/>
      <c r="J162" s="27"/>
      <c r="K162" s="27"/>
      <c r="L162" s="27"/>
      <c r="M162" s="27"/>
      <c r="N162" s="27"/>
      <c r="O162" s="27"/>
    </row>
    <row r="163" spans="2:15" x14ac:dyDescent="0.3">
      <c r="B163" s="25"/>
      <c r="C163" s="27"/>
      <c r="D163" s="27"/>
      <c r="F163" s="27"/>
      <c r="G163" s="27"/>
      <c r="H163" s="27"/>
      <c r="I163" s="27"/>
      <c r="J163" s="27"/>
      <c r="K163" s="27"/>
      <c r="L163" s="27"/>
      <c r="M163" s="27"/>
      <c r="N163" s="27"/>
      <c r="O163" s="27"/>
    </row>
    <row r="164" spans="2:15" x14ac:dyDescent="0.3">
      <c r="B164" s="25"/>
      <c r="C164" s="27"/>
      <c r="D164" s="27"/>
      <c r="F164" s="27"/>
      <c r="G164" s="27"/>
      <c r="H164" s="27"/>
      <c r="I164" s="27"/>
      <c r="J164" s="27"/>
      <c r="K164" s="27"/>
      <c r="L164" s="27"/>
      <c r="M164" s="27"/>
      <c r="N164" s="27"/>
      <c r="O164" s="27"/>
    </row>
    <row r="165" spans="2:15" x14ac:dyDescent="0.3">
      <c r="B165" s="25"/>
      <c r="C165" s="27"/>
      <c r="D165" s="27"/>
      <c r="F165" s="27"/>
      <c r="G165" s="27"/>
      <c r="H165" s="27"/>
      <c r="I165" s="27"/>
      <c r="J165" s="27"/>
      <c r="K165" s="27"/>
      <c r="L165" s="27"/>
      <c r="M165" s="27"/>
      <c r="N165" s="27"/>
      <c r="O165" s="27"/>
    </row>
    <row r="166" spans="2:15" x14ac:dyDescent="0.3">
      <c r="B166" s="25"/>
      <c r="C166" s="27"/>
      <c r="D166" s="27"/>
      <c r="F166" s="27"/>
      <c r="G166" s="27"/>
      <c r="H166" s="27"/>
      <c r="I166" s="27"/>
      <c r="J166" s="27"/>
      <c r="K166" s="27"/>
      <c r="L166" s="27"/>
      <c r="M166" s="27"/>
      <c r="N166" s="27"/>
      <c r="O166" s="27"/>
    </row>
    <row r="167" spans="2:15" x14ac:dyDescent="0.3">
      <c r="B167" s="25"/>
      <c r="C167" s="27"/>
      <c r="D167" s="27"/>
      <c r="F167" s="27"/>
      <c r="G167" s="27"/>
      <c r="H167" s="27"/>
      <c r="I167" s="27"/>
      <c r="J167" s="27"/>
      <c r="K167" s="27"/>
      <c r="L167" s="27"/>
      <c r="M167" s="27"/>
      <c r="N167" s="27"/>
      <c r="O167" s="27"/>
    </row>
    <row r="168" spans="2:15" x14ac:dyDescent="0.3">
      <c r="B168" s="25"/>
      <c r="C168" s="27"/>
      <c r="D168" s="27"/>
      <c r="F168" s="27"/>
      <c r="G168" s="27"/>
      <c r="H168" s="27"/>
      <c r="I168" s="27"/>
      <c r="J168" s="27"/>
      <c r="K168" s="27"/>
      <c r="L168" s="27"/>
      <c r="M168" s="27"/>
      <c r="N168" s="27"/>
      <c r="O168" s="27"/>
    </row>
    <row r="169" spans="2:15" x14ac:dyDescent="0.3">
      <c r="B169" s="25"/>
      <c r="C169" s="27"/>
      <c r="D169" s="27"/>
      <c r="F169" s="27"/>
      <c r="G169" s="27"/>
      <c r="H169" s="27"/>
      <c r="I169" s="27"/>
      <c r="J169" s="27"/>
      <c r="K169" s="27"/>
      <c r="L169" s="27"/>
      <c r="M169" s="27"/>
      <c r="N169" s="27"/>
      <c r="O169" s="27"/>
    </row>
    <row r="170" spans="2:15" x14ac:dyDescent="0.3">
      <c r="B170" s="25"/>
      <c r="C170" s="27"/>
      <c r="D170" s="27"/>
      <c r="F170" s="27"/>
      <c r="G170" s="27"/>
      <c r="H170" s="27"/>
      <c r="I170" s="27"/>
      <c r="J170" s="27"/>
      <c r="K170" s="27"/>
      <c r="L170" s="27"/>
      <c r="M170" s="27"/>
      <c r="N170" s="27"/>
      <c r="O170" s="27"/>
    </row>
    <row r="171" spans="2:15" x14ac:dyDescent="0.3">
      <c r="B171" s="25"/>
      <c r="C171" s="27"/>
      <c r="D171" s="27"/>
      <c r="F171" s="27"/>
      <c r="G171" s="27"/>
      <c r="H171" s="27"/>
      <c r="I171" s="27"/>
      <c r="J171" s="27"/>
      <c r="K171" s="27"/>
      <c r="L171" s="27"/>
      <c r="M171" s="27"/>
      <c r="N171" s="27"/>
      <c r="O171" s="27"/>
    </row>
    <row r="172" spans="2:15" x14ac:dyDescent="0.3">
      <c r="B172" s="25"/>
      <c r="C172" s="27"/>
      <c r="D172" s="27"/>
      <c r="F172" s="27"/>
      <c r="G172" s="27"/>
      <c r="H172" s="27"/>
      <c r="I172" s="27"/>
      <c r="J172" s="27"/>
      <c r="K172" s="27"/>
      <c r="L172" s="27"/>
      <c r="M172" s="27"/>
      <c r="N172" s="27"/>
      <c r="O172" s="27"/>
    </row>
    <row r="173" spans="2:15" x14ac:dyDescent="0.3">
      <c r="B173" s="25"/>
      <c r="C173" s="27"/>
      <c r="D173" s="27"/>
      <c r="F173" s="27"/>
      <c r="G173" s="27"/>
      <c r="H173" s="27"/>
      <c r="I173" s="27"/>
      <c r="J173" s="27"/>
      <c r="K173" s="27"/>
      <c r="L173" s="27"/>
      <c r="M173" s="27"/>
      <c r="N173" s="27"/>
      <c r="O173" s="27"/>
    </row>
    <row r="174" spans="2:15" x14ac:dyDescent="0.3">
      <c r="B174" s="25"/>
      <c r="C174" s="27"/>
      <c r="D174" s="27"/>
      <c r="F174" s="27"/>
      <c r="G174" s="27"/>
      <c r="H174" s="27"/>
      <c r="I174" s="27"/>
      <c r="J174" s="27"/>
      <c r="K174" s="27"/>
      <c r="L174" s="27"/>
      <c r="M174" s="27"/>
      <c r="N174" s="27"/>
      <c r="O174" s="27"/>
    </row>
    <row r="175" spans="2:15" x14ac:dyDescent="0.3">
      <c r="B175" s="25"/>
      <c r="C175" s="27"/>
      <c r="D175" s="27"/>
      <c r="F175" s="27"/>
      <c r="G175" s="27"/>
      <c r="H175" s="27"/>
      <c r="I175" s="27"/>
      <c r="J175" s="27"/>
      <c r="K175" s="27"/>
      <c r="L175" s="27"/>
      <c r="M175" s="27"/>
      <c r="N175" s="27"/>
      <c r="O175" s="27"/>
    </row>
    <row r="176" spans="2:15" x14ac:dyDescent="0.3">
      <c r="B176" s="25"/>
      <c r="C176" s="27"/>
      <c r="D176" s="27"/>
      <c r="F176" s="27"/>
      <c r="G176" s="27"/>
      <c r="H176" s="27"/>
      <c r="I176" s="27"/>
      <c r="J176" s="27"/>
      <c r="K176" s="27"/>
      <c r="L176" s="27"/>
      <c r="M176" s="27"/>
      <c r="N176" s="27"/>
      <c r="O176" s="27"/>
    </row>
    <row r="177" spans="2:15" x14ac:dyDescent="0.3">
      <c r="B177" s="25"/>
      <c r="C177" s="27"/>
      <c r="D177" s="27"/>
      <c r="F177" s="27"/>
      <c r="G177" s="27"/>
      <c r="H177" s="27"/>
      <c r="I177" s="27"/>
      <c r="J177" s="27"/>
      <c r="K177" s="27"/>
      <c r="L177" s="27"/>
      <c r="M177" s="27"/>
      <c r="N177" s="27"/>
      <c r="O177" s="27"/>
    </row>
    <row r="178" spans="2:15" x14ac:dyDescent="0.3">
      <c r="B178" s="25"/>
      <c r="C178" s="27"/>
      <c r="D178" s="27"/>
      <c r="F178" s="27"/>
      <c r="G178" s="27"/>
      <c r="H178" s="27"/>
      <c r="I178" s="27"/>
      <c r="J178" s="27"/>
      <c r="K178" s="27"/>
      <c r="L178" s="27"/>
      <c r="M178" s="27"/>
      <c r="N178" s="27"/>
      <c r="O178" s="27"/>
    </row>
    <row r="179" spans="2:15" x14ac:dyDescent="0.3">
      <c r="B179" s="25"/>
      <c r="C179" s="27"/>
      <c r="D179" s="27"/>
      <c r="F179" s="27"/>
      <c r="G179" s="27"/>
      <c r="H179" s="27"/>
      <c r="I179" s="27"/>
      <c r="J179" s="27"/>
      <c r="K179" s="27"/>
      <c r="L179" s="27"/>
      <c r="M179" s="27"/>
      <c r="N179" s="27"/>
      <c r="O179" s="27"/>
    </row>
    <row r="180" spans="2:15" x14ac:dyDescent="0.3">
      <c r="B180" s="25"/>
      <c r="C180" s="27"/>
      <c r="D180" s="27"/>
      <c r="F180" s="27"/>
      <c r="G180" s="27"/>
      <c r="H180" s="27"/>
      <c r="I180" s="27"/>
      <c r="J180" s="27"/>
      <c r="K180" s="27"/>
      <c r="L180" s="27"/>
      <c r="M180" s="27"/>
      <c r="N180" s="27"/>
      <c r="O180" s="27"/>
    </row>
    <row r="181" spans="2:15" x14ac:dyDescent="0.3">
      <c r="B181" s="25"/>
      <c r="C181" s="27"/>
      <c r="D181" s="27"/>
      <c r="F181" s="27"/>
      <c r="G181" s="27"/>
      <c r="H181" s="27"/>
      <c r="I181" s="27"/>
      <c r="J181" s="27"/>
      <c r="K181" s="27"/>
      <c r="L181" s="27"/>
      <c r="M181" s="27"/>
      <c r="N181" s="27"/>
      <c r="O181" s="27"/>
    </row>
    <row r="182" spans="2:15" x14ac:dyDescent="0.3">
      <c r="B182" s="25"/>
      <c r="C182" s="27"/>
      <c r="D182" s="27"/>
      <c r="F182" s="27"/>
      <c r="G182" s="27"/>
      <c r="H182" s="27"/>
      <c r="I182" s="27"/>
      <c r="J182" s="27"/>
      <c r="K182" s="27"/>
      <c r="L182" s="27"/>
      <c r="M182" s="27"/>
      <c r="N182" s="27"/>
      <c r="O182" s="27"/>
    </row>
    <row r="183" spans="2:15" x14ac:dyDescent="0.3">
      <c r="B183" s="25"/>
      <c r="C183" s="27"/>
      <c r="D183" s="27"/>
      <c r="F183" s="27"/>
      <c r="G183" s="27"/>
      <c r="H183" s="27"/>
      <c r="I183" s="27"/>
      <c r="J183" s="27"/>
      <c r="K183" s="27"/>
      <c r="L183" s="27"/>
      <c r="M183" s="27"/>
      <c r="N183" s="27"/>
      <c r="O183" s="27"/>
    </row>
    <row r="184" spans="2:15" x14ac:dyDescent="0.3">
      <c r="B184" s="25"/>
      <c r="C184" s="27"/>
      <c r="D184" s="27"/>
      <c r="F184" s="27"/>
      <c r="G184" s="27"/>
      <c r="H184" s="27"/>
      <c r="I184" s="27"/>
      <c r="J184" s="27"/>
      <c r="K184" s="27"/>
      <c r="L184" s="27"/>
      <c r="M184" s="27"/>
      <c r="N184" s="27"/>
      <c r="O184" s="27"/>
    </row>
    <row r="185" spans="2:15" x14ac:dyDescent="0.3">
      <c r="B185" s="25"/>
      <c r="C185" s="27"/>
      <c r="D185" s="27"/>
      <c r="F185" s="27"/>
      <c r="G185" s="27"/>
      <c r="H185" s="27"/>
      <c r="I185" s="27"/>
      <c r="J185" s="27"/>
      <c r="K185" s="27"/>
      <c r="L185" s="27"/>
      <c r="M185" s="27"/>
      <c r="N185" s="27"/>
      <c r="O185" s="27"/>
    </row>
    <row r="186" spans="2:15" x14ac:dyDescent="0.3">
      <c r="B186" s="25"/>
      <c r="C186" s="27"/>
      <c r="D186" s="27"/>
      <c r="F186" s="27"/>
      <c r="G186" s="27"/>
      <c r="H186" s="27"/>
      <c r="I186" s="27"/>
      <c r="J186" s="27"/>
      <c r="K186" s="27"/>
      <c r="L186" s="27"/>
      <c r="M186" s="27"/>
      <c r="N186" s="27"/>
      <c r="O186" s="27"/>
    </row>
    <row r="187" spans="2:15" x14ac:dyDescent="0.3">
      <c r="B187" s="25"/>
      <c r="C187" s="27"/>
      <c r="D187" s="27"/>
      <c r="F187" s="27"/>
      <c r="G187" s="27"/>
      <c r="H187" s="27"/>
      <c r="I187" s="27"/>
      <c r="J187" s="27"/>
      <c r="K187" s="27"/>
      <c r="L187" s="27"/>
      <c r="M187" s="27"/>
      <c r="N187" s="27"/>
      <c r="O187" s="27"/>
    </row>
    <row r="188" spans="2:15" x14ac:dyDescent="0.3">
      <c r="B188" s="25"/>
      <c r="C188" s="27"/>
      <c r="D188" s="27"/>
      <c r="F188" s="27"/>
      <c r="G188" s="27"/>
      <c r="H188" s="27"/>
      <c r="I188" s="27"/>
      <c r="J188" s="27"/>
      <c r="K188" s="27"/>
      <c r="L188" s="27"/>
      <c r="M188" s="27"/>
      <c r="N188" s="27"/>
      <c r="O188" s="27"/>
    </row>
    <row r="189" spans="2:15" x14ac:dyDescent="0.3">
      <c r="B189" s="25"/>
      <c r="C189" s="27"/>
      <c r="D189" s="27"/>
      <c r="F189" s="27"/>
      <c r="G189" s="27"/>
      <c r="H189" s="27"/>
      <c r="I189" s="27"/>
      <c r="J189" s="27"/>
      <c r="K189" s="27"/>
      <c r="L189" s="27"/>
      <c r="M189" s="27"/>
      <c r="N189" s="27"/>
      <c r="O189" s="27"/>
    </row>
    <row r="190" spans="2:15" x14ac:dyDescent="0.3">
      <c r="B190" s="25"/>
      <c r="C190" s="27"/>
      <c r="D190" s="27"/>
      <c r="F190" s="27"/>
      <c r="G190" s="27"/>
      <c r="H190" s="27"/>
      <c r="I190" s="27"/>
      <c r="J190" s="27"/>
      <c r="K190" s="27"/>
      <c r="L190" s="27"/>
      <c r="M190" s="27"/>
      <c r="N190" s="27"/>
      <c r="O190" s="27"/>
    </row>
    <row r="191" spans="2:15" x14ac:dyDescent="0.3">
      <c r="B191" s="25"/>
      <c r="C191" s="27"/>
      <c r="D191" s="27"/>
      <c r="F191" s="27"/>
      <c r="G191" s="27"/>
      <c r="H191" s="27"/>
      <c r="I191" s="27"/>
      <c r="J191" s="27"/>
      <c r="K191" s="27"/>
      <c r="L191" s="27"/>
      <c r="M191" s="27"/>
      <c r="N191" s="27"/>
      <c r="O191" s="27"/>
    </row>
    <row r="192" spans="2:15" x14ac:dyDescent="0.3">
      <c r="B192" s="25"/>
      <c r="C192" s="27"/>
      <c r="D192" s="27"/>
      <c r="F192" s="27"/>
      <c r="G192" s="27"/>
      <c r="H192" s="27"/>
      <c r="I192" s="27"/>
      <c r="J192" s="27"/>
      <c r="K192" s="27"/>
      <c r="L192" s="27"/>
      <c r="M192" s="27"/>
      <c r="N192" s="27"/>
      <c r="O192" s="27"/>
    </row>
    <row r="193" spans="2:15" x14ac:dyDescent="0.3">
      <c r="B193" s="25"/>
      <c r="C193" s="27"/>
      <c r="D193" s="27"/>
      <c r="F193" s="27"/>
      <c r="G193" s="27"/>
      <c r="H193" s="27"/>
      <c r="I193" s="27"/>
      <c r="J193" s="27"/>
      <c r="K193" s="27"/>
      <c r="L193" s="27"/>
      <c r="M193" s="27"/>
      <c r="N193" s="27"/>
      <c r="O193" s="27"/>
    </row>
    <row r="194" spans="2:15" x14ac:dyDescent="0.3">
      <c r="B194" s="25"/>
      <c r="C194" s="27"/>
      <c r="D194" s="27"/>
      <c r="F194" s="27"/>
      <c r="G194" s="27"/>
      <c r="H194" s="27"/>
      <c r="I194" s="27"/>
      <c r="J194" s="27"/>
      <c r="K194" s="27"/>
      <c r="L194" s="27"/>
      <c r="M194" s="27"/>
      <c r="N194" s="27"/>
      <c r="O194" s="27"/>
    </row>
    <row r="195" spans="2:15" x14ac:dyDescent="0.3">
      <c r="B195" s="25"/>
      <c r="C195" s="27"/>
      <c r="D195" s="27"/>
      <c r="F195" s="27"/>
      <c r="G195" s="27"/>
      <c r="H195" s="27"/>
      <c r="I195" s="27"/>
      <c r="J195" s="27"/>
      <c r="K195" s="27"/>
      <c r="L195" s="27"/>
      <c r="M195" s="27"/>
      <c r="N195" s="27"/>
      <c r="O195" s="27"/>
    </row>
    <row r="196" spans="2:15" x14ac:dyDescent="0.3">
      <c r="B196" s="25"/>
      <c r="C196" s="27"/>
      <c r="D196" s="27"/>
      <c r="F196" s="27"/>
      <c r="G196" s="27"/>
      <c r="H196" s="27"/>
      <c r="I196" s="27"/>
      <c r="J196" s="27"/>
      <c r="K196" s="27"/>
      <c r="L196" s="27"/>
      <c r="M196" s="27"/>
      <c r="N196" s="27"/>
      <c r="O196" s="27"/>
    </row>
    <row r="197" spans="2:15" x14ac:dyDescent="0.3">
      <c r="B197" s="25"/>
      <c r="C197" s="27"/>
      <c r="D197" s="27"/>
      <c r="F197" s="27"/>
      <c r="G197" s="27"/>
      <c r="H197" s="27"/>
      <c r="I197" s="27"/>
      <c r="J197" s="27"/>
      <c r="K197" s="27"/>
      <c r="L197" s="27"/>
      <c r="M197" s="27"/>
      <c r="N197" s="27"/>
      <c r="O197" s="27"/>
    </row>
    <row r="198" spans="2:15" x14ac:dyDescent="0.3">
      <c r="B198" s="25"/>
      <c r="C198" s="27"/>
      <c r="D198" s="27"/>
      <c r="F198" s="27"/>
      <c r="G198" s="27"/>
      <c r="H198" s="27"/>
      <c r="I198" s="27"/>
      <c r="J198" s="27"/>
      <c r="K198" s="27"/>
      <c r="L198" s="27"/>
      <c r="M198" s="27"/>
      <c r="N198" s="27"/>
      <c r="O198" s="27"/>
    </row>
    <row r="199" spans="2:15" x14ac:dyDescent="0.3">
      <c r="B199" s="25"/>
      <c r="C199" s="27"/>
      <c r="D199" s="27"/>
      <c r="F199" s="27"/>
      <c r="G199" s="27"/>
      <c r="H199" s="27"/>
      <c r="I199" s="27"/>
      <c r="J199" s="27"/>
      <c r="K199" s="27"/>
      <c r="L199" s="27"/>
      <c r="M199" s="27"/>
      <c r="N199" s="27"/>
      <c r="O199" s="27"/>
    </row>
    <row r="200" spans="2:15" x14ac:dyDescent="0.3">
      <c r="B200" s="25"/>
      <c r="C200" s="27"/>
      <c r="D200" s="27"/>
      <c r="F200" s="27"/>
      <c r="G200" s="27"/>
      <c r="H200" s="27"/>
      <c r="I200" s="27"/>
      <c r="J200" s="27"/>
      <c r="K200" s="27"/>
      <c r="L200" s="27"/>
      <c r="M200" s="27"/>
      <c r="N200" s="27"/>
      <c r="O200" s="27"/>
    </row>
    <row r="201" spans="2:15" x14ac:dyDescent="0.3">
      <c r="B201" s="25"/>
      <c r="C201" s="27"/>
      <c r="D201" s="27"/>
      <c r="F201" s="27"/>
      <c r="G201" s="27"/>
      <c r="H201" s="27"/>
      <c r="I201" s="27"/>
      <c r="J201" s="27"/>
      <c r="K201" s="27"/>
      <c r="L201" s="27"/>
      <c r="M201" s="27"/>
      <c r="N201" s="27"/>
      <c r="O201" s="27"/>
    </row>
    <row r="202" spans="2:15" x14ac:dyDescent="0.3">
      <c r="B202" s="25"/>
      <c r="C202" s="27"/>
      <c r="D202" s="27"/>
      <c r="F202" s="27"/>
      <c r="G202" s="27"/>
      <c r="H202" s="27"/>
      <c r="I202" s="27"/>
      <c r="J202" s="27"/>
      <c r="K202" s="27"/>
      <c r="L202" s="27"/>
      <c r="M202" s="27"/>
      <c r="N202" s="27"/>
      <c r="O202" s="27"/>
    </row>
    <row r="203" spans="2:15" x14ac:dyDescent="0.3">
      <c r="B203" s="25"/>
      <c r="C203" s="27"/>
      <c r="D203" s="27"/>
      <c r="F203" s="27"/>
      <c r="G203" s="27"/>
      <c r="H203" s="27"/>
      <c r="I203" s="27"/>
      <c r="J203" s="27"/>
      <c r="K203" s="27"/>
      <c r="L203" s="27"/>
      <c r="M203" s="27"/>
      <c r="N203" s="27"/>
      <c r="O203" s="27"/>
    </row>
    <row r="204" spans="2:15" x14ac:dyDescent="0.3">
      <c r="B204" s="25"/>
      <c r="C204" s="27"/>
      <c r="D204" s="27"/>
      <c r="F204" s="27"/>
      <c r="G204" s="27"/>
      <c r="H204" s="27"/>
      <c r="I204" s="27"/>
      <c r="J204" s="27"/>
      <c r="K204" s="27"/>
      <c r="L204" s="27"/>
      <c r="M204" s="27"/>
      <c r="N204" s="27"/>
      <c r="O204" s="27"/>
    </row>
    <row r="205" spans="2:15" x14ac:dyDescent="0.3">
      <c r="B205" s="25"/>
      <c r="C205" s="27"/>
      <c r="D205" s="27"/>
      <c r="F205" s="27"/>
      <c r="G205" s="27"/>
      <c r="H205" s="27"/>
      <c r="I205" s="27"/>
      <c r="J205" s="27"/>
      <c r="K205" s="27"/>
      <c r="L205" s="27"/>
      <c r="M205" s="27"/>
      <c r="N205" s="27"/>
      <c r="O205" s="27"/>
    </row>
    <row r="206" spans="2:15" x14ac:dyDescent="0.3">
      <c r="B206" s="25"/>
      <c r="C206" s="27"/>
      <c r="D206" s="27"/>
      <c r="F206" s="27"/>
      <c r="G206" s="27"/>
      <c r="H206" s="27"/>
      <c r="I206" s="27"/>
      <c r="J206" s="27"/>
      <c r="K206" s="27"/>
      <c r="L206" s="27"/>
      <c r="M206" s="27"/>
      <c r="N206" s="27"/>
      <c r="O206" s="27"/>
    </row>
    <row r="207" spans="2:15" x14ac:dyDescent="0.3">
      <c r="B207" s="25"/>
      <c r="C207" s="27"/>
      <c r="D207" s="27"/>
      <c r="F207" s="27"/>
      <c r="G207" s="27"/>
      <c r="H207" s="27"/>
      <c r="I207" s="27"/>
      <c r="J207" s="27"/>
      <c r="K207" s="27"/>
      <c r="L207" s="27"/>
      <c r="M207" s="27"/>
      <c r="N207" s="27"/>
      <c r="O207" s="27"/>
    </row>
    <row r="208" spans="2:15" x14ac:dyDescent="0.3">
      <c r="B208" s="25"/>
      <c r="C208" s="27"/>
      <c r="D208" s="27"/>
      <c r="F208" s="27"/>
      <c r="G208" s="27"/>
      <c r="H208" s="27"/>
      <c r="I208" s="27"/>
      <c r="J208" s="27"/>
      <c r="K208" s="27"/>
      <c r="L208" s="27"/>
      <c r="M208" s="27"/>
      <c r="N208" s="27"/>
      <c r="O208" s="27"/>
    </row>
    <row r="209" spans="2:15" x14ac:dyDescent="0.3">
      <c r="B209" s="25"/>
      <c r="C209" s="27"/>
      <c r="D209" s="27"/>
      <c r="F209" s="27"/>
      <c r="G209" s="27"/>
      <c r="H209" s="27"/>
      <c r="I209" s="27"/>
      <c r="J209" s="27"/>
      <c r="K209" s="27"/>
      <c r="L209" s="27"/>
      <c r="M209" s="27"/>
      <c r="N209" s="27"/>
      <c r="O209" s="27"/>
    </row>
    <row r="210" spans="2:15" x14ac:dyDescent="0.3">
      <c r="B210" s="25"/>
      <c r="C210" s="27"/>
      <c r="D210" s="27"/>
      <c r="F210" s="27"/>
      <c r="G210" s="27"/>
      <c r="H210" s="27"/>
      <c r="I210" s="27"/>
      <c r="J210" s="27"/>
      <c r="K210" s="27"/>
      <c r="L210" s="27"/>
      <c r="M210" s="27"/>
      <c r="N210" s="27"/>
      <c r="O210" s="27"/>
    </row>
    <row r="211" spans="2:15" x14ac:dyDescent="0.3">
      <c r="B211" s="25"/>
      <c r="C211" s="27"/>
      <c r="D211" s="27"/>
      <c r="F211" s="27"/>
      <c r="G211" s="27"/>
      <c r="H211" s="27"/>
      <c r="I211" s="27"/>
      <c r="J211" s="27"/>
      <c r="K211" s="27"/>
      <c r="L211" s="27"/>
      <c r="M211" s="27"/>
      <c r="N211" s="27"/>
      <c r="O211" s="27"/>
    </row>
  </sheetData>
  <mergeCells count="4">
    <mergeCell ref="B9:B10"/>
    <mergeCell ref="C9:C10"/>
    <mergeCell ref="D9:D10"/>
    <mergeCell ref="H3:N6"/>
  </mergeCells>
  <dataValidations count="3">
    <dataValidation type="list" allowBlank="1" showInputMessage="1" showErrorMessage="1" sqref="F5">
      <formula1>Periods</formula1>
    </dataValidation>
    <dataValidation type="list" allowBlank="1" showInputMessage="1" showErrorMessage="1" sqref="F3">
      <formula1>CompaniesTemplate</formula1>
    </dataValidation>
    <dataValidation type="list" allowBlank="1" showInputMessage="1" sqref="F4">
      <formula1>FiscalYearsTemplate</formula1>
    </dataValidation>
  </dataValidations>
  <hyperlinks>
    <hyperlink ref="B2" location="Home!A1" tooltip="Click to navigate to the Home sheet." display="ß"/>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outlinePr summaryBelow="0"/>
  </sheetPr>
  <dimension ref="B1:N20"/>
  <sheetViews>
    <sheetView showGridLines="0" zoomScale="90" zoomScaleNormal="90" workbookViewId="0"/>
  </sheetViews>
  <sheetFormatPr defaultRowHeight="16.5" x14ac:dyDescent="0.3"/>
  <cols>
    <col min="1" max="1" width="2.85546875" style="12" customWidth="1"/>
    <col min="2" max="2" width="11.140625" style="11" bestFit="1" customWidth="1"/>
    <col min="3" max="3" width="39" style="12" customWidth="1"/>
    <col min="4" max="4" width="9.28515625" style="12" customWidth="1"/>
    <col min="5" max="5" width="1.28515625" style="12" customWidth="1"/>
    <col min="6" max="7" width="18.140625" style="12" customWidth="1"/>
    <col min="8" max="8" width="1.85546875" style="12" customWidth="1"/>
    <col min="9" max="10" width="18.140625" style="12" customWidth="1"/>
    <col min="11" max="11" width="1.85546875" style="12" customWidth="1"/>
    <col min="12" max="13" width="18.140625" style="12" customWidth="1"/>
    <col min="14" max="16384" width="9.140625" style="12"/>
  </cols>
  <sheetData>
    <row r="1" spans="2:14" ht="15" customHeight="1" x14ac:dyDescent="0.3"/>
    <row r="2" spans="2:14" ht="33.75" customHeight="1" x14ac:dyDescent="0.7">
      <c r="B2" s="91" t="s">
        <v>154</v>
      </c>
      <c r="C2" s="13" t="str">
        <f>CONCATENATE(F4," Income Statement")</f>
        <v>0 Income Statement</v>
      </c>
      <c r="D2" s="13"/>
      <c r="E2" s="13"/>
    </row>
    <row r="3" spans="2:14" ht="16.5" customHeight="1" x14ac:dyDescent="0.3">
      <c r="I3" s="128" t="s">
        <v>170</v>
      </c>
      <c r="J3" s="128"/>
      <c r="K3" s="128"/>
      <c r="L3" s="128"/>
      <c r="M3" s="128"/>
    </row>
    <row r="4" spans="2:14" x14ac:dyDescent="0.3">
      <c r="C4" s="14" t="s">
        <v>26</v>
      </c>
      <c r="D4" s="14"/>
      <c r="E4" s="14"/>
      <c r="F4" s="68">
        <f>INDEX(Companies,1)</f>
        <v>0</v>
      </c>
      <c r="I4" s="128"/>
      <c r="J4" s="128"/>
      <c r="K4" s="128"/>
      <c r="L4" s="128"/>
      <c r="M4" s="128"/>
    </row>
    <row r="5" spans="2:14" x14ac:dyDescent="0.3">
      <c r="C5" s="14" t="s">
        <v>25</v>
      </c>
      <c r="D5" s="14"/>
      <c r="E5" s="14"/>
      <c r="F5" s="78">
        <f>CHOOSE(B, "GLCurrentPeriod(" &amp; $F$4 &amp; ")", CellContents, 1)</f>
        <v>1</v>
      </c>
      <c r="I5" s="128"/>
      <c r="J5" s="128"/>
      <c r="K5" s="128"/>
      <c r="L5" s="128"/>
      <c r="M5" s="128"/>
    </row>
    <row r="6" spans="2:14" x14ac:dyDescent="0.3">
      <c r="C6" s="14" t="s">
        <v>27</v>
      </c>
      <c r="D6" s="14"/>
      <c r="E6" s="14"/>
      <c r="F6" s="78" t="str">
        <f>CHOOSE(B, "GLHomeCurrency(" &amp; $F$4 &amp; ")", CellContents, "CAD")</f>
        <v>CAD</v>
      </c>
      <c r="I6" s="128"/>
      <c r="J6" s="128"/>
      <c r="K6" s="128"/>
      <c r="L6" s="128"/>
      <c r="M6" s="128"/>
    </row>
    <row r="7" spans="2:14" x14ac:dyDescent="0.3">
      <c r="C7" s="14" t="s">
        <v>28</v>
      </c>
      <c r="D7" s="14"/>
      <c r="E7" s="14"/>
      <c r="F7" s="78" t="s">
        <v>29</v>
      </c>
    </row>
    <row r="8" spans="2:14" ht="7.5" customHeight="1" x14ac:dyDescent="0.3">
      <c r="C8" s="16"/>
      <c r="D8" s="16"/>
      <c r="E8" s="16"/>
      <c r="F8" s="17"/>
    </row>
    <row r="9" spans="2:14" x14ac:dyDescent="0.3">
      <c r="B9" s="130" t="s">
        <v>181</v>
      </c>
      <c r="C9" s="135" t="s">
        <v>12</v>
      </c>
      <c r="D9" s="136" t="s">
        <v>182</v>
      </c>
      <c r="F9" s="70">
        <f>CHOOSE(B, "GLCurrentYear(" &amp; $F$4 &amp; ")", CellContents, 2020)</f>
        <v>2020</v>
      </c>
      <c r="G9" s="73"/>
      <c r="H9" s="47"/>
      <c r="I9" s="70">
        <v>2019</v>
      </c>
      <c r="J9" s="75"/>
      <c r="K9" s="47"/>
      <c r="L9" s="127" t="s">
        <v>93</v>
      </c>
      <c r="M9" s="127"/>
    </row>
    <row r="10" spans="2:14" x14ac:dyDescent="0.3">
      <c r="B10" s="130"/>
      <c r="C10" s="135"/>
      <c r="D10" s="136"/>
      <c r="F10" s="48" t="s">
        <v>94</v>
      </c>
      <c r="G10" s="48" t="s">
        <v>95</v>
      </c>
      <c r="H10" s="47"/>
      <c r="I10" s="48" t="s">
        <v>94</v>
      </c>
      <c r="J10" s="48" t="s">
        <v>95</v>
      </c>
      <c r="K10" s="47"/>
      <c r="L10" s="48" t="s">
        <v>94</v>
      </c>
      <c r="M10" s="48" t="s">
        <v>95</v>
      </c>
    </row>
    <row r="11" spans="2:14" ht="7.5" customHeight="1" x14ac:dyDescent="0.3">
      <c r="B11" s="28"/>
      <c r="C11" s="29"/>
      <c r="D11" s="29"/>
      <c r="E11" s="29"/>
      <c r="F11" s="29"/>
      <c r="G11" s="29"/>
      <c r="H11" s="29"/>
      <c r="I11" s="29"/>
      <c r="J11" s="29"/>
      <c r="K11" s="29"/>
      <c r="L11" s="29"/>
      <c r="M11" s="29"/>
      <c r="N11" s="29"/>
    </row>
    <row r="12" spans="2:14" x14ac:dyDescent="0.3">
      <c r="B12" s="28">
        <v>4000</v>
      </c>
      <c r="C12" s="29" t="s">
        <v>9</v>
      </c>
      <c r="D12" s="29" t="s">
        <v>30</v>
      </c>
      <c r="F12" s="76">
        <f>CHOOSE(B, "-GLActual(" &amp; $B12 &amp; "," &amp; $F$4 &amp; "," &amp; $F$9 &amp; "," &amp; $F$5 &amp; "," &amp; "AccountGroupCode" &amp; "," &amp; "AccountCategoryCode" &amp; "," &amp; $D12 &amp; "," &amp; "AccountType" &amp; "," &amp; "BalanceType" &amp; "," &amp; $F$6 &amp; "," &amp; $F$7 &amp; ")", CellContents, 280014,85)</f>
        <v>280014</v>
      </c>
      <c r="G12" s="32">
        <f>CHOOSE(B, "-GLActualYTD(" &amp; $B12 &amp; "," &amp; $F$4 &amp; "," &amp; $F$9 &amp; "," &amp; $F$5 &amp; "," &amp; "AccountGroupCode" &amp; "," &amp; "AccountCategoryCode" &amp; "," &amp; $D12 &amp; "," &amp; "AccountType" &amp; "," &amp; "BalanceType" &amp; "," &amp; $F$6 &amp; "," &amp; $F$7 &amp; ")", CellContents, 280014,85)</f>
        <v>280014</v>
      </c>
      <c r="H12" s="32"/>
      <c r="I12" s="76">
        <f>CHOOSE(B, "-GLActual(" &amp; $B12 &amp; "," &amp; $F$4 &amp; "," &amp; $I$9 &amp; "," &amp; $F$5 &amp; "," &amp; "AccountGroupCode" &amp; "," &amp; "AccountCategoryCode" &amp; "," &amp; $D12 &amp; "," &amp; "AccountType" &amp; "," &amp; "BalanceType" &amp; "," &amp; $F$6 &amp; "," &amp; $F$7 &amp; ")", CellContents, 523968,5)</f>
        <v>523968</v>
      </c>
      <c r="J12" s="32">
        <f>CHOOSE(B, "-GLActualYTD(" &amp; $B12 &amp; "," &amp; $F$4 &amp; "," &amp; $I$9 &amp; "," &amp; $F$5 &amp; "," &amp; "AccountGroupCode" &amp; "," &amp; "AccountCategoryCode" &amp; "," &amp; $D12 &amp; "," &amp; "AccountType" &amp; "," &amp; "BalanceType" &amp; "," &amp; $F$6 &amp; "," &amp; $F$7 &amp; ")", CellContents, 523968,5)</f>
        <v>523968</v>
      </c>
      <c r="K12" s="32"/>
      <c r="L12" s="32">
        <f>F12-I12</f>
        <v>-243954</v>
      </c>
      <c r="M12" s="32">
        <f>G12-J12</f>
        <v>-243954</v>
      </c>
      <c r="N12" s="29"/>
    </row>
    <row r="13" spans="2:14" x14ac:dyDescent="0.3">
      <c r="B13" s="28"/>
      <c r="C13" s="29"/>
      <c r="D13" s="29"/>
      <c r="E13" s="29"/>
      <c r="F13" s="29"/>
      <c r="G13" s="29"/>
      <c r="H13" s="29"/>
      <c r="I13" s="29"/>
      <c r="J13" s="29"/>
      <c r="K13" s="29"/>
      <c r="L13" s="29"/>
      <c r="M13" s="29"/>
      <c r="N13" s="29"/>
    </row>
    <row r="14" spans="2:14" x14ac:dyDescent="0.3">
      <c r="B14" s="28"/>
      <c r="C14" s="29"/>
      <c r="D14" s="29"/>
      <c r="E14" s="29"/>
      <c r="F14" s="29"/>
      <c r="G14" s="29"/>
      <c r="H14" s="29"/>
      <c r="I14" s="29"/>
      <c r="J14" s="29"/>
      <c r="K14" s="29"/>
      <c r="L14" s="29"/>
      <c r="M14" s="29"/>
      <c r="N14" s="29"/>
    </row>
    <row r="15" spans="2:14" x14ac:dyDescent="0.3">
      <c r="B15" s="28"/>
      <c r="C15" s="29"/>
      <c r="D15" s="29"/>
      <c r="E15" s="29"/>
      <c r="F15" s="29"/>
      <c r="G15" s="29"/>
      <c r="H15" s="29"/>
      <c r="I15" s="29"/>
      <c r="J15" s="29"/>
      <c r="K15" s="29"/>
      <c r="L15" s="29"/>
      <c r="M15" s="29"/>
      <c r="N15" s="29"/>
    </row>
    <row r="16" spans="2:14" x14ac:dyDescent="0.3">
      <c r="B16" s="28"/>
      <c r="C16" s="29"/>
      <c r="D16" s="29"/>
      <c r="E16" s="29"/>
      <c r="F16" s="29"/>
      <c r="G16" s="29"/>
      <c r="H16" s="29"/>
      <c r="I16" s="29"/>
      <c r="J16" s="29"/>
      <c r="K16" s="29"/>
      <c r="L16" s="29"/>
      <c r="M16" s="29"/>
      <c r="N16" s="29"/>
    </row>
    <row r="17" spans="2:14" x14ac:dyDescent="0.3">
      <c r="B17" s="28"/>
      <c r="C17" s="29"/>
      <c r="D17" s="29"/>
      <c r="E17" s="29"/>
      <c r="F17" s="29"/>
      <c r="G17" s="29"/>
      <c r="H17" s="29"/>
      <c r="I17" s="29"/>
      <c r="J17" s="29"/>
      <c r="K17" s="29"/>
      <c r="L17" s="29"/>
      <c r="M17" s="29"/>
      <c r="N17" s="29"/>
    </row>
    <row r="18" spans="2:14" x14ac:dyDescent="0.3">
      <c r="B18" s="28"/>
      <c r="C18" s="29"/>
      <c r="D18" s="29"/>
      <c r="E18" s="29"/>
      <c r="F18" s="29"/>
      <c r="G18" s="29"/>
      <c r="H18" s="29"/>
      <c r="I18" s="29"/>
      <c r="J18" s="29"/>
      <c r="K18" s="29"/>
      <c r="L18" s="29"/>
      <c r="M18" s="29"/>
      <c r="N18" s="29"/>
    </row>
    <row r="19" spans="2:14" x14ac:dyDescent="0.3">
      <c r="B19" s="28"/>
      <c r="C19" s="29"/>
      <c r="D19" s="29"/>
      <c r="E19" s="29"/>
      <c r="F19" s="29"/>
      <c r="G19" s="29"/>
      <c r="H19" s="29"/>
      <c r="I19" s="29"/>
      <c r="J19" s="29"/>
      <c r="K19" s="29"/>
      <c r="L19" s="29"/>
      <c r="M19" s="29"/>
      <c r="N19" s="29"/>
    </row>
    <row r="20" spans="2:14" x14ac:dyDescent="0.3">
      <c r="B20" s="28"/>
      <c r="C20" s="29"/>
      <c r="D20" s="29"/>
      <c r="E20" s="29"/>
      <c r="F20" s="29"/>
      <c r="G20" s="29"/>
      <c r="H20" s="29"/>
      <c r="I20" s="29"/>
      <c r="J20" s="29"/>
      <c r="K20" s="29"/>
      <c r="L20" s="29"/>
      <c r="M20" s="29"/>
      <c r="N20" s="29"/>
    </row>
  </sheetData>
  <mergeCells count="5">
    <mergeCell ref="L9:M9"/>
    <mergeCell ref="I3:M6"/>
    <mergeCell ref="B9:B10"/>
    <mergeCell ref="C9:C10"/>
    <mergeCell ref="D9:D10"/>
  </mergeCells>
  <dataValidations count="3">
    <dataValidation type="list" allowBlank="1" showInputMessage="1" sqref="I9 F9">
      <formula1>FiscalYearsTemplate</formula1>
    </dataValidation>
    <dataValidation type="list" allowBlank="1" showInputMessage="1" showErrorMessage="1" sqref="F5">
      <formula1>Periods</formula1>
    </dataValidation>
    <dataValidation type="list" allowBlank="1" showInputMessage="1" showErrorMessage="1" sqref="F4">
      <formula1>CompaniesTemplate</formula1>
    </dataValidation>
  </dataValidations>
  <hyperlinks>
    <hyperlink ref="B2" location="Home!A1" tooltip="Click to navigate to the Home sheet." display="ß"/>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outlinePr summaryBelow="0"/>
  </sheetPr>
  <dimension ref="B1:P12"/>
  <sheetViews>
    <sheetView showGridLines="0" zoomScale="90" zoomScaleNormal="90" workbookViewId="0"/>
  </sheetViews>
  <sheetFormatPr defaultRowHeight="16.5" x14ac:dyDescent="0.3"/>
  <cols>
    <col min="1" max="1" width="2.85546875" style="12" customWidth="1"/>
    <col min="2" max="2" width="8.28515625" style="11" customWidth="1"/>
    <col min="3" max="3" width="39" style="12" customWidth="1"/>
    <col min="4" max="4" width="9.7109375" style="12" customWidth="1"/>
    <col min="5" max="5" width="1.28515625" style="12" customWidth="1"/>
    <col min="6" max="6" width="14.5703125" style="12" bestFit="1" customWidth="1"/>
    <col min="7" max="7" width="12.85546875" style="12" bestFit="1" customWidth="1"/>
    <col min="8" max="8" width="1.85546875" style="12" customWidth="1"/>
    <col min="9" max="9" width="14.5703125" style="12" bestFit="1" customWidth="1"/>
    <col min="10" max="10" width="13.85546875" style="12" bestFit="1" customWidth="1"/>
    <col min="11" max="11" width="1.85546875" style="12" customWidth="1"/>
    <col min="12" max="12" width="14.5703125" style="12" bestFit="1" customWidth="1"/>
    <col min="13" max="13" width="14" style="12" bestFit="1" customWidth="1"/>
    <col min="14" max="14" width="9.140625" style="12"/>
    <col min="15" max="16" width="15" style="12" bestFit="1" customWidth="1"/>
    <col min="17" max="16384" width="9.140625" style="12"/>
  </cols>
  <sheetData>
    <row r="1" spans="2:16" ht="15" customHeight="1" x14ac:dyDescent="0.3"/>
    <row r="2" spans="2:16" ht="33.75" customHeight="1" x14ac:dyDescent="0.7">
      <c r="B2" s="91" t="s">
        <v>154</v>
      </c>
      <c r="C2" s="13" t="str">
        <f>CONCATENATE(G4," Trial Balance")</f>
        <v>0 Trial Balance</v>
      </c>
      <c r="D2" s="13"/>
      <c r="E2" s="13"/>
      <c r="F2" s="13"/>
    </row>
    <row r="3" spans="2:16" ht="16.5" customHeight="1" x14ac:dyDescent="0.3">
      <c r="J3" s="128" t="s">
        <v>170</v>
      </c>
      <c r="K3" s="128"/>
      <c r="L3" s="128"/>
      <c r="M3" s="128"/>
      <c r="N3" s="128"/>
      <c r="O3" s="128"/>
    </row>
    <row r="4" spans="2:16" x14ac:dyDescent="0.3">
      <c r="C4" s="14" t="s">
        <v>26</v>
      </c>
      <c r="D4" s="14"/>
      <c r="E4" s="14"/>
      <c r="F4" s="78"/>
      <c r="G4" s="68">
        <f>INDEX(Companies,1)</f>
        <v>0</v>
      </c>
      <c r="I4"/>
      <c r="J4" s="128"/>
      <c r="K4" s="128"/>
      <c r="L4" s="128"/>
      <c r="M4" s="128"/>
      <c r="N4" s="128"/>
      <c r="O4" s="128"/>
    </row>
    <row r="5" spans="2:16" x14ac:dyDescent="0.3">
      <c r="C5" s="14" t="s">
        <v>25</v>
      </c>
      <c r="D5" s="14"/>
      <c r="E5" s="14"/>
      <c r="F5" s="78"/>
      <c r="G5" s="78">
        <f>CHOOSE(B, "GLCurrentPeriod(" &amp; $G$4 &amp; ")", CellContents, 1)</f>
        <v>1</v>
      </c>
      <c r="I5"/>
      <c r="J5" s="128"/>
      <c r="K5" s="128"/>
      <c r="L5" s="128"/>
      <c r="M5" s="128"/>
      <c r="N5" s="128"/>
      <c r="O5" s="128"/>
    </row>
    <row r="6" spans="2:16" x14ac:dyDescent="0.3">
      <c r="C6" s="14" t="s">
        <v>27</v>
      </c>
      <c r="D6" s="14"/>
      <c r="E6" s="14"/>
      <c r="F6" s="78"/>
      <c r="G6" s="78" t="str">
        <f>CHOOSE(B, "GLHomeCurrency(" &amp; $G$4 &amp; ")", CellContents, "CAD")</f>
        <v>CAD</v>
      </c>
      <c r="J6" s="128"/>
      <c r="K6" s="128"/>
      <c r="L6" s="128"/>
      <c r="M6" s="128"/>
      <c r="N6" s="128"/>
      <c r="O6" s="128"/>
    </row>
    <row r="7" spans="2:16" x14ac:dyDescent="0.3">
      <c r="C7" s="14" t="s">
        <v>28</v>
      </c>
      <c r="D7" s="14"/>
      <c r="E7" s="14"/>
      <c r="F7" s="78"/>
      <c r="G7" s="78" t="s">
        <v>29</v>
      </c>
      <c r="J7" s="128"/>
      <c r="K7" s="128"/>
      <c r="L7" s="128"/>
      <c r="M7" s="128"/>
      <c r="N7" s="128"/>
      <c r="O7" s="128"/>
    </row>
    <row r="8" spans="2:16" ht="7.5" customHeight="1" x14ac:dyDescent="0.3">
      <c r="C8" s="16"/>
      <c r="D8" s="16"/>
      <c r="E8" s="16"/>
      <c r="F8" s="16"/>
      <c r="G8" s="17"/>
    </row>
    <row r="9" spans="2:16" ht="16.5" customHeight="1" x14ac:dyDescent="0.3">
      <c r="B9" s="130" t="s">
        <v>181</v>
      </c>
      <c r="C9" s="135" t="s">
        <v>12</v>
      </c>
      <c r="D9" s="136" t="s">
        <v>182</v>
      </c>
      <c r="F9" s="70">
        <f>CHOOSE(B, "GLCurrentYear(" &amp; $G$4 &amp; ")", CellContents, 2020)</f>
        <v>2020</v>
      </c>
      <c r="G9" s="67"/>
      <c r="H9" s="53"/>
      <c r="I9" s="70">
        <v>2019</v>
      </c>
      <c r="J9" s="90"/>
      <c r="K9" s="54"/>
      <c r="L9" s="130" t="s">
        <v>93</v>
      </c>
      <c r="M9" s="130"/>
      <c r="N9" s="55"/>
    </row>
    <row r="10" spans="2:16" ht="16.5" customHeight="1" x14ac:dyDescent="0.3">
      <c r="B10" s="130"/>
      <c r="C10" s="135"/>
      <c r="D10" s="136"/>
      <c r="F10" s="109" t="s">
        <v>94</v>
      </c>
      <c r="G10" s="109" t="s">
        <v>8</v>
      </c>
      <c r="H10" s="53"/>
      <c r="I10" s="109" t="s">
        <v>94</v>
      </c>
      <c r="J10" s="109" t="s">
        <v>8</v>
      </c>
      <c r="K10" s="54"/>
      <c r="L10" s="109" t="s">
        <v>94</v>
      </c>
      <c r="M10" s="109" t="s">
        <v>8</v>
      </c>
      <c r="N10" s="55"/>
    </row>
    <row r="11" spans="2:16" ht="7.5" customHeight="1" x14ac:dyDescent="0.3"/>
    <row r="12" spans="2:16" s="27" customFormat="1" ht="15" customHeight="1" x14ac:dyDescent="0.25">
      <c r="B12" s="28">
        <v>1000</v>
      </c>
      <c r="C12" s="29" t="s">
        <v>31</v>
      </c>
      <c r="D12" s="29" t="s">
        <v>30</v>
      </c>
      <c r="E12" s="29"/>
      <c r="F12" s="32">
        <f>CHOOSE(B, "GLActual(" &amp; $B12 &amp; "," &amp; $G$4 &amp; "," &amp; $F$9 &amp; "," &amp; $G$5 &amp; "," &amp; "AccountGroupCode" &amp; "," &amp; "AccountCategoryCode" &amp; "," &amp; $D12 &amp; "," &amp; "AccountType" &amp; "," &amp; "BalanceType" &amp; "," &amp; $G$6 &amp; "," &amp; $G$7 &amp; ")", CellContents, 0)</f>
        <v>0</v>
      </c>
      <c r="G12" s="32">
        <f>CHOOSE(B, "GLActualYTD(" &amp; $B12 &amp; "," &amp; $G$4 &amp; "," &amp; $F$9 &amp; "," &amp; $G$5 &amp; "," &amp; "AccountGroupCode" &amp; "," &amp; "AccountCategoryCode" &amp; "," &amp; $D12 &amp; "," &amp; "AccountType" &amp; "," &amp; "BalanceType" &amp; "," &amp; $G$6 &amp; "," &amp; $G$7 &amp; ")", CellContents, 0)</f>
        <v>0</v>
      </c>
      <c r="H12" s="32"/>
      <c r="I12" s="32">
        <f>CHOOSE(B, "GLActual(" &amp; $B12 &amp; "," &amp; $G$4 &amp; "," &amp; $I$9 &amp; "," &amp; $G$5 &amp; "," &amp; "AccountGroupCode" &amp; "," &amp; "AccountCategoryCode" &amp; "," &amp; $D12 &amp; "," &amp; "AccountType" &amp; "," &amp; "BalanceType" &amp; "," &amp; $G$6 &amp; "," &amp; $G$7 &amp; ")", CellContents, 0)</f>
        <v>0</v>
      </c>
      <c r="J12" s="32">
        <f>CHOOSE(B, "GLActualYTD(" &amp; $B12 &amp; "," &amp; $G$4 &amp; "," &amp; $I$9 &amp; "," &amp; $G$5 &amp; "," &amp; "AccountGroupCode" &amp; "," &amp; "AccountCategoryCode" &amp; "," &amp; $D12 &amp; "," &amp; "AccountType" &amp; "," &amp; "BalanceType" &amp; "," &amp; $G$6 &amp; "," &amp; $G$7 &amp; ")", CellContents, 0)</f>
        <v>0</v>
      </c>
      <c r="K12" s="32"/>
      <c r="L12" s="32">
        <f>F12-I12</f>
        <v>0</v>
      </c>
      <c r="M12" s="32">
        <f>G12-J12</f>
        <v>0</v>
      </c>
      <c r="O12" s="56"/>
      <c r="P12" s="56"/>
    </row>
  </sheetData>
  <mergeCells count="5">
    <mergeCell ref="L9:M9"/>
    <mergeCell ref="J3:O7"/>
    <mergeCell ref="B9:B10"/>
    <mergeCell ref="C9:C10"/>
    <mergeCell ref="D9:D10"/>
  </mergeCells>
  <dataValidations count="4">
    <dataValidation type="list" allowBlank="1" showInputMessage="1" showErrorMessage="1" sqref="I9">
      <formula1>FiscalYearsTemplate</formula1>
    </dataValidation>
    <dataValidation type="list" allowBlank="1" showInputMessage="1" showErrorMessage="1" sqref="G5">
      <formula1>Periods</formula1>
    </dataValidation>
    <dataValidation type="list" allowBlank="1" showInputMessage="1" sqref="F9">
      <formula1>FiscalYearsTemplate</formula1>
    </dataValidation>
    <dataValidation type="list" allowBlank="1" showInputMessage="1" showErrorMessage="1" sqref="G4">
      <formula1>CompaniesTemplate</formula1>
    </dataValidation>
  </dataValidations>
  <hyperlinks>
    <hyperlink ref="B2" location="Home!A1" tooltip="Click to navigate to the Home sheet." display="ß"/>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H82"/>
  <sheetViews>
    <sheetView workbookViewId="0">
      <selection activeCell="B4" sqref="B4"/>
    </sheetView>
  </sheetViews>
  <sheetFormatPr defaultRowHeight="14.25" x14ac:dyDescent="0.25"/>
  <cols>
    <col min="1" max="1" width="7" style="5" customWidth="1"/>
    <col min="2" max="2" width="28.5703125" style="5" customWidth="1"/>
    <col min="3" max="3" width="20.85546875" style="5" customWidth="1"/>
    <col min="4" max="4" width="21.140625" style="5" bestFit="1" customWidth="1"/>
    <col min="5" max="5" width="15.28515625" style="5" bestFit="1" customWidth="1"/>
    <col min="6" max="6" width="14.5703125" style="5" bestFit="1" customWidth="1"/>
    <col min="7" max="7" width="21.42578125" style="5" bestFit="1" customWidth="1"/>
    <col min="8" max="8" width="27.5703125" style="5" bestFit="1" customWidth="1"/>
    <col min="9" max="16384" width="9.140625" style="5"/>
  </cols>
  <sheetData>
    <row r="1" spans="1:8" ht="38.25" x14ac:dyDescent="0.65">
      <c r="A1" s="91" t="s">
        <v>154</v>
      </c>
      <c r="B1" s="7" t="s">
        <v>7</v>
      </c>
      <c r="C1" s="8"/>
      <c r="D1" s="6"/>
      <c r="E1" s="6"/>
    </row>
    <row r="2" spans="1:8" ht="17.25" customHeight="1" x14ac:dyDescent="0.25">
      <c r="B2" s="4" t="s">
        <v>17</v>
      </c>
      <c r="C2" s="8"/>
      <c r="D2" s="6"/>
      <c r="E2" s="6"/>
    </row>
    <row r="3" spans="1:8" ht="15.75" x14ac:dyDescent="0.25">
      <c r="B3" s="9" t="s">
        <v>18</v>
      </c>
      <c r="C3" s="10" t="s">
        <v>19</v>
      </c>
      <c r="D3" s="9" t="s">
        <v>12</v>
      </c>
      <c r="E3" s="9" t="s">
        <v>178</v>
      </c>
      <c r="F3" s="9" t="s">
        <v>20</v>
      </c>
      <c r="G3" s="9" t="s">
        <v>179</v>
      </c>
      <c r="H3" s="9" t="s">
        <v>180</v>
      </c>
    </row>
    <row r="4" spans="1:8" x14ac:dyDescent="0.25">
      <c r="C4" s="6"/>
    </row>
    <row r="5" spans="1:8" x14ac:dyDescent="0.25">
      <c r="C5" s="6"/>
    </row>
    <row r="6" spans="1:8" x14ac:dyDescent="0.25">
      <c r="C6" s="6"/>
    </row>
    <row r="7" spans="1:8" x14ac:dyDescent="0.25">
      <c r="C7" s="6"/>
    </row>
    <row r="8" spans="1:8" x14ac:dyDescent="0.25">
      <c r="C8" s="6"/>
    </row>
    <row r="9" spans="1:8" x14ac:dyDescent="0.25">
      <c r="C9" s="6"/>
    </row>
    <row r="10" spans="1:8" x14ac:dyDescent="0.25">
      <c r="C10" s="6"/>
    </row>
    <row r="11" spans="1:8" x14ac:dyDescent="0.25">
      <c r="C11" s="6"/>
    </row>
    <row r="12" spans="1:8" x14ac:dyDescent="0.25">
      <c r="C12" s="6"/>
    </row>
    <row r="13" spans="1:8" x14ac:dyDescent="0.25">
      <c r="C13" s="6"/>
    </row>
    <row r="14" spans="1:8" x14ac:dyDescent="0.25">
      <c r="C14" s="6"/>
    </row>
    <row r="15" spans="1:8" x14ac:dyDescent="0.25">
      <c r="C15" s="6"/>
    </row>
    <row r="16" spans="1:8" x14ac:dyDescent="0.25">
      <c r="C16" s="6"/>
    </row>
    <row r="17" spans="3:3" x14ac:dyDescent="0.25">
      <c r="C17" s="6"/>
    </row>
    <row r="18" spans="3:3" x14ac:dyDescent="0.25">
      <c r="C18" s="6"/>
    </row>
    <row r="19" spans="3:3" x14ac:dyDescent="0.25">
      <c r="C19" s="6"/>
    </row>
    <row r="20" spans="3:3" x14ac:dyDescent="0.25">
      <c r="C20" s="6"/>
    </row>
    <row r="21" spans="3:3" x14ac:dyDescent="0.25">
      <c r="C21" s="6"/>
    </row>
    <row r="22" spans="3:3" x14ac:dyDescent="0.25">
      <c r="C22" s="6"/>
    </row>
    <row r="23" spans="3:3" x14ac:dyDescent="0.25">
      <c r="C23" s="6"/>
    </row>
    <row r="24" spans="3:3" x14ac:dyDescent="0.25">
      <c r="C24" s="6"/>
    </row>
    <row r="25" spans="3:3" x14ac:dyDescent="0.25">
      <c r="C25" s="6"/>
    </row>
    <row r="26" spans="3:3" x14ac:dyDescent="0.25">
      <c r="C26" s="6"/>
    </row>
    <row r="27" spans="3:3" x14ac:dyDescent="0.25">
      <c r="C27" s="6"/>
    </row>
    <row r="28" spans="3:3" x14ac:dyDescent="0.25">
      <c r="C28" s="6"/>
    </row>
    <row r="29" spans="3:3" x14ac:dyDescent="0.25">
      <c r="C29" s="6"/>
    </row>
    <row r="30" spans="3:3" x14ac:dyDescent="0.25">
      <c r="C30" s="6"/>
    </row>
    <row r="31" spans="3:3" x14ac:dyDescent="0.25">
      <c r="C31" s="6"/>
    </row>
    <row r="32" spans="3:3" x14ac:dyDescent="0.25">
      <c r="C32" s="6"/>
    </row>
    <row r="33" spans="3:3" x14ac:dyDescent="0.25">
      <c r="C33" s="6"/>
    </row>
    <row r="34" spans="3:3" x14ac:dyDescent="0.25">
      <c r="C34" s="6"/>
    </row>
    <row r="35" spans="3:3" x14ac:dyDescent="0.25">
      <c r="C35" s="6"/>
    </row>
    <row r="36" spans="3:3" x14ac:dyDescent="0.25">
      <c r="C36" s="6"/>
    </row>
    <row r="37" spans="3:3" x14ac:dyDescent="0.25">
      <c r="C37" s="6"/>
    </row>
    <row r="38" spans="3:3" x14ac:dyDescent="0.25">
      <c r="C38" s="6"/>
    </row>
    <row r="39" spans="3:3" x14ac:dyDescent="0.25">
      <c r="C39" s="6"/>
    </row>
    <row r="40" spans="3:3" x14ac:dyDescent="0.25">
      <c r="C40" s="6"/>
    </row>
    <row r="41" spans="3:3" x14ac:dyDescent="0.25">
      <c r="C41" s="6"/>
    </row>
    <row r="42" spans="3:3" x14ac:dyDescent="0.25">
      <c r="C42" s="6"/>
    </row>
    <row r="43" spans="3:3" x14ac:dyDescent="0.25">
      <c r="C43" s="6"/>
    </row>
    <row r="44" spans="3:3" x14ac:dyDescent="0.25">
      <c r="C44" s="6"/>
    </row>
    <row r="45" spans="3:3" x14ac:dyDescent="0.25">
      <c r="C45" s="6"/>
    </row>
    <row r="46" spans="3:3" x14ac:dyDescent="0.25">
      <c r="C46" s="6"/>
    </row>
    <row r="47" spans="3:3" x14ac:dyDescent="0.25">
      <c r="C47" s="6"/>
    </row>
    <row r="48" spans="3:3" x14ac:dyDescent="0.25">
      <c r="C48" s="6"/>
    </row>
    <row r="49" spans="3:3" x14ac:dyDescent="0.25">
      <c r="C49" s="6"/>
    </row>
    <row r="50" spans="3:3" x14ac:dyDescent="0.25">
      <c r="C50" s="6"/>
    </row>
    <row r="51" spans="3:3" x14ac:dyDescent="0.25">
      <c r="C51" s="6"/>
    </row>
    <row r="52" spans="3:3" x14ac:dyDescent="0.25">
      <c r="C52" s="6"/>
    </row>
    <row r="53" spans="3:3" x14ac:dyDescent="0.25">
      <c r="C53" s="6"/>
    </row>
    <row r="54" spans="3:3" x14ac:dyDescent="0.25">
      <c r="C54" s="6"/>
    </row>
    <row r="55" spans="3:3" x14ac:dyDescent="0.25">
      <c r="C55" s="6"/>
    </row>
    <row r="56" spans="3:3" x14ac:dyDescent="0.25">
      <c r="C56" s="6"/>
    </row>
    <row r="57" spans="3:3" x14ac:dyDescent="0.25">
      <c r="C57" s="6"/>
    </row>
    <row r="58" spans="3:3" x14ac:dyDescent="0.25">
      <c r="C58" s="6"/>
    </row>
    <row r="59" spans="3:3" x14ac:dyDescent="0.25">
      <c r="C59" s="6"/>
    </row>
    <row r="60" spans="3:3" x14ac:dyDescent="0.25">
      <c r="C60" s="6"/>
    </row>
    <row r="61" spans="3:3" x14ac:dyDescent="0.25">
      <c r="C61" s="6"/>
    </row>
    <row r="62" spans="3:3" x14ac:dyDescent="0.25">
      <c r="C62" s="6"/>
    </row>
    <row r="63" spans="3:3" x14ac:dyDescent="0.25">
      <c r="C63" s="6"/>
    </row>
    <row r="64" spans="3:3" x14ac:dyDescent="0.25">
      <c r="C64" s="6"/>
    </row>
    <row r="65" spans="3:3" x14ac:dyDescent="0.25">
      <c r="C65" s="6"/>
    </row>
    <row r="66" spans="3:3" x14ac:dyDescent="0.25">
      <c r="C66" s="6"/>
    </row>
    <row r="67" spans="3:3" x14ac:dyDescent="0.25">
      <c r="C67" s="6"/>
    </row>
    <row r="68" spans="3:3" x14ac:dyDescent="0.25">
      <c r="C68" s="6"/>
    </row>
    <row r="69" spans="3:3" x14ac:dyDescent="0.25">
      <c r="C69" s="6"/>
    </row>
    <row r="70" spans="3:3" x14ac:dyDescent="0.25">
      <c r="C70" s="6"/>
    </row>
    <row r="71" spans="3:3" x14ac:dyDescent="0.25">
      <c r="C71" s="6"/>
    </row>
    <row r="72" spans="3:3" x14ac:dyDescent="0.25">
      <c r="C72" s="6"/>
    </row>
    <row r="73" spans="3:3" x14ac:dyDescent="0.25">
      <c r="C73" s="6"/>
    </row>
    <row r="74" spans="3:3" x14ac:dyDescent="0.25">
      <c r="C74" s="6"/>
    </row>
    <row r="75" spans="3:3" x14ac:dyDescent="0.25">
      <c r="C75" s="6"/>
    </row>
    <row r="76" spans="3:3" x14ac:dyDescent="0.25">
      <c r="C76" s="6"/>
    </row>
    <row r="77" spans="3:3" x14ac:dyDescent="0.25">
      <c r="C77" s="6"/>
    </row>
    <row r="78" spans="3:3" x14ac:dyDescent="0.25">
      <c r="C78" s="6"/>
    </row>
    <row r="79" spans="3:3" x14ac:dyDescent="0.25">
      <c r="C79" s="6"/>
    </row>
    <row r="80" spans="3:3" x14ac:dyDescent="0.25">
      <c r="C80" s="6"/>
    </row>
    <row r="81" spans="3:3" x14ac:dyDescent="0.25">
      <c r="C81" s="6"/>
    </row>
    <row r="82" spans="3:3" x14ac:dyDescent="0.25">
      <c r="C82" s="6"/>
    </row>
  </sheetData>
  <hyperlinks>
    <hyperlink ref="A1" location="Home!A1" tooltip="Click to navigate to the Home sheet." display="ß"/>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28"/>
  <sheetViews>
    <sheetView workbookViewId="0"/>
  </sheetViews>
  <sheetFormatPr defaultRowHeight="14.25" x14ac:dyDescent="0.25"/>
  <cols>
    <col min="1" max="1" width="22.42578125" customWidth="1"/>
    <col min="2" max="2" width="11" customWidth="1"/>
    <col min="4" max="4" width="15.42578125" customWidth="1"/>
    <col min="5" max="5" width="17.85546875" bestFit="1" customWidth="1"/>
    <col min="7" max="7" width="10" bestFit="1" customWidth="1"/>
  </cols>
  <sheetData>
    <row r="1" spans="1:7" x14ac:dyDescent="0.25">
      <c r="A1" t="s">
        <v>3</v>
      </c>
      <c r="B1" t="s">
        <v>4</v>
      </c>
      <c r="C1" t="s">
        <v>5</v>
      </c>
      <c r="D1" t="s">
        <v>6</v>
      </c>
      <c r="E1" t="s">
        <v>22</v>
      </c>
      <c r="F1" t="s">
        <v>23</v>
      </c>
      <c r="G1" t="s">
        <v>24</v>
      </c>
    </row>
    <row r="2" spans="1:7" x14ac:dyDescent="0.25">
      <c r="C2">
        <v>1</v>
      </c>
      <c r="D2" t="s">
        <v>120</v>
      </c>
    </row>
    <row r="3" spans="1:7" x14ac:dyDescent="0.25">
      <c r="C3">
        <v>2</v>
      </c>
      <c r="D3" t="s">
        <v>121</v>
      </c>
    </row>
    <row r="4" spans="1:7" x14ac:dyDescent="0.25">
      <c r="C4">
        <v>3</v>
      </c>
      <c r="D4" t="s">
        <v>122</v>
      </c>
    </row>
    <row r="5" spans="1:7" x14ac:dyDescent="0.25">
      <c r="C5">
        <v>4</v>
      </c>
      <c r="D5" t="s">
        <v>123</v>
      </c>
    </row>
    <row r="6" spans="1:7" x14ac:dyDescent="0.25">
      <c r="C6">
        <v>5</v>
      </c>
      <c r="D6" t="s">
        <v>124</v>
      </c>
    </row>
    <row r="7" spans="1:7" x14ac:dyDescent="0.25">
      <c r="C7">
        <v>6</v>
      </c>
      <c r="D7" t="s">
        <v>125</v>
      </c>
    </row>
    <row r="8" spans="1:7" x14ac:dyDescent="0.25">
      <c r="C8">
        <v>7</v>
      </c>
      <c r="D8" t="s">
        <v>126</v>
      </c>
    </row>
    <row r="9" spans="1:7" x14ac:dyDescent="0.25">
      <c r="C9">
        <v>8</v>
      </c>
      <c r="D9" t="s">
        <v>127</v>
      </c>
    </row>
    <row r="10" spans="1:7" x14ac:dyDescent="0.25">
      <c r="C10">
        <v>9</v>
      </c>
      <c r="D10" t="s">
        <v>159</v>
      </c>
    </row>
    <row r="11" spans="1:7" x14ac:dyDescent="0.25">
      <c r="C11">
        <v>10</v>
      </c>
      <c r="D11" t="s">
        <v>160</v>
      </c>
    </row>
    <row r="12" spans="1:7" x14ac:dyDescent="0.25">
      <c r="C12">
        <v>11</v>
      </c>
      <c r="D12" t="s">
        <v>185</v>
      </c>
    </row>
    <row r="13" spans="1:7" x14ac:dyDescent="0.25">
      <c r="C13">
        <v>12</v>
      </c>
      <c r="D13" t="s">
        <v>186</v>
      </c>
    </row>
    <row r="14" spans="1:7" x14ac:dyDescent="0.25">
      <c r="D14" t="s">
        <v>187</v>
      </c>
    </row>
    <row r="15" spans="1:7" x14ac:dyDescent="0.25">
      <c r="D15" t="s">
        <v>188</v>
      </c>
    </row>
    <row r="16" spans="1:7" x14ac:dyDescent="0.25">
      <c r="D16" t="s">
        <v>189</v>
      </c>
    </row>
    <row r="17" spans="4:4" x14ac:dyDescent="0.25">
      <c r="D17" t="s">
        <v>190</v>
      </c>
    </row>
    <row r="18" spans="4:4" x14ac:dyDescent="0.25">
      <c r="D18" t="s">
        <v>191</v>
      </c>
    </row>
    <row r="19" spans="4:4" x14ac:dyDescent="0.25">
      <c r="D19" t="s">
        <v>192</v>
      </c>
    </row>
    <row r="20" spans="4:4" x14ac:dyDescent="0.25">
      <c r="D20" t="s">
        <v>193</v>
      </c>
    </row>
    <row r="21" spans="4:4" x14ac:dyDescent="0.25">
      <c r="D21" t="s">
        <v>194</v>
      </c>
    </row>
    <row r="22" spans="4:4" x14ac:dyDescent="0.25">
      <c r="D22" t="s">
        <v>195</v>
      </c>
    </row>
    <row r="23" spans="4:4" x14ac:dyDescent="0.25">
      <c r="D23" t="s">
        <v>196</v>
      </c>
    </row>
    <row r="24" spans="4:4" x14ac:dyDescent="0.25">
      <c r="D24" t="s">
        <v>197</v>
      </c>
    </row>
    <row r="25" spans="4:4" x14ac:dyDescent="0.25">
      <c r="D25" t="s">
        <v>198</v>
      </c>
    </row>
    <row r="26" spans="4:4" x14ac:dyDescent="0.25">
      <c r="D26" t="s">
        <v>199</v>
      </c>
    </row>
    <row r="27" spans="4:4" x14ac:dyDescent="0.25">
      <c r="D27" t="s">
        <v>200</v>
      </c>
    </row>
    <row r="28" spans="4:4" x14ac:dyDescent="0.25">
      <c r="D28" t="s">
        <v>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1:AP32"/>
  <sheetViews>
    <sheetView showGridLines="0" tabSelected="1" zoomScale="80" zoomScaleNormal="80" workbookViewId="0"/>
  </sheetViews>
  <sheetFormatPr defaultColWidth="5.7109375" defaultRowHeight="15" x14ac:dyDescent="0.25"/>
  <cols>
    <col min="1" max="3" width="5.7109375" style="95"/>
    <col min="4" max="4" width="5.7109375" style="107"/>
    <col min="5" max="5" width="5.7109375" style="95"/>
    <col min="6" max="6" width="1.7109375" style="95" customWidth="1"/>
    <col min="7" max="8" width="5.7109375" style="95"/>
    <col min="9" max="9" width="1.7109375" style="95" customWidth="1"/>
    <col min="10" max="11" width="5.7109375" style="95"/>
    <col min="12" max="12" width="1.7109375" style="95" customWidth="1"/>
    <col min="13" max="14" width="5.7109375" style="95"/>
    <col min="15" max="15" width="1.7109375" style="95" customWidth="1"/>
    <col min="16" max="17" width="5.7109375" style="95"/>
    <col min="18" max="18" width="1.7109375" style="95" customWidth="1"/>
    <col min="19" max="20" width="5.7109375" style="95"/>
    <col min="21" max="21" width="1.7109375" style="95" customWidth="1"/>
    <col min="22" max="23" width="5.7109375" style="95"/>
    <col min="24" max="24" width="1.7109375" style="95" customWidth="1"/>
    <col min="25" max="26" width="5.7109375" style="95"/>
    <col min="27" max="27" width="1.7109375" style="95" customWidth="1"/>
    <col min="28" max="28" width="6.42578125" style="95" customWidth="1"/>
    <col min="29" max="29" width="5.7109375" style="95"/>
    <col min="30" max="31" width="1.7109375" style="95" customWidth="1"/>
    <col min="32" max="32" width="5.7109375" style="95"/>
    <col min="33" max="33" width="1.7109375" style="95" customWidth="1"/>
    <col min="34" max="34" width="5.7109375" style="95"/>
    <col min="35" max="35" width="1.7109375" style="95" customWidth="1"/>
    <col min="36" max="37" width="5.7109375" style="95"/>
    <col min="38" max="38" width="1.7109375" style="95" customWidth="1"/>
    <col min="39" max="39" width="5.7109375" style="95"/>
    <col min="40" max="40" width="5.7109375" style="107"/>
    <col min="41" max="42" width="1.7109375" style="95" customWidth="1"/>
    <col min="43" max="16384" width="5.7109375" style="95"/>
  </cols>
  <sheetData>
    <row r="1" spans="3:42" ht="15" customHeight="1" x14ac:dyDescent="0.25">
      <c r="C1" s="93"/>
      <c r="D1" s="94"/>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4"/>
      <c r="AO1" s="93"/>
      <c r="AP1" s="93"/>
    </row>
    <row r="2" spans="3:42" ht="30" customHeight="1" x14ac:dyDescent="0.25">
      <c r="C2" s="93"/>
      <c r="D2" s="94"/>
      <c r="E2" s="93"/>
      <c r="F2" s="93"/>
      <c r="G2" s="93"/>
      <c r="H2" s="93"/>
      <c r="I2" s="93"/>
      <c r="J2" s="93"/>
      <c r="K2" s="93"/>
      <c r="L2" s="93"/>
      <c r="M2" s="93"/>
      <c r="N2" s="93"/>
      <c r="O2" s="93"/>
      <c r="P2" s="93"/>
      <c r="Q2" s="93"/>
      <c r="R2" s="93"/>
      <c r="S2" s="93"/>
      <c r="T2" s="93"/>
      <c r="U2" s="93"/>
      <c r="V2" s="93"/>
      <c r="W2" s="119" t="s">
        <v>162</v>
      </c>
      <c r="X2" s="119"/>
      <c r="Y2" s="119"/>
      <c r="Z2" s="119"/>
      <c r="AA2" s="119"/>
      <c r="AB2" s="119"/>
      <c r="AC2" s="119"/>
      <c r="AD2" s="96" t="s">
        <v>163</v>
      </c>
      <c r="AE2" s="119" t="s">
        <v>164</v>
      </c>
      <c r="AF2" s="119"/>
      <c r="AG2" s="96" t="s">
        <v>163</v>
      </c>
      <c r="AH2" s="119" t="s">
        <v>165</v>
      </c>
      <c r="AI2" s="119"/>
      <c r="AJ2" s="119"/>
      <c r="AK2" s="119"/>
      <c r="AL2" s="97" t="s">
        <v>163</v>
      </c>
      <c r="AM2" s="120" t="s">
        <v>166</v>
      </c>
      <c r="AN2" s="120"/>
      <c r="AO2" s="98"/>
      <c r="AP2" s="93"/>
    </row>
    <row r="3" spans="3:42" ht="5.0999999999999996" customHeight="1" x14ac:dyDescent="0.25">
      <c r="C3" s="99"/>
      <c r="D3" s="100"/>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100"/>
      <c r="AO3" s="99"/>
      <c r="AP3" s="99"/>
    </row>
    <row r="4" spans="3:42" ht="38.1" customHeight="1" x14ac:dyDescent="0.25">
      <c r="C4" s="99"/>
      <c r="D4" s="100"/>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100"/>
      <c r="AO4" s="99"/>
      <c r="AP4" s="99"/>
    </row>
    <row r="5" spans="3:42" ht="5.0999999999999996" customHeight="1" x14ac:dyDescent="0.25">
      <c r="C5" s="99"/>
      <c r="D5" s="100"/>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100"/>
      <c r="AO5" s="99"/>
      <c r="AP5" s="99"/>
    </row>
    <row r="6" spans="3:42" x14ac:dyDescent="0.25">
      <c r="C6" s="99"/>
      <c r="D6" s="100"/>
      <c r="E6" s="99"/>
      <c r="F6" s="99"/>
      <c r="G6" s="99"/>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c r="AL6" s="99"/>
      <c r="AM6" s="99"/>
      <c r="AN6" s="100"/>
      <c r="AO6" s="99"/>
      <c r="AP6" s="99"/>
    </row>
    <row r="7" spans="3:42" x14ac:dyDescent="0.25">
      <c r="C7" s="99"/>
      <c r="D7" s="100"/>
      <c r="E7" s="99"/>
      <c r="F7" s="99"/>
      <c r="G7" s="99"/>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100"/>
      <c r="AO7" s="99"/>
      <c r="AP7" s="99"/>
    </row>
    <row r="8" spans="3:42" x14ac:dyDescent="0.25">
      <c r="C8" s="99"/>
      <c r="D8" s="100"/>
      <c r="E8" s="99"/>
      <c r="F8" s="99"/>
      <c r="G8" s="99"/>
      <c r="H8" s="99"/>
      <c r="I8" s="99"/>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100"/>
      <c r="AO8" s="99"/>
      <c r="AP8" s="99"/>
    </row>
    <row r="9" spans="3:42" x14ac:dyDescent="0.25">
      <c r="C9" s="99"/>
      <c r="D9" s="100"/>
      <c r="E9" s="99"/>
      <c r="F9" s="99"/>
      <c r="G9" s="99"/>
      <c r="H9" s="99"/>
      <c r="I9" s="99"/>
      <c r="J9" s="9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100"/>
      <c r="AO9" s="99"/>
      <c r="AP9" s="99"/>
    </row>
    <row r="10" spans="3:42" x14ac:dyDescent="0.25">
      <c r="C10" s="99"/>
      <c r="D10" s="100"/>
      <c r="E10" s="99"/>
      <c r="F10" s="99"/>
      <c r="G10" s="99"/>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100"/>
      <c r="AO10" s="99"/>
      <c r="AP10" s="99"/>
    </row>
    <row r="11" spans="3:42" x14ac:dyDescent="0.25">
      <c r="C11" s="99"/>
      <c r="D11" s="100"/>
      <c r="E11" s="99"/>
      <c r="F11" s="99"/>
      <c r="G11" s="99"/>
      <c r="H11" s="99"/>
      <c r="I11" s="99"/>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100"/>
      <c r="AO11" s="99"/>
      <c r="AP11" s="99"/>
    </row>
    <row r="12" spans="3:42" x14ac:dyDescent="0.25">
      <c r="C12" s="99"/>
      <c r="D12" s="100"/>
      <c r="E12" s="99"/>
      <c r="F12" s="99"/>
      <c r="G12" s="99"/>
      <c r="H12" s="99"/>
      <c r="I12" s="99"/>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100"/>
      <c r="AO12" s="99"/>
      <c r="AP12" s="99"/>
    </row>
    <row r="13" spans="3:42" x14ac:dyDescent="0.25">
      <c r="C13" s="99"/>
      <c r="D13" s="100"/>
      <c r="E13" s="99"/>
      <c r="F13" s="99"/>
      <c r="G13" s="99"/>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100"/>
      <c r="AO13" s="99"/>
      <c r="AP13" s="99"/>
    </row>
    <row r="14" spans="3:42" x14ac:dyDescent="0.25">
      <c r="C14" s="99"/>
      <c r="D14" s="100"/>
      <c r="E14" s="99"/>
      <c r="F14" s="99"/>
      <c r="G14" s="99"/>
      <c r="H14" s="99"/>
      <c r="I14" s="99"/>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100"/>
      <c r="AO14" s="99"/>
      <c r="AP14" s="99"/>
    </row>
    <row r="15" spans="3:42" x14ac:dyDescent="0.25">
      <c r="C15" s="99"/>
      <c r="D15" s="100"/>
      <c r="E15" s="99"/>
      <c r="F15" s="99"/>
      <c r="G15" s="99"/>
      <c r="H15" s="99"/>
      <c r="I15" s="99"/>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100"/>
      <c r="AO15" s="99"/>
      <c r="AP15" s="99"/>
    </row>
    <row r="16" spans="3:42" x14ac:dyDescent="0.25">
      <c r="C16" s="99"/>
      <c r="D16" s="100"/>
      <c r="E16" s="99"/>
      <c r="F16" s="99"/>
      <c r="G16" s="99"/>
      <c r="H16" s="99"/>
      <c r="I16" s="99"/>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100"/>
      <c r="AO16" s="99"/>
      <c r="AP16" s="99"/>
    </row>
    <row r="17" spans="3:42" x14ac:dyDescent="0.25">
      <c r="C17" s="99"/>
      <c r="D17" s="100"/>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100"/>
      <c r="AO17" s="99"/>
      <c r="AP17" s="99"/>
    </row>
    <row r="18" spans="3:42" x14ac:dyDescent="0.25">
      <c r="C18" s="99"/>
      <c r="D18" s="100"/>
      <c r="E18" s="99"/>
      <c r="F18" s="99"/>
      <c r="G18" s="99"/>
      <c r="H18" s="99"/>
      <c r="I18" s="99"/>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100"/>
      <c r="AO18" s="99"/>
      <c r="AP18" s="99"/>
    </row>
    <row r="19" spans="3:42" x14ac:dyDescent="0.25">
      <c r="C19" s="99"/>
      <c r="D19" s="100"/>
      <c r="E19" s="99"/>
      <c r="F19" s="99"/>
      <c r="G19" s="99"/>
      <c r="H19" s="99"/>
      <c r="I19" s="99"/>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100"/>
      <c r="AO19" s="99"/>
      <c r="AP19" s="99"/>
    </row>
    <row r="20" spans="3:42" x14ac:dyDescent="0.25">
      <c r="C20" s="99"/>
      <c r="D20" s="100"/>
      <c r="E20" s="99"/>
      <c r="F20" s="99"/>
      <c r="G20" s="99"/>
      <c r="H20" s="99"/>
      <c r="I20" s="99"/>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100"/>
      <c r="AO20" s="99"/>
      <c r="AP20" s="99"/>
    </row>
    <row r="21" spans="3:42" ht="9.6" customHeight="1" x14ac:dyDescent="0.25">
      <c r="C21" s="99"/>
      <c r="D21" s="100"/>
      <c r="E21" s="99"/>
      <c r="F21" s="99"/>
      <c r="G21" s="99"/>
      <c r="H21" s="99"/>
      <c r="I21" s="99"/>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100"/>
      <c r="AO21" s="99"/>
      <c r="AP21" s="99"/>
    </row>
    <row r="22" spans="3:42" ht="30" customHeight="1" x14ac:dyDescent="0.7">
      <c r="C22" s="99"/>
      <c r="D22" s="100"/>
      <c r="E22" s="101" t="s">
        <v>167</v>
      </c>
      <c r="F22" s="100"/>
      <c r="G22" s="99"/>
      <c r="H22" s="99"/>
      <c r="I22" s="99"/>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100"/>
      <c r="AO22" s="99"/>
      <c r="AP22" s="99"/>
    </row>
    <row r="23" spans="3:42" ht="4.5" customHeight="1" x14ac:dyDescent="0.25">
      <c r="C23" s="99"/>
      <c r="D23" s="100"/>
      <c r="E23" s="99"/>
      <c r="F23" s="99"/>
      <c r="G23" s="99"/>
      <c r="H23" s="99"/>
      <c r="I23" s="99"/>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100"/>
      <c r="AO23" s="99"/>
      <c r="AP23" s="99"/>
    </row>
    <row r="24" spans="3:42" ht="19.5" customHeight="1" x14ac:dyDescent="0.3">
      <c r="C24" s="99"/>
      <c r="D24" s="102"/>
      <c r="E24" s="99"/>
      <c r="F24" s="99"/>
      <c r="G24" s="99"/>
      <c r="H24" s="99"/>
      <c r="I24" s="99"/>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100"/>
      <c r="AO24" s="99"/>
      <c r="AP24" s="99"/>
    </row>
    <row r="25" spans="3:42" ht="4.5" customHeight="1" x14ac:dyDescent="0.25">
      <c r="C25" s="99"/>
      <c r="D25" s="100"/>
      <c r="E25" s="99"/>
      <c r="F25" s="99"/>
      <c r="G25" s="99"/>
      <c r="H25" s="99"/>
      <c r="I25" s="99"/>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100"/>
      <c r="AO25" s="99"/>
      <c r="AP25" s="99"/>
    </row>
    <row r="26" spans="3:42" ht="39.950000000000003" customHeight="1" x14ac:dyDescent="0.3">
      <c r="C26" s="99"/>
      <c r="D26" s="121" t="s">
        <v>129</v>
      </c>
      <c r="E26" s="121"/>
      <c r="F26" s="121"/>
      <c r="G26" s="121"/>
      <c r="H26" s="121"/>
      <c r="I26" s="99"/>
      <c r="J26" s="122" t="s">
        <v>130</v>
      </c>
      <c r="K26" s="122"/>
      <c r="L26" s="122"/>
      <c r="M26" s="122"/>
      <c r="N26" s="122"/>
      <c r="O26" s="103"/>
      <c r="P26" s="122" t="s">
        <v>131</v>
      </c>
      <c r="Q26" s="122"/>
      <c r="R26" s="122"/>
      <c r="S26" s="122"/>
      <c r="T26" s="122"/>
      <c r="U26" s="103"/>
      <c r="V26" s="122" t="s">
        <v>169</v>
      </c>
      <c r="W26" s="122"/>
      <c r="X26" s="122"/>
      <c r="Y26" s="122"/>
      <c r="Z26" s="122"/>
      <c r="AA26" s="103"/>
      <c r="AB26" s="122" t="s">
        <v>132</v>
      </c>
      <c r="AC26" s="122"/>
      <c r="AD26" s="122"/>
      <c r="AE26" s="122"/>
      <c r="AF26" s="122"/>
      <c r="AG26" s="103"/>
      <c r="AH26" s="122" t="s">
        <v>133</v>
      </c>
      <c r="AI26" s="122"/>
      <c r="AJ26" s="122"/>
      <c r="AK26" s="122"/>
      <c r="AL26" s="122"/>
      <c r="AM26" s="122"/>
      <c r="AN26" s="102"/>
      <c r="AO26" s="103"/>
      <c r="AP26" s="99"/>
    </row>
    <row r="27" spans="3:42" ht="4.5" customHeight="1" x14ac:dyDescent="0.3">
      <c r="C27" s="99"/>
      <c r="D27" s="100"/>
      <c r="E27" s="99"/>
      <c r="F27" s="99"/>
      <c r="G27" s="99"/>
      <c r="H27" s="99"/>
      <c r="I27" s="99"/>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2"/>
      <c r="AO27" s="103"/>
      <c r="AP27" s="99"/>
    </row>
    <row r="28" spans="3:42" ht="39.950000000000003" customHeight="1" x14ac:dyDescent="0.3">
      <c r="C28" s="99"/>
      <c r="D28" s="122" t="s">
        <v>134</v>
      </c>
      <c r="E28" s="122"/>
      <c r="F28" s="122"/>
      <c r="G28" s="122"/>
      <c r="H28" s="122"/>
      <c r="I28" s="99"/>
      <c r="J28" s="122" t="s">
        <v>135</v>
      </c>
      <c r="K28" s="122"/>
      <c r="L28" s="122"/>
      <c r="M28" s="122"/>
      <c r="N28" s="122"/>
      <c r="O28" s="103"/>
      <c r="P28" s="122" t="s">
        <v>136</v>
      </c>
      <c r="Q28" s="122"/>
      <c r="R28" s="122"/>
      <c r="S28" s="122"/>
      <c r="T28" s="122"/>
      <c r="U28" s="103"/>
      <c r="V28" s="122" t="s">
        <v>137</v>
      </c>
      <c r="W28" s="122"/>
      <c r="X28" s="122"/>
      <c r="Y28" s="122"/>
      <c r="Z28" s="122"/>
      <c r="AA28" s="103"/>
      <c r="AB28" s="122" t="s">
        <v>7</v>
      </c>
      <c r="AC28" s="122"/>
      <c r="AD28" s="122"/>
      <c r="AE28" s="122"/>
      <c r="AF28" s="122"/>
      <c r="AG28" s="103"/>
      <c r="AH28"/>
      <c r="AI28"/>
      <c r="AJ28"/>
      <c r="AK28"/>
      <c r="AL28"/>
      <c r="AM28"/>
      <c r="AN28" s="102"/>
      <c r="AO28" s="103"/>
      <c r="AP28" s="99"/>
    </row>
    <row r="29" spans="3:42" ht="12.75" customHeight="1" x14ac:dyDescent="0.25">
      <c r="C29" s="99"/>
      <c r="D29" s="100"/>
      <c r="E29" s="99"/>
      <c r="F29" s="99"/>
      <c r="G29" s="99"/>
      <c r="H29" s="99"/>
      <c r="I29" s="99"/>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100"/>
      <c r="AO29" s="99"/>
      <c r="AP29" s="99"/>
    </row>
    <row r="30" spans="3:42" ht="16.5" x14ac:dyDescent="0.3">
      <c r="C30" s="99"/>
      <c r="D30" s="104" t="s">
        <v>168</v>
      </c>
      <c r="E30" s="99"/>
      <c r="F30" s="99"/>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100"/>
      <c r="AO30" s="99"/>
      <c r="AP30" s="99"/>
    </row>
    <row r="31" spans="3:42" ht="20.100000000000001" customHeight="1" x14ac:dyDescent="0.3">
      <c r="C31" s="99"/>
      <c r="D31" s="123" t="s">
        <v>156</v>
      </c>
      <c r="E31" s="123"/>
      <c r="F31" s="105" t="s">
        <v>163</v>
      </c>
      <c r="G31" s="124" t="s">
        <v>158</v>
      </c>
      <c r="H31" s="124"/>
      <c r="I31" s="105" t="s">
        <v>163</v>
      </c>
      <c r="J31" s="124" t="s">
        <v>157</v>
      </c>
      <c r="K31" s="124"/>
      <c r="L31" s="105" t="s">
        <v>163</v>
      </c>
      <c r="M31" s="125" t="s">
        <v>155</v>
      </c>
      <c r="N31" s="125"/>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0"/>
      <c r="AO31" s="99"/>
      <c r="AP31" s="99"/>
    </row>
    <row r="32" spans="3:42" x14ac:dyDescent="0.25">
      <c r="C32" s="99"/>
      <c r="D32" s="100"/>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100"/>
      <c r="AO32" s="99"/>
      <c r="AP32" s="99"/>
    </row>
  </sheetData>
  <mergeCells count="19">
    <mergeCell ref="P28:T28"/>
    <mergeCell ref="V28:Z28"/>
    <mergeCell ref="AB28:AF28"/>
    <mergeCell ref="D31:E31"/>
    <mergeCell ref="G31:H31"/>
    <mergeCell ref="J31:K31"/>
    <mergeCell ref="M31:N31"/>
    <mergeCell ref="D28:H28"/>
    <mergeCell ref="J28:N28"/>
    <mergeCell ref="W2:AC2"/>
    <mergeCell ref="AE2:AF2"/>
    <mergeCell ref="AH2:AK2"/>
    <mergeCell ref="AM2:AN2"/>
    <mergeCell ref="D26:H26"/>
    <mergeCell ref="J26:N26"/>
    <mergeCell ref="P26:T26"/>
    <mergeCell ref="V26:Z26"/>
    <mergeCell ref="AB26:AF26"/>
    <mergeCell ref="AH26:AM26"/>
  </mergeCells>
  <hyperlinks>
    <hyperlink ref="AM2:AN2" r:id="rId1" tooltip="Click here to navigate to Support" display="Support"/>
    <hyperlink ref="AH2:AK2" r:id="rId2" tooltip="Click here to navigate to the Knowledgebase" display="Knowledgebase"/>
    <hyperlink ref="AE2:AF2" r:id="rId3" tooltip="Click here to navigate to the Blog" display="Blog"/>
    <hyperlink ref="W2:AC2" r:id="rId4" tooltip="Click here to navigate to the Sage Intelligence Community" display="Sage Intelligence Community"/>
    <hyperlink ref="M31:N31" r:id="rId5" tooltip="Click here to navigate to our Facebook page" display="Facebook"/>
    <hyperlink ref="J31:K31" r:id="rId6" tooltip="Click here to navigate to our LinkedIn page" display="LinkedIn"/>
    <hyperlink ref="G31:H31" r:id="rId7" tooltip="Click here to navigate to YouTube page" display="YouTube"/>
    <hyperlink ref="D31:E31" r:id="rId8" tooltip="Click here to navigate to our Twitter page" display="Twitter"/>
    <hyperlink ref="D26:H26" location="'Balance Sheet'!A1" tooltip="Balance Sheet" display="Balance Sheet"/>
    <hyperlink ref="J26:N26" location="Categories!A1" tooltip="Categories" display="Categories"/>
    <hyperlink ref="P26:T26" location="'Income Statement'!A1" tooltip="Income Statement" display="Income Statement"/>
    <hyperlink ref="V26:Z26" location="'Inc Stat Incl Adj'!A1" tooltip="Income Statement Including Adjustments" display="Income Statement Incl Adjustments"/>
    <hyperlink ref="D28:H28" location="'Cash Flow'!A1" tooltip="Cash Flow" display="Cash Flow"/>
    <hyperlink ref="J28:N28" location="'Cash Flow Detail'!A1" tooltip="Cash Flow Detail" display="Cash Flow Detail"/>
    <hyperlink ref="P28:T28" location="Divisional!A1" tooltip="Divisional" display="Divisional"/>
    <hyperlink ref="V28:Z28" location="Regional!A1" tooltip="Regional" display="Regional"/>
    <hyperlink ref="AB28:AF28" location="'Missing Accounts'!A1" tooltip="Missing Accounts" display="Missing Accounts"/>
    <hyperlink ref="AH26:AM26" location="Summary!A1" tooltip="Summary" display="Summary"/>
    <hyperlink ref="AB26:AF26" location="'Trial Balance'!A1" tooltip="Trial Balance" display="Trial Balance"/>
  </hyperlinks>
  <pageMargins left="0.7" right="0.7" top="0.75" bottom="0.75" header="0.3" footer="0.3"/>
  <pageSetup paperSize="9" orientation="portrait" r:id="rId9"/>
  <drawing r:id="rId10"/>
  <extLst>
    <ext xmlns:x15="http://schemas.microsoft.com/office/spreadsheetml/2010/11/main" uri="{F7C9EE02-42E1-4005-9D12-6889AFFD525C}">
      <x15:webExtensions xmlns:xm="http://schemas.microsoft.com/office/excel/2006/main">
        <x15:webExtension appRef="{67C10FAA-1F0C-4228-97ED-813B14DDC5D6}">
          <xm:f>B</xm:f>
        </x15:webExtension>
        <x15:webExtension appRef="{12613974-662F-4879-98BE-ADCB55BC23F4}">
          <xm:f>MissingAccounts</xm:f>
        </x15:webExtension>
        <x15:webExtension appRef="{635A31D3-DF60-4B8E-8C6C-E21C11164987}">
          <xm:f>AutoRefresh</xm:f>
        </x15:webExtension>
        <x15:webExtension appRef="{FFA7FB4A-754E-4C9F-9FDE-75F7D747EA16}">
          <xm:f>Companies</xm:f>
        </x15:webExtension>
        <x15:webExtension appRef="{4B92EC27-CF85-40DD-912A-D586D01B79E0}">
          <xm:f>FiscalYears</xm:f>
        </x15:webExtension>
        <x15:webExtension appRef="{60587BA1-568A-4112-9654-EC1027C52AC8}">
          <xm:f>Delimiter</xm:f>
        </x15:webExtension>
        <x15:webExtension appRef="{3AA8772B-D153-41F2-9162-0D1DA46AD68A}">
          <xm:f>Decimal</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heetPr>
  <dimension ref="B1:O245"/>
  <sheetViews>
    <sheetView showGridLines="0" zoomScale="90" zoomScaleNormal="90" workbookViewId="0"/>
  </sheetViews>
  <sheetFormatPr defaultRowHeight="16.5" outlineLevelRow="1" x14ac:dyDescent="0.3"/>
  <cols>
    <col min="1" max="1" width="2.85546875" style="12" customWidth="1"/>
    <col min="2" max="2" width="5.5703125" style="11" customWidth="1"/>
    <col min="3" max="3" width="45" style="12" customWidth="1"/>
    <col min="4" max="4" width="0.42578125" style="12" customWidth="1"/>
    <col min="5" max="5" width="17.5703125" style="12" bestFit="1" customWidth="1"/>
    <col min="6" max="6" width="1.85546875" style="12" customWidth="1"/>
    <col min="7" max="10" width="13.85546875" style="12" customWidth="1"/>
    <col min="11" max="11" width="1.85546875" style="12" customWidth="1"/>
    <col min="12" max="13" width="14" style="12" bestFit="1" customWidth="1"/>
    <col min="14" max="14" width="9.140625" style="12"/>
    <col min="15" max="15" width="13.42578125" style="12" bestFit="1" customWidth="1"/>
    <col min="16" max="16384" width="9.140625" style="12"/>
  </cols>
  <sheetData>
    <row r="1" spans="2:14" ht="15" customHeight="1" x14ac:dyDescent="0.3"/>
    <row r="2" spans="2:14" ht="33.75" customHeight="1" x14ac:dyDescent="0.7">
      <c r="B2" s="91" t="s">
        <v>154</v>
      </c>
      <c r="C2" s="13" t="str">
        <f>CONCATENATE(E3," Balance Sheet")</f>
        <v>0 Balance Sheet</v>
      </c>
      <c r="D2" s="13"/>
    </row>
    <row r="3" spans="2:14" x14ac:dyDescent="0.3">
      <c r="C3" s="14" t="s">
        <v>26</v>
      </c>
      <c r="D3" s="14"/>
      <c r="E3" s="68">
        <f>INDEX(Companies,1)</f>
        <v>0</v>
      </c>
      <c r="G3" s="126" t="s">
        <v>183</v>
      </c>
      <c r="H3" s="126"/>
      <c r="I3" s="126"/>
      <c r="J3" s="126"/>
    </row>
    <row r="4" spans="2:14" x14ac:dyDescent="0.3">
      <c r="C4" s="14" t="s">
        <v>56</v>
      </c>
      <c r="D4" s="14"/>
      <c r="E4" s="68">
        <f>CHOOSE(B, "GLCurrentYear(" &amp; $E$3 &amp; ")", CellContents, 2020)</f>
        <v>2020</v>
      </c>
      <c r="G4" s="126"/>
      <c r="H4" s="126"/>
      <c r="I4" s="126"/>
      <c r="J4" s="126"/>
    </row>
    <row r="5" spans="2:14" x14ac:dyDescent="0.3">
      <c r="C5" s="14" t="s">
        <v>25</v>
      </c>
      <c r="D5" s="14"/>
      <c r="E5" s="71">
        <f>CHOOSE(B, "GLCurrentPeriod(" &amp; $E$3 &amp; ")", CellContents, 1)</f>
        <v>1</v>
      </c>
      <c r="G5" s="126"/>
      <c r="H5" s="126"/>
      <c r="I5" s="126"/>
      <c r="J5" s="126"/>
    </row>
    <row r="6" spans="2:14" x14ac:dyDescent="0.3">
      <c r="C6" s="14" t="s">
        <v>27</v>
      </c>
      <c r="D6" s="14"/>
      <c r="E6" s="15" t="str">
        <f>CHOOSE(B, "GLHomeCurrency(" &amp; $E$3 &amp; ")", CellContents, "CAD")</f>
        <v>CAD</v>
      </c>
    </row>
    <row r="7" spans="2:14" x14ac:dyDescent="0.3">
      <c r="C7" s="14" t="s">
        <v>28</v>
      </c>
      <c r="D7" s="14"/>
      <c r="E7" s="15" t="s">
        <v>29</v>
      </c>
    </row>
    <row r="8" spans="2:14" ht="7.5" customHeight="1" x14ac:dyDescent="0.3">
      <c r="E8" s="16"/>
      <c r="F8" s="17"/>
    </row>
    <row r="9" spans="2:14" ht="33" x14ac:dyDescent="0.3">
      <c r="B9" s="18"/>
      <c r="C9" s="19"/>
      <c r="D9" s="19"/>
      <c r="E9" s="20" t="s">
        <v>13</v>
      </c>
      <c r="F9" s="21"/>
      <c r="G9" s="20" t="s">
        <v>57</v>
      </c>
      <c r="H9" s="20" t="s">
        <v>58</v>
      </c>
      <c r="I9" s="20" t="s">
        <v>59</v>
      </c>
      <c r="J9" s="20" t="s">
        <v>60</v>
      </c>
      <c r="K9" s="21"/>
      <c r="L9" s="22" t="s">
        <v>61</v>
      </c>
      <c r="M9" s="22" t="s">
        <v>8</v>
      </c>
      <c r="N9" s="23"/>
    </row>
    <row r="10" spans="2:14" x14ac:dyDescent="0.3">
      <c r="B10" s="18"/>
      <c r="C10" s="19"/>
      <c r="D10" s="19"/>
      <c r="E10" s="20"/>
      <c r="F10" s="21"/>
      <c r="G10" s="24">
        <v>3</v>
      </c>
      <c r="H10" s="24">
        <v>6</v>
      </c>
      <c r="I10" s="24">
        <v>9</v>
      </c>
      <c r="J10" s="24">
        <v>12</v>
      </c>
      <c r="K10" s="21"/>
      <c r="L10" s="24" t="s">
        <v>62</v>
      </c>
      <c r="M10" s="24"/>
      <c r="N10" s="23"/>
    </row>
    <row r="11" spans="2:14" ht="7.5" customHeight="1" x14ac:dyDescent="0.3"/>
    <row r="12" spans="2:14" x14ac:dyDescent="0.3">
      <c r="B12" s="25"/>
      <c r="C12" s="26" t="s">
        <v>14</v>
      </c>
      <c r="D12" s="26"/>
      <c r="E12" s="27"/>
      <c r="F12" s="27"/>
      <c r="G12" s="27"/>
      <c r="H12" s="27"/>
      <c r="I12" s="27"/>
      <c r="J12" s="27"/>
      <c r="K12" s="27"/>
      <c r="L12" s="27"/>
      <c r="M12" s="27"/>
      <c r="N12" s="27"/>
    </row>
    <row r="13" spans="2:14" ht="7.5" customHeight="1" x14ac:dyDescent="0.3">
      <c r="B13" s="25"/>
      <c r="C13" s="26"/>
      <c r="D13" s="26"/>
      <c r="E13" s="27"/>
      <c r="F13" s="27"/>
      <c r="G13" s="27"/>
      <c r="H13" s="27"/>
      <c r="I13" s="27"/>
      <c r="J13" s="27"/>
      <c r="K13" s="27"/>
      <c r="L13" s="27"/>
      <c r="M13" s="27"/>
      <c r="N13" s="27"/>
    </row>
    <row r="14" spans="2:14" s="31" customFormat="1" collapsed="1" x14ac:dyDescent="0.3">
      <c r="B14" s="28"/>
      <c r="C14" s="29" t="s">
        <v>63</v>
      </c>
      <c r="D14" s="29"/>
      <c r="E14" s="30">
        <f>SUM(E15:E18)</f>
        <v>300462</v>
      </c>
      <c r="F14" s="30"/>
      <c r="G14" s="30">
        <f>SUM(G15:G18)</f>
        <v>1165462</v>
      </c>
      <c r="H14" s="30">
        <f>SUM(H15:H18)</f>
        <v>1650568</v>
      </c>
      <c r="I14" s="30">
        <f>SUM(I15:I18)</f>
        <v>1651628</v>
      </c>
      <c r="J14" s="30">
        <f>SUM(J15:J18)</f>
        <v>1651628</v>
      </c>
      <c r="K14" s="30"/>
      <c r="L14" s="30">
        <f>SUM(L15:L18)</f>
        <v>-40000</v>
      </c>
      <c r="M14" s="30">
        <f>SUM(M15:M18)</f>
        <v>-40000</v>
      </c>
      <c r="N14" s="29"/>
    </row>
    <row r="15" spans="2:14" s="31" customFormat="1" hidden="1" outlineLevel="1" x14ac:dyDescent="0.3">
      <c r="B15" s="28" t="s">
        <v>75</v>
      </c>
      <c r="C15" s="29" t="s">
        <v>38</v>
      </c>
      <c r="D15" s="29"/>
      <c r="E15" s="32">
        <f>CHOOSE(B, "GLOpeningBalance(" &amp; "Account" &amp; "," &amp; $E$3 &amp; "," &amp; $E$4 &amp; "," &amp; "AccountGroupCode" &amp; "," &amp; $B15 &amp; "," &amp; "AccountStructureCode" &amp; "," &amp; "AccountType" &amp; "," &amp; "BalanceType" &amp; "," &amp; $E$6 &amp; "," &amp; $E$7 &amp; ")", CellContents, 1062888,79)</f>
        <v>1062888</v>
      </c>
      <c r="F15" s="32"/>
      <c r="G15" s="32">
        <f>CHOOSE(B, "GLClosingBalance(" &amp; "Account" &amp; "," &amp; $E$3 &amp; "," &amp; $E$4 &amp; "," &amp; G$10 &amp; "," &amp; "AccountGroupCode" &amp; "," &amp; $B15 &amp; "," &amp; "AccountStructureCode" &amp; "," &amp; "AccountType" &amp; "," &amp; "BalanceType" &amp; "," &amp; $E$6 &amp; "," &amp; $E$7 &amp; ")", CellContents, 2062888,79)</f>
        <v>2062888</v>
      </c>
      <c r="H15" s="32">
        <f>CHOOSE(B, "GLClosingBalance(" &amp; "Account" &amp; "," &amp; $E$3 &amp; "," &amp; $E$4 &amp; "," &amp; H$10 &amp; "," &amp; "AccountGroupCode" &amp; "," &amp; $B15 &amp; "," &amp; "AccountStructureCode" &amp; "," &amp; "AccountType" &amp; "," &amp; "BalanceType" &amp; "," &amp; $E$6 &amp; "," &amp; $E$7 &amp; ")", CellContents, 2662994,79)</f>
        <v>2662994</v>
      </c>
      <c r="I15" s="32">
        <f>CHOOSE(B, "GLClosingBalance(" &amp; "Account" &amp; "," &amp; $E$3 &amp; "," &amp; $E$4 &amp; "," &amp; I$10 &amp; "," &amp; "AccountGroupCode" &amp; "," &amp; $B15 &amp; "," &amp; "AccountStructureCode" &amp; "," &amp; "AccountType" &amp; "," &amp; "BalanceType" &amp; "," &amp; $E$6 &amp; "," &amp; $E$7 &amp; ")", CellContents, 2664054,79)</f>
        <v>2664054</v>
      </c>
      <c r="J15" s="32">
        <f>CHOOSE(B, "GLClosingBalance(" &amp; "Account" &amp; "," &amp; $E$3 &amp; "," &amp; $E$4 &amp; "," &amp; J$10 &amp; "," &amp; "AccountGroupCode" &amp; "," &amp; $B15 &amp; "," &amp; "AccountStructureCode" &amp; "," &amp; "AccountType" &amp; "," &amp; "BalanceType" &amp; "," &amp; $E$6 &amp; "," &amp; $E$7 &amp; ")", CellContents, 2664054,79)</f>
        <v>2664054</v>
      </c>
      <c r="K15" s="32"/>
      <c r="L15" s="32">
        <f>CHOOSE(B, "GLActual(" &amp; "Account" &amp; "," &amp; $E$3 &amp; "," &amp; $E$4 &amp; "," &amp; $E$5 &amp; "," &amp; "AccountGroupCode" &amp; "," &amp; $B15 &amp; "," &amp; "AccountStructureCode" &amp; "," &amp; "AccountType" &amp; "," &amp; "BalanceType" &amp; "," &amp; $E$6 &amp; "," &amp; $E$7 &amp; ")", CellContents, 0)</f>
        <v>0</v>
      </c>
      <c r="M15" s="32">
        <f>CHOOSE(B, "GLActualYTD(" &amp; "Account" &amp; "," &amp; $E$3 &amp; "," &amp; $E$4 &amp; "," &amp; $E$5 &amp; "," &amp; "AccountGroupCode" &amp; "," &amp; $B15 &amp; "," &amp; "AccountStructureCode" &amp; "," &amp; "AccountType" &amp; "," &amp; "BalanceType" &amp; "," &amp; $E$6 &amp; "," &amp; $E$7 &amp; ")", CellContents, 0)</f>
        <v>0</v>
      </c>
      <c r="N15" s="29"/>
    </row>
    <row r="16" spans="2:14" s="31" customFormat="1" hidden="1" outlineLevel="1" x14ac:dyDescent="0.3">
      <c r="B16" s="28" t="s">
        <v>76</v>
      </c>
      <c r="C16" s="29" t="s">
        <v>39</v>
      </c>
      <c r="D16" s="29"/>
      <c r="E16" s="32">
        <f>CHOOSE(B, "GLOpeningBalance(" &amp; "Account" &amp; "," &amp; $E$3 &amp; "," &amp; $E$4 &amp; "," &amp; "AccountGroupCode" &amp; "," &amp; $B16 &amp; "," &amp; "AccountStructureCode" &amp; "," &amp; "AccountType" &amp; "," &amp; "BalanceType" &amp; "," &amp; $E$6 &amp; "," &amp; $E$7 &amp; ")", CellContents, -762426,42)</f>
        <v>-762426</v>
      </c>
      <c r="F16" s="32"/>
      <c r="G16" s="32">
        <f>CHOOSE(B, "GLClosingBalance(" &amp; "Account" &amp; "," &amp; $E$3 &amp; "," &amp; $E$4 &amp; "," &amp; G$10 &amp; "," &amp; "AccountGroupCode" &amp; "," &amp; $B16 &amp; "," &amp; "AccountStructureCode" &amp; "," &amp; "AccountType" &amp; "," &amp; "BalanceType" &amp; "," &amp; $E$6 &amp; "," &amp; $E$7 &amp; ")", CellContents, -897426,42)</f>
        <v>-897426</v>
      </c>
      <c r="H16" s="32">
        <f>CHOOSE(B, "GLClosingBalance(" &amp; "Account" &amp; "," &amp; $E$3 &amp; "," &amp; $E$4 &amp; "," &amp; H$10 &amp; "," &amp; "AccountGroupCode" &amp; "," &amp; $B16 &amp; "," &amp; "AccountStructureCode" &amp; "," &amp; "AccountType" &amp; "," &amp; "BalanceType" &amp; "," &amp; $E$6 &amp; "," &amp; $E$7 &amp; ")", CellContents, -1012426,42)</f>
        <v>-1012426</v>
      </c>
      <c r="I16" s="32">
        <f>CHOOSE(B, "GLClosingBalance(" &amp; "Account" &amp; "," &amp; $E$3 &amp; "," &amp; $E$4 &amp; "," &amp; I$10 &amp; "," &amp; "AccountGroupCode" &amp; "," &amp; $B16 &amp; "," &amp; "AccountStructureCode" &amp; "," &amp; "AccountType" &amp; "," &amp; "BalanceType" &amp; "," &amp; $E$6 &amp; "," &amp; $E$7 &amp; ")", CellContents, -1012426,42)</f>
        <v>-1012426</v>
      </c>
      <c r="J16" s="32">
        <f>CHOOSE(B, "GLClosingBalance(" &amp; "Account" &amp; "," &amp; $E$3 &amp; "," &amp; $E$4 &amp; "," &amp; J$10 &amp; "," &amp; "AccountGroupCode" &amp; "," &amp; $B16 &amp; "," &amp; "AccountStructureCode" &amp; "," &amp; "AccountType" &amp; "," &amp; "BalanceType" &amp; "," &amp; $E$6 &amp; "," &amp; $E$7 &amp; ")", CellContents, -1012426,42)</f>
        <v>-1012426</v>
      </c>
      <c r="K16" s="32"/>
      <c r="L16" s="32">
        <f>CHOOSE(B, "GLActual(" &amp; "Account" &amp; "," &amp; $E$3 &amp; "," &amp; $E$4 &amp; "," &amp; $E$5 &amp; "," &amp; "AccountGroupCode" &amp; "," &amp; $B16 &amp; "," &amp; "AccountStructureCode" &amp; "," &amp; "AccountType" &amp; "," &amp; "BalanceType" &amp; "," &amp; $E$6 &amp; "," &amp; $E$7 &amp; ")", CellContents, -40000)</f>
        <v>-40000</v>
      </c>
      <c r="M16" s="32">
        <f>CHOOSE(B, "GLActualYTD(" &amp; "Account" &amp; "," &amp; $E$3 &amp; "," &amp; $E$4 &amp; "," &amp; $E$5 &amp; "," &amp; "AccountGroupCode" &amp; "," &amp; $B16 &amp; "," &amp; "AccountStructureCode" &amp; "," &amp; "AccountType" &amp; "," &amp; "BalanceType" &amp; "," &amp; $E$6 &amp; "," &amp; $E$7 &amp; ")", CellContents, -40000)</f>
        <v>-40000</v>
      </c>
      <c r="N16" s="29"/>
    </row>
    <row r="17" spans="2:14" s="31" customFormat="1" hidden="1" outlineLevel="1" x14ac:dyDescent="0.3">
      <c r="B17" s="28" t="s">
        <v>77</v>
      </c>
      <c r="C17" s="29" t="s">
        <v>34</v>
      </c>
      <c r="D17" s="29"/>
      <c r="E17" s="32">
        <f>CHOOSE(B, "GLOpeningBalance(" &amp; "Account" &amp; "," &amp; $E$3 &amp; "," &amp; $E$4 &amp; "," &amp; "AccountGroupCode" &amp; "," &amp; $B17 &amp; "," &amp; "AccountStructureCode" &amp; "," &amp; "AccountType" &amp; "," &amp; "BalanceType" &amp; "," &amp; $E$6 &amp; "," &amp; $E$7 &amp; ")", CellContents, 0)</f>
        <v>0</v>
      </c>
      <c r="F17" s="32"/>
      <c r="G17" s="32">
        <f>CHOOSE(B, "GLClosingBalance(" &amp; "Account" &amp; "," &amp; $E$3 &amp; "," &amp; $E$4 &amp; "," &amp; G$10 &amp; "," &amp; "AccountGroupCode" &amp; "," &amp; $B17 &amp; "," &amp; "AccountStructureCode" &amp; "," &amp; "AccountType" &amp; "," &amp; "BalanceType" &amp; "," &amp; $E$6 &amp; "," &amp; $E$7 &amp; ")", CellContents, 0)</f>
        <v>0</v>
      </c>
      <c r="H17" s="32">
        <f>CHOOSE(B, "GLClosingBalance(" &amp; "Account" &amp; "," &amp; $E$3 &amp; "," &amp; $E$4 &amp; "," &amp; H$10 &amp; "," &amp; "AccountGroupCode" &amp; "," &amp; $B17 &amp; "," &amp; "AccountStructureCode" &amp; "," &amp; "AccountType" &amp; "," &amp; "BalanceType" &amp; "," &amp; $E$6 &amp; "," &amp; $E$7 &amp; ")", CellContents, 0)</f>
        <v>0</v>
      </c>
      <c r="I17" s="32">
        <f>CHOOSE(B, "GLClosingBalance(" &amp; "Account" &amp; "," &amp; $E$3 &amp; "," &amp; $E$4 &amp; "," &amp; I$10 &amp; "," &amp; "AccountGroupCode" &amp; "," &amp; $B17 &amp; "," &amp; "AccountStructureCode" &amp; "," &amp; "AccountType" &amp; "," &amp; "BalanceType" &amp; "," &amp; $E$6 &amp; "," &amp; $E$7 &amp; ")", CellContents, 0)</f>
        <v>0</v>
      </c>
      <c r="J17" s="32">
        <f>CHOOSE(B, "GLClosingBalance(" &amp; "Account" &amp; "," &amp; $E$3 &amp; "," &amp; $E$4 &amp; "," &amp; J$10 &amp; "," &amp; "AccountGroupCode" &amp; "," &amp; $B17 &amp; "," &amp; "AccountStructureCode" &amp; "," &amp; "AccountType" &amp; "," &amp; "BalanceType" &amp; "," &amp; $E$6 &amp; "," &amp; $E$7 &amp; ")", CellContents, 0)</f>
        <v>0</v>
      </c>
      <c r="K17" s="32"/>
      <c r="L17" s="32">
        <f>CHOOSE(B, "GLActual(" &amp; "Account" &amp; "," &amp; $E$3 &amp; "," &amp; $E$4 &amp; "," &amp; $E$5 &amp; "," &amp; "AccountGroupCode" &amp; "," &amp; $B17 &amp; "," &amp; "AccountStructureCode" &amp; "," &amp; "AccountType" &amp; "," &amp; "BalanceType" &amp; "," &amp; $E$6 &amp; "," &amp; $E$7 &amp; ")", CellContents, 0)</f>
        <v>0</v>
      </c>
      <c r="M17" s="32">
        <f>CHOOSE(B, "GLActualYTD(" &amp; "Account" &amp; "," &amp; $E$3 &amp; "," &amp; $E$4 &amp; "," &amp; $E$5 &amp; "," &amp; "AccountGroupCode" &amp; "," &amp; $B17 &amp; "," &amp; "AccountStructureCode" &amp; "," &amp; "AccountType" &amp; "," &amp; "BalanceType" &amp; "," &amp; $E$6 &amp; "," &amp; $E$7 &amp; ")", CellContents, 0)</f>
        <v>0</v>
      </c>
      <c r="N17" s="29"/>
    </row>
    <row r="18" spans="2:14" s="31" customFormat="1" ht="7.5" customHeight="1" x14ac:dyDescent="0.3">
      <c r="B18" s="28"/>
      <c r="C18" s="29"/>
      <c r="D18" s="29"/>
      <c r="E18" s="32"/>
      <c r="F18" s="32"/>
      <c r="G18" s="32"/>
      <c r="H18" s="32"/>
      <c r="I18" s="32"/>
      <c r="J18" s="32"/>
      <c r="K18" s="32"/>
      <c r="L18" s="32"/>
      <c r="M18" s="32"/>
      <c r="N18" s="29"/>
    </row>
    <row r="19" spans="2:14" s="31" customFormat="1" collapsed="1" x14ac:dyDescent="0.3">
      <c r="B19" s="28"/>
      <c r="C19" s="29" t="s">
        <v>15</v>
      </c>
      <c r="D19" s="29"/>
      <c r="E19" s="32">
        <f>SUM(E20:E24)</f>
        <v>11931699</v>
      </c>
      <c r="F19" s="32"/>
      <c r="G19" s="32">
        <f>SUM(G20:G24)</f>
        <v>14169237</v>
      </c>
      <c r="H19" s="32">
        <f>SUM(H20:H24)</f>
        <v>16732691</v>
      </c>
      <c r="I19" s="32">
        <f>SUM(I20:I24)</f>
        <v>16711657</v>
      </c>
      <c r="J19" s="32">
        <f>SUM(J20:J24)</f>
        <v>16711657</v>
      </c>
      <c r="K19" s="32"/>
      <c r="L19" s="32">
        <f>SUM(L20:L24)</f>
        <v>917560</v>
      </c>
      <c r="M19" s="32">
        <f>SUM(M20:M24)</f>
        <v>917560</v>
      </c>
      <c r="N19" s="29"/>
    </row>
    <row r="20" spans="2:14" s="31" customFormat="1" hidden="1" outlineLevel="1" x14ac:dyDescent="0.3">
      <c r="B20" s="28" t="s">
        <v>171</v>
      </c>
      <c r="C20" s="29" t="s">
        <v>32</v>
      </c>
      <c r="D20" s="29"/>
      <c r="E20" s="32">
        <f>CHOOSE(B, "GLOpeningBalance(" &amp; "Account" &amp; "," &amp; $E$3 &amp; "," &amp; $E$4 &amp; "," &amp; "AccountGroupCode" &amp; "," &amp; $B20 &amp; "," &amp; "AccountStructureCode" &amp; "," &amp; "AccountType" &amp; "," &amp; "BalanceType" &amp; "," &amp; $E$6 &amp; "," &amp; $E$7 &amp; ")", CellContents, 6840727,99)</f>
        <v>6840727</v>
      </c>
      <c r="F20" s="32"/>
      <c r="G20" s="32">
        <f>CHOOSE(B, "GLClosingBalance(" &amp; "Account" &amp; "," &amp; $E$3 &amp; "," &amp; $E$4 &amp; "," &amp; G$10 &amp; "," &amp; "AccountGroupCode" &amp; "," &amp; $B20 &amp; "," &amp; "AccountStructureCode" &amp; "," &amp; "AccountType" &amp; "," &amp; "BalanceType" &amp; "," &amp; $E$6 &amp; "," &amp; $E$7 &amp; ")", CellContents, 9637690,75)</f>
        <v>9637690</v>
      </c>
      <c r="H20" s="32">
        <f>CHOOSE(B, "GLClosingBalance(" &amp; "Account" &amp; "," &amp; $E$3 &amp; "," &amp; $E$4 &amp; "," &amp; H$10 &amp; "," &amp; "AccountGroupCode" &amp; "," &amp; $B20 &amp; "," &amp; "AccountStructureCode" &amp; "," &amp; "AccountType" &amp; "," &amp; "BalanceType" &amp; "," &amp; $E$6 &amp; "," &amp; $E$7 &amp; ")", CellContents, 11996815,57)</f>
        <v>11996815</v>
      </c>
      <c r="I20" s="32">
        <f>CHOOSE(B, "GLClosingBalance(" &amp; "Account" &amp; "," &amp; $E$3 &amp; "," &amp; $E$4 &amp; "," &amp; I$10 &amp; "," &amp; "AccountGroupCode" &amp; "," &amp; $B20 &amp; "," &amp; "AccountStructureCode" &amp; "," &amp; "AccountType" &amp; "," &amp; "BalanceType" &amp; "," &amp; $E$6 &amp; "," &amp; $E$7 &amp; ")", CellContents, 11960373)</f>
        <v>11960373</v>
      </c>
      <c r="J20" s="32">
        <f>CHOOSE(B, "GLClosingBalance(" &amp; "Account" &amp; "," &amp; $E$3 &amp; "," &amp; $E$4 &amp; "," &amp; J$10 &amp; "," &amp; "AccountGroupCode" &amp; "," &amp; $B20 &amp; "," &amp; "AccountStructureCode" &amp; "," &amp; "AccountType" &amp; "," &amp; "BalanceType" &amp; "," &amp; $E$6 &amp; "," &amp; $E$7 &amp; ")", CellContents, 11960373)</f>
        <v>11960373</v>
      </c>
      <c r="K20" s="32"/>
      <c r="L20" s="32">
        <f>CHOOSE(B, "GLActual(" &amp; "Account" &amp; "," &amp; $E$3 &amp; "," &amp; $E$4 &amp; "," &amp; $E$5 &amp; "," &amp; "AccountGroupCode" &amp; "," &amp; $B20 &amp; "," &amp; "AccountStructureCode" &amp; "," &amp; "AccountType" &amp; "," &amp; "BalanceType" &amp; "," &amp; $E$6 &amp; "," &amp; $E$7 &amp; ")", CellContents, 1071635,98)</f>
        <v>1071635</v>
      </c>
      <c r="M20" s="32">
        <f>CHOOSE(B, "GLActualYTD(" &amp; "Account" &amp; "," &amp; $E$3 &amp; "," &amp; $E$4 &amp; "," &amp; $E$5 &amp; "," &amp; "AccountGroupCode" &amp; "," &amp; $B20 &amp; "," &amp; "AccountStructureCode" &amp; "," &amp; "AccountType" &amp; "," &amp; "BalanceType" &amp; "," &amp; $E$6 &amp; "," &amp; $E$7 &amp; ")", CellContents, 1071635,98)</f>
        <v>1071635</v>
      </c>
      <c r="N20" s="29"/>
    </row>
    <row r="21" spans="2:14" s="31" customFormat="1" hidden="1" outlineLevel="1" x14ac:dyDescent="0.3">
      <c r="B21" s="28" t="s">
        <v>72</v>
      </c>
      <c r="C21" s="29" t="s">
        <v>33</v>
      </c>
      <c r="D21" s="29"/>
      <c r="E21" s="32">
        <f>CHOOSE(B, "GLOpeningBalance(" &amp; "Account" &amp; "," &amp; $E$3 &amp; "," &amp; $E$4 &amp; "," &amp; "AccountGroupCode" &amp; "," &amp; $B21 &amp; "," &amp; "AccountStructureCode" &amp; "," &amp; "AccountType" &amp; "," &amp; "BalanceType" &amp; "," &amp; $E$6 &amp; "," &amp; $E$7 &amp; ")", CellContents, 3118429,82)</f>
        <v>3118429</v>
      </c>
      <c r="F21" s="32"/>
      <c r="G21" s="32">
        <f>CHOOSE(B, "GLClosingBalance(" &amp; "Account" &amp; "," &amp; $E$3 &amp; "," &amp; $E$4 &amp; "," &amp; G$10 &amp; "," &amp; "AccountGroupCode" &amp; "," &amp; $B21 &amp; "," &amp; "AccountStructureCode" &amp; "," &amp; "AccountType" &amp; "," &amp; "BalanceType" &amp; "," &amp; $E$6 &amp; "," &amp; $E$7 &amp; ")", CellContents, 2569087,72)</f>
        <v>2569087</v>
      </c>
      <c r="H21" s="32">
        <f>CHOOSE(B, "GLClosingBalance(" &amp; "Account" &amp; "," &amp; $E$3 &amp; "," &amp; $E$4 &amp; "," &amp; H$10 &amp; "," &amp; "AccountGroupCode" &amp; "," &amp; $B21 &amp; "," &amp; "AccountStructureCode" &amp; "," &amp; "AccountType" &amp; "," &amp; "BalanceType" &amp; "," &amp; $E$6 &amp; "," &amp; $E$7 &amp; ")", CellContents, 2750251,18)</f>
        <v>2750251</v>
      </c>
      <c r="I21" s="32">
        <f>CHOOSE(B, "GLClosingBalance(" &amp; "Account" &amp; "," &amp; $E$3 &amp; "," &amp; $E$4 &amp; "," &amp; I$10 &amp; "," &amp; "AccountGroupCode" &amp; "," &amp; $B21 &amp; "," &amp; "AccountStructureCode" &amp; "," &amp; "AccountType" &amp; "," &amp; "BalanceType" &amp; "," &amp; $E$6 &amp; "," &amp; $E$7 &amp; ")", CellContents, 2754368,6)</f>
        <v>2754368</v>
      </c>
      <c r="J21" s="32">
        <f>CHOOSE(B, "GLClosingBalance(" &amp; "Account" &amp; "," &amp; $E$3 &amp; "," &amp; $E$4 &amp; "," &amp; J$10 &amp; "," &amp; "AccountGroupCode" &amp; "," &amp; $B21 &amp; "," &amp; "AccountStructureCode" &amp; "," &amp; "AccountType" &amp; "," &amp; "BalanceType" &amp; "," &amp; $E$6 &amp; "," &amp; $E$7 &amp; ")", CellContents, 2754368,6)</f>
        <v>2754368</v>
      </c>
      <c r="K21" s="32"/>
      <c r="L21" s="32">
        <f>CHOOSE(B, "GLActual(" &amp; "Account" &amp; "," &amp; $E$3 &amp; "," &amp; $E$4 &amp; "," &amp; $E$5 &amp; "," &amp; "AccountGroupCode" &amp; "," &amp; $B21 &amp; "," &amp; "AccountStructureCode" &amp; "," &amp; "AccountType" &amp; "," &amp; "BalanceType" &amp; "," &amp; $E$6 &amp; "," &amp; $E$7 &amp; ")", CellContents, -149165,7)</f>
        <v>-149165</v>
      </c>
      <c r="M21" s="32">
        <f>CHOOSE(B, "GLActualYTD(" &amp; "Account" &amp; "," &amp; $E$3 &amp; "," &amp; $E$4 &amp; "," &amp; $E$5 &amp; "," &amp; "AccountGroupCode" &amp; "," &amp; $B21 &amp; "," &amp; "AccountStructureCode" &amp; "," &amp; "AccountType" &amp; "," &amp; "BalanceType" &amp; "," &amp; $E$6 &amp; "," &amp; $E$7 &amp; ")", CellContents, -149165,7)</f>
        <v>-149165</v>
      </c>
      <c r="N21" s="29"/>
    </row>
    <row r="22" spans="2:14" s="31" customFormat="1" hidden="1" outlineLevel="1" x14ac:dyDescent="0.3">
      <c r="B22" s="28" t="s">
        <v>73</v>
      </c>
      <c r="C22" s="29" t="s">
        <v>35</v>
      </c>
      <c r="D22" s="29"/>
      <c r="E22" s="32">
        <f>CHOOSE(B, "GLOpeningBalance(" &amp; "Account" &amp; "," &amp; $E$3 &amp; "," &amp; $E$4 &amp; "," &amp; "AccountGroupCode" &amp; "," &amp; $B22 &amp; "," &amp; "AccountStructureCode" &amp; "," &amp; "AccountType" &amp; "," &amp; "BalanceType" &amp; "," &amp; $E$6 &amp; "," &amp; $E$7 &amp; ")", CellContents, 1933888,15)</f>
        <v>1933888</v>
      </c>
      <c r="F22" s="32"/>
      <c r="G22" s="32">
        <f>CHOOSE(B, "GLClosingBalance(" &amp; "Account" &amp; "," &amp; $E$3 &amp; "," &amp; $E$4 &amp; "," &amp; G$10 &amp; "," &amp; "AccountGroupCode" &amp; "," &amp; $B22 &amp; "," &amp; "AccountStructureCode" &amp; "," &amp; "AccountType" &amp; "," &amp; "BalanceType" &amp; "," &amp; $E$6 &amp; "," &amp; $E$7 &amp; ")", CellContents, 1923805,8)</f>
        <v>1923805</v>
      </c>
      <c r="H22" s="32">
        <f>CHOOSE(B, "GLClosingBalance(" &amp; "Account" &amp; "," &amp; $E$3 &amp; "," &amp; $E$4 &amp; "," &amp; H$10 &amp; "," &amp; "AccountGroupCode" &amp; "," &amp; $B22 &amp; "," &amp; "AccountStructureCode" &amp; "," &amp; "AccountType" &amp; "," &amp; "BalanceType" &amp; "," &amp; $E$6 &amp; "," &amp; $E$7 &amp; ")", CellContents, 1946626,68)</f>
        <v>1946626</v>
      </c>
      <c r="I22" s="32">
        <f>CHOOSE(B, "GLClosingBalance(" &amp; "Account" &amp; "," &amp; $E$3 &amp; "," &amp; $E$4 &amp; "," &amp; I$10 &amp; "," &amp; "AccountGroupCode" &amp; "," &amp; $B22 &amp; "," &amp; "AccountStructureCode" &amp; "," &amp; "AccountType" &amp; "," &amp; "BalanceType" &amp; "," &amp; $E$6 &amp; "," &amp; $E$7 &amp; ")", CellContents, 1957417,39)</f>
        <v>1957417</v>
      </c>
      <c r="J22" s="32">
        <f>CHOOSE(B, "GLClosingBalance(" &amp; "Account" &amp; "," &amp; $E$3 &amp; "," &amp; $E$4 &amp; "," &amp; J$10 &amp; "," &amp; "AccountGroupCode" &amp; "," &amp; $B22 &amp; "," &amp; "AccountStructureCode" &amp; "," &amp; "AccountType" &amp; "," &amp; "BalanceType" &amp; "," &amp; $E$6 &amp; "," &amp; $E$7 &amp; ")", CellContents, 1957417,39)</f>
        <v>1957417</v>
      </c>
      <c r="K22" s="32"/>
      <c r="L22" s="32">
        <f>CHOOSE(B, "GLActual(" &amp; "Account" &amp; "," &amp; $E$3 &amp; "," &amp; $E$4 &amp; "," &amp; $E$5 &amp; "," &amp; "AccountGroupCode" &amp; "," &amp; $B22 &amp; "," &amp; "AccountStructureCode" &amp; "," &amp; "AccountType" &amp; "," &amp; "BalanceType" &amp; "," &amp; $E$6 &amp; "," &amp; $E$7 &amp; ")", CellContents, -4910,9)</f>
        <v>-4910</v>
      </c>
      <c r="M22" s="32">
        <f>CHOOSE(B, "GLActualYTD(" &amp; "Account" &amp; "," &amp; $E$3 &amp; "," &amp; $E$4 &amp; "," &amp; $E$5 &amp; "," &amp; "AccountGroupCode" &amp; "," &amp; $B22 &amp; "," &amp; "AccountStructureCode" &amp; "," &amp; "AccountType" &amp; "," &amp; "BalanceType" &amp; "," &amp; $E$6 &amp; "," &amp; $E$7 &amp; ")", CellContents, -4910,9)</f>
        <v>-4910</v>
      </c>
      <c r="N22" s="29"/>
    </row>
    <row r="23" spans="2:14" s="31" customFormat="1" hidden="1" outlineLevel="1" x14ac:dyDescent="0.3">
      <c r="B23" s="28" t="s">
        <v>74</v>
      </c>
      <c r="C23" s="29" t="s">
        <v>36</v>
      </c>
      <c r="D23" s="29"/>
      <c r="E23" s="32">
        <f>CHOOSE(B, "GLOpeningBalance(" &amp; "Account" &amp; "," &amp; $E$3 &amp; "," &amp; $E$4 &amp; "," &amp; "AccountGroupCode" &amp; "," &amp; $B23 &amp; "," &amp; "AccountStructureCode" &amp; "," &amp; "AccountType" &amp; "," &amp; "BalanceType" &amp; "," &amp; $E$6 &amp; "," &amp; $E$7 &amp; ")", CellContents, 38655,49)</f>
        <v>38655</v>
      </c>
      <c r="F23" s="32"/>
      <c r="G23" s="32">
        <f>CHOOSE(B, "GLClosingBalance(" &amp; "Account" &amp; "," &amp; $E$3 &amp; "," &amp; $E$4 &amp; "," &amp; G$10 &amp; "," &amp; "AccountGroupCode" &amp; "," &amp; $B23 &amp; "," &amp; "AccountStructureCode" &amp; "," &amp; "AccountType" &amp; "," &amp; "BalanceType" &amp; "," &amp; $E$6 &amp; "," &amp; $E$7 &amp; ")", CellContents, 38655,49)</f>
        <v>38655</v>
      </c>
      <c r="H23" s="32">
        <f>CHOOSE(B, "GLClosingBalance(" &amp; "Account" &amp; "," &amp; $E$3 &amp; "," &amp; $E$4 &amp; "," &amp; H$10 &amp; "," &amp; "AccountGroupCode" &amp; "," &amp; $B23 &amp; "," &amp; "AccountStructureCode" &amp; "," &amp; "AccountType" &amp; "," &amp; "BalanceType" &amp; "," &amp; $E$6 &amp; "," &amp; $E$7 &amp; ")", CellContents, 38999,9)</f>
        <v>38999</v>
      </c>
      <c r="I23" s="32">
        <f>CHOOSE(B, "GLClosingBalance(" &amp; "Account" &amp; "," &amp; $E$3 &amp; "," &amp; $E$4 &amp; "," &amp; I$10 &amp; "," &amp; "AccountGroupCode" &amp; "," &amp; $B23 &amp; "," &amp; "AccountStructureCode" &amp; "," &amp; "AccountType" &amp; "," &amp; "BalanceType" &amp; "," &amp; $E$6 &amp; "," &amp; $E$7 &amp; ")", CellContents, 39499,9)</f>
        <v>39499</v>
      </c>
      <c r="J23" s="32">
        <f>CHOOSE(B, "GLClosingBalance(" &amp; "Account" &amp; "," &amp; $E$3 &amp; "," &amp; $E$4 &amp; "," &amp; J$10 &amp; "," &amp; "AccountGroupCode" &amp; "," &amp; $B23 &amp; "," &amp; "AccountStructureCode" &amp; "," &amp; "AccountType" &amp; "," &amp; "BalanceType" &amp; "," &amp; $E$6 &amp; "," &amp; $E$7 &amp; ")", CellContents, 39499,9)</f>
        <v>39499</v>
      </c>
      <c r="K23" s="32"/>
      <c r="L23" s="32">
        <f>CHOOSE(B, "GLActual(" &amp; "Account" &amp; "," &amp; $E$3 &amp; "," &amp; $E$4 &amp; "," &amp; $E$5 &amp; "," &amp; "AccountGroupCode" &amp; "," &amp; $B23 &amp; "," &amp; "AccountStructureCode" &amp; "," &amp; "AccountType" &amp; "," &amp; "BalanceType" &amp; "," &amp; $E$6 &amp; "," &amp; $E$7 &amp; ")", CellContents, 0)</f>
        <v>0</v>
      </c>
      <c r="M23" s="32">
        <f>CHOOSE(B, "GLActualYTD(" &amp; "Account" &amp; "," &amp; $E$3 &amp; "," &amp; $E$4 &amp; "," &amp; $E$5 &amp; "," &amp; "AccountGroupCode" &amp; "," &amp; $B23 &amp; "," &amp; "AccountStructureCode" &amp; "," &amp; "AccountType" &amp; "," &amp; "BalanceType" &amp; "," &amp; $E$6 &amp; "," &amp; $E$7 &amp; ")", CellContents, 0)</f>
        <v>0</v>
      </c>
      <c r="N23" s="29"/>
    </row>
    <row r="24" spans="2:14" s="31" customFormat="1" ht="7.5" customHeight="1" x14ac:dyDescent="0.3">
      <c r="B24" s="28"/>
      <c r="C24" s="29"/>
      <c r="D24" s="29"/>
      <c r="E24" s="32"/>
      <c r="F24" s="33"/>
      <c r="G24" s="32"/>
      <c r="H24" s="32"/>
      <c r="I24" s="32"/>
      <c r="J24" s="32"/>
      <c r="K24" s="33"/>
      <c r="L24" s="32"/>
      <c r="M24" s="32"/>
      <c r="N24" s="29"/>
    </row>
    <row r="25" spans="2:14" s="26" customFormat="1" x14ac:dyDescent="0.3">
      <c r="B25" s="34"/>
      <c r="C25" s="35" t="s">
        <v>64</v>
      </c>
      <c r="D25" s="35"/>
      <c r="E25" s="36">
        <f>E14+E19</f>
        <v>12232161</v>
      </c>
      <c r="F25" s="33"/>
      <c r="G25" s="36">
        <f t="shared" ref="G25:J25" si="0">G14+G19</f>
        <v>15334699</v>
      </c>
      <c r="H25" s="36">
        <f t="shared" si="0"/>
        <v>18383259</v>
      </c>
      <c r="I25" s="36">
        <f t="shared" si="0"/>
        <v>18363285</v>
      </c>
      <c r="J25" s="36">
        <f t="shared" si="0"/>
        <v>18363285</v>
      </c>
      <c r="K25" s="33"/>
      <c r="L25" s="36">
        <f t="shared" ref="L25:M25" si="1">L14+L19</f>
        <v>877560</v>
      </c>
      <c r="M25" s="36">
        <f t="shared" si="1"/>
        <v>877560</v>
      </c>
      <c r="N25" s="35"/>
    </row>
    <row r="26" spans="2:14" s="31" customFormat="1" ht="7.5" customHeight="1" x14ac:dyDescent="0.3">
      <c r="B26" s="28"/>
      <c r="C26" s="29"/>
      <c r="D26" s="29"/>
      <c r="E26" s="32"/>
      <c r="F26" s="33"/>
      <c r="G26" s="32"/>
      <c r="H26" s="32"/>
      <c r="I26" s="32"/>
      <c r="J26" s="32"/>
      <c r="K26" s="33"/>
      <c r="L26" s="32"/>
      <c r="M26" s="32"/>
      <c r="N26" s="29"/>
    </row>
    <row r="27" spans="2:14" s="31" customFormat="1" x14ac:dyDescent="0.3">
      <c r="B27" s="28"/>
      <c r="C27" s="26" t="s">
        <v>65</v>
      </c>
      <c r="D27" s="26"/>
      <c r="E27" s="32"/>
      <c r="F27" s="32"/>
      <c r="G27" s="32"/>
      <c r="H27" s="32"/>
      <c r="I27" s="32"/>
      <c r="J27" s="32"/>
      <c r="K27" s="32"/>
      <c r="L27" s="32"/>
      <c r="M27" s="32"/>
      <c r="N27" s="29"/>
    </row>
    <row r="28" spans="2:14" s="31" customFormat="1" ht="7.5" customHeight="1" x14ac:dyDescent="0.3">
      <c r="B28" s="28"/>
      <c r="E28" s="32"/>
      <c r="F28" s="32"/>
      <c r="G28" s="32"/>
      <c r="H28" s="32"/>
      <c r="I28" s="32"/>
      <c r="J28" s="32"/>
      <c r="K28" s="32"/>
      <c r="L28" s="32"/>
      <c r="M28" s="32"/>
      <c r="N28" s="29"/>
    </row>
    <row r="29" spans="2:14" s="31" customFormat="1" collapsed="1" x14ac:dyDescent="0.3">
      <c r="B29" s="28"/>
      <c r="C29" s="29" t="s">
        <v>42</v>
      </c>
      <c r="D29" s="29"/>
      <c r="E29" s="32">
        <f>SUM(E30:E33)</f>
        <v>-1232265</v>
      </c>
      <c r="F29" s="32"/>
      <c r="G29" s="32">
        <f>SUM(G30:G32)</f>
        <v>-733073</v>
      </c>
      <c r="H29" s="32">
        <f>SUM(H30:H33)</f>
        <v>-225797</v>
      </c>
      <c r="I29" s="32">
        <f>SUM(I30:I33)</f>
        <v>-241194</v>
      </c>
      <c r="J29" s="32">
        <f>SUM(J30:J33)</f>
        <v>-241194</v>
      </c>
      <c r="K29" s="32"/>
      <c r="L29" s="32">
        <f>SUM(L30:L33)</f>
        <v>88110</v>
      </c>
      <c r="M29" s="32">
        <f>SUM(M30:M33)</f>
        <v>88110</v>
      </c>
      <c r="N29" s="29"/>
    </row>
    <row r="30" spans="2:14" s="31" customFormat="1" hidden="1" outlineLevel="1" x14ac:dyDescent="0.3">
      <c r="B30" s="29" t="s">
        <v>82</v>
      </c>
      <c r="C30" s="29" t="s">
        <v>174</v>
      </c>
      <c r="D30" s="29"/>
      <c r="E30" s="32">
        <f>CHOOSE(B, "-GLOpeningBalance(" &amp; "Account" &amp; "," &amp; $E$3 &amp; "," &amp; $E$4 &amp; "," &amp; "AccountGroupCode" &amp; "," &amp; $B30 &amp; "," &amp; "AccountStructureCode" &amp; "," &amp; "AccountType" &amp; "," &amp; "BalanceType" &amp; "," &amp; $E$6 &amp; "," &amp; $E$7 &amp; ")", CellContents, 250000)</f>
        <v>250000</v>
      </c>
      <c r="F30" s="32"/>
      <c r="G30" s="32">
        <f>CHOOSE(B, "-GLClosingBalance(" &amp; "Account" &amp; "," &amp; $E$3 &amp; "," &amp; $E$4 &amp; "," &amp; G$10 &amp; "," &amp; "AccountGroupCode" &amp; "," &amp; $B30 &amp; "," &amp; "AccountStructureCode" &amp; "," &amp; "AccountType" &amp; "," &amp; "BalanceType" &amp; "," &amp; $E$6 &amp; "," &amp; $E$7 &amp; ")", CellContents, 250000)</f>
        <v>250000</v>
      </c>
      <c r="H30" s="32">
        <f>CHOOSE(B, "-GLClosingBalance(" &amp; "Account" &amp; "," &amp; $E$3 &amp; "," &amp; $E$4 &amp; "," &amp; H$10 &amp; "," &amp; "AccountGroupCode" &amp; "," &amp; $B30 &amp; "," &amp; "AccountStructureCode" &amp; "," &amp; "AccountType" &amp; "," &amp; "BalanceType" &amp; "," &amp; $E$6 &amp; "," &amp; $E$7 &amp; ")", CellContents, 250000)</f>
        <v>250000</v>
      </c>
      <c r="I30" s="32">
        <f>CHOOSE(B, "-GLClosingBalance(" &amp; "Account" &amp; "," &amp; $E$3 &amp; "," &amp; $E$4 &amp; "," &amp; I$10 &amp; "," &amp; "AccountGroupCode" &amp; "," &amp; $B30 &amp; "," &amp; "AccountStructureCode" &amp; "," &amp; "AccountType" &amp; "," &amp; "BalanceType" &amp; "," &amp; $E$6 &amp; "," &amp; $E$7 &amp; ")", CellContents, 250000)</f>
        <v>250000</v>
      </c>
      <c r="J30" s="32">
        <f>CHOOSE(B, "-GLClosingBalance(" &amp; "Account" &amp; "," &amp; $E$3 &amp; "," &amp; $E$4 &amp; "," &amp; J$10 &amp; "," &amp; "AccountGroupCode" &amp; "," &amp; $B30 &amp; "," &amp; "AccountStructureCode" &amp; "," &amp; "AccountType" &amp; "," &amp; "BalanceType" &amp; "," &amp; $E$6 &amp; "," &amp; $E$7 &amp; ")", CellContents, 250000)</f>
        <v>250000</v>
      </c>
      <c r="K30" s="32"/>
      <c r="L30" s="32">
        <f>CHOOSE(B, "-GLActual(" &amp; "Account" &amp; "," &amp; $E$3 &amp; "," &amp; $E$4 &amp; "," &amp; $E$5 &amp; "," &amp; "AccountGroupCode" &amp; "," &amp; $B30 &amp; "," &amp; "AccountStructureCode" &amp; "," &amp; "AccountType" &amp; "," &amp; "BalanceType" &amp; "," &amp; $E$6 &amp; "," &amp; $E$7 &amp; ")", CellContents, 0)</f>
        <v>0</v>
      </c>
      <c r="M30" s="32">
        <f>CHOOSE(B, "-GLActualYTD(" &amp; "Account" &amp; "," &amp; $E$3 &amp; "," &amp; $E$4 &amp; "," &amp; $E$5 &amp; "," &amp; "AccountGroupCode" &amp; "," &amp; $B30 &amp; "," &amp; "AccountStructureCode" &amp; "," &amp; "AccountType" &amp; "," &amp; "BalanceType" &amp; "," &amp; $E$6 &amp; "," &amp; $E$7 &amp; ")", CellContents, 0)</f>
        <v>0</v>
      </c>
      <c r="N30" s="29"/>
    </row>
    <row r="31" spans="2:14" s="31" customFormat="1" hidden="1" outlineLevel="1" x14ac:dyDescent="0.3">
      <c r="B31" s="29" t="s">
        <v>83</v>
      </c>
      <c r="C31" s="29" t="s">
        <v>42</v>
      </c>
      <c r="D31" s="29"/>
      <c r="E31" s="32">
        <f>CHOOSE(B, "-GLOpeningBalance(" &amp; "Account" &amp; "," &amp; $E$3 &amp; "," &amp; $E$4 &amp; "," &amp; "AccountGroupCode" &amp; "," &amp; $B31 &amp; "," &amp; "AccountStructureCode" &amp; "," &amp; "AccountType" &amp; "," &amp; "BalanceType" &amp; "," &amp; $E$6 &amp; "," &amp; $E$7 &amp; ")", CellContents, -1482265,39)</f>
        <v>-1482265</v>
      </c>
      <c r="F31" s="32"/>
      <c r="G31" s="32">
        <f>CHOOSE(B, "-GLClosingBalance(" &amp; "Account" &amp; "," &amp; $E$3 &amp; "," &amp; $E$4 &amp; "," &amp; G$10 &amp; "," &amp; "AccountGroupCode" &amp; "," &amp; $B31 &amp; "," &amp; "AccountStructureCode" &amp; "," &amp; "AccountType" &amp; "," &amp; "BalanceType" &amp; "," &amp; $E$6 &amp; "," &amp; $E$7 &amp; ")", CellContents, -1482265,39)</f>
        <v>-1482265</v>
      </c>
      <c r="H31" s="32">
        <f>CHOOSE(B, "-GLClosingBalance(" &amp; "Account" &amp; "," &amp; $E$3 &amp; "," &amp; $E$4 &amp; "," &amp; H$10 &amp; "," &amp; "AccountGroupCode" &amp; "," &amp; $B31 &amp; "," &amp; "AccountStructureCode" &amp; "," &amp; "AccountType" &amp; "," &amp; "BalanceType" &amp; "," &amp; $E$6 &amp; "," &amp; $E$7 &amp; ")", CellContents, -1482265,39)</f>
        <v>-1482265</v>
      </c>
      <c r="I31" s="32">
        <f>CHOOSE(B, "-GLClosingBalance(" &amp; "Account" &amp; "," &amp; $E$3 &amp; "," &amp; $E$4 &amp; "," &amp; I$10 &amp; "," &amp; "AccountGroupCode" &amp; "," &amp; $B31 &amp; "," &amp; "AccountStructureCode" &amp; "," &amp; "AccountType" &amp; "," &amp; "BalanceType" &amp; "," &amp; $E$6 &amp; "," &amp; $E$7 &amp; ")", CellContents, -1482265,39)</f>
        <v>-1482265</v>
      </c>
      <c r="J31" s="32">
        <f>CHOOSE(B, "-GLClosingBalance(" &amp; "Account" &amp; "," &amp; $E$3 &amp; "," &amp; $E$4 &amp; "," &amp; J$10 &amp; "," &amp; "AccountGroupCode" &amp; "," &amp; $B31 &amp; "," &amp; "AccountStructureCode" &amp; "," &amp; "AccountType" &amp; "," &amp; "BalanceType" &amp; "," &amp; $E$6 &amp; "," &amp; $E$7 &amp; ")", CellContents, -1482265,39)</f>
        <v>-1482265</v>
      </c>
      <c r="K31" s="32"/>
      <c r="L31" s="32">
        <f>CHOOSE(B, "-GLActual(" &amp; "Account" &amp; "," &amp; $E$3 &amp; "," &amp; $E$4 &amp; "," &amp; $E$5 &amp; "," &amp; "AccountGroupCode" &amp; "," &amp; $B31 &amp; "," &amp; "AccountStructureCode" &amp; "," &amp; "AccountType" &amp; "," &amp; "BalanceType" &amp; "," &amp; $E$6 &amp; "," &amp; $E$7 &amp; ")", CellContents, 0)</f>
        <v>0</v>
      </c>
      <c r="M31" s="32">
        <f>CHOOSE(B, "-GLActualYTD(" &amp; "Account" &amp; "," &amp; $E$3 &amp; "," &amp; $E$4 &amp; "," &amp; $E$5 &amp; "," &amp; "AccountGroupCode" &amp; "," &amp; $B31 &amp; "," &amp; "AccountStructureCode" &amp; "," &amp; "AccountType" &amp; "," &amp; "BalanceType" &amp; "," &amp; $E$6 &amp; "," &amp; $E$7 &amp; ")", CellContents, 0)</f>
        <v>0</v>
      </c>
      <c r="N31" s="29"/>
    </row>
    <row r="32" spans="2:14" s="31" customFormat="1" hidden="1" outlineLevel="1" x14ac:dyDescent="0.3">
      <c r="B32" s="28" t="s">
        <v>128</v>
      </c>
      <c r="C32" s="29" t="s">
        <v>66</v>
      </c>
      <c r="D32" s="29"/>
      <c r="E32" s="32"/>
      <c r="F32" s="32"/>
      <c r="G32" s="32">
        <f>CHOOSE(B, "-GLClosingBalance(" &amp; "Account" &amp; "," &amp; $E$3 &amp; "," &amp; $E$4 &amp; "," &amp; G$10 &amp; "," &amp; "AccountGroupCode" &amp; "," &amp; "AccountCategoryCode" &amp; "," &amp; "AccountStructureCode" &amp; "," &amp; $B32 &amp; "," &amp; "BalanceType" &amp; "," &amp; $E$6 &amp; "," &amp; $E$7 &amp; ")", CellContents, 499192,22)</f>
        <v>499192</v>
      </c>
      <c r="H32" s="32">
        <f>CHOOSE(B, "-GLClosingBalance(" &amp; "Account" &amp; "," &amp; $E$3 &amp; "," &amp; $E$4 &amp; "," &amp; H$10 &amp; "," &amp; "AccountGroupCode" &amp; "," &amp; "AccountCategoryCode" &amp; "," &amp; "AccountStructureCode" &amp; "," &amp; $B32 &amp; "," &amp; "BalanceType" &amp; "," &amp; $E$6 &amp; "," &amp; $E$7 &amp; ")", CellContents, 1006468,77)</f>
        <v>1006468</v>
      </c>
      <c r="I32" s="32">
        <f>CHOOSE(B, "-GLClosingBalance(" &amp; "Account" &amp; "," &amp; $E$3 &amp; "," &amp; $E$4 &amp; "," &amp; I$10 &amp; "," &amp; "AccountGroupCode" &amp; "," &amp; "AccountCategoryCode" &amp; "," &amp; "AccountStructureCode" &amp; "," &amp; $B32 &amp; "," &amp; "BalanceType" &amp; "," &amp; $E$6 &amp; "," &amp; $E$7 &amp; ")", CellContents, 991071,480000002)</f>
        <v>991071</v>
      </c>
      <c r="J32" s="32">
        <f>CHOOSE(B, "-GLClosingBalance(" &amp; "Account" &amp; "," &amp; $E$3 &amp; "," &amp; $E$4 &amp; "," &amp; J$10 &amp; "," &amp; "AccountGroupCode" &amp; "," &amp; "AccountCategoryCode" &amp; "," &amp; "AccountStructureCode" &amp; "," &amp; $B32 &amp; "," &amp; "BalanceType" &amp; "," &amp; $E$6 &amp; "," &amp; $E$7 &amp; ")", CellContents, 991071,480000002)</f>
        <v>991071</v>
      </c>
      <c r="K32" s="32"/>
      <c r="L32" s="32">
        <f>CHOOSE(B, "-GLActual(" &amp; "Account" &amp; "," &amp; $E$3 &amp; "," &amp; $E$4 &amp; "," &amp; $E$5 &amp; "," &amp; "AccountGroupCode" &amp; "," &amp; "AccountCategoryCode" &amp; "," &amp; "AccountStructureCode" &amp; "," &amp; $B$32 &amp; "," &amp; "BalanceType" &amp; "," &amp; $E$6 &amp; "," &amp; $E$7 &amp; ")", CellContents, 88110,4800000002)</f>
        <v>88110</v>
      </c>
      <c r="M32" s="32">
        <f>CHOOSE(B, "-GLActualYTD(" &amp; "Account" &amp; "," &amp; $E$3 &amp; "," &amp; $E$4 &amp; "," &amp; $E$5 &amp; "," &amp; "AccountGroupCode" &amp; "," &amp; "AccountCategoryCode" &amp; "," &amp; "AccountStructureCode" &amp; "," &amp; $B$32 &amp; "," &amp; "BalanceType" &amp; "," &amp; $E$6 &amp; "," &amp; $E$7 &amp; ")", CellContents, 88110,4800000002)</f>
        <v>88110</v>
      </c>
      <c r="N32" s="29"/>
    </row>
    <row r="33" spans="2:15" s="31" customFormat="1" ht="7.5" customHeight="1" x14ac:dyDescent="0.3">
      <c r="B33" s="28"/>
      <c r="C33" s="29"/>
      <c r="D33" s="29"/>
      <c r="E33" s="37"/>
      <c r="F33" s="32"/>
      <c r="G33" s="32"/>
      <c r="H33" s="32"/>
      <c r="I33" s="32"/>
      <c r="J33" s="32"/>
      <c r="K33" s="32"/>
      <c r="L33" s="32"/>
      <c r="M33" s="32"/>
      <c r="N33" s="29"/>
    </row>
    <row r="34" spans="2:15" s="31" customFormat="1" collapsed="1" x14ac:dyDescent="0.3">
      <c r="B34" s="28"/>
      <c r="C34" s="29" t="s">
        <v>67</v>
      </c>
      <c r="D34" s="29"/>
      <c r="E34" s="32">
        <f>SUM(E35:E36)</f>
        <v>300963</v>
      </c>
      <c r="F34" s="32"/>
      <c r="G34" s="32">
        <f>SUM(G35:G36)</f>
        <v>264963</v>
      </c>
      <c r="H34" s="32">
        <f>SUM(H35:H36)</f>
        <v>240963</v>
      </c>
      <c r="I34" s="32">
        <f>SUM(I35:I36)</f>
        <v>240963</v>
      </c>
      <c r="J34" s="32">
        <f>SUM(J35:J36)</f>
        <v>240963</v>
      </c>
      <c r="K34" s="32"/>
      <c r="L34" s="32">
        <f>SUM(L35:L36)</f>
        <v>-12000</v>
      </c>
      <c r="M34" s="32">
        <f>SUM(M35:M36)</f>
        <v>-12000</v>
      </c>
      <c r="N34" s="29"/>
    </row>
    <row r="35" spans="2:15" s="31" customFormat="1" hidden="1" outlineLevel="1" x14ac:dyDescent="0.3">
      <c r="B35" s="29" t="s">
        <v>80</v>
      </c>
      <c r="C35" s="29" t="s">
        <v>172</v>
      </c>
      <c r="D35" s="29"/>
      <c r="E35" s="32">
        <f>CHOOSE(B, "-GLOpeningBalance(" &amp; "Account" &amp; "," &amp; $E$3 &amp; "," &amp; $E$4 &amp; "," &amp; "AccountGroupCode" &amp; "," &amp; $B35 &amp; "," &amp; "AccountStructureCode" &amp; "," &amp; "AccountType" &amp; "," &amp; "BalanceType" &amp; "," &amp; $E$6 &amp; "," &amp; $E$7 &amp; ")", CellContents, 300963,54)</f>
        <v>300963</v>
      </c>
      <c r="F35" s="32"/>
      <c r="G35" s="32">
        <f>CHOOSE(B, "-GLClosingBalance(" &amp; "Account" &amp; "," &amp; $E$3 &amp; "," &amp; $E$4 &amp; "," &amp; G$10 &amp; "," &amp; "AccountGroupCode" &amp; "," &amp; $B35 &amp; "," &amp; "AccountStructureCode" &amp; "," &amp; "AccountType" &amp; "," &amp; "BalanceType" &amp; "," &amp; $E$6 &amp; "," &amp; $E$7 &amp; ")", CellContents, 264963,54)</f>
        <v>264963</v>
      </c>
      <c r="H35" s="32">
        <f>CHOOSE(B, "-GLClosingBalance(" &amp; "Account" &amp; "," &amp; $E$3 &amp; "," &amp; $E$4 &amp; "," &amp; H$10 &amp; "," &amp; "AccountGroupCode" &amp; "," &amp; $B35 &amp; "," &amp; "AccountStructureCode" &amp; "," &amp; "AccountType" &amp; "," &amp; "BalanceType" &amp; "," &amp; $E$6 &amp; "," &amp; $E$7 &amp; ")", CellContents, 240963,54)</f>
        <v>240963</v>
      </c>
      <c r="I35" s="32">
        <f>CHOOSE(B, "-GLClosingBalance(" &amp; "Account" &amp; "," &amp; $E$3 &amp; "," &amp; $E$4 &amp; "," &amp; I$10 &amp; "," &amp; "AccountGroupCode" &amp; "," &amp; $B35 &amp; "," &amp; "AccountStructureCode" &amp; "," &amp; "AccountType" &amp; "," &amp; "BalanceType" &amp; "," &amp; $E$6 &amp; "," &amp; $E$7 &amp; ")", CellContents, 240963,54)</f>
        <v>240963</v>
      </c>
      <c r="J35" s="32">
        <f>CHOOSE(B, "-GLClosingBalance(" &amp; "Account" &amp; "," &amp; $E$3 &amp; "," &amp; $E$4 &amp; "," &amp; J$10 &amp; "," &amp; "AccountGroupCode" &amp; "," &amp; $B35 &amp; "," &amp; "AccountStructureCode" &amp; "," &amp; "AccountType" &amp; "," &amp; "BalanceType" &amp; "," &amp; $E$6 &amp; "," &amp; $E$7 &amp; ")", CellContents, 240963,54)</f>
        <v>240963</v>
      </c>
      <c r="K35" s="32"/>
      <c r="L35" s="32">
        <f>CHOOSE(B, "-GLActual(" &amp; "Account" &amp; "," &amp; $E$3 &amp; "," &amp; $E$4 &amp; "," &amp; $E$5 &amp; "," &amp; "AccountGroupCode" &amp; "," &amp; $B35 &amp; "," &amp; "AccountStructureCode" &amp; "," &amp; "AccountType" &amp; "," &amp; "BalanceType" &amp; "," &amp; $E$6 &amp; "," &amp; $E$7 &amp; ")", CellContents, -12000)</f>
        <v>-12000</v>
      </c>
      <c r="M35" s="32">
        <f>CHOOSE(B, "-GLActualYTD(" &amp; "Account" &amp; "," &amp; $E$3 &amp; "," &amp; $E$4 &amp; "," &amp; $E$5 &amp; "," &amp; "AccountGroupCode" &amp; "," &amp; $B35 &amp; "," &amp; "AccountStructureCode" &amp; "," &amp; "AccountType" &amp; "," &amp; "BalanceType" &amp; "," &amp; $E$6 &amp; "," &amp; $E$7 &amp; ")", CellContents, -12000)</f>
        <v>-12000</v>
      </c>
      <c r="N35" s="29"/>
    </row>
    <row r="36" spans="2:15" s="31" customFormat="1" hidden="1" outlineLevel="1" x14ac:dyDescent="0.3">
      <c r="B36" s="29" t="s">
        <v>81</v>
      </c>
      <c r="C36" s="29" t="s">
        <v>173</v>
      </c>
      <c r="D36" s="29"/>
      <c r="E36" s="32">
        <f>CHOOSE(B, "-GLOpeningBalance(" &amp; "Account" &amp; "," &amp; $E$3 &amp; "," &amp; $E$4 &amp; "," &amp; "AccountGroupCode" &amp; "," &amp; $B36 &amp; "," &amp; "AccountStructureCode" &amp; "," &amp; "AccountType" &amp; "," &amp; "BalanceType" &amp; "," &amp; $E$6 &amp; "," &amp; $E$7 &amp; ")", CellContents, 0)</f>
        <v>0</v>
      </c>
      <c r="F36" s="32"/>
      <c r="G36" s="32">
        <f>CHOOSE(B, "-GLClosingBalance(" &amp; "Account" &amp; "," &amp; $E$3 &amp; "," &amp; $E$4 &amp; "," &amp; G$10 &amp; "," &amp; "AccountGroupCode" &amp; "," &amp; $B36 &amp; "," &amp; "AccountStructureCode" &amp; "," &amp; "AccountType" &amp; "," &amp; "BalanceType" &amp; "," &amp; $E$6 &amp; "," &amp; $E$7 &amp; ")", CellContents, 0)</f>
        <v>0</v>
      </c>
      <c r="H36" s="32">
        <f>CHOOSE(B, "-GLClosingBalance(" &amp; "Account" &amp; "," &amp; $E$3 &amp; "," &amp; $E$4 &amp; "," &amp; H$10 &amp; "," &amp; "AccountGroupCode" &amp; "," &amp; $B36 &amp; "," &amp; "AccountStructureCode" &amp; "," &amp; "AccountType" &amp; "," &amp; "BalanceType" &amp; "," &amp; $E$6 &amp; "," &amp; $E$7 &amp; ")", CellContents, 0)</f>
        <v>0</v>
      </c>
      <c r="I36" s="32">
        <f>CHOOSE(B, "-GLClosingBalance(" &amp; "Account" &amp; "," &amp; $E$3 &amp; "," &amp; $E$4 &amp; "," &amp; I$10 &amp; "," &amp; "AccountGroupCode" &amp; "," &amp; $B36 &amp; "," &amp; "AccountStructureCode" &amp; "," &amp; "AccountType" &amp; "," &amp; "BalanceType" &amp; "," &amp; $E$6 &amp; "," &amp; $E$7 &amp; ")", CellContents, 0)</f>
        <v>0</v>
      </c>
      <c r="J36" s="32">
        <f>CHOOSE(B, "-GLClosingBalance(" &amp; "Account" &amp; "," &amp; $E$3 &amp; "," &amp; $E$4 &amp; "," &amp; J$10 &amp; "," &amp; "AccountGroupCode" &amp; "," &amp; $B36 &amp; "," &amp; "AccountStructureCode" &amp; "," &amp; "AccountType" &amp; "," &amp; "BalanceType" &amp; "," &amp; $E$6 &amp; "," &amp; $E$7 &amp; ")", CellContents, 0)</f>
        <v>0</v>
      </c>
      <c r="K36" s="32"/>
      <c r="L36" s="32">
        <f>CHOOSE(B, "-GLActual(" &amp; "Account" &amp; "," &amp; $E$3 &amp; "," &amp; $E$4 &amp; "," &amp; $E$5 &amp; "," &amp; "AccountGroupCode" &amp; "," &amp; $B36 &amp; "," &amp; "AccountStructureCode" &amp; "," &amp; "AccountType" &amp; "," &amp; "BalanceType" &amp; "," &amp; $E$6 &amp; "," &amp; $E$7 &amp; ")", CellContents, 0)</f>
        <v>0</v>
      </c>
      <c r="M36" s="32">
        <f>CHOOSE(B, "-GLActualYTD(" &amp; "Account" &amp; "," &amp; $E$3 &amp; "," &amp; $E$4 &amp; "," &amp; $E$5 &amp; "," &amp; "AccountGroupCode" &amp; "," &amp; $B36 &amp; "," &amp; "AccountStructureCode" &amp; "," &amp; "AccountType" &amp; "," &amp; "BalanceType" &amp; "," &amp; $E$6 &amp; "," &amp; $E$7 &amp; ")", CellContents, 0)</f>
        <v>0</v>
      </c>
      <c r="N36" s="29"/>
    </row>
    <row r="37" spans="2:15" s="31" customFormat="1" ht="7.5" customHeight="1" x14ac:dyDescent="0.3">
      <c r="B37" s="28"/>
      <c r="C37" s="29"/>
      <c r="D37" s="29"/>
      <c r="E37" s="32"/>
      <c r="F37" s="32"/>
      <c r="G37" s="32"/>
      <c r="H37" s="32"/>
      <c r="I37" s="32"/>
      <c r="J37" s="32"/>
      <c r="K37" s="32"/>
      <c r="L37" s="32"/>
      <c r="M37" s="32"/>
      <c r="N37" s="29"/>
    </row>
    <row r="38" spans="2:15" s="31" customFormat="1" collapsed="1" x14ac:dyDescent="0.3">
      <c r="B38" s="28"/>
      <c r="C38" s="29" t="s">
        <v>16</v>
      </c>
      <c r="D38" s="29"/>
      <c r="E38" s="32">
        <f>SUM(E39:E40)</f>
        <v>13163465</v>
      </c>
      <c r="F38" s="32"/>
      <c r="G38" s="32">
        <f>SUM(G39:G40)</f>
        <v>15802810</v>
      </c>
      <c r="H38" s="32">
        <f>SUM(H39:H40)</f>
        <v>18368093</v>
      </c>
      <c r="I38" s="32">
        <f>SUM(I39:I40)</f>
        <v>18363516</v>
      </c>
      <c r="J38" s="32">
        <f>SUM(J39:J40)</f>
        <v>18363516</v>
      </c>
      <c r="K38" s="32"/>
      <c r="L38" s="32">
        <f>SUM(L39:L40)</f>
        <v>801450</v>
      </c>
      <c r="M38" s="32">
        <f>SUM(M39:M40)</f>
        <v>801450</v>
      </c>
      <c r="N38" s="29"/>
    </row>
    <row r="39" spans="2:15" s="31" customFormat="1" hidden="1" outlineLevel="1" x14ac:dyDescent="0.3">
      <c r="B39" s="29" t="s">
        <v>78</v>
      </c>
      <c r="C39" s="29" t="s">
        <v>41</v>
      </c>
      <c r="D39" s="29"/>
      <c r="E39" s="32">
        <f>CHOOSE(B, "-GLOpeningBalance(" &amp; "Account" &amp; "," &amp; $E$3 &amp; "," &amp; $E$4 &amp; "," &amp; "AccountGroupCode" &amp; "," &amp; $B39 &amp; "," &amp; "AccountStructureCode" &amp; "," &amp; "AccountType" &amp; "," &amp; "BalanceType" &amp; "," &amp; $E$6 &amp; "," &amp; $E$7 &amp; ")", CellContents, 12160569,35)</f>
        <v>12160569</v>
      </c>
      <c r="F39" s="32"/>
      <c r="G39" s="32">
        <f>CHOOSE(B, "-GLClosingBalance(" &amp; "Account" &amp; "," &amp; $E$3 &amp; "," &amp; $E$4 &amp; "," &amp; G$10 &amp; "," &amp; "AccountGroupCode" &amp; "," &amp; $B39 &amp; "," &amp; "AccountStructureCode" &amp; "," &amp; "AccountType" &amp; "," &amp; "BalanceType" &amp; "," &amp; $E$6 &amp; "," &amp; $E$7 &amp; ")", CellContents, 14759377,56)</f>
        <v>14759377</v>
      </c>
      <c r="H39" s="32">
        <f>CHOOSE(B, "-GLClosingBalance(" &amp; "Account" &amp; "," &amp; $E$3 &amp; "," &amp; $E$4 &amp; "," &amp; H$10 &amp; "," &amp; "AccountGroupCode" &amp; "," &amp; $B39 &amp; "," &amp; "AccountStructureCode" &amp; "," &amp; "AccountType" &amp; "," &amp; "BalanceType" &amp; "," &amp; $E$6 &amp; "," &amp; $E$7 &amp; ")", CellContents, 17209266,89)</f>
        <v>17209266</v>
      </c>
      <c r="I39" s="32">
        <f>CHOOSE(B, "-GLClosingBalance(" &amp; "Account" &amp; "," &amp; $E$3 &amp; "," &amp; $E$4 &amp; "," &amp; I$10 &amp; "," &amp; "AccountGroupCode" &amp; "," &amp; $B39 &amp; "," &amp; "AccountStructureCode" &amp; "," &amp; "AccountType" &amp; "," &amp; "BalanceType" &amp; "," &amp; $E$6 &amp; "," &amp; $E$7 &amp; ")", CellContents, 17202106,35)</f>
        <v>17202106</v>
      </c>
      <c r="J39" s="32">
        <f>CHOOSE(B, "-GLClosingBalance(" &amp; "Account" &amp; "," &amp; $E$3 &amp; "," &amp; $E$4 &amp; "," &amp; J$10 &amp; "," &amp; "AccountGroupCode" &amp; "," &amp; $B39 &amp; "," &amp; "AccountStructureCode" &amp; "," &amp; "AccountType" &amp; "," &amp; "BalanceType" &amp; "," &amp; $E$6 &amp; "," &amp; $E$7 &amp; ")", CellContents, 17202106,35)</f>
        <v>17202106</v>
      </c>
      <c r="K39" s="32"/>
      <c r="L39" s="32">
        <f>CHOOSE(B, "-GLActual(" &amp; "Account" &amp; "," &amp; $E$3 &amp; "," &amp; $E$4 &amp; "," &amp; $E$5 &amp; "," &amp; "AccountGroupCode" &amp; "," &amp; $B39 &amp; "," &amp; "AccountStructureCode" &amp; "," &amp; "AccountType" &amp; "," &amp; "BalanceType" &amp; "," &amp; $E$6 &amp; "," &amp; $E$7 &amp; ")", CellContents, 832473,77)</f>
        <v>832473</v>
      </c>
      <c r="M39" s="32">
        <f>CHOOSE(B, "-GLActualYTD(" &amp; "Account" &amp; "," &amp; $E$3 &amp; "," &amp; $E$4 &amp; "," &amp; $E$5 &amp; "," &amp; "AccountGroupCode" &amp; "," &amp; $B39 &amp; "," &amp; "AccountStructureCode" &amp; "," &amp; "AccountType" &amp; "," &amp; "BalanceType" &amp; "," &amp; $E$6 &amp; "," &amp; $E$7 &amp; ")", CellContents, 832473,77)</f>
        <v>832473</v>
      </c>
      <c r="N39" s="29"/>
      <c r="O39" s="38"/>
    </row>
    <row r="40" spans="2:15" s="31" customFormat="1" hidden="1" outlineLevel="1" x14ac:dyDescent="0.3">
      <c r="B40" s="29" t="s">
        <v>79</v>
      </c>
      <c r="C40" s="29" t="s">
        <v>40</v>
      </c>
      <c r="D40" s="29"/>
      <c r="E40" s="32">
        <f>CHOOSE(B, "-GLOpeningBalance(" &amp; "Account" &amp; "," &amp; $E$3 &amp; "," &amp; $E$4 &amp; "," &amp; "AccountGroupCode" &amp; "," &amp; $B40 &amp; "," &amp; "AccountStructureCode" &amp; "," &amp; "AccountType" &amp; "," &amp; "BalanceType" &amp; "," &amp; $E$6 &amp; "," &amp; $E$7 &amp; ")", CellContents, 1002896,32)</f>
        <v>1002896</v>
      </c>
      <c r="F40" s="32"/>
      <c r="G40" s="32">
        <f>CHOOSE(B, "-GLClosingBalance(" &amp; "Account" &amp; "," &amp; $E$3 &amp; "," &amp; $E$4 &amp; "," &amp; G$10 &amp; "," &amp; "AccountGroupCode" &amp; "," &amp; $B40 &amp; "," &amp; "AccountStructureCode" &amp; "," &amp; "AccountType" &amp; "," &amp; "BalanceType" &amp; "," &amp; $E$6 &amp; "," &amp; $E$7 &amp; ")", CellContents, 1043433,48)</f>
        <v>1043433</v>
      </c>
      <c r="H40" s="32">
        <f>CHOOSE(B, "-GLClosingBalance(" &amp; "Account" &amp; "," &amp; $E$3 &amp; "," &amp; $E$4 &amp; "," &amp; H$10 &amp; "," &amp; "AccountGroupCode" &amp; "," &amp; $B40 &amp; "," &amp; "AccountStructureCode" &amp; "," &amp; "AccountType" &amp; "," &amp; "BalanceType" &amp; "," &amp; $E$6 &amp; "," &amp; $E$7 &amp; ")", CellContents, 1158827,8)</f>
        <v>1158827</v>
      </c>
      <c r="I40" s="32">
        <f>CHOOSE(B, "-GLClosingBalance(" &amp; "Account" &amp; "," &amp; $E$3 &amp; "," &amp; $E$4 &amp; "," &amp; I$10 &amp; "," &amp; "AccountGroupCode" &amp; "," &amp; $B40 &amp; "," &amp; "AccountStructureCode" &amp; "," &amp; "AccountType" &amp; "," &amp; "BalanceType" &amp; "," &amp; $E$6 &amp; "," &amp; $E$7 &amp; ")", CellContents, 1161410,47)</f>
        <v>1161410</v>
      </c>
      <c r="J40" s="32">
        <f>CHOOSE(B, "-GLClosingBalance(" &amp; "Account" &amp; "," &amp; $E$3 &amp; "," &amp; $E$4 &amp; "," &amp; J$10 &amp; "," &amp; "AccountGroupCode" &amp; "," &amp; $B40 &amp; "," &amp; "AccountStructureCode" &amp; "," &amp; "AccountType" &amp; "," &amp; "BalanceType" &amp; "," &amp; $E$6 &amp; "," &amp; $E$7 &amp; ")", CellContents, 1161410,47)</f>
        <v>1161410</v>
      </c>
      <c r="K40" s="32"/>
      <c r="L40" s="32">
        <f>CHOOSE(B, "-GLActual(" &amp; "Account" &amp; "," &amp; $E$3 &amp; "," &amp; $E$4 &amp; "," &amp; $E$5 &amp; "," &amp; "AccountGroupCode" &amp; "," &amp; $B40 &amp; "," &amp; "AccountStructureCode" &amp; "," &amp; "AccountType" &amp; "," &amp; "BalanceType" &amp; "," &amp; $E$6 &amp; "," &amp; $E$7 &amp; ")", CellContents, -31023,43)</f>
        <v>-31023</v>
      </c>
      <c r="M40" s="32">
        <f>CHOOSE(B, "-GLActualYTD(" &amp; "Account" &amp; "," &amp; $E$3 &amp; "," &amp; $E$4 &amp; "," &amp; $E$5 &amp; "," &amp; "AccountGroupCode" &amp; "," &amp; $B40 &amp; "," &amp; "AccountStructureCode" &amp; "," &amp; "AccountType" &amp; "," &amp; "BalanceType" &amp; "," &amp; $E$6 &amp; "," &amp; $E$7 &amp; ")", CellContents, -31023,43)</f>
        <v>-31023</v>
      </c>
      <c r="N40" s="29"/>
      <c r="O40" s="38"/>
    </row>
    <row r="41" spans="2:15" s="31" customFormat="1" ht="7.5" customHeight="1" x14ac:dyDescent="0.3">
      <c r="B41" s="28"/>
      <c r="C41" s="29"/>
      <c r="D41" s="29"/>
      <c r="E41" s="32"/>
      <c r="F41" s="32"/>
      <c r="G41" s="32"/>
      <c r="H41" s="32"/>
      <c r="I41" s="32"/>
      <c r="J41" s="32"/>
      <c r="K41" s="32"/>
      <c r="L41" s="32"/>
      <c r="M41" s="32"/>
      <c r="N41" s="29"/>
    </row>
    <row r="42" spans="2:15" s="31" customFormat="1" x14ac:dyDescent="0.3">
      <c r="B42" s="28"/>
      <c r="C42" s="35" t="s">
        <v>68</v>
      </c>
      <c r="D42" s="35"/>
      <c r="E42" s="36">
        <f>E29+E34+E38</f>
        <v>12232163</v>
      </c>
      <c r="F42" s="32"/>
      <c r="G42" s="36">
        <f t="shared" ref="G42:J42" si="2">G29+G34+G38</f>
        <v>15334700</v>
      </c>
      <c r="H42" s="36">
        <f t="shared" si="2"/>
        <v>18383259</v>
      </c>
      <c r="I42" s="36">
        <f t="shared" si="2"/>
        <v>18363285</v>
      </c>
      <c r="J42" s="36">
        <f t="shared" si="2"/>
        <v>18363285</v>
      </c>
      <c r="K42" s="32"/>
      <c r="L42" s="36">
        <f t="shared" ref="L42:M42" si="3">L29+L34+L38</f>
        <v>877560</v>
      </c>
      <c r="M42" s="36">
        <f t="shared" si="3"/>
        <v>877560</v>
      </c>
      <c r="N42" s="29"/>
    </row>
    <row r="43" spans="2:15" s="31" customFormat="1" x14ac:dyDescent="0.3">
      <c r="B43" s="28"/>
      <c r="C43" s="29"/>
      <c r="D43" s="29"/>
      <c r="E43" s="30"/>
      <c r="F43" s="30"/>
      <c r="G43" s="30"/>
      <c r="H43" s="30"/>
      <c r="I43" s="30"/>
      <c r="J43" s="30"/>
      <c r="K43" s="30"/>
      <c r="L43" s="30"/>
      <c r="M43" s="30"/>
      <c r="N43" s="29"/>
    </row>
    <row r="44" spans="2:15" s="31" customFormat="1" x14ac:dyDescent="0.3">
      <c r="B44" s="28"/>
      <c r="C44" s="29"/>
      <c r="D44" s="29"/>
      <c r="E44" s="30"/>
      <c r="F44" s="30"/>
      <c r="G44" s="30"/>
      <c r="H44" s="30"/>
      <c r="I44" s="30"/>
      <c r="J44" s="30"/>
      <c r="K44" s="30"/>
      <c r="L44" s="30"/>
      <c r="M44" s="30"/>
      <c r="N44" s="29"/>
    </row>
    <row r="45" spans="2:15" s="31" customFormat="1" x14ac:dyDescent="0.3">
      <c r="B45" s="28"/>
      <c r="C45" s="29"/>
      <c r="D45" s="29"/>
      <c r="E45" s="30"/>
      <c r="F45" s="30"/>
      <c r="G45" s="30"/>
      <c r="H45" s="30"/>
      <c r="I45" s="30"/>
      <c r="J45" s="30"/>
      <c r="K45" s="30"/>
      <c r="L45" s="30"/>
      <c r="M45" s="30"/>
      <c r="N45" s="29"/>
    </row>
    <row r="46" spans="2:15" s="31" customFormat="1" x14ac:dyDescent="0.3">
      <c r="B46" s="28"/>
      <c r="C46" s="29"/>
      <c r="D46" s="29"/>
      <c r="E46" s="30"/>
      <c r="F46" s="30"/>
      <c r="G46" s="30"/>
      <c r="H46" s="30"/>
      <c r="I46" s="30"/>
      <c r="J46" s="30"/>
      <c r="K46" s="30"/>
      <c r="L46" s="30"/>
      <c r="M46" s="30"/>
      <c r="N46" s="29"/>
    </row>
    <row r="47" spans="2:15" s="31" customFormat="1" x14ac:dyDescent="0.3">
      <c r="B47" s="28"/>
      <c r="C47" s="29"/>
      <c r="D47" s="29"/>
      <c r="E47" s="30"/>
      <c r="F47" s="30"/>
      <c r="G47" s="30"/>
      <c r="H47" s="30"/>
      <c r="I47" s="30"/>
      <c r="J47" s="30"/>
      <c r="K47" s="30"/>
      <c r="L47" s="30"/>
      <c r="M47" s="30"/>
      <c r="N47" s="29"/>
    </row>
    <row r="48" spans="2:15" s="31" customFormat="1" x14ac:dyDescent="0.3">
      <c r="B48" s="28"/>
      <c r="C48" s="29"/>
      <c r="D48" s="29"/>
      <c r="E48" s="30"/>
      <c r="F48" s="30"/>
      <c r="G48" s="30"/>
      <c r="H48" s="30"/>
      <c r="I48" s="30"/>
      <c r="J48" s="30"/>
      <c r="K48" s="30"/>
      <c r="L48" s="30"/>
      <c r="M48" s="30"/>
      <c r="N48" s="29"/>
    </row>
    <row r="49" spans="2:14" s="31" customFormat="1" x14ac:dyDescent="0.3">
      <c r="B49" s="28"/>
      <c r="C49" s="29"/>
      <c r="D49" s="29"/>
      <c r="E49" s="30"/>
      <c r="F49" s="30"/>
      <c r="G49" s="30"/>
      <c r="H49" s="30"/>
      <c r="I49" s="30"/>
      <c r="J49" s="30"/>
      <c r="K49" s="30"/>
      <c r="L49" s="30"/>
      <c r="M49" s="30"/>
      <c r="N49" s="29"/>
    </row>
    <row r="50" spans="2:14" s="31" customFormat="1" x14ac:dyDescent="0.3">
      <c r="B50" s="28"/>
      <c r="C50" s="29"/>
      <c r="D50" s="29"/>
      <c r="E50" s="30"/>
      <c r="F50" s="30"/>
      <c r="G50" s="30"/>
      <c r="H50" s="30"/>
      <c r="I50" s="30"/>
      <c r="J50" s="30"/>
      <c r="K50" s="30"/>
      <c r="L50" s="30"/>
      <c r="M50" s="30"/>
      <c r="N50" s="29"/>
    </row>
    <row r="51" spans="2:14" s="31" customFormat="1" x14ac:dyDescent="0.3">
      <c r="B51" s="28"/>
      <c r="C51" s="29"/>
      <c r="D51" s="29"/>
      <c r="E51" s="30"/>
      <c r="F51" s="30"/>
      <c r="G51" s="30"/>
      <c r="H51" s="30"/>
      <c r="I51" s="30"/>
      <c r="J51" s="30"/>
      <c r="K51" s="30"/>
      <c r="L51" s="30"/>
      <c r="M51" s="30"/>
      <c r="N51" s="29"/>
    </row>
    <row r="52" spans="2:14" s="31" customFormat="1" x14ac:dyDescent="0.3">
      <c r="B52" s="28"/>
      <c r="C52" s="29"/>
      <c r="D52" s="29"/>
      <c r="E52" s="30"/>
      <c r="F52" s="30"/>
      <c r="G52" s="30"/>
      <c r="H52" s="30"/>
      <c r="I52" s="30"/>
      <c r="J52" s="30"/>
      <c r="K52" s="30"/>
      <c r="L52" s="30"/>
      <c r="M52" s="30"/>
      <c r="N52" s="29"/>
    </row>
    <row r="53" spans="2:14" s="31" customFormat="1" x14ac:dyDescent="0.3">
      <c r="B53" s="28"/>
      <c r="C53" s="29"/>
      <c r="D53" s="29"/>
      <c r="E53" s="30"/>
      <c r="F53" s="30"/>
      <c r="G53" s="30"/>
      <c r="H53" s="30"/>
      <c r="I53" s="30"/>
      <c r="J53" s="30"/>
      <c r="K53" s="30"/>
      <c r="L53" s="30"/>
      <c r="M53" s="30"/>
      <c r="N53" s="29"/>
    </row>
    <row r="54" spans="2:14" s="31" customFormat="1" x14ac:dyDescent="0.3">
      <c r="B54" s="28"/>
      <c r="C54" s="29"/>
      <c r="D54" s="29"/>
      <c r="E54" s="30"/>
      <c r="F54" s="30"/>
      <c r="G54" s="30"/>
      <c r="H54" s="30"/>
      <c r="I54" s="30"/>
      <c r="J54" s="30"/>
      <c r="K54" s="30"/>
      <c r="L54" s="30"/>
      <c r="M54" s="30"/>
      <c r="N54" s="29"/>
    </row>
    <row r="55" spans="2:14" s="31" customFormat="1" x14ac:dyDescent="0.3">
      <c r="B55" s="28"/>
      <c r="C55" s="29"/>
      <c r="D55" s="29"/>
      <c r="E55" s="30"/>
      <c r="F55" s="30"/>
      <c r="G55" s="30"/>
      <c r="H55" s="30"/>
      <c r="I55" s="30"/>
      <c r="J55" s="30"/>
      <c r="K55" s="30"/>
      <c r="L55" s="30"/>
      <c r="M55" s="30"/>
      <c r="N55" s="29"/>
    </row>
    <row r="56" spans="2:14" s="31" customFormat="1" x14ac:dyDescent="0.3">
      <c r="B56" s="28"/>
      <c r="C56" s="29"/>
      <c r="D56" s="29"/>
      <c r="E56" s="30"/>
      <c r="F56" s="30"/>
      <c r="G56" s="30"/>
      <c r="H56" s="30"/>
      <c r="I56" s="30"/>
      <c r="J56" s="30"/>
      <c r="K56" s="30"/>
      <c r="L56" s="30"/>
      <c r="M56" s="30"/>
      <c r="N56" s="29"/>
    </row>
    <row r="57" spans="2:14" s="31" customFormat="1" x14ac:dyDescent="0.3">
      <c r="B57" s="28"/>
      <c r="C57" s="29"/>
      <c r="D57" s="29"/>
      <c r="E57" s="30"/>
      <c r="F57" s="30"/>
      <c r="G57" s="30"/>
      <c r="H57" s="30"/>
      <c r="I57" s="30"/>
      <c r="J57" s="30"/>
      <c r="K57" s="30"/>
      <c r="L57" s="30"/>
      <c r="M57" s="30"/>
      <c r="N57" s="29"/>
    </row>
    <row r="58" spans="2:14" s="31" customFormat="1" x14ac:dyDescent="0.3">
      <c r="B58" s="28"/>
      <c r="C58" s="29"/>
      <c r="D58" s="29"/>
      <c r="E58" s="30"/>
      <c r="F58" s="30"/>
      <c r="G58" s="30"/>
      <c r="H58" s="30"/>
      <c r="I58" s="30"/>
      <c r="J58" s="30"/>
      <c r="K58" s="30"/>
      <c r="L58" s="30"/>
      <c r="M58" s="30"/>
      <c r="N58" s="29"/>
    </row>
    <row r="59" spans="2:14" s="31" customFormat="1" x14ac:dyDescent="0.3">
      <c r="B59" s="28"/>
      <c r="C59" s="29"/>
      <c r="D59" s="29"/>
      <c r="E59" s="30"/>
      <c r="F59" s="30"/>
      <c r="G59" s="30"/>
      <c r="H59" s="30"/>
      <c r="I59" s="30"/>
      <c r="J59" s="30"/>
      <c r="K59" s="30"/>
      <c r="L59" s="30"/>
      <c r="M59" s="30"/>
      <c r="N59" s="29"/>
    </row>
    <row r="60" spans="2:14" s="31" customFormat="1" x14ac:dyDescent="0.3">
      <c r="B60" s="28"/>
      <c r="C60" s="29"/>
      <c r="D60" s="29"/>
      <c r="E60" s="30"/>
      <c r="F60" s="30"/>
      <c r="G60" s="30"/>
      <c r="H60" s="30"/>
      <c r="I60" s="30"/>
      <c r="J60" s="30"/>
      <c r="K60" s="30"/>
      <c r="L60" s="30"/>
      <c r="M60" s="30"/>
      <c r="N60" s="29"/>
    </row>
    <row r="61" spans="2:14" s="31" customFormat="1" x14ac:dyDescent="0.3">
      <c r="B61" s="28"/>
      <c r="C61" s="29"/>
      <c r="D61" s="29"/>
      <c r="E61" s="30"/>
      <c r="F61" s="30"/>
      <c r="G61" s="30"/>
      <c r="H61" s="30"/>
      <c r="I61" s="30"/>
      <c r="J61" s="30"/>
      <c r="K61" s="30"/>
      <c r="L61" s="30"/>
      <c r="M61" s="30"/>
      <c r="N61" s="29"/>
    </row>
    <row r="62" spans="2:14" s="31" customFormat="1" x14ac:dyDescent="0.3">
      <c r="B62" s="28"/>
      <c r="C62" s="29"/>
      <c r="D62" s="29"/>
      <c r="E62" s="30"/>
      <c r="F62" s="30"/>
      <c r="G62" s="30"/>
      <c r="H62" s="30"/>
      <c r="I62" s="30"/>
      <c r="J62" s="30"/>
      <c r="K62" s="30"/>
      <c r="L62" s="30"/>
      <c r="M62" s="30"/>
      <c r="N62" s="29"/>
    </row>
    <row r="63" spans="2:14" s="31" customFormat="1" x14ac:dyDescent="0.3">
      <c r="B63" s="28"/>
      <c r="C63" s="29"/>
      <c r="D63" s="29"/>
      <c r="E63" s="30"/>
      <c r="F63" s="30"/>
      <c r="G63" s="30"/>
      <c r="H63" s="30"/>
      <c r="I63" s="30"/>
      <c r="J63" s="30"/>
      <c r="K63" s="30"/>
      <c r="L63" s="30"/>
      <c r="M63" s="30"/>
      <c r="N63" s="29"/>
    </row>
    <row r="64" spans="2:14" s="31" customFormat="1" x14ac:dyDescent="0.3">
      <c r="B64" s="28"/>
      <c r="C64" s="29"/>
      <c r="D64" s="29"/>
      <c r="E64" s="30"/>
      <c r="F64" s="30"/>
      <c r="G64" s="30"/>
      <c r="H64" s="30"/>
      <c r="I64" s="30"/>
      <c r="J64" s="30"/>
      <c r="K64" s="30"/>
      <c r="L64" s="30"/>
      <c r="M64" s="30"/>
      <c r="N64" s="29"/>
    </row>
    <row r="65" spans="2:14" s="31" customFormat="1" x14ac:dyDescent="0.3">
      <c r="B65" s="28"/>
      <c r="C65" s="29"/>
      <c r="D65" s="29"/>
      <c r="E65" s="30"/>
      <c r="F65" s="30"/>
      <c r="G65" s="30"/>
      <c r="H65" s="30"/>
      <c r="I65" s="30"/>
      <c r="J65" s="30"/>
      <c r="K65" s="30"/>
      <c r="L65" s="30"/>
      <c r="M65" s="30"/>
      <c r="N65" s="29"/>
    </row>
    <row r="66" spans="2:14" s="31" customFormat="1" x14ac:dyDescent="0.3">
      <c r="B66" s="28"/>
      <c r="C66" s="29"/>
      <c r="D66" s="29"/>
      <c r="E66" s="29"/>
      <c r="F66" s="29"/>
      <c r="G66" s="29"/>
      <c r="H66" s="29"/>
      <c r="I66" s="29"/>
      <c r="J66" s="29"/>
      <c r="K66" s="29"/>
      <c r="L66" s="29"/>
      <c r="M66" s="29"/>
      <c r="N66" s="29"/>
    </row>
    <row r="67" spans="2:14" s="31" customFormat="1" x14ac:dyDescent="0.3">
      <c r="B67" s="28"/>
      <c r="C67" s="29"/>
      <c r="D67" s="29"/>
      <c r="E67" s="29"/>
      <c r="F67" s="29"/>
      <c r="G67" s="29"/>
      <c r="H67" s="29"/>
      <c r="I67" s="29"/>
      <c r="J67" s="29"/>
      <c r="K67" s="29"/>
      <c r="L67" s="29"/>
      <c r="M67" s="29"/>
      <c r="N67" s="29"/>
    </row>
    <row r="68" spans="2:14" s="31" customFormat="1" x14ac:dyDescent="0.3">
      <c r="B68" s="28"/>
      <c r="C68" s="29"/>
      <c r="D68" s="29"/>
      <c r="E68" s="29"/>
      <c r="F68" s="29"/>
      <c r="G68" s="29"/>
      <c r="H68" s="29"/>
      <c r="I68" s="29"/>
      <c r="J68" s="29"/>
      <c r="K68" s="29"/>
      <c r="L68" s="29"/>
      <c r="M68" s="29"/>
      <c r="N68" s="29"/>
    </row>
    <row r="69" spans="2:14" s="31" customFormat="1" x14ac:dyDescent="0.3">
      <c r="B69" s="28"/>
      <c r="C69" s="29"/>
      <c r="D69" s="29"/>
      <c r="E69" s="29"/>
      <c r="F69" s="29"/>
      <c r="G69" s="29"/>
      <c r="H69" s="29"/>
      <c r="I69" s="29"/>
      <c r="J69" s="29"/>
      <c r="K69" s="29"/>
      <c r="L69" s="29"/>
      <c r="M69" s="29"/>
      <c r="N69" s="29"/>
    </row>
    <row r="70" spans="2:14" s="31" customFormat="1" x14ac:dyDescent="0.3">
      <c r="B70" s="28"/>
      <c r="C70" s="29"/>
      <c r="D70" s="29"/>
      <c r="E70" s="29"/>
      <c r="F70" s="29"/>
      <c r="G70" s="29"/>
      <c r="H70" s="29"/>
      <c r="I70" s="29"/>
      <c r="J70" s="29"/>
      <c r="K70" s="29"/>
      <c r="L70" s="29"/>
      <c r="M70" s="29"/>
      <c r="N70" s="29"/>
    </row>
    <row r="71" spans="2:14" s="31" customFormat="1" x14ac:dyDescent="0.3">
      <c r="B71" s="28"/>
      <c r="C71" s="29"/>
      <c r="D71" s="29"/>
      <c r="E71" s="29"/>
      <c r="F71" s="29"/>
      <c r="G71" s="29"/>
      <c r="H71" s="29"/>
      <c r="I71" s="29"/>
      <c r="J71" s="29"/>
      <c r="K71" s="29"/>
      <c r="L71" s="29"/>
      <c r="M71" s="29"/>
      <c r="N71" s="29"/>
    </row>
    <row r="72" spans="2:14" s="31" customFormat="1" x14ac:dyDescent="0.3">
      <c r="B72" s="28"/>
      <c r="C72" s="29"/>
      <c r="D72" s="29"/>
      <c r="E72" s="29"/>
      <c r="F72" s="29"/>
      <c r="G72" s="29"/>
      <c r="H72" s="29"/>
      <c r="I72" s="29"/>
      <c r="J72" s="29"/>
      <c r="K72" s="29"/>
      <c r="L72" s="29"/>
      <c r="M72" s="29"/>
      <c r="N72" s="29"/>
    </row>
    <row r="73" spans="2:14" s="31" customFormat="1" x14ac:dyDescent="0.3">
      <c r="B73" s="28"/>
      <c r="C73" s="29"/>
      <c r="D73" s="29"/>
      <c r="E73" s="29"/>
      <c r="F73" s="29"/>
      <c r="G73" s="29"/>
      <c r="H73" s="29"/>
      <c r="I73" s="29"/>
      <c r="J73" s="29"/>
      <c r="K73" s="29"/>
      <c r="L73" s="29"/>
      <c r="M73" s="29"/>
      <c r="N73" s="29"/>
    </row>
    <row r="74" spans="2:14" s="31" customFormat="1" x14ac:dyDescent="0.3">
      <c r="B74" s="28"/>
      <c r="C74" s="29"/>
      <c r="D74" s="29"/>
      <c r="E74" s="29"/>
      <c r="F74" s="29"/>
      <c r="G74" s="29"/>
      <c r="H74" s="29"/>
      <c r="I74" s="29"/>
      <c r="J74" s="29"/>
      <c r="K74" s="29"/>
      <c r="L74" s="29"/>
      <c r="M74" s="29"/>
      <c r="N74" s="29"/>
    </row>
    <row r="75" spans="2:14" s="31" customFormat="1" x14ac:dyDescent="0.3">
      <c r="B75" s="28"/>
      <c r="C75" s="29"/>
      <c r="D75" s="29"/>
      <c r="E75" s="29"/>
      <c r="F75" s="29"/>
      <c r="G75" s="29"/>
      <c r="H75" s="29"/>
      <c r="I75" s="29"/>
      <c r="J75" s="29"/>
      <c r="K75" s="29"/>
      <c r="L75" s="29"/>
      <c r="M75" s="29"/>
      <c r="N75" s="29"/>
    </row>
    <row r="76" spans="2:14" s="31" customFormat="1" x14ac:dyDescent="0.3">
      <c r="B76" s="28"/>
      <c r="C76" s="29"/>
      <c r="D76" s="29"/>
      <c r="E76" s="29"/>
      <c r="F76" s="29"/>
      <c r="G76" s="29"/>
      <c r="H76" s="29"/>
      <c r="I76" s="29"/>
      <c r="J76" s="29"/>
      <c r="K76" s="29"/>
      <c r="L76" s="29"/>
      <c r="M76" s="29"/>
      <c r="N76" s="29"/>
    </row>
    <row r="77" spans="2:14" s="31" customFormat="1" x14ac:dyDescent="0.3">
      <c r="B77" s="28"/>
      <c r="C77" s="29"/>
      <c r="D77" s="29"/>
      <c r="E77" s="29"/>
      <c r="F77" s="29"/>
      <c r="G77" s="29"/>
      <c r="H77" s="29"/>
      <c r="I77" s="29"/>
      <c r="J77" s="29"/>
      <c r="K77" s="29"/>
      <c r="L77" s="29"/>
      <c r="M77" s="29"/>
      <c r="N77" s="29"/>
    </row>
    <row r="78" spans="2:14" s="31" customFormat="1" x14ac:dyDescent="0.3">
      <c r="B78" s="28"/>
      <c r="C78" s="29"/>
      <c r="D78" s="29"/>
      <c r="E78" s="29"/>
      <c r="F78" s="29"/>
      <c r="G78" s="29"/>
      <c r="H78" s="29"/>
      <c r="I78" s="29"/>
      <c r="J78" s="29"/>
      <c r="K78" s="29"/>
      <c r="L78" s="29"/>
      <c r="M78" s="29"/>
      <c r="N78" s="29"/>
    </row>
    <row r="79" spans="2:14" s="31" customFormat="1" x14ac:dyDescent="0.3">
      <c r="B79" s="28"/>
      <c r="C79" s="29"/>
      <c r="D79" s="29"/>
      <c r="E79" s="29"/>
      <c r="F79" s="29"/>
      <c r="G79" s="29"/>
      <c r="H79" s="29"/>
      <c r="I79" s="29"/>
      <c r="J79" s="29"/>
      <c r="K79" s="29"/>
      <c r="L79" s="29"/>
      <c r="M79" s="29"/>
      <c r="N79" s="29"/>
    </row>
    <row r="80" spans="2:14" s="31" customFormat="1" x14ac:dyDescent="0.3">
      <c r="B80" s="28"/>
      <c r="C80" s="29"/>
      <c r="D80" s="29"/>
      <c r="E80" s="29"/>
      <c r="F80" s="29"/>
      <c r="G80" s="29"/>
      <c r="H80" s="29"/>
      <c r="I80" s="29"/>
      <c r="J80" s="29"/>
      <c r="K80" s="29"/>
      <c r="L80" s="29"/>
      <c r="M80" s="29"/>
      <c r="N80" s="29"/>
    </row>
    <row r="81" spans="2:14" s="31" customFormat="1" x14ac:dyDescent="0.3">
      <c r="B81" s="28"/>
      <c r="C81" s="29"/>
      <c r="D81" s="29"/>
      <c r="E81" s="29"/>
      <c r="F81" s="29"/>
      <c r="G81" s="29"/>
      <c r="H81" s="29"/>
      <c r="I81" s="29"/>
      <c r="J81" s="29"/>
      <c r="K81" s="29"/>
      <c r="L81" s="29"/>
      <c r="M81" s="29"/>
      <c r="N81" s="29"/>
    </row>
    <row r="82" spans="2:14" s="31" customFormat="1" x14ac:dyDescent="0.3">
      <c r="B82" s="28"/>
      <c r="C82" s="29"/>
      <c r="D82" s="29"/>
      <c r="E82" s="29"/>
      <c r="F82" s="29"/>
      <c r="G82" s="29"/>
      <c r="H82" s="29"/>
      <c r="I82" s="29"/>
      <c r="J82" s="29"/>
      <c r="K82" s="29"/>
      <c r="L82" s="29"/>
      <c r="M82" s="29"/>
      <c r="N82" s="29"/>
    </row>
    <row r="83" spans="2:14" s="31" customFormat="1" x14ac:dyDescent="0.3">
      <c r="B83" s="28"/>
      <c r="C83" s="29"/>
      <c r="D83" s="29"/>
      <c r="E83" s="29"/>
      <c r="F83" s="29"/>
      <c r="G83" s="29"/>
      <c r="H83" s="29"/>
      <c r="I83" s="29"/>
      <c r="J83" s="29"/>
      <c r="K83" s="29"/>
      <c r="L83" s="29"/>
      <c r="M83" s="29"/>
      <c r="N83" s="29"/>
    </row>
    <row r="84" spans="2:14" s="31" customFormat="1" x14ac:dyDescent="0.3">
      <c r="B84" s="28"/>
      <c r="C84" s="29"/>
      <c r="D84" s="29"/>
      <c r="E84" s="29"/>
      <c r="F84" s="29"/>
      <c r="G84" s="29"/>
      <c r="H84" s="29"/>
      <c r="I84" s="29"/>
      <c r="J84" s="29"/>
      <c r="K84" s="29"/>
      <c r="L84" s="29"/>
      <c r="M84" s="29"/>
      <c r="N84" s="29"/>
    </row>
    <row r="85" spans="2:14" s="31" customFormat="1" x14ac:dyDescent="0.3">
      <c r="B85" s="28"/>
      <c r="C85" s="29"/>
      <c r="D85" s="29"/>
      <c r="E85" s="29"/>
      <c r="F85" s="29"/>
      <c r="G85" s="29"/>
      <c r="H85" s="29"/>
      <c r="I85" s="29"/>
      <c r="J85" s="29"/>
      <c r="K85" s="29"/>
      <c r="L85" s="29"/>
      <c r="M85" s="29"/>
      <c r="N85" s="29"/>
    </row>
    <row r="86" spans="2:14" s="31" customFormat="1" x14ac:dyDescent="0.3">
      <c r="B86" s="28"/>
      <c r="C86" s="29"/>
      <c r="D86" s="29"/>
      <c r="E86" s="29"/>
      <c r="F86" s="29"/>
      <c r="G86" s="29"/>
      <c r="H86" s="29"/>
      <c r="I86" s="29"/>
      <c r="J86" s="29"/>
      <c r="K86" s="29"/>
      <c r="L86" s="29"/>
      <c r="M86" s="29"/>
      <c r="N86" s="29"/>
    </row>
    <row r="87" spans="2:14" s="31" customFormat="1" x14ac:dyDescent="0.3">
      <c r="B87" s="28"/>
      <c r="C87" s="29"/>
      <c r="D87" s="29"/>
      <c r="E87" s="29"/>
      <c r="F87" s="29"/>
      <c r="G87" s="29"/>
      <c r="H87" s="29"/>
      <c r="I87" s="29"/>
      <c r="J87" s="29"/>
      <c r="K87" s="29"/>
      <c r="L87" s="29"/>
      <c r="M87" s="29"/>
      <c r="N87" s="29"/>
    </row>
    <row r="88" spans="2:14" s="31" customFormat="1" x14ac:dyDescent="0.3">
      <c r="B88" s="28"/>
      <c r="C88" s="29"/>
      <c r="D88" s="29"/>
      <c r="E88" s="29"/>
      <c r="F88" s="29"/>
      <c r="G88" s="29"/>
      <c r="H88" s="29"/>
      <c r="I88" s="29"/>
      <c r="J88" s="29"/>
      <c r="K88" s="29"/>
      <c r="L88" s="29"/>
      <c r="M88" s="29"/>
      <c r="N88" s="29"/>
    </row>
    <row r="89" spans="2:14" s="31" customFormat="1" x14ac:dyDescent="0.3">
      <c r="B89" s="28"/>
      <c r="C89" s="29"/>
      <c r="D89" s="29"/>
      <c r="E89" s="29"/>
      <c r="F89" s="29"/>
      <c r="G89" s="29"/>
      <c r="H89" s="29"/>
      <c r="I89" s="29"/>
      <c r="J89" s="29"/>
      <c r="K89" s="29"/>
      <c r="L89" s="29"/>
      <c r="M89" s="29"/>
      <c r="N89" s="29"/>
    </row>
    <row r="90" spans="2:14" s="31" customFormat="1" x14ac:dyDescent="0.3">
      <c r="B90" s="28"/>
      <c r="C90" s="29"/>
      <c r="D90" s="29"/>
      <c r="E90" s="29"/>
      <c r="F90" s="29"/>
      <c r="G90" s="29"/>
      <c r="H90" s="29"/>
      <c r="I90" s="29"/>
      <c r="J90" s="29"/>
      <c r="K90" s="29"/>
      <c r="L90" s="29"/>
      <c r="M90" s="29"/>
      <c r="N90" s="29"/>
    </row>
    <row r="91" spans="2:14" s="31" customFormat="1" x14ac:dyDescent="0.3">
      <c r="B91" s="28"/>
      <c r="C91" s="29"/>
      <c r="D91" s="29"/>
      <c r="E91" s="29"/>
      <c r="F91" s="29"/>
      <c r="G91" s="29"/>
      <c r="H91" s="29"/>
      <c r="I91" s="29"/>
      <c r="J91" s="29"/>
      <c r="K91" s="29"/>
      <c r="L91" s="29"/>
      <c r="M91" s="29"/>
      <c r="N91" s="29"/>
    </row>
    <row r="92" spans="2:14" s="31" customFormat="1" x14ac:dyDescent="0.3">
      <c r="B92" s="28"/>
      <c r="C92" s="29"/>
      <c r="D92" s="29"/>
      <c r="E92" s="29"/>
      <c r="F92" s="29"/>
      <c r="G92" s="29"/>
      <c r="H92" s="29"/>
      <c r="I92" s="29"/>
      <c r="J92" s="29"/>
      <c r="K92" s="29"/>
      <c r="L92" s="29"/>
      <c r="M92" s="29"/>
      <c r="N92" s="29"/>
    </row>
    <row r="93" spans="2:14" s="31" customFormat="1" x14ac:dyDescent="0.3">
      <c r="B93" s="28"/>
      <c r="C93" s="29"/>
      <c r="D93" s="29"/>
      <c r="E93" s="29"/>
      <c r="F93" s="29"/>
      <c r="G93" s="29"/>
      <c r="H93" s="29"/>
      <c r="I93" s="29"/>
      <c r="J93" s="29"/>
      <c r="K93" s="29"/>
      <c r="L93" s="29"/>
      <c r="M93" s="29"/>
      <c r="N93" s="29"/>
    </row>
    <row r="94" spans="2:14" s="31" customFormat="1" x14ac:dyDescent="0.3">
      <c r="B94" s="28"/>
      <c r="C94" s="29"/>
      <c r="D94" s="29"/>
      <c r="E94" s="29"/>
      <c r="F94" s="29"/>
      <c r="G94" s="29"/>
      <c r="H94" s="29"/>
      <c r="I94" s="29"/>
      <c r="J94" s="29"/>
      <c r="K94" s="29"/>
      <c r="L94" s="29"/>
      <c r="M94" s="29"/>
      <c r="N94" s="29"/>
    </row>
    <row r="95" spans="2:14" s="31" customFormat="1" x14ac:dyDescent="0.3">
      <c r="B95" s="28"/>
      <c r="C95" s="29"/>
      <c r="D95" s="29"/>
      <c r="E95" s="29"/>
      <c r="F95" s="29"/>
      <c r="G95" s="29"/>
      <c r="H95" s="29"/>
      <c r="I95" s="29"/>
      <c r="J95" s="29"/>
      <c r="K95" s="29"/>
      <c r="L95" s="29"/>
      <c r="M95" s="29"/>
      <c r="N95" s="29"/>
    </row>
    <row r="96" spans="2:14" s="31" customFormat="1" x14ac:dyDescent="0.3">
      <c r="B96" s="28"/>
      <c r="C96" s="29"/>
      <c r="D96" s="29"/>
      <c r="E96" s="29"/>
      <c r="F96" s="29"/>
      <c r="G96" s="29"/>
      <c r="H96" s="29"/>
      <c r="I96" s="29"/>
      <c r="J96" s="29"/>
      <c r="K96" s="29"/>
      <c r="L96" s="29"/>
      <c r="M96" s="29"/>
      <c r="N96" s="29"/>
    </row>
    <row r="97" spans="2:14" s="31" customFormat="1" x14ac:dyDescent="0.3">
      <c r="B97" s="28"/>
      <c r="C97" s="29"/>
      <c r="D97" s="29"/>
      <c r="E97" s="29"/>
      <c r="F97" s="29"/>
      <c r="G97" s="29"/>
      <c r="H97" s="29"/>
      <c r="I97" s="29"/>
      <c r="J97" s="29"/>
      <c r="K97" s="29"/>
      <c r="L97" s="29"/>
      <c r="M97" s="29"/>
      <c r="N97" s="29"/>
    </row>
    <row r="98" spans="2:14" s="31" customFormat="1" x14ac:dyDescent="0.3">
      <c r="B98" s="28"/>
      <c r="C98" s="29"/>
      <c r="D98" s="29"/>
      <c r="E98" s="29"/>
      <c r="F98" s="29"/>
      <c r="G98" s="29"/>
      <c r="H98" s="29"/>
      <c r="I98" s="29"/>
      <c r="J98" s="29"/>
      <c r="K98" s="29"/>
      <c r="L98" s="29"/>
      <c r="M98" s="29"/>
      <c r="N98" s="29"/>
    </row>
    <row r="99" spans="2:14" s="31" customFormat="1" x14ac:dyDescent="0.3">
      <c r="B99" s="28"/>
      <c r="C99" s="29"/>
      <c r="D99" s="29"/>
      <c r="E99" s="29"/>
      <c r="F99" s="29"/>
      <c r="G99" s="29"/>
      <c r="H99" s="29"/>
      <c r="I99" s="29"/>
      <c r="J99" s="29"/>
      <c r="K99" s="29"/>
      <c r="L99" s="29"/>
      <c r="M99" s="29"/>
      <c r="N99" s="29"/>
    </row>
    <row r="100" spans="2:14" s="31" customFormat="1" x14ac:dyDescent="0.3">
      <c r="B100" s="28"/>
      <c r="C100" s="29"/>
      <c r="D100" s="29"/>
      <c r="E100" s="29"/>
      <c r="F100" s="29"/>
      <c r="G100" s="29"/>
      <c r="H100" s="29"/>
      <c r="I100" s="29"/>
      <c r="J100" s="29"/>
      <c r="K100" s="29"/>
      <c r="L100" s="29"/>
      <c r="M100" s="29"/>
      <c r="N100" s="29"/>
    </row>
    <row r="101" spans="2:14" s="31" customFormat="1" x14ac:dyDescent="0.3">
      <c r="B101" s="28"/>
      <c r="C101" s="29"/>
      <c r="D101" s="29"/>
      <c r="E101" s="29"/>
      <c r="F101" s="29"/>
      <c r="G101" s="29"/>
      <c r="H101" s="29"/>
      <c r="I101" s="29"/>
      <c r="J101" s="29"/>
      <c r="K101" s="29"/>
      <c r="L101" s="29"/>
      <c r="M101" s="29"/>
      <c r="N101" s="29"/>
    </row>
    <row r="102" spans="2:14" s="31" customFormat="1" x14ac:dyDescent="0.3">
      <c r="B102" s="28"/>
      <c r="C102" s="29"/>
      <c r="D102" s="29"/>
      <c r="E102" s="29"/>
      <c r="F102" s="29"/>
      <c r="G102" s="29"/>
      <c r="H102" s="29"/>
      <c r="I102" s="29"/>
      <c r="J102" s="29"/>
      <c r="K102" s="29"/>
      <c r="L102" s="29"/>
      <c r="M102" s="29"/>
      <c r="N102" s="29"/>
    </row>
    <row r="103" spans="2:14" s="31" customFormat="1" x14ac:dyDescent="0.3">
      <c r="B103" s="28"/>
      <c r="C103" s="29"/>
      <c r="D103" s="29"/>
      <c r="E103" s="29"/>
      <c r="F103" s="29"/>
      <c r="G103" s="29"/>
      <c r="H103" s="29"/>
      <c r="I103" s="29"/>
      <c r="J103" s="29"/>
      <c r="K103" s="29"/>
      <c r="L103" s="29"/>
      <c r="M103" s="29"/>
      <c r="N103" s="29"/>
    </row>
    <row r="104" spans="2:14" s="31" customFormat="1" x14ac:dyDescent="0.3">
      <c r="B104" s="28"/>
      <c r="C104" s="29"/>
      <c r="D104" s="29"/>
      <c r="E104" s="29"/>
      <c r="F104" s="29"/>
      <c r="G104" s="29"/>
      <c r="H104" s="29"/>
      <c r="I104" s="29"/>
      <c r="J104" s="29"/>
      <c r="K104" s="29"/>
      <c r="L104" s="29"/>
      <c r="M104" s="29"/>
      <c r="N104" s="29"/>
    </row>
    <row r="105" spans="2:14" s="31" customFormat="1" x14ac:dyDescent="0.3">
      <c r="B105" s="28"/>
      <c r="C105" s="29"/>
      <c r="D105" s="29"/>
      <c r="E105" s="29"/>
      <c r="F105" s="29"/>
      <c r="G105" s="29"/>
      <c r="H105" s="29"/>
      <c r="I105" s="29"/>
      <c r="J105" s="29"/>
      <c r="K105" s="29"/>
      <c r="L105" s="29"/>
      <c r="M105" s="29"/>
      <c r="N105" s="29"/>
    </row>
    <row r="106" spans="2:14" s="31" customFormat="1" x14ac:dyDescent="0.3">
      <c r="B106" s="28"/>
      <c r="C106" s="29"/>
      <c r="D106" s="29"/>
      <c r="E106" s="29"/>
      <c r="F106" s="29"/>
      <c r="G106" s="29"/>
      <c r="H106" s="29"/>
      <c r="I106" s="29"/>
      <c r="J106" s="29"/>
      <c r="K106" s="29"/>
      <c r="L106" s="29"/>
      <c r="M106" s="29"/>
      <c r="N106" s="29"/>
    </row>
    <row r="107" spans="2:14" s="31" customFormat="1" x14ac:dyDescent="0.3">
      <c r="B107" s="28"/>
      <c r="C107" s="29"/>
      <c r="D107" s="29"/>
      <c r="E107" s="29"/>
      <c r="F107" s="29"/>
      <c r="G107" s="29"/>
      <c r="H107" s="29"/>
      <c r="I107" s="29"/>
      <c r="J107" s="29"/>
      <c r="K107" s="29"/>
      <c r="L107" s="29"/>
      <c r="M107" s="29"/>
      <c r="N107" s="29"/>
    </row>
    <row r="108" spans="2:14" s="31" customFormat="1" x14ac:dyDescent="0.3">
      <c r="B108" s="28"/>
      <c r="C108" s="29"/>
      <c r="D108" s="29"/>
      <c r="E108" s="29"/>
      <c r="F108" s="29"/>
      <c r="G108" s="29"/>
      <c r="H108" s="29"/>
      <c r="I108" s="29"/>
      <c r="J108" s="29"/>
      <c r="K108" s="29"/>
      <c r="L108" s="29"/>
      <c r="M108" s="29"/>
      <c r="N108" s="29"/>
    </row>
    <row r="109" spans="2:14" s="31" customFormat="1" x14ac:dyDescent="0.3">
      <c r="B109" s="28"/>
      <c r="C109" s="29"/>
      <c r="D109" s="29"/>
      <c r="E109" s="29"/>
      <c r="F109" s="29"/>
      <c r="G109" s="29"/>
      <c r="H109" s="29"/>
      <c r="I109" s="29"/>
      <c r="J109" s="29"/>
      <c r="K109" s="29"/>
      <c r="L109" s="29"/>
      <c r="M109" s="29"/>
      <c r="N109" s="29"/>
    </row>
    <row r="110" spans="2:14" s="31" customFormat="1" x14ac:dyDescent="0.3">
      <c r="B110" s="28"/>
      <c r="C110" s="29"/>
      <c r="D110" s="29"/>
      <c r="E110" s="29"/>
      <c r="F110" s="29"/>
      <c r="G110" s="29"/>
      <c r="H110" s="29"/>
      <c r="I110" s="29"/>
      <c r="J110" s="29"/>
      <c r="K110" s="29"/>
      <c r="L110" s="29"/>
      <c r="M110" s="29"/>
      <c r="N110" s="29"/>
    </row>
    <row r="111" spans="2:14" s="31" customFormat="1" x14ac:dyDescent="0.3">
      <c r="B111" s="28"/>
      <c r="C111" s="29"/>
      <c r="D111" s="29"/>
      <c r="E111" s="29"/>
      <c r="F111" s="29"/>
      <c r="G111" s="29"/>
      <c r="H111" s="29"/>
      <c r="I111" s="29"/>
      <c r="J111" s="29"/>
      <c r="K111" s="29"/>
      <c r="L111" s="29"/>
      <c r="M111" s="29"/>
      <c r="N111" s="29"/>
    </row>
    <row r="112" spans="2:14" s="31" customFormat="1" x14ac:dyDescent="0.3">
      <c r="B112" s="28"/>
      <c r="C112" s="29"/>
      <c r="D112" s="29"/>
      <c r="E112" s="29"/>
      <c r="F112" s="29"/>
      <c r="G112" s="29"/>
      <c r="H112" s="29"/>
      <c r="I112" s="29"/>
      <c r="J112" s="29"/>
      <c r="K112" s="29"/>
      <c r="L112" s="29"/>
      <c r="M112" s="29"/>
      <c r="N112" s="29"/>
    </row>
    <row r="113" spans="2:14" s="31" customFormat="1" x14ac:dyDescent="0.3">
      <c r="B113" s="28"/>
      <c r="C113" s="29"/>
      <c r="D113" s="29"/>
      <c r="E113" s="29"/>
      <c r="F113" s="29"/>
      <c r="G113" s="29"/>
      <c r="H113" s="29"/>
      <c r="I113" s="29"/>
      <c r="J113" s="29"/>
      <c r="K113" s="29"/>
      <c r="L113" s="29"/>
      <c r="M113" s="29"/>
      <c r="N113" s="29"/>
    </row>
    <row r="114" spans="2:14" s="31" customFormat="1" x14ac:dyDescent="0.3">
      <c r="B114" s="28"/>
      <c r="C114" s="29"/>
      <c r="D114" s="29"/>
      <c r="E114" s="29"/>
      <c r="F114" s="29"/>
      <c r="G114" s="29"/>
      <c r="H114" s="29"/>
      <c r="I114" s="29"/>
      <c r="J114" s="29"/>
      <c r="K114" s="29"/>
      <c r="L114" s="29"/>
      <c r="M114" s="29"/>
      <c r="N114" s="29"/>
    </row>
    <row r="115" spans="2:14" s="31" customFormat="1" x14ac:dyDescent="0.3">
      <c r="B115" s="28"/>
      <c r="C115" s="29"/>
      <c r="D115" s="29"/>
      <c r="E115" s="29"/>
      <c r="F115" s="29"/>
      <c r="G115" s="29"/>
      <c r="H115" s="29"/>
      <c r="I115" s="29"/>
      <c r="J115" s="29"/>
      <c r="K115" s="29"/>
      <c r="L115" s="29"/>
      <c r="M115" s="29"/>
      <c r="N115" s="29"/>
    </row>
    <row r="116" spans="2:14" s="31" customFormat="1" x14ac:dyDescent="0.3">
      <c r="B116" s="28"/>
      <c r="C116" s="29"/>
      <c r="D116" s="29"/>
      <c r="E116" s="29"/>
      <c r="F116" s="29"/>
      <c r="G116" s="29"/>
      <c r="H116" s="29"/>
      <c r="I116" s="29"/>
      <c r="J116" s="29"/>
      <c r="K116" s="29"/>
      <c r="L116" s="29"/>
      <c r="M116" s="29"/>
      <c r="N116" s="29"/>
    </row>
    <row r="117" spans="2:14" s="31" customFormat="1" x14ac:dyDescent="0.3">
      <c r="B117" s="28"/>
      <c r="C117" s="29"/>
      <c r="D117" s="29"/>
      <c r="E117" s="29"/>
      <c r="F117" s="29"/>
      <c r="G117" s="29"/>
      <c r="H117" s="29"/>
      <c r="I117" s="29"/>
      <c r="J117" s="29"/>
      <c r="K117" s="29"/>
      <c r="L117" s="29"/>
      <c r="M117" s="29"/>
      <c r="N117" s="29"/>
    </row>
    <row r="118" spans="2:14" s="31" customFormat="1" x14ac:dyDescent="0.3">
      <c r="B118" s="28"/>
      <c r="C118" s="29"/>
      <c r="D118" s="29"/>
      <c r="E118" s="29"/>
      <c r="F118" s="29"/>
      <c r="G118" s="29"/>
      <c r="H118" s="29"/>
      <c r="I118" s="29"/>
      <c r="J118" s="29"/>
      <c r="K118" s="29"/>
      <c r="L118" s="29"/>
      <c r="M118" s="29"/>
      <c r="N118" s="29"/>
    </row>
    <row r="119" spans="2:14" s="31" customFormat="1" x14ac:dyDescent="0.3">
      <c r="B119" s="28"/>
      <c r="C119" s="29"/>
      <c r="D119" s="29"/>
      <c r="E119" s="29"/>
      <c r="F119" s="29"/>
      <c r="G119" s="29"/>
      <c r="H119" s="29"/>
      <c r="I119" s="29"/>
      <c r="J119" s="29"/>
      <c r="K119" s="29"/>
      <c r="L119" s="29"/>
      <c r="M119" s="29"/>
      <c r="N119" s="29"/>
    </row>
    <row r="120" spans="2:14" s="31" customFormat="1" x14ac:dyDescent="0.3">
      <c r="B120" s="28"/>
      <c r="C120" s="29"/>
      <c r="D120" s="29"/>
      <c r="E120" s="29"/>
      <c r="F120" s="29"/>
      <c r="G120" s="29"/>
      <c r="H120" s="29"/>
      <c r="I120" s="29"/>
      <c r="J120" s="29"/>
      <c r="K120" s="29"/>
      <c r="L120" s="29"/>
      <c r="M120" s="29"/>
      <c r="N120" s="29"/>
    </row>
    <row r="121" spans="2:14" s="31" customFormat="1" x14ac:dyDescent="0.3">
      <c r="B121" s="28"/>
      <c r="C121" s="29"/>
      <c r="D121" s="29"/>
      <c r="E121" s="29"/>
      <c r="F121" s="29"/>
      <c r="G121" s="29"/>
      <c r="H121" s="29"/>
      <c r="I121" s="29"/>
      <c r="J121" s="29"/>
      <c r="K121" s="29"/>
      <c r="L121" s="29"/>
      <c r="M121" s="29"/>
      <c r="N121" s="29"/>
    </row>
    <row r="122" spans="2:14" s="31" customFormat="1" x14ac:dyDescent="0.3">
      <c r="B122" s="28"/>
      <c r="C122" s="29"/>
      <c r="D122" s="29"/>
      <c r="E122" s="29"/>
      <c r="F122" s="29"/>
      <c r="G122" s="29"/>
      <c r="H122" s="29"/>
      <c r="I122" s="29"/>
      <c r="J122" s="29"/>
      <c r="K122" s="29"/>
      <c r="L122" s="29"/>
      <c r="M122" s="29"/>
      <c r="N122" s="29"/>
    </row>
    <row r="123" spans="2:14" s="31" customFormat="1" x14ac:dyDescent="0.3">
      <c r="B123" s="28"/>
      <c r="C123" s="29"/>
      <c r="D123" s="29"/>
      <c r="E123" s="29"/>
      <c r="F123" s="29"/>
      <c r="G123" s="29"/>
      <c r="H123" s="29"/>
      <c r="I123" s="29"/>
      <c r="J123" s="29"/>
      <c r="K123" s="29"/>
      <c r="L123" s="29"/>
      <c r="M123" s="29"/>
      <c r="N123" s="29"/>
    </row>
    <row r="124" spans="2:14" s="31" customFormat="1" x14ac:dyDescent="0.3">
      <c r="B124" s="28"/>
      <c r="C124" s="29"/>
      <c r="D124" s="29"/>
      <c r="E124" s="29"/>
      <c r="F124" s="29"/>
      <c r="G124" s="29"/>
      <c r="H124" s="29"/>
      <c r="I124" s="29"/>
      <c r="J124" s="29"/>
      <c r="K124" s="29"/>
      <c r="L124" s="29"/>
      <c r="M124" s="29"/>
      <c r="N124" s="29"/>
    </row>
    <row r="125" spans="2:14" s="31" customFormat="1" x14ac:dyDescent="0.3">
      <c r="B125" s="28"/>
      <c r="C125" s="29"/>
      <c r="D125" s="29"/>
      <c r="E125" s="29"/>
      <c r="F125" s="29"/>
      <c r="G125" s="29"/>
      <c r="H125" s="29"/>
      <c r="I125" s="29"/>
      <c r="J125" s="29"/>
      <c r="K125" s="29"/>
      <c r="L125" s="29"/>
      <c r="M125" s="29"/>
      <c r="N125" s="29"/>
    </row>
    <row r="126" spans="2:14" s="31" customFormat="1" x14ac:dyDescent="0.3">
      <c r="B126" s="28"/>
      <c r="C126" s="29"/>
      <c r="D126" s="29"/>
      <c r="E126" s="29"/>
      <c r="F126" s="29"/>
      <c r="G126" s="29"/>
      <c r="H126" s="29"/>
      <c r="I126" s="29"/>
      <c r="J126" s="29"/>
      <c r="K126" s="29"/>
      <c r="L126" s="29"/>
      <c r="M126" s="29"/>
      <c r="N126" s="29"/>
    </row>
    <row r="127" spans="2:14" s="31" customFormat="1" x14ac:dyDescent="0.3">
      <c r="B127" s="28"/>
      <c r="C127" s="29"/>
      <c r="D127" s="29"/>
      <c r="E127" s="29"/>
      <c r="F127" s="29"/>
      <c r="G127" s="29"/>
      <c r="H127" s="29"/>
      <c r="I127" s="29"/>
      <c r="J127" s="29"/>
      <c r="K127" s="29"/>
      <c r="L127" s="29"/>
      <c r="M127" s="29"/>
      <c r="N127" s="29"/>
    </row>
    <row r="128" spans="2:14" s="31" customFormat="1" x14ac:dyDescent="0.3">
      <c r="B128" s="28"/>
      <c r="C128" s="29"/>
      <c r="D128" s="29"/>
      <c r="E128" s="29"/>
      <c r="F128" s="29"/>
      <c r="G128" s="29"/>
      <c r="H128" s="29"/>
      <c r="I128" s="29"/>
      <c r="J128" s="29"/>
      <c r="K128" s="29"/>
      <c r="L128" s="29"/>
      <c r="M128" s="29"/>
      <c r="N128" s="29"/>
    </row>
    <row r="129" spans="2:14" s="31" customFormat="1" x14ac:dyDescent="0.3">
      <c r="B129" s="28"/>
      <c r="C129" s="29"/>
      <c r="D129" s="29"/>
      <c r="E129" s="29"/>
      <c r="F129" s="29"/>
      <c r="G129" s="29"/>
      <c r="H129" s="29"/>
      <c r="I129" s="29"/>
      <c r="J129" s="29"/>
      <c r="K129" s="29"/>
      <c r="L129" s="29"/>
      <c r="M129" s="29"/>
      <c r="N129" s="29"/>
    </row>
    <row r="130" spans="2:14" s="31" customFormat="1" x14ac:dyDescent="0.3">
      <c r="B130" s="28"/>
      <c r="C130" s="29"/>
      <c r="D130" s="29"/>
      <c r="E130" s="29"/>
      <c r="F130" s="29"/>
      <c r="G130" s="29"/>
      <c r="H130" s="29"/>
      <c r="I130" s="29"/>
      <c r="J130" s="29"/>
      <c r="K130" s="29"/>
      <c r="L130" s="29"/>
      <c r="M130" s="29"/>
      <c r="N130" s="29"/>
    </row>
    <row r="131" spans="2:14" s="31" customFormat="1" x14ac:dyDescent="0.3">
      <c r="B131" s="28"/>
      <c r="C131" s="29"/>
      <c r="D131" s="29"/>
      <c r="E131" s="29"/>
      <c r="F131" s="29"/>
      <c r="G131" s="29"/>
      <c r="H131" s="29"/>
      <c r="I131" s="29"/>
      <c r="J131" s="29"/>
      <c r="K131" s="29"/>
      <c r="L131" s="29"/>
      <c r="M131" s="29"/>
      <c r="N131" s="29"/>
    </row>
    <row r="132" spans="2:14" s="31" customFormat="1" x14ac:dyDescent="0.3">
      <c r="B132" s="28"/>
      <c r="C132" s="29"/>
      <c r="D132" s="29"/>
      <c r="E132" s="29"/>
      <c r="F132" s="29"/>
      <c r="G132" s="29"/>
      <c r="H132" s="29"/>
      <c r="I132" s="29"/>
      <c r="J132" s="29"/>
      <c r="K132" s="29"/>
      <c r="L132" s="29"/>
      <c r="M132" s="29"/>
      <c r="N132" s="29"/>
    </row>
    <row r="133" spans="2:14" s="31" customFormat="1" x14ac:dyDescent="0.3">
      <c r="B133" s="28"/>
      <c r="C133" s="29"/>
      <c r="D133" s="29"/>
      <c r="E133" s="29"/>
      <c r="F133" s="29"/>
      <c r="G133" s="29"/>
      <c r="H133" s="29"/>
      <c r="I133" s="29"/>
      <c r="J133" s="29"/>
      <c r="K133" s="29"/>
      <c r="L133" s="29"/>
      <c r="M133" s="29"/>
      <c r="N133" s="29"/>
    </row>
    <row r="134" spans="2:14" s="31" customFormat="1" x14ac:dyDescent="0.3">
      <c r="B134" s="28"/>
      <c r="C134" s="29"/>
      <c r="D134" s="29"/>
      <c r="E134" s="29"/>
      <c r="F134" s="29"/>
      <c r="G134" s="29"/>
      <c r="H134" s="29"/>
      <c r="I134" s="29"/>
      <c r="J134" s="29"/>
      <c r="K134" s="29"/>
      <c r="L134" s="29"/>
      <c r="M134" s="29"/>
      <c r="N134" s="29"/>
    </row>
    <row r="135" spans="2:14" s="31" customFormat="1" x14ac:dyDescent="0.3">
      <c r="B135" s="28"/>
      <c r="C135" s="29"/>
      <c r="D135" s="29"/>
      <c r="E135" s="29"/>
      <c r="F135" s="29"/>
      <c r="G135" s="29"/>
      <c r="H135" s="29"/>
      <c r="I135" s="29"/>
      <c r="J135" s="29"/>
      <c r="K135" s="29"/>
      <c r="L135" s="29"/>
      <c r="M135" s="29"/>
      <c r="N135" s="29"/>
    </row>
    <row r="136" spans="2:14" s="31" customFormat="1" x14ac:dyDescent="0.3">
      <c r="B136" s="28"/>
      <c r="C136" s="29"/>
      <c r="D136" s="29"/>
      <c r="E136" s="29"/>
      <c r="F136" s="29"/>
      <c r="G136" s="29"/>
      <c r="H136" s="29"/>
      <c r="I136" s="29"/>
      <c r="J136" s="29"/>
      <c r="K136" s="29"/>
      <c r="L136" s="29"/>
      <c r="M136" s="29"/>
      <c r="N136" s="29"/>
    </row>
    <row r="137" spans="2:14" s="31" customFormat="1" x14ac:dyDescent="0.3">
      <c r="B137" s="28"/>
      <c r="C137" s="29"/>
      <c r="D137" s="29"/>
      <c r="E137" s="29"/>
      <c r="F137" s="29"/>
      <c r="G137" s="29"/>
      <c r="H137" s="29"/>
      <c r="I137" s="29"/>
      <c r="J137" s="29"/>
      <c r="K137" s="29"/>
      <c r="L137" s="29"/>
      <c r="M137" s="29"/>
      <c r="N137" s="29"/>
    </row>
    <row r="138" spans="2:14" s="31" customFormat="1" x14ac:dyDescent="0.3">
      <c r="B138" s="28"/>
      <c r="C138" s="29"/>
      <c r="D138" s="29"/>
      <c r="E138" s="29"/>
      <c r="F138" s="29"/>
      <c r="G138" s="29"/>
      <c r="H138" s="29"/>
      <c r="I138" s="29"/>
      <c r="J138" s="29"/>
      <c r="K138" s="29"/>
      <c r="L138" s="29"/>
      <c r="M138" s="29"/>
      <c r="N138" s="29"/>
    </row>
    <row r="139" spans="2:14" s="31" customFormat="1" x14ac:dyDescent="0.3">
      <c r="B139" s="28"/>
      <c r="C139" s="29"/>
      <c r="D139" s="29"/>
      <c r="E139" s="29"/>
      <c r="F139" s="29"/>
      <c r="G139" s="29"/>
      <c r="H139" s="29"/>
      <c r="I139" s="29"/>
      <c r="J139" s="29"/>
      <c r="K139" s="29"/>
      <c r="L139" s="29"/>
      <c r="M139" s="29"/>
      <c r="N139" s="29"/>
    </row>
    <row r="140" spans="2:14" s="31" customFormat="1" x14ac:dyDescent="0.3">
      <c r="B140" s="28"/>
      <c r="C140" s="29"/>
      <c r="D140" s="29"/>
      <c r="E140" s="29"/>
      <c r="F140" s="29"/>
      <c r="G140" s="29"/>
      <c r="H140" s="29"/>
      <c r="I140" s="29"/>
      <c r="J140" s="29"/>
      <c r="K140" s="29"/>
      <c r="L140" s="29"/>
      <c r="M140" s="29"/>
      <c r="N140" s="29"/>
    </row>
    <row r="141" spans="2:14" x14ac:dyDescent="0.3">
      <c r="B141" s="25"/>
      <c r="C141" s="27"/>
      <c r="D141" s="27"/>
      <c r="E141" s="27"/>
      <c r="F141" s="27"/>
      <c r="G141" s="27"/>
      <c r="H141" s="27"/>
      <c r="I141" s="27"/>
      <c r="J141" s="27"/>
      <c r="K141" s="27"/>
      <c r="L141" s="27"/>
      <c r="M141" s="27"/>
      <c r="N141" s="27"/>
    </row>
    <row r="142" spans="2:14" x14ac:dyDescent="0.3">
      <c r="B142" s="25"/>
      <c r="C142" s="27"/>
      <c r="D142" s="27"/>
      <c r="E142" s="27"/>
      <c r="F142" s="27"/>
      <c r="G142" s="27"/>
      <c r="H142" s="27"/>
      <c r="I142" s="27"/>
      <c r="J142" s="27"/>
      <c r="K142" s="27"/>
      <c r="L142" s="27"/>
      <c r="M142" s="27"/>
      <c r="N142" s="27"/>
    </row>
    <row r="143" spans="2:14" x14ac:dyDescent="0.3">
      <c r="B143" s="25"/>
      <c r="C143" s="27"/>
      <c r="D143" s="27"/>
      <c r="E143" s="27"/>
      <c r="F143" s="27"/>
      <c r="G143" s="27"/>
      <c r="H143" s="27"/>
      <c r="I143" s="27"/>
      <c r="J143" s="27"/>
      <c r="K143" s="27"/>
      <c r="L143" s="27"/>
      <c r="M143" s="27"/>
      <c r="N143" s="27"/>
    </row>
    <row r="144" spans="2:14" x14ac:dyDescent="0.3">
      <c r="B144" s="25"/>
      <c r="C144" s="27"/>
      <c r="D144" s="27"/>
      <c r="E144" s="27"/>
      <c r="F144" s="27"/>
      <c r="G144" s="27"/>
      <c r="H144" s="27"/>
      <c r="I144" s="27"/>
      <c r="J144" s="27"/>
      <c r="K144" s="27"/>
      <c r="L144" s="27"/>
      <c r="M144" s="27"/>
      <c r="N144" s="27"/>
    </row>
    <row r="145" spans="2:14" x14ac:dyDescent="0.3">
      <c r="B145" s="25"/>
      <c r="C145" s="27"/>
      <c r="D145" s="27"/>
      <c r="E145" s="27"/>
      <c r="F145" s="27"/>
      <c r="G145" s="27"/>
      <c r="H145" s="27"/>
      <c r="I145" s="27"/>
      <c r="J145" s="27"/>
      <c r="K145" s="27"/>
      <c r="L145" s="27"/>
      <c r="M145" s="27"/>
      <c r="N145" s="27"/>
    </row>
    <row r="146" spans="2:14" x14ac:dyDescent="0.3">
      <c r="B146" s="25"/>
      <c r="C146" s="27"/>
      <c r="D146" s="27"/>
      <c r="E146" s="27"/>
      <c r="F146" s="27"/>
      <c r="G146" s="27"/>
      <c r="H146" s="27"/>
      <c r="I146" s="27"/>
      <c r="J146" s="27"/>
      <c r="K146" s="27"/>
      <c r="L146" s="27"/>
      <c r="M146" s="27"/>
      <c r="N146" s="27"/>
    </row>
    <row r="147" spans="2:14" x14ac:dyDescent="0.3">
      <c r="B147" s="25"/>
      <c r="C147" s="27"/>
      <c r="D147" s="27"/>
      <c r="E147" s="27"/>
      <c r="F147" s="27"/>
      <c r="G147" s="27"/>
      <c r="H147" s="27"/>
      <c r="I147" s="27"/>
      <c r="J147" s="27"/>
      <c r="K147" s="27"/>
      <c r="L147" s="27"/>
      <c r="M147" s="27"/>
      <c r="N147" s="27"/>
    </row>
    <row r="148" spans="2:14" x14ac:dyDescent="0.3">
      <c r="B148" s="25"/>
      <c r="C148" s="27"/>
      <c r="D148" s="27"/>
      <c r="E148" s="27"/>
      <c r="F148" s="27"/>
      <c r="G148" s="27"/>
      <c r="H148" s="27"/>
      <c r="I148" s="27"/>
      <c r="J148" s="27"/>
      <c r="K148" s="27"/>
      <c r="L148" s="27"/>
      <c r="M148" s="27"/>
      <c r="N148" s="27"/>
    </row>
    <row r="149" spans="2:14" x14ac:dyDescent="0.3">
      <c r="B149" s="25"/>
      <c r="C149" s="27"/>
      <c r="D149" s="27"/>
      <c r="E149" s="27"/>
      <c r="F149" s="27"/>
      <c r="G149" s="27"/>
      <c r="H149" s="27"/>
      <c r="I149" s="27"/>
      <c r="J149" s="27"/>
      <c r="K149" s="27"/>
      <c r="L149" s="27"/>
      <c r="M149" s="27"/>
      <c r="N149" s="27"/>
    </row>
    <row r="150" spans="2:14" x14ac:dyDescent="0.3">
      <c r="B150" s="25"/>
      <c r="C150" s="27"/>
      <c r="D150" s="27"/>
      <c r="E150" s="27"/>
      <c r="F150" s="27"/>
      <c r="G150" s="27"/>
      <c r="H150" s="27"/>
      <c r="I150" s="27"/>
      <c r="J150" s="27"/>
      <c r="K150" s="27"/>
      <c r="L150" s="27"/>
      <c r="M150" s="27"/>
      <c r="N150" s="27"/>
    </row>
    <row r="151" spans="2:14" x14ac:dyDescent="0.3">
      <c r="B151" s="25"/>
      <c r="C151" s="27"/>
      <c r="D151" s="27"/>
      <c r="E151" s="27"/>
      <c r="F151" s="27"/>
      <c r="G151" s="27"/>
      <c r="H151" s="27"/>
      <c r="I151" s="27"/>
      <c r="J151" s="27"/>
      <c r="K151" s="27"/>
      <c r="L151" s="27"/>
      <c r="M151" s="27"/>
      <c r="N151" s="27"/>
    </row>
    <row r="152" spans="2:14" x14ac:dyDescent="0.3">
      <c r="B152" s="25"/>
      <c r="C152" s="27"/>
      <c r="D152" s="27"/>
      <c r="E152" s="27"/>
      <c r="F152" s="27"/>
      <c r="G152" s="27"/>
      <c r="H152" s="27"/>
      <c r="I152" s="27"/>
      <c r="J152" s="27"/>
      <c r="K152" s="27"/>
      <c r="L152" s="27"/>
      <c r="M152" s="27"/>
      <c r="N152" s="27"/>
    </row>
    <row r="153" spans="2:14" x14ac:dyDescent="0.3">
      <c r="B153" s="25"/>
      <c r="C153" s="27"/>
      <c r="D153" s="27"/>
      <c r="E153" s="27"/>
      <c r="F153" s="27"/>
      <c r="G153" s="27"/>
      <c r="H153" s="27"/>
      <c r="I153" s="27"/>
      <c r="J153" s="27"/>
      <c r="K153" s="27"/>
      <c r="L153" s="27"/>
      <c r="M153" s="27"/>
      <c r="N153" s="27"/>
    </row>
    <row r="154" spans="2:14" x14ac:dyDescent="0.3">
      <c r="B154" s="25"/>
      <c r="C154" s="27"/>
      <c r="D154" s="27"/>
      <c r="E154" s="27"/>
      <c r="F154" s="27"/>
      <c r="G154" s="27"/>
      <c r="H154" s="27"/>
      <c r="I154" s="27"/>
      <c r="J154" s="27"/>
      <c r="K154" s="27"/>
      <c r="L154" s="27"/>
      <c r="M154" s="27"/>
      <c r="N154" s="27"/>
    </row>
    <row r="155" spans="2:14" x14ac:dyDescent="0.3">
      <c r="B155" s="25"/>
      <c r="C155" s="27"/>
      <c r="D155" s="27"/>
      <c r="E155" s="27"/>
      <c r="F155" s="27"/>
      <c r="G155" s="27"/>
      <c r="H155" s="27"/>
      <c r="I155" s="27"/>
      <c r="J155" s="27"/>
      <c r="K155" s="27"/>
      <c r="L155" s="27"/>
      <c r="M155" s="27"/>
      <c r="N155" s="27"/>
    </row>
    <row r="156" spans="2:14" x14ac:dyDescent="0.3">
      <c r="B156" s="25"/>
      <c r="C156" s="27"/>
      <c r="D156" s="27"/>
      <c r="E156" s="27"/>
      <c r="F156" s="27"/>
      <c r="G156" s="27"/>
      <c r="H156" s="27"/>
      <c r="I156" s="27"/>
      <c r="J156" s="27"/>
      <c r="K156" s="27"/>
      <c r="L156" s="27"/>
      <c r="M156" s="27"/>
      <c r="N156" s="27"/>
    </row>
    <row r="157" spans="2:14" x14ac:dyDescent="0.3">
      <c r="B157" s="25"/>
      <c r="C157" s="27"/>
      <c r="D157" s="27"/>
      <c r="E157" s="27"/>
      <c r="F157" s="27"/>
      <c r="G157" s="27"/>
      <c r="H157" s="27"/>
      <c r="I157" s="27"/>
      <c r="J157" s="27"/>
      <c r="K157" s="27"/>
      <c r="L157" s="27"/>
      <c r="M157" s="27"/>
      <c r="N157" s="27"/>
    </row>
    <row r="158" spans="2:14" x14ac:dyDescent="0.3">
      <c r="B158" s="25"/>
      <c r="C158" s="27"/>
      <c r="D158" s="27"/>
      <c r="E158" s="27"/>
      <c r="F158" s="27"/>
      <c r="G158" s="27"/>
      <c r="H158" s="27"/>
      <c r="I158" s="27"/>
      <c r="J158" s="27"/>
      <c r="K158" s="27"/>
      <c r="L158" s="27"/>
      <c r="M158" s="27"/>
      <c r="N158" s="27"/>
    </row>
    <row r="159" spans="2:14" x14ac:dyDescent="0.3">
      <c r="B159" s="25"/>
      <c r="C159" s="27"/>
      <c r="D159" s="27"/>
      <c r="E159" s="27"/>
      <c r="F159" s="27"/>
      <c r="G159" s="27"/>
      <c r="H159" s="27"/>
      <c r="I159" s="27"/>
      <c r="J159" s="27"/>
      <c r="K159" s="27"/>
      <c r="L159" s="27"/>
      <c r="M159" s="27"/>
      <c r="N159" s="27"/>
    </row>
    <row r="160" spans="2:14" x14ac:dyDescent="0.3">
      <c r="B160" s="25"/>
      <c r="C160" s="27"/>
      <c r="D160" s="27"/>
      <c r="E160" s="27"/>
      <c r="F160" s="27"/>
      <c r="G160" s="27"/>
      <c r="H160" s="27"/>
      <c r="I160" s="27"/>
      <c r="J160" s="27"/>
      <c r="K160" s="27"/>
      <c r="L160" s="27"/>
      <c r="M160" s="27"/>
      <c r="N160" s="27"/>
    </row>
    <row r="161" spans="2:14" x14ac:dyDescent="0.3">
      <c r="B161" s="25"/>
      <c r="C161" s="27"/>
      <c r="D161" s="27"/>
      <c r="E161" s="27"/>
      <c r="F161" s="27"/>
      <c r="G161" s="27"/>
      <c r="H161" s="27"/>
      <c r="I161" s="27"/>
      <c r="J161" s="27"/>
      <c r="K161" s="27"/>
      <c r="L161" s="27"/>
      <c r="M161" s="27"/>
      <c r="N161" s="27"/>
    </row>
    <row r="162" spans="2:14" x14ac:dyDescent="0.3">
      <c r="B162" s="25"/>
      <c r="C162" s="27"/>
      <c r="D162" s="27"/>
      <c r="E162" s="27"/>
      <c r="F162" s="27"/>
      <c r="G162" s="27"/>
      <c r="H162" s="27"/>
      <c r="I162" s="27"/>
      <c r="J162" s="27"/>
      <c r="K162" s="27"/>
      <c r="L162" s="27"/>
      <c r="M162" s="27"/>
      <c r="N162" s="27"/>
    </row>
    <row r="163" spans="2:14" x14ac:dyDescent="0.3">
      <c r="B163" s="25"/>
      <c r="C163" s="27"/>
      <c r="D163" s="27"/>
      <c r="E163" s="27"/>
      <c r="F163" s="27"/>
      <c r="G163" s="27"/>
      <c r="H163" s="27"/>
      <c r="I163" s="27"/>
      <c r="J163" s="27"/>
      <c r="K163" s="27"/>
      <c r="L163" s="27"/>
      <c r="M163" s="27"/>
      <c r="N163" s="27"/>
    </row>
    <row r="164" spans="2:14" x14ac:dyDescent="0.3">
      <c r="B164" s="25"/>
      <c r="C164" s="27"/>
      <c r="D164" s="27"/>
      <c r="E164" s="27"/>
      <c r="F164" s="27"/>
      <c r="G164" s="27"/>
      <c r="H164" s="27"/>
      <c r="I164" s="27"/>
      <c r="J164" s="27"/>
      <c r="K164" s="27"/>
      <c r="L164" s="27"/>
      <c r="M164" s="27"/>
      <c r="N164" s="27"/>
    </row>
    <row r="165" spans="2:14" x14ac:dyDescent="0.3">
      <c r="B165" s="25"/>
      <c r="C165" s="27"/>
      <c r="D165" s="27"/>
      <c r="E165" s="27"/>
      <c r="F165" s="27"/>
      <c r="G165" s="27"/>
      <c r="H165" s="27"/>
      <c r="I165" s="27"/>
      <c r="J165" s="27"/>
      <c r="K165" s="27"/>
      <c r="L165" s="27"/>
      <c r="M165" s="27"/>
      <c r="N165" s="27"/>
    </row>
    <row r="166" spans="2:14" x14ac:dyDescent="0.3">
      <c r="B166" s="25"/>
      <c r="C166" s="27"/>
      <c r="D166" s="27"/>
      <c r="E166" s="27"/>
      <c r="F166" s="27"/>
      <c r="G166" s="27"/>
      <c r="H166" s="27"/>
      <c r="I166" s="27"/>
      <c r="J166" s="27"/>
      <c r="K166" s="27"/>
      <c r="L166" s="27"/>
      <c r="M166" s="27"/>
      <c r="N166" s="27"/>
    </row>
    <row r="167" spans="2:14" x14ac:dyDescent="0.3">
      <c r="B167" s="25"/>
      <c r="C167" s="27"/>
      <c r="D167" s="27"/>
      <c r="E167" s="27"/>
      <c r="F167" s="27"/>
      <c r="G167" s="27"/>
      <c r="H167" s="27"/>
      <c r="I167" s="27"/>
      <c r="J167" s="27"/>
      <c r="K167" s="27"/>
      <c r="L167" s="27"/>
      <c r="M167" s="27"/>
      <c r="N167" s="27"/>
    </row>
    <row r="168" spans="2:14" x14ac:dyDescent="0.3">
      <c r="B168" s="25"/>
      <c r="C168" s="27"/>
      <c r="D168" s="27"/>
      <c r="E168" s="27"/>
      <c r="F168" s="27"/>
      <c r="G168" s="27"/>
      <c r="H168" s="27"/>
      <c r="I168" s="27"/>
      <c r="J168" s="27"/>
      <c r="K168" s="27"/>
      <c r="L168" s="27"/>
      <c r="M168" s="27"/>
      <c r="N168" s="27"/>
    </row>
    <row r="169" spans="2:14" x14ac:dyDescent="0.3">
      <c r="B169" s="25"/>
      <c r="C169" s="27"/>
      <c r="D169" s="27"/>
      <c r="E169" s="27"/>
      <c r="F169" s="27"/>
      <c r="G169" s="27"/>
      <c r="H169" s="27"/>
      <c r="I169" s="27"/>
      <c r="J169" s="27"/>
      <c r="K169" s="27"/>
      <c r="L169" s="27"/>
      <c r="M169" s="27"/>
      <c r="N169" s="27"/>
    </row>
    <row r="170" spans="2:14" x14ac:dyDescent="0.3">
      <c r="B170" s="25"/>
      <c r="C170" s="27"/>
      <c r="D170" s="27"/>
      <c r="E170" s="27"/>
      <c r="F170" s="27"/>
      <c r="G170" s="27"/>
      <c r="H170" s="27"/>
      <c r="I170" s="27"/>
      <c r="J170" s="27"/>
      <c r="K170" s="27"/>
      <c r="L170" s="27"/>
      <c r="M170" s="27"/>
      <c r="N170" s="27"/>
    </row>
    <row r="171" spans="2:14" x14ac:dyDescent="0.3">
      <c r="B171" s="25"/>
      <c r="C171" s="27"/>
      <c r="D171" s="27"/>
      <c r="E171" s="27"/>
      <c r="F171" s="27"/>
      <c r="G171" s="27"/>
      <c r="H171" s="27"/>
      <c r="I171" s="27"/>
      <c r="J171" s="27"/>
      <c r="K171" s="27"/>
      <c r="L171" s="27"/>
      <c r="M171" s="27"/>
      <c r="N171" s="27"/>
    </row>
    <row r="172" spans="2:14" x14ac:dyDescent="0.3">
      <c r="B172" s="25"/>
      <c r="C172" s="27"/>
      <c r="D172" s="27"/>
      <c r="E172" s="27"/>
      <c r="F172" s="27"/>
      <c r="G172" s="27"/>
      <c r="H172" s="27"/>
      <c r="I172" s="27"/>
      <c r="J172" s="27"/>
      <c r="K172" s="27"/>
      <c r="L172" s="27"/>
      <c r="M172" s="27"/>
      <c r="N172" s="27"/>
    </row>
    <row r="173" spans="2:14" x14ac:dyDescent="0.3">
      <c r="B173" s="25"/>
      <c r="C173" s="27"/>
      <c r="D173" s="27"/>
      <c r="E173" s="27"/>
      <c r="F173" s="27"/>
      <c r="G173" s="27"/>
      <c r="H173" s="27"/>
      <c r="I173" s="27"/>
      <c r="J173" s="27"/>
      <c r="K173" s="27"/>
      <c r="L173" s="27"/>
      <c r="M173" s="27"/>
      <c r="N173" s="27"/>
    </row>
    <row r="174" spans="2:14" x14ac:dyDescent="0.3">
      <c r="B174" s="25"/>
      <c r="C174" s="27"/>
      <c r="D174" s="27"/>
      <c r="E174" s="27"/>
      <c r="F174" s="27"/>
      <c r="G174" s="27"/>
      <c r="H174" s="27"/>
      <c r="I174" s="27"/>
      <c r="J174" s="27"/>
      <c r="K174" s="27"/>
      <c r="L174" s="27"/>
      <c r="M174" s="27"/>
      <c r="N174" s="27"/>
    </row>
    <row r="175" spans="2:14" x14ac:dyDescent="0.3">
      <c r="B175" s="25"/>
      <c r="C175" s="27"/>
      <c r="D175" s="27"/>
      <c r="E175" s="27"/>
      <c r="F175" s="27"/>
      <c r="G175" s="27"/>
      <c r="H175" s="27"/>
      <c r="I175" s="27"/>
      <c r="J175" s="27"/>
      <c r="K175" s="27"/>
      <c r="L175" s="27"/>
      <c r="M175" s="27"/>
      <c r="N175" s="27"/>
    </row>
    <row r="176" spans="2:14" x14ac:dyDescent="0.3">
      <c r="B176" s="25"/>
      <c r="C176" s="27"/>
      <c r="D176" s="27"/>
      <c r="E176" s="27"/>
      <c r="F176" s="27"/>
      <c r="G176" s="27"/>
      <c r="H176" s="27"/>
      <c r="I176" s="27"/>
      <c r="J176" s="27"/>
      <c r="K176" s="27"/>
      <c r="L176" s="27"/>
      <c r="M176" s="27"/>
      <c r="N176" s="27"/>
    </row>
    <row r="177" spans="2:14" x14ac:dyDescent="0.3">
      <c r="B177" s="25"/>
      <c r="C177" s="27"/>
      <c r="D177" s="27"/>
      <c r="E177" s="27"/>
      <c r="F177" s="27"/>
      <c r="G177" s="27"/>
      <c r="H177" s="27"/>
      <c r="I177" s="27"/>
      <c r="J177" s="27"/>
      <c r="K177" s="27"/>
      <c r="L177" s="27"/>
      <c r="M177" s="27"/>
      <c r="N177" s="27"/>
    </row>
    <row r="178" spans="2:14" x14ac:dyDescent="0.3">
      <c r="B178" s="25"/>
      <c r="C178" s="27"/>
      <c r="D178" s="27"/>
      <c r="E178" s="27"/>
      <c r="F178" s="27"/>
      <c r="G178" s="27"/>
      <c r="H178" s="27"/>
      <c r="I178" s="27"/>
      <c r="J178" s="27"/>
      <c r="K178" s="27"/>
      <c r="L178" s="27"/>
      <c r="M178" s="27"/>
      <c r="N178" s="27"/>
    </row>
    <row r="179" spans="2:14" x14ac:dyDescent="0.3">
      <c r="B179" s="25"/>
      <c r="C179" s="27"/>
      <c r="D179" s="27"/>
      <c r="E179" s="27"/>
      <c r="F179" s="27"/>
      <c r="G179" s="27"/>
      <c r="H179" s="27"/>
      <c r="I179" s="27"/>
      <c r="J179" s="27"/>
      <c r="K179" s="27"/>
      <c r="L179" s="27"/>
      <c r="M179" s="27"/>
      <c r="N179" s="27"/>
    </row>
    <row r="180" spans="2:14" x14ac:dyDescent="0.3">
      <c r="B180" s="25"/>
      <c r="C180" s="27"/>
      <c r="D180" s="27"/>
      <c r="E180" s="27"/>
      <c r="F180" s="27"/>
      <c r="G180" s="27"/>
      <c r="H180" s="27"/>
      <c r="I180" s="27"/>
      <c r="J180" s="27"/>
      <c r="K180" s="27"/>
      <c r="L180" s="27"/>
      <c r="M180" s="27"/>
      <c r="N180" s="27"/>
    </row>
    <row r="181" spans="2:14" x14ac:dyDescent="0.3">
      <c r="B181" s="25"/>
      <c r="C181" s="27"/>
      <c r="D181" s="27"/>
      <c r="E181" s="27"/>
      <c r="F181" s="27"/>
      <c r="G181" s="27"/>
      <c r="H181" s="27"/>
      <c r="I181" s="27"/>
      <c r="J181" s="27"/>
      <c r="K181" s="27"/>
      <c r="L181" s="27"/>
      <c r="M181" s="27"/>
      <c r="N181" s="27"/>
    </row>
    <row r="182" spans="2:14" x14ac:dyDescent="0.3">
      <c r="B182" s="25"/>
      <c r="C182" s="27"/>
      <c r="D182" s="27"/>
      <c r="E182" s="27"/>
      <c r="F182" s="27"/>
      <c r="G182" s="27"/>
      <c r="H182" s="27"/>
      <c r="I182" s="27"/>
      <c r="J182" s="27"/>
      <c r="K182" s="27"/>
      <c r="L182" s="27"/>
      <c r="M182" s="27"/>
      <c r="N182" s="27"/>
    </row>
    <row r="183" spans="2:14" x14ac:dyDescent="0.3">
      <c r="B183" s="25"/>
      <c r="C183" s="27"/>
      <c r="D183" s="27"/>
      <c r="E183" s="27"/>
      <c r="F183" s="27"/>
      <c r="G183" s="27"/>
      <c r="H183" s="27"/>
      <c r="I183" s="27"/>
      <c r="J183" s="27"/>
      <c r="K183" s="27"/>
      <c r="L183" s="27"/>
      <c r="M183" s="27"/>
      <c r="N183" s="27"/>
    </row>
    <row r="184" spans="2:14" x14ac:dyDescent="0.3">
      <c r="B184" s="25"/>
      <c r="C184" s="27"/>
      <c r="D184" s="27"/>
      <c r="E184" s="27"/>
      <c r="F184" s="27"/>
      <c r="G184" s="27"/>
      <c r="H184" s="27"/>
      <c r="I184" s="27"/>
      <c r="J184" s="27"/>
      <c r="K184" s="27"/>
      <c r="L184" s="27"/>
      <c r="M184" s="27"/>
      <c r="N184" s="27"/>
    </row>
    <row r="185" spans="2:14" x14ac:dyDescent="0.3">
      <c r="B185" s="25"/>
      <c r="C185" s="27"/>
      <c r="D185" s="27"/>
      <c r="E185" s="27"/>
      <c r="F185" s="27"/>
      <c r="G185" s="27"/>
      <c r="H185" s="27"/>
      <c r="I185" s="27"/>
      <c r="J185" s="27"/>
      <c r="K185" s="27"/>
      <c r="L185" s="27"/>
      <c r="M185" s="27"/>
      <c r="N185" s="27"/>
    </row>
    <row r="186" spans="2:14" x14ac:dyDescent="0.3">
      <c r="B186" s="25"/>
      <c r="C186" s="27"/>
      <c r="D186" s="27"/>
      <c r="E186" s="27"/>
      <c r="F186" s="27"/>
      <c r="G186" s="27"/>
      <c r="H186" s="27"/>
      <c r="I186" s="27"/>
      <c r="J186" s="27"/>
      <c r="K186" s="27"/>
      <c r="L186" s="27"/>
      <c r="M186" s="27"/>
      <c r="N186" s="27"/>
    </row>
    <row r="187" spans="2:14" x14ac:dyDescent="0.3">
      <c r="B187" s="25"/>
      <c r="C187" s="27"/>
      <c r="D187" s="27"/>
      <c r="E187" s="27"/>
      <c r="F187" s="27"/>
      <c r="G187" s="27"/>
      <c r="H187" s="27"/>
      <c r="I187" s="27"/>
      <c r="J187" s="27"/>
      <c r="K187" s="27"/>
      <c r="L187" s="27"/>
      <c r="M187" s="27"/>
      <c r="N187" s="27"/>
    </row>
    <row r="188" spans="2:14" x14ac:dyDescent="0.3">
      <c r="B188" s="25"/>
      <c r="C188" s="27"/>
      <c r="D188" s="27"/>
      <c r="E188" s="27"/>
      <c r="F188" s="27"/>
      <c r="G188" s="27"/>
      <c r="H188" s="27"/>
      <c r="I188" s="27"/>
      <c r="J188" s="27"/>
      <c r="K188" s="27"/>
      <c r="L188" s="27"/>
      <c r="M188" s="27"/>
      <c r="N188" s="27"/>
    </row>
    <row r="189" spans="2:14" x14ac:dyDescent="0.3">
      <c r="B189" s="25"/>
      <c r="C189" s="27"/>
      <c r="D189" s="27"/>
      <c r="E189" s="27"/>
      <c r="F189" s="27"/>
      <c r="G189" s="27"/>
      <c r="H189" s="27"/>
      <c r="I189" s="27"/>
      <c r="J189" s="27"/>
      <c r="K189" s="27"/>
      <c r="L189" s="27"/>
      <c r="M189" s="27"/>
      <c r="N189" s="27"/>
    </row>
    <row r="190" spans="2:14" x14ac:dyDescent="0.3">
      <c r="B190" s="25"/>
      <c r="C190" s="27"/>
      <c r="D190" s="27"/>
      <c r="E190" s="27"/>
      <c r="F190" s="27"/>
      <c r="G190" s="27"/>
      <c r="H190" s="27"/>
      <c r="I190" s="27"/>
      <c r="J190" s="27"/>
      <c r="K190" s="27"/>
      <c r="L190" s="27"/>
      <c r="M190" s="27"/>
      <c r="N190" s="27"/>
    </row>
    <row r="191" spans="2:14" x14ac:dyDescent="0.3">
      <c r="B191" s="25"/>
      <c r="C191" s="27"/>
      <c r="D191" s="27"/>
      <c r="E191" s="27"/>
      <c r="F191" s="27"/>
      <c r="G191" s="27"/>
      <c r="H191" s="27"/>
      <c r="I191" s="27"/>
      <c r="J191" s="27"/>
      <c r="K191" s="27"/>
      <c r="L191" s="27"/>
      <c r="M191" s="27"/>
      <c r="N191" s="27"/>
    </row>
    <row r="192" spans="2:14" x14ac:dyDescent="0.3">
      <c r="B192" s="25"/>
      <c r="C192" s="27"/>
      <c r="D192" s="27"/>
      <c r="E192" s="27"/>
      <c r="F192" s="27"/>
      <c r="G192" s="27"/>
      <c r="H192" s="27"/>
      <c r="I192" s="27"/>
      <c r="J192" s="27"/>
      <c r="K192" s="27"/>
      <c r="L192" s="27"/>
      <c r="M192" s="27"/>
      <c r="N192" s="27"/>
    </row>
    <row r="193" spans="2:14" x14ac:dyDescent="0.3">
      <c r="B193" s="25"/>
      <c r="C193" s="27"/>
      <c r="D193" s="27"/>
      <c r="E193" s="27"/>
      <c r="F193" s="27"/>
      <c r="G193" s="27"/>
      <c r="H193" s="27"/>
      <c r="I193" s="27"/>
      <c r="J193" s="27"/>
      <c r="K193" s="27"/>
      <c r="L193" s="27"/>
      <c r="M193" s="27"/>
      <c r="N193" s="27"/>
    </row>
    <row r="194" spans="2:14" x14ac:dyDescent="0.3">
      <c r="B194" s="25"/>
      <c r="C194" s="27"/>
      <c r="D194" s="27"/>
      <c r="E194" s="27"/>
      <c r="F194" s="27"/>
      <c r="G194" s="27"/>
      <c r="H194" s="27"/>
      <c r="I194" s="27"/>
      <c r="J194" s="27"/>
      <c r="K194" s="27"/>
      <c r="L194" s="27"/>
      <c r="M194" s="27"/>
      <c r="N194" s="27"/>
    </row>
    <row r="195" spans="2:14" x14ac:dyDescent="0.3">
      <c r="B195" s="25"/>
      <c r="C195" s="27"/>
      <c r="D195" s="27"/>
      <c r="E195" s="27"/>
      <c r="F195" s="27"/>
      <c r="G195" s="27"/>
      <c r="H195" s="27"/>
      <c r="I195" s="27"/>
      <c r="J195" s="27"/>
      <c r="K195" s="27"/>
      <c r="L195" s="27"/>
      <c r="M195" s="27"/>
      <c r="N195" s="27"/>
    </row>
    <row r="196" spans="2:14" x14ac:dyDescent="0.3">
      <c r="B196" s="25"/>
      <c r="C196" s="27"/>
      <c r="D196" s="27"/>
      <c r="E196" s="27"/>
      <c r="F196" s="27"/>
      <c r="G196" s="27"/>
      <c r="H196" s="27"/>
      <c r="I196" s="27"/>
      <c r="J196" s="27"/>
      <c r="K196" s="27"/>
      <c r="L196" s="27"/>
      <c r="M196" s="27"/>
      <c r="N196" s="27"/>
    </row>
    <row r="197" spans="2:14" x14ac:dyDescent="0.3">
      <c r="B197" s="25"/>
      <c r="C197" s="27"/>
      <c r="D197" s="27"/>
      <c r="E197" s="27"/>
      <c r="F197" s="27"/>
      <c r="G197" s="27"/>
      <c r="H197" s="27"/>
      <c r="I197" s="27"/>
      <c r="J197" s="27"/>
      <c r="K197" s="27"/>
      <c r="L197" s="27"/>
      <c r="M197" s="27"/>
      <c r="N197" s="27"/>
    </row>
    <row r="198" spans="2:14" x14ac:dyDescent="0.3">
      <c r="B198" s="25"/>
      <c r="C198" s="27"/>
      <c r="D198" s="27"/>
      <c r="E198" s="27"/>
      <c r="F198" s="27"/>
      <c r="G198" s="27"/>
      <c r="H198" s="27"/>
      <c r="I198" s="27"/>
      <c r="J198" s="27"/>
      <c r="K198" s="27"/>
      <c r="L198" s="27"/>
      <c r="M198" s="27"/>
      <c r="N198" s="27"/>
    </row>
    <row r="199" spans="2:14" x14ac:dyDescent="0.3">
      <c r="B199" s="25"/>
      <c r="C199" s="27"/>
      <c r="D199" s="27"/>
      <c r="E199" s="27"/>
      <c r="F199" s="27"/>
      <c r="G199" s="27"/>
      <c r="H199" s="27"/>
      <c r="I199" s="27"/>
      <c r="J199" s="27"/>
      <c r="K199" s="27"/>
      <c r="L199" s="27"/>
      <c r="M199" s="27"/>
      <c r="N199" s="27"/>
    </row>
    <row r="200" spans="2:14" x14ac:dyDescent="0.3">
      <c r="B200" s="25"/>
      <c r="C200" s="27"/>
      <c r="D200" s="27"/>
      <c r="E200" s="27"/>
      <c r="F200" s="27"/>
      <c r="G200" s="27"/>
      <c r="H200" s="27"/>
      <c r="I200" s="27"/>
      <c r="J200" s="27"/>
      <c r="K200" s="27"/>
      <c r="L200" s="27"/>
      <c r="M200" s="27"/>
      <c r="N200" s="27"/>
    </row>
    <row r="201" spans="2:14" x14ac:dyDescent="0.3">
      <c r="B201" s="25"/>
      <c r="C201" s="27"/>
      <c r="D201" s="27"/>
      <c r="E201" s="27"/>
      <c r="F201" s="27"/>
      <c r="G201" s="27"/>
      <c r="H201" s="27"/>
      <c r="I201" s="27"/>
      <c r="J201" s="27"/>
      <c r="K201" s="27"/>
      <c r="L201" s="27"/>
      <c r="M201" s="27"/>
      <c r="N201" s="27"/>
    </row>
    <row r="202" spans="2:14" x14ac:dyDescent="0.3">
      <c r="B202" s="25"/>
      <c r="C202" s="27"/>
      <c r="D202" s="27"/>
      <c r="E202" s="27"/>
      <c r="F202" s="27"/>
      <c r="G202" s="27"/>
      <c r="H202" s="27"/>
      <c r="I202" s="27"/>
      <c r="J202" s="27"/>
      <c r="K202" s="27"/>
      <c r="L202" s="27"/>
      <c r="M202" s="27"/>
      <c r="N202" s="27"/>
    </row>
    <row r="203" spans="2:14" x14ac:dyDescent="0.3">
      <c r="B203" s="25"/>
      <c r="C203" s="27"/>
      <c r="D203" s="27"/>
      <c r="E203" s="27"/>
      <c r="F203" s="27"/>
      <c r="G203" s="27"/>
      <c r="H203" s="27"/>
      <c r="I203" s="27"/>
      <c r="J203" s="27"/>
      <c r="K203" s="27"/>
      <c r="L203" s="27"/>
      <c r="M203" s="27"/>
      <c r="N203" s="27"/>
    </row>
    <row r="204" spans="2:14" x14ac:dyDescent="0.3">
      <c r="B204" s="25"/>
      <c r="C204" s="27"/>
      <c r="D204" s="27"/>
      <c r="E204" s="27"/>
      <c r="F204" s="27"/>
      <c r="G204" s="27"/>
      <c r="H204" s="27"/>
      <c r="I204" s="27"/>
      <c r="J204" s="27"/>
      <c r="K204" s="27"/>
      <c r="L204" s="27"/>
      <c r="M204" s="27"/>
      <c r="N204" s="27"/>
    </row>
    <row r="205" spans="2:14" x14ac:dyDescent="0.3">
      <c r="B205" s="25"/>
      <c r="C205" s="27"/>
      <c r="D205" s="27"/>
      <c r="E205" s="27"/>
      <c r="F205" s="27"/>
      <c r="G205" s="27"/>
      <c r="H205" s="27"/>
      <c r="I205" s="27"/>
      <c r="J205" s="27"/>
      <c r="K205" s="27"/>
      <c r="L205" s="27"/>
      <c r="M205" s="27"/>
      <c r="N205" s="27"/>
    </row>
    <row r="206" spans="2:14" x14ac:dyDescent="0.3">
      <c r="B206" s="25"/>
      <c r="C206" s="27"/>
      <c r="D206" s="27"/>
      <c r="E206" s="27"/>
      <c r="F206" s="27"/>
      <c r="G206" s="27"/>
      <c r="H206" s="27"/>
      <c r="I206" s="27"/>
      <c r="J206" s="27"/>
      <c r="K206" s="27"/>
      <c r="L206" s="27"/>
      <c r="M206" s="27"/>
      <c r="N206" s="27"/>
    </row>
    <row r="207" spans="2:14" x14ac:dyDescent="0.3">
      <c r="B207" s="25"/>
      <c r="C207" s="27"/>
      <c r="D207" s="27"/>
      <c r="E207" s="27"/>
      <c r="F207" s="27"/>
      <c r="G207" s="27"/>
      <c r="H207" s="27"/>
      <c r="I207" s="27"/>
      <c r="J207" s="27"/>
      <c r="K207" s="27"/>
      <c r="L207" s="27"/>
      <c r="M207" s="27"/>
      <c r="N207" s="27"/>
    </row>
    <row r="208" spans="2:14" x14ac:dyDescent="0.3">
      <c r="B208" s="25"/>
      <c r="C208" s="27"/>
      <c r="D208" s="27"/>
      <c r="E208" s="27"/>
      <c r="F208" s="27"/>
      <c r="G208" s="27"/>
      <c r="H208" s="27"/>
      <c r="I208" s="27"/>
      <c r="J208" s="27"/>
      <c r="K208" s="27"/>
      <c r="L208" s="27"/>
      <c r="M208" s="27"/>
      <c r="N208" s="27"/>
    </row>
    <row r="209" spans="2:14" x14ac:dyDescent="0.3">
      <c r="B209" s="25"/>
      <c r="C209" s="27"/>
      <c r="D209" s="27"/>
      <c r="E209" s="27"/>
      <c r="F209" s="27"/>
      <c r="G209" s="27"/>
      <c r="H209" s="27"/>
      <c r="I209" s="27"/>
      <c r="J209" s="27"/>
      <c r="K209" s="27"/>
      <c r="L209" s="27"/>
      <c r="M209" s="27"/>
      <c r="N209" s="27"/>
    </row>
    <row r="210" spans="2:14" x14ac:dyDescent="0.3">
      <c r="B210" s="25"/>
      <c r="C210" s="27"/>
      <c r="D210" s="27"/>
      <c r="E210" s="27"/>
      <c r="F210" s="27"/>
      <c r="G210" s="27"/>
      <c r="H210" s="27"/>
      <c r="I210" s="27"/>
      <c r="J210" s="27"/>
      <c r="K210" s="27"/>
      <c r="L210" s="27"/>
      <c r="M210" s="27"/>
      <c r="N210" s="27"/>
    </row>
    <row r="211" spans="2:14" x14ac:dyDescent="0.3">
      <c r="B211" s="25"/>
      <c r="C211" s="27"/>
      <c r="D211" s="27"/>
      <c r="E211" s="27"/>
      <c r="F211" s="27"/>
      <c r="G211" s="27"/>
      <c r="H211" s="27"/>
      <c r="I211" s="27"/>
      <c r="J211" s="27"/>
      <c r="K211" s="27"/>
      <c r="L211" s="27"/>
      <c r="M211" s="27"/>
      <c r="N211" s="27"/>
    </row>
    <row r="212" spans="2:14" x14ac:dyDescent="0.3">
      <c r="B212" s="25"/>
      <c r="C212" s="27"/>
      <c r="D212" s="27"/>
      <c r="E212" s="27"/>
      <c r="F212" s="27"/>
      <c r="G212" s="27"/>
      <c r="H212" s="27"/>
      <c r="I212" s="27"/>
      <c r="J212" s="27"/>
      <c r="K212" s="27"/>
      <c r="L212" s="27"/>
      <c r="M212" s="27"/>
      <c r="N212" s="27"/>
    </row>
    <row r="213" spans="2:14" x14ac:dyDescent="0.3">
      <c r="B213" s="25"/>
      <c r="C213" s="27"/>
      <c r="D213" s="27"/>
      <c r="E213" s="27"/>
      <c r="F213" s="27"/>
      <c r="G213" s="27"/>
      <c r="H213" s="27"/>
      <c r="I213" s="27"/>
      <c r="J213" s="27"/>
      <c r="K213" s="27"/>
      <c r="L213" s="27"/>
      <c r="M213" s="27"/>
      <c r="N213" s="27"/>
    </row>
    <row r="214" spans="2:14" x14ac:dyDescent="0.3">
      <c r="B214" s="25"/>
      <c r="C214" s="27"/>
      <c r="D214" s="27"/>
      <c r="E214" s="27"/>
      <c r="F214" s="27"/>
      <c r="G214" s="27"/>
      <c r="H214" s="27"/>
      <c r="I214" s="27"/>
      <c r="J214" s="27"/>
      <c r="K214" s="27"/>
      <c r="L214" s="27"/>
      <c r="M214" s="27"/>
      <c r="N214" s="27"/>
    </row>
    <row r="215" spans="2:14" x14ac:dyDescent="0.3">
      <c r="B215" s="25"/>
      <c r="C215" s="27"/>
      <c r="D215" s="27"/>
      <c r="E215" s="27"/>
      <c r="F215" s="27"/>
      <c r="G215" s="27"/>
      <c r="H215" s="27"/>
      <c r="I215" s="27"/>
      <c r="J215" s="27"/>
      <c r="K215" s="27"/>
      <c r="L215" s="27"/>
      <c r="M215" s="27"/>
      <c r="N215" s="27"/>
    </row>
    <row r="216" spans="2:14" x14ac:dyDescent="0.3">
      <c r="B216" s="25"/>
      <c r="C216" s="27"/>
      <c r="D216" s="27"/>
      <c r="E216" s="27"/>
      <c r="F216" s="27"/>
      <c r="G216" s="27"/>
      <c r="H216" s="27"/>
      <c r="I216" s="27"/>
      <c r="J216" s="27"/>
      <c r="K216" s="27"/>
      <c r="L216" s="27"/>
      <c r="M216" s="27"/>
      <c r="N216" s="27"/>
    </row>
    <row r="217" spans="2:14" x14ac:dyDescent="0.3">
      <c r="B217" s="25"/>
      <c r="C217" s="27"/>
      <c r="D217" s="27"/>
      <c r="E217" s="27"/>
      <c r="F217" s="27"/>
      <c r="G217" s="27"/>
      <c r="H217" s="27"/>
      <c r="I217" s="27"/>
      <c r="J217" s="27"/>
      <c r="K217" s="27"/>
      <c r="L217" s="27"/>
      <c r="M217" s="27"/>
      <c r="N217" s="27"/>
    </row>
    <row r="218" spans="2:14" x14ac:dyDescent="0.3">
      <c r="B218" s="25"/>
      <c r="C218" s="27"/>
      <c r="D218" s="27"/>
      <c r="E218" s="27"/>
      <c r="F218" s="27"/>
      <c r="G218" s="27"/>
      <c r="H218" s="27"/>
      <c r="I218" s="27"/>
      <c r="J218" s="27"/>
      <c r="K218" s="27"/>
      <c r="L218" s="27"/>
      <c r="M218" s="27"/>
      <c r="N218" s="27"/>
    </row>
    <row r="219" spans="2:14" x14ac:dyDescent="0.3">
      <c r="B219" s="25"/>
      <c r="C219" s="27"/>
      <c r="D219" s="27"/>
      <c r="E219" s="27"/>
      <c r="F219" s="27"/>
      <c r="G219" s="27"/>
      <c r="H219" s="27"/>
      <c r="I219" s="27"/>
      <c r="J219" s="27"/>
      <c r="K219" s="27"/>
      <c r="L219" s="27"/>
      <c r="M219" s="27"/>
      <c r="N219" s="27"/>
    </row>
    <row r="220" spans="2:14" x14ac:dyDescent="0.3">
      <c r="B220" s="25"/>
      <c r="C220" s="27"/>
      <c r="D220" s="27"/>
      <c r="E220" s="27"/>
      <c r="F220" s="27"/>
      <c r="G220" s="27"/>
      <c r="H220" s="27"/>
      <c r="I220" s="27"/>
      <c r="J220" s="27"/>
      <c r="K220" s="27"/>
      <c r="L220" s="27"/>
      <c r="M220" s="27"/>
      <c r="N220" s="27"/>
    </row>
    <row r="221" spans="2:14" x14ac:dyDescent="0.3">
      <c r="B221" s="25"/>
      <c r="C221" s="27"/>
      <c r="D221" s="27"/>
      <c r="E221" s="27"/>
      <c r="F221" s="27"/>
      <c r="G221" s="27"/>
      <c r="H221" s="27"/>
      <c r="I221" s="27"/>
      <c r="J221" s="27"/>
      <c r="K221" s="27"/>
      <c r="L221" s="27"/>
      <c r="M221" s="27"/>
      <c r="N221" s="27"/>
    </row>
    <row r="222" spans="2:14" x14ac:dyDescent="0.3">
      <c r="B222" s="25"/>
      <c r="C222" s="27"/>
      <c r="D222" s="27"/>
      <c r="E222" s="27"/>
      <c r="F222" s="27"/>
      <c r="G222" s="27"/>
      <c r="H222" s="27"/>
      <c r="I222" s="27"/>
      <c r="J222" s="27"/>
      <c r="K222" s="27"/>
      <c r="L222" s="27"/>
      <c r="M222" s="27"/>
      <c r="N222" s="27"/>
    </row>
    <row r="223" spans="2:14" x14ac:dyDescent="0.3">
      <c r="B223" s="25"/>
      <c r="C223" s="27"/>
      <c r="D223" s="27"/>
      <c r="E223" s="27"/>
      <c r="F223" s="27"/>
      <c r="G223" s="27"/>
      <c r="H223" s="27"/>
      <c r="I223" s="27"/>
      <c r="J223" s="27"/>
      <c r="K223" s="27"/>
      <c r="L223" s="27"/>
      <c r="M223" s="27"/>
      <c r="N223" s="27"/>
    </row>
    <row r="224" spans="2:14" x14ac:dyDescent="0.3">
      <c r="B224" s="25"/>
      <c r="C224" s="27"/>
      <c r="D224" s="27"/>
      <c r="E224" s="27"/>
      <c r="F224" s="27"/>
      <c r="G224" s="27"/>
      <c r="H224" s="27"/>
      <c r="I224" s="27"/>
      <c r="J224" s="27"/>
      <c r="K224" s="27"/>
      <c r="L224" s="27"/>
      <c r="M224" s="27"/>
      <c r="N224" s="27"/>
    </row>
    <row r="225" spans="2:14" x14ac:dyDescent="0.3">
      <c r="B225" s="25"/>
      <c r="C225" s="27"/>
      <c r="D225" s="27"/>
      <c r="E225" s="27"/>
      <c r="F225" s="27"/>
      <c r="G225" s="27"/>
      <c r="H225" s="27"/>
      <c r="I225" s="27"/>
      <c r="J225" s="27"/>
      <c r="K225" s="27"/>
      <c r="L225" s="27"/>
      <c r="M225" s="27"/>
      <c r="N225" s="27"/>
    </row>
    <row r="226" spans="2:14" x14ac:dyDescent="0.3">
      <c r="B226" s="25"/>
      <c r="C226" s="27"/>
      <c r="D226" s="27"/>
      <c r="E226" s="27"/>
      <c r="F226" s="27"/>
      <c r="G226" s="27"/>
      <c r="H226" s="27"/>
      <c r="I226" s="27"/>
      <c r="J226" s="27"/>
      <c r="K226" s="27"/>
      <c r="L226" s="27"/>
      <c r="M226" s="27"/>
      <c r="N226" s="27"/>
    </row>
    <row r="227" spans="2:14" x14ac:dyDescent="0.3">
      <c r="B227" s="25"/>
      <c r="C227" s="27"/>
      <c r="D227" s="27"/>
      <c r="E227" s="27"/>
      <c r="F227" s="27"/>
      <c r="G227" s="27"/>
      <c r="H227" s="27"/>
      <c r="I227" s="27"/>
      <c r="J227" s="27"/>
      <c r="K227" s="27"/>
      <c r="L227" s="27"/>
      <c r="M227" s="27"/>
      <c r="N227" s="27"/>
    </row>
    <row r="228" spans="2:14" x14ac:dyDescent="0.3">
      <c r="B228" s="25"/>
      <c r="C228" s="27"/>
      <c r="D228" s="27"/>
      <c r="E228" s="27"/>
      <c r="F228" s="27"/>
      <c r="G228" s="27"/>
      <c r="H228" s="27"/>
      <c r="I228" s="27"/>
      <c r="J228" s="27"/>
      <c r="K228" s="27"/>
      <c r="L228" s="27"/>
      <c r="M228" s="27"/>
      <c r="N228" s="27"/>
    </row>
    <row r="229" spans="2:14" x14ac:dyDescent="0.3">
      <c r="B229" s="25"/>
      <c r="C229" s="27"/>
      <c r="D229" s="27"/>
      <c r="E229" s="27"/>
      <c r="F229" s="27"/>
      <c r="G229" s="27"/>
      <c r="H229" s="27"/>
      <c r="I229" s="27"/>
      <c r="J229" s="27"/>
      <c r="K229" s="27"/>
      <c r="L229" s="27"/>
      <c r="M229" s="27"/>
      <c r="N229" s="27"/>
    </row>
    <row r="230" spans="2:14" x14ac:dyDescent="0.3">
      <c r="B230" s="25"/>
      <c r="C230" s="27"/>
      <c r="D230" s="27"/>
      <c r="E230" s="27"/>
      <c r="F230" s="27"/>
      <c r="G230" s="27"/>
      <c r="H230" s="27"/>
      <c r="I230" s="27"/>
      <c r="J230" s="27"/>
      <c r="K230" s="27"/>
      <c r="L230" s="27"/>
      <c r="M230" s="27"/>
      <c r="N230" s="27"/>
    </row>
    <row r="231" spans="2:14" x14ac:dyDescent="0.3">
      <c r="B231" s="25"/>
      <c r="C231" s="27"/>
      <c r="D231" s="27"/>
      <c r="E231" s="27"/>
      <c r="F231" s="27"/>
      <c r="G231" s="27"/>
      <c r="H231" s="27"/>
      <c r="I231" s="27"/>
      <c r="J231" s="27"/>
      <c r="K231" s="27"/>
      <c r="L231" s="27"/>
      <c r="M231" s="27"/>
      <c r="N231" s="27"/>
    </row>
    <row r="232" spans="2:14" x14ac:dyDescent="0.3">
      <c r="B232" s="25"/>
      <c r="C232" s="27"/>
      <c r="D232" s="27"/>
      <c r="E232" s="27"/>
      <c r="F232" s="27"/>
      <c r="G232" s="27"/>
      <c r="H232" s="27"/>
      <c r="I232" s="27"/>
      <c r="J232" s="27"/>
      <c r="K232" s="27"/>
      <c r="L232" s="27"/>
      <c r="M232" s="27"/>
      <c r="N232" s="27"/>
    </row>
    <row r="233" spans="2:14" x14ac:dyDescent="0.3">
      <c r="B233" s="25"/>
      <c r="C233" s="27"/>
      <c r="D233" s="27"/>
      <c r="E233" s="27"/>
      <c r="F233" s="27"/>
      <c r="G233" s="27"/>
      <c r="H233" s="27"/>
      <c r="I233" s="27"/>
      <c r="J233" s="27"/>
      <c r="K233" s="27"/>
      <c r="L233" s="27"/>
      <c r="M233" s="27"/>
      <c r="N233" s="27"/>
    </row>
    <row r="234" spans="2:14" x14ac:dyDescent="0.3">
      <c r="B234" s="25"/>
      <c r="C234" s="27"/>
      <c r="D234" s="27"/>
      <c r="E234" s="27"/>
      <c r="F234" s="27"/>
      <c r="G234" s="27"/>
      <c r="H234" s="27"/>
      <c r="I234" s="27"/>
      <c r="J234" s="27"/>
      <c r="K234" s="27"/>
      <c r="L234" s="27"/>
      <c r="M234" s="27"/>
      <c r="N234" s="27"/>
    </row>
    <row r="235" spans="2:14" x14ac:dyDescent="0.3">
      <c r="B235" s="25"/>
      <c r="C235" s="27"/>
      <c r="D235" s="27"/>
      <c r="E235" s="27"/>
      <c r="F235" s="27"/>
      <c r="G235" s="27"/>
      <c r="H235" s="27"/>
      <c r="I235" s="27"/>
      <c r="J235" s="27"/>
      <c r="K235" s="27"/>
      <c r="L235" s="27"/>
      <c r="M235" s="27"/>
      <c r="N235" s="27"/>
    </row>
    <row r="236" spans="2:14" x14ac:dyDescent="0.3">
      <c r="B236" s="25"/>
      <c r="C236" s="27"/>
      <c r="D236" s="27"/>
      <c r="E236" s="27"/>
      <c r="F236" s="27"/>
      <c r="G236" s="27"/>
      <c r="H236" s="27"/>
      <c r="I236" s="27"/>
      <c r="J236" s="27"/>
      <c r="K236" s="27"/>
      <c r="L236" s="27"/>
      <c r="M236" s="27"/>
      <c r="N236" s="27"/>
    </row>
    <row r="237" spans="2:14" x14ac:dyDescent="0.3">
      <c r="B237" s="25"/>
      <c r="C237" s="27"/>
      <c r="D237" s="27"/>
      <c r="E237" s="27"/>
      <c r="F237" s="27"/>
      <c r="G237" s="27"/>
      <c r="H237" s="27"/>
      <c r="I237" s="27"/>
      <c r="J237" s="27"/>
      <c r="K237" s="27"/>
      <c r="L237" s="27"/>
      <c r="M237" s="27"/>
      <c r="N237" s="27"/>
    </row>
    <row r="238" spans="2:14" x14ac:dyDescent="0.3">
      <c r="B238" s="25"/>
      <c r="C238" s="27"/>
      <c r="D238" s="27"/>
      <c r="E238" s="27"/>
      <c r="F238" s="27"/>
      <c r="G238" s="27"/>
      <c r="H238" s="27"/>
      <c r="I238" s="27"/>
      <c r="J238" s="27"/>
      <c r="K238" s="27"/>
      <c r="L238" s="27"/>
      <c r="M238" s="27"/>
      <c r="N238" s="27"/>
    </row>
    <row r="239" spans="2:14" x14ac:dyDescent="0.3">
      <c r="B239" s="25"/>
      <c r="C239" s="27"/>
      <c r="D239" s="27"/>
      <c r="E239" s="27"/>
      <c r="F239" s="27"/>
      <c r="G239" s="27"/>
      <c r="H239" s="27"/>
      <c r="I239" s="27"/>
      <c r="J239" s="27"/>
      <c r="K239" s="27"/>
      <c r="L239" s="27"/>
      <c r="M239" s="27"/>
      <c r="N239" s="27"/>
    </row>
    <row r="240" spans="2:14" x14ac:dyDescent="0.3">
      <c r="B240" s="25"/>
      <c r="C240" s="27"/>
      <c r="D240" s="27"/>
      <c r="E240" s="27"/>
      <c r="F240" s="27"/>
      <c r="G240" s="27"/>
      <c r="H240" s="27"/>
      <c r="I240" s="27"/>
      <c r="J240" s="27"/>
      <c r="K240" s="27"/>
      <c r="L240" s="27"/>
      <c r="M240" s="27"/>
      <c r="N240" s="27"/>
    </row>
    <row r="241" spans="2:14" x14ac:dyDescent="0.3">
      <c r="B241" s="25"/>
      <c r="C241" s="27"/>
      <c r="D241" s="27"/>
      <c r="E241" s="27"/>
      <c r="F241" s="27"/>
      <c r="G241" s="27"/>
      <c r="H241" s="27"/>
      <c r="I241" s="27"/>
      <c r="J241" s="27"/>
      <c r="K241" s="27"/>
      <c r="L241" s="27"/>
      <c r="M241" s="27"/>
      <c r="N241" s="27"/>
    </row>
    <row r="242" spans="2:14" x14ac:dyDescent="0.3">
      <c r="B242" s="25"/>
      <c r="C242" s="27"/>
      <c r="D242" s="27"/>
      <c r="E242" s="27"/>
      <c r="F242" s="27"/>
      <c r="G242" s="27"/>
      <c r="H242" s="27"/>
      <c r="I242" s="27"/>
      <c r="J242" s="27"/>
      <c r="K242" s="27"/>
      <c r="L242" s="27"/>
      <c r="M242" s="27"/>
      <c r="N242" s="27"/>
    </row>
    <row r="243" spans="2:14" x14ac:dyDescent="0.3">
      <c r="B243" s="25"/>
      <c r="C243" s="27"/>
      <c r="D243" s="27"/>
      <c r="E243" s="27"/>
      <c r="F243" s="27"/>
      <c r="G243" s="27"/>
      <c r="H243" s="27"/>
      <c r="I243" s="27"/>
      <c r="J243" s="27"/>
      <c r="K243" s="27"/>
      <c r="L243" s="27"/>
      <c r="M243" s="27"/>
      <c r="N243" s="27"/>
    </row>
    <row r="244" spans="2:14" x14ac:dyDescent="0.3">
      <c r="B244" s="25"/>
      <c r="C244" s="27"/>
      <c r="D244" s="27"/>
      <c r="E244" s="27"/>
      <c r="F244" s="27"/>
      <c r="G244" s="27"/>
      <c r="H244" s="27"/>
      <c r="I244" s="27"/>
      <c r="J244" s="27"/>
      <c r="K244" s="27"/>
      <c r="L244" s="27"/>
      <c r="M244" s="27"/>
      <c r="N244" s="27"/>
    </row>
    <row r="245" spans="2:14" x14ac:dyDescent="0.3">
      <c r="B245" s="25"/>
      <c r="C245" s="27"/>
      <c r="D245" s="27"/>
      <c r="E245" s="27"/>
      <c r="F245" s="27"/>
      <c r="G245" s="27"/>
      <c r="H245" s="27"/>
      <c r="I245" s="27"/>
      <c r="J245" s="27"/>
      <c r="K245" s="27"/>
      <c r="L245" s="27"/>
      <c r="M245" s="27"/>
      <c r="N245" s="27"/>
    </row>
  </sheetData>
  <mergeCells count="1">
    <mergeCell ref="G3:J5"/>
  </mergeCells>
  <dataValidations count="3">
    <dataValidation type="list" allowBlank="1" showInputMessage="1" showErrorMessage="1" sqref="E3">
      <formula1>CompaniesTemplate</formula1>
    </dataValidation>
    <dataValidation type="list" allowBlank="1" showInputMessage="1" showErrorMessage="1" sqref="E5">
      <formula1>Periods</formula1>
    </dataValidation>
    <dataValidation type="list" allowBlank="1" showInputMessage="1" sqref="E4">
      <formula1>FiscalYearsTemplate</formula1>
    </dataValidation>
  </dataValidations>
  <hyperlinks>
    <hyperlink ref="B2" location="Home!A1" tooltip="Click to navigate to the Home sheet." display="ß"/>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J45"/>
  <sheetViews>
    <sheetView showGridLines="0" zoomScale="90" zoomScaleNormal="90" workbookViewId="0"/>
  </sheetViews>
  <sheetFormatPr defaultRowHeight="16.5" x14ac:dyDescent="0.3"/>
  <cols>
    <col min="1" max="1" width="2.85546875" style="12" customWidth="1"/>
    <col min="2" max="2" width="5.5703125" style="12" customWidth="1"/>
    <col min="3" max="3" width="22.7109375" style="12" customWidth="1"/>
    <col min="4" max="4" width="33.42578125" style="12" customWidth="1"/>
    <col min="5" max="5" width="16" style="12" customWidth="1"/>
    <col min="6" max="6" width="16.140625" style="12" bestFit="1" customWidth="1"/>
    <col min="7" max="16384" width="9.140625" style="12"/>
  </cols>
  <sheetData>
    <row r="1" spans="2:10" ht="15" customHeight="1" x14ac:dyDescent="0.3"/>
    <row r="2" spans="2:10" ht="33.75" customHeight="1" x14ac:dyDescent="0.7">
      <c r="B2" s="91" t="s">
        <v>154</v>
      </c>
      <c r="C2" s="13" t="str">
        <f>CONCATENATE(D3," Summary By Account Category")</f>
        <v>0 Summary By Account Category</v>
      </c>
      <c r="D2" s="13"/>
    </row>
    <row r="3" spans="2:10" ht="16.5" customHeight="1" x14ac:dyDescent="0.3">
      <c r="C3" s="14" t="s">
        <v>26</v>
      </c>
      <c r="D3" s="66">
        <f>INDEX(Companies,1)</f>
        <v>0</v>
      </c>
      <c r="G3" s="126" t="s">
        <v>183</v>
      </c>
      <c r="H3" s="126"/>
      <c r="I3" s="126"/>
      <c r="J3" s="126"/>
    </row>
    <row r="4" spans="2:10" x14ac:dyDescent="0.3">
      <c r="C4" s="14" t="s">
        <v>56</v>
      </c>
      <c r="D4" s="68">
        <f>CHOOSE(B, "GLCurrentYear(" &amp; $D$3 &amp; ")", CellContents, 2020)</f>
        <v>2020</v>
      </c>
      <c r="G4" s="126"/>
      <c r="H4" s="126"/>
      <c r="I4" s="126"/>
      <c r="J4" s="126"/>
    </row>
    <row r="5" spans="2:10" x14ac:dyDescent="0.3">
      <c r="C5" s="14" t="s">
        <v>25</v>
      </c>
      <c r="D5" s="69">
        <f>CHOOSE(B, "GLCurrentPeriod(" &amp; $D$3 &amp; ")", CellContents, 1)</f>
        <v>1</v>
      </c>
      <c r="G5" s="126"/>
      <c r="H5" s="126"/>
      <c r="I5" s="126"/>
      <c r="J5" s="126"/>
    </row>
    <row r="6" spans="2:10" x14ac:dyDescent="0.3">
      <c r="C6" s="14" t="s">
        <v>27</v>
      </c>
      <c r="D6" s="15" t="str">
        <f>CHOOSE(B, "GLHomeCurrency(" &amp; $D$3 &amp; ")", CellContents, "CAD")</f>
        <v>CAD</v>
      </c>
      <c r="G6" s="126"/>
      <c r="H6" s="126"/>
      <c r="I6" s="126"/>
      <c r="J6" s="126"/>
    </row>
    <row r="7" spans="2:10" x14ac:dyDescent="0.3">
      <c r="C7" s="14" t="s">
        <v>28</v>
      </c>
      <c r="D7" s="15" t="s">
        <v>29</v>
      </c>
    </row>
    <row r="9" spans="2:10" ht="33.75" customHeight="1" x14ac:dyDescent="0.3">
      <c r="C9" s="39" t="s">
        <v>69</v>
      </c>
      <c r="D9" s="39" t="s">
        <v>70</v>
      </c>
      <c r="E9" s="39" t="s">
        <v>71</v>
      </c>
    </row>
    <row r="10" spans="2:10" s="31" customFormat="1" x14ac:dyDescent="0.3">
      <c r="C10" s="40">
        <f>10</f>
        <v>10</v>
      </c>
      <c r="D10" s="41" t="str">
        <f>MID("Cash and Cash Equivalents", 1, 255)</f>
        <v>Cash and Cash Equivalents</v>
      </c>
      <c r="E10" s="118">
        <f>CHOOSE(B, "GLClosingBalance(" &amp; "Account" &amp; "," &amp; $D$3 &amp; "," &amp; $D$4 &amp; "," &amp; $D$5 &amp; "," &amp; "AccountGroupCode" &amp; "," &amp; $C10 &amp; "," &amp; "AccountStructureCode" &amp; "," &amp; "AccountType" &amp; "," &amp; "BalanceType" &amp; "," &amp; $D$6 &amp; "," &amp; $D$7 &amp; ")", CellContents, 7912363,97)</f>
        <v>7912363</v>
      </c>
      <c r="F10"/>
      <c r="H10"/>
    </row>
    <row r="11" spans="2:10" s="31" customFormat="1" x14ac:dyDescent="0.3">
      <c r="C11" s="40" t="s">
        <v>72</v>
      </c>
      <c r="D11" s="41" t="str">
        <f>MID("Accounts Receivable", 1, 255)</f>
        <v>Accounts Receivable</v>
      </c>
      <c r="E11" s="118">
        <f>CHOOSE(B, "GLClosingBalance(" &amp; "Account" &amp; "," &amp; $D$3 &amp; "," &amp; $D$4 &amp; "," &amp; $D$5 &amp; "," &amp; "AccountGroupCode" &amp; "," &amp; $C11 &amp; "," &amp; "AccountStructureCode" &amp; "," &amp; "AccountType" &amp; "," &amp; "BalanceType" &amp; "," &amp; $D$6 &amp; "," &amp; $D$7 &amp; ")", CellContents, 2969264,75)</f>
        <v>2969264</v>
      </c>
      <c r="F11"/>
    </row>
    <row r="12" spans="2:10" s="31" customFormat="1" x14ac:dyDescent="0.3">
      <c r="C12" s="40" t="s">
        <v>73</v>
      </c>
      <c r="D12" s="41" t="str">
        <f>MID("Inventory", 1, 255)</f>
        <v>Inventory</v>
      </c>
      <c r="E12" s="118">
        <f>CHOOSE(B, "GLClosingBalance(" &amp; "Account" &amp; "," &amp; $D$3 &amp; "," &amp; $D$4 &amp; "," &amp; $D$5 &amp; "," &amp; "AccountGroupCode" &amp; "," &amp; $C12 &amp; "," &amp; "AccountStructureCode" &amp; "," &amp; "AccountType" &amp; "," &amp; "BalanceType" &amp; "," &amp; $D$6 &amp; "," &amp; $D$7 &amp; ")", CellContents, 1928978,6)</f>
        <v>1928978</v>
      </c>
      <c r="F12"/>
    </row>
    <row r="13" spans="2:10" s="31" customFormat="1" x14ac:dyDescent="0.3">
      <c r="C13" s="40" t="s">
        <v>74</v>
      </c>
      <c r="D13" s="41" t="str">
        <f>MID("Other Current Assets", 1, 255)</f>
        <v>Other Current Assets</v>
      </c>
      <c r="E13" s="118">
        <f>CHOOSE(B, "GLClosingBalance(" &amp; "Account" &amp; "," &amp; $D$3 &amp; "," &amp; $D$4 &amp; "," &amp; $D$5 &amp; "," &amp; "AccountGroupCode" &amp; "," &amp; $C13 &amp; "," &amp; "AccountStructureCode" &amp; "," &amp; "AccountType" &amp; "," &amp; "BalanceType" &amp; "," &amp; $D$6 &amp; "," &amp; $D$7 &amp; ")", CellContents, 38655,49)</f>
        <v>38655</v>
      </c>
      <c r="F13"/>
    </row>
    <row r="14" spans="2:10" s="31" customFormat="1" ht="7.5" customHeight="1" x14ac:dyDescent="0.3">
      <c r="C14" s="40"/>
      <c r="D14" s="41"/>
      <c r="F14"/>
    </row>
    <row r="15" spans="2:10" s="31" customFormat="1" x14ac:dyDescent="0.3">
      <c r="C15" s="40" t="s">
        <v>75</v>
      </c>
      <c r="D15" s="41" t="str">
        <f>MID("Fixed Assets", 1, 255)</f>
        <v>Fixed Assets</v>
      </c>
      <c r="E15" s="118">
        <f>CHOOSE(B, "GLClosingBalance(" &amp; "Account" &amp; "," &amp; $D$3 &amp; "," &amp; $D$4 &amp; "," &amp; $D$5 &amp; "," &amp; "AccountGroupCode" &amp; "," &amp; $C15 &amp; "," &amp; "AccountStructureCode" &amp; "," &amp; "AccountType" &amp; "," &amp; "BalanceType" &amp; "," &amp; $D$6 &amp; "," &amp; $D$7 &amp; ")", CellContents, 1062888,79)</f>
        <v>1062888</v>
      </c>
      <c r="F15"/>
    </row>
    <row r="16" spans="2:10" s="31" customFormat="1" x14ac:dyDescent="0.3">
      <c r="C16" s="40" t="s">
        <v>76</v>
      </c>
      <c r="D16" s="41" t="str">
        <f>MID("Accumulated Depreciation", 1, 255)</f>
        <v>Accumulated Depreciation</v>
      </c>
      <c r="E16" s="118">
        <f>CHOOSE(B, "GLClosingBalance(" &amp; "Account" &amp; "," &amp; $D$3 &amp; "," &amp; $D$4 &amp; "," &amp; $D$5 &amp; "," &amp; "AccountGroupCode" &amp; "," &amp; $C16 &amp; "," &amp; "AccountStructureCode" &amp; "," &amp; "AccountType" &amp; "," &amp; "BalanceType" &amp; "," &amp; $D$6 &amp; "," &amp; $D$7 &amp; ")", CellContents, -802426,42)</f>
        <v>-802426</v>
      </c>
      <c r="F16"/>
    </row>
    <row r="17" spans="3:6" s="31" customFormat="1" x14ac:dyDescent="0.3">
      <c r="C17" s="40" t="s">
        <v>77</v>
      </c>
      <c r="D17" s="41" t="str">
        <f>MID("Other Assets", 1, 255)</f>
        <v>Other Assets</v>
      </c>
      <c r="E17" s="118">
        <f>CHOOSE(B, "GLClosingBalance(" &amp; "Account" &amp; "," &amp; $D$3 &amp; "," &amp; $D$4 &amp; "," &amp; $D$5 &amp; "," &amp; "AccountGroupCode" &amp; "," &amp; $C17 &amp; "," &amp; "AccountStructureCode" &amp; "," &amp; "AccountType" &amp; "," &amp; "BalanceType" &amp; "," &amp; $D$6 &amp; "," &amp; $D$7 &amp; ")", CellContents, 0)</f>
        <v>0</v>
      </c>
      <c r="F17"/>
    </row>
    <row r="18" spans="3:6" s="31" customFormat="1" ht="7.5" customHeight="1" x14ac:dyDescent="0.3">
      <c r="C18" s="40"/>
      <c r="D18" s="41"/>
      <c r="F18"/>
    </row>
    <row r="19" spans="3:6" s="31" customFormat="1" x14ac:dyDescent="0.3">
      <c r="C19" s="40" t="s">
        <v>78</v>
      </c>
      <c r="D19" s="41" t="str">
        <f>MID("Accounts Payable", 1, 255)</f>
        <v>Accounts Payable</v>
      </c>
      <c r="E19" s="118">
        <f>CHOOSE(B, "GLClosingBalance(" &amp; "Account" &amp; "," &amp; $D$3 &amp; "," &amp; $D$4 &amp; "," &amp; $D$5 &amp; "," &amp; "AccountGroupCode" &amp; "," &amp; $C19 &amp; "," &amp; "AccountStructureCode" &amp; "," &amp; "AccountType" &amp; "," &amp; "BalanceType" &amp; "," &amp; $D$6 &amp; "," &amp; $D$7 &amp; ")", CellContents, -12993043,12)</f>
        <v>-12993043</v>
      </c>
      <c r="F19"/>
    </row>
    <row r="20" spans="3:6" s="31" customFormat="1" x14ac:dyDescent="0.3">
      <c r="C20" s="40" t="s">
        <v>79</v>
      </c>
      <c r="D20" s="41" t="str">
        <f>MID("Other Current Liabilities", 1, 255)</f>
        <v>Other Current Liabilities</v>
      </c>
      <c r="E20" s="118">
        <f>CHOOSE(B, "GLClosingBalance(" &amp; "Account" &amp; "," &amp; $D$3 &amp; "," &amp; $D$4 &amp; "," &amp; $D$5 &amp; "," &amp; "AccountGroupCode" &amp; "," &amp; $C20 &amp; "," &amp; "AccountStructureCode" &amp; "," &amp; "AccountType" &amp; "," &amp; "BalanceType" &amp; "," &amp; $D$6 &amp; "," &amp; $D$7 &amp; ")", CellContents, -971872,89)</f>
        <v>-971872</v>
      </c>
      <c r="F20"/>
    </row>
    <row r="21" spans="3:6" s="31" customFormat="1" ht="7.5" customHeight="1" x14ac:dyDescent="0.3">
      <c r="C21" s="40"/>
      <c r="D21" s="41"/>
      <c r="F21"/>
    </row>
    <row r="22" spans="3:6" s="31" customFormat="1" x14ac:dyDescent="0.3">
      <c r="C22" s="40" t="s">
        <v>80</v>
      </c>
      <c r="D22" s="41" t="str">
        <f>MID("Long Term Liabilities", 1, 255)</f>
        <v>Long Term Liabilities</v>
      </c>
      <c r="E22" s="118">
        <f>CHOOSE(B, "GLClosingBalance(" &amp; "Account" &amp; "," &amp; $D$3 &amp; "," &amp; $D$4 &amp; "," &amp; $D$5 &amp; "," &amp; "AccountGroupCode" &amp; "," &amp; $C22 &amp; "," &amp; "AccountStructureCode" &amp; "," &amp; "AccountType" &amp; "," &amp; "BalanceType" &amp; "," &amp; $D$6 &amp; "," &amp; $D$7 &amp; ")", CellContents, -288963,54)</f>
        <v>-288963</v>
      </c>
      <c r="F22"/>
    </row>
    <row r="23" spans="3:6" s="31" customFormat="1" x14ac:dyDescent="0.3">
      <c r="C23" s="40" t="s">
        <v>81</v>
      </c>
      <c r="D23" s="41" t="str">
        <f>MID("Other Liabilities", 1, 255)</f>
        <v>Other Liabilities</v>
      </c>
      <c r="E23" s="118">
        <f>CHOOSE(B, "GLClosingBalance(" &amp; "Account" &amp; "," &amp; $D$3 &amp; "," &amp; $D$4 &amp; "," &amp; $D$5 &amp; "," &amp; "AccountGroupCode" &amp; "," &amp; $C23 &amp; "," &amp; "AccountStructureCode" &amp; "," &amp; "AccountType" &amp; "," &amp; "BalanceType" &amp; "," &amp; $D$6 &amp; "," &amp; $D$7 &amp; ")", CellContents, 0)</f>
        <v>0</v>
      </c>
      <c r="F23"/>
    </row>
    <row r="24" spans="3:6" s="31" customFormat="1" ht="7.5" customHeight="1" x14ac:dyDescent="0.3">
      <c r="C24" s="40"/>
      <c r="D24" s="41"/>
      <c r="F24"/>
    </row>
    <row r="25" spans="3:6" s="31" customFormat="1" x14ac:dyDescent="0.3">
      <c r="C25" s="40" t="s">
        <v>82</v>
      </c>
      <c r="D25" s="41" t="str">
        <f>MID("Share Capital", 1, 255)</f>
        <v>Share Capital</v>
      </c>
      <c r="E25" s="118">
        <f>CHOOSE(B, "GLClosingBalance(" &amp; "Account" &amp; "," &amp; $D$3 &amp; "," &amp; $D$4 &amp; "," &amp; $D$5 &amp; "," &amp; "AccountGroupCode" &amp; "," &amp; $C25 &amp; "," &amp; "AccountStructureCode" &amp; "," &amp; "AccountType" &amp; "," &amp; "BalanceType" &amp; "," &amp; $D$6 &amp; "," &amp; $D$7 &amp; ")", CellContents, -250000)</f>
        <v>-250000</v>
      </c>
      <c r="F25"/>
    </row>
    <row r="26" spans="3:6" s="31" customFormat="1" x14ac:dyDescent="0.3">
      <c r="C26" s="40" t="s">
        <v>83</v>
      </c>
      <c r="D26" s="41" t="str">
        <f>MID("Shareholders Equity", 1, 255)</f>
        <v>Shareholders Equity</v>
      </c>
      <c r="E26" s="118">
        <f>CHOOSE(B, "GLClosingBalance(" &amp; "Account" &amp; "," &amp; $D$3 &amp; "," &amp; $D$4 &amp; "," &amp; $D$5 &amp; "," &amp; "AccountGroupCode" &amp; "," &amp; $C26 &amp; "," &amp; "AccountStructureCode" &amp; "," &amp; "AccountType" &amp; "," &amp; "BalanceType" &amp; "," &amp; $D$6 &amp; "," &amp; $D$7 &amp; ")", CellContents, 1482265,39)</f>
        <v>1482265</v>
      </c>
      <c r="F26"/>
    </row>
    <row r="27" spans="3:6" s="31" customFormat="1" ht="7.5" customHeight="1" x14ac:dyDescent="0.3">
      <c r="C27" s="40"/>
      <c r="D27" s="41"/>
      <c r="E27" s="32"/>
    </row>
    <row r="28" spans="3:6" s="31" customFormat="1" x14ac:dyDescent="0.3">
      <c r="C28" s="40"/>
      <c r="D28" s="42" t="s">
        <v>84</v>
      </c>
      <c r="E28" s="43">
        <f>SUM(E10:E26)</f>
        <v>88109</v>
      </c>
    </row>
    <row r="29" spans="3:6" s="31" customFormat="1" ht="7.5" customHeight="1" x14ac:dyDescent="0.3">
      <c r="C29" s="40"/>
      <c r="D29" s="41"/>
      <c r="E29" s="32"/>
    </row>
    <row r="30" spans="3:6" s="31" customFormat="1" x14ac:dyDescent="0.3">
      <c r="C30" s="40" t="s">
        <v>85</v>
      </c>
      <c r="D30" s="41" t="str">
        <f>MID("Revenue", 1, 255)</f>
        <v>Revenue</v>
      </c>
      <c r="E30" s="72">
        <f>CHOOSE(B, "GLActualYTD(" &amp; "Account" &amp; "," &amp; $D$3 &amp; "," &amp; $D$4 &amp; "," &amp; $D$5 &amp; "," &amp; "AccountGroupCode" &amp; "," &amp; $C30 &amp; "," &amp; "AccountStructureCode" &amp; "," &amp; "AccountType" &amp; "," &amp; "BalanceType" &amp; "," &amp; $D$6 &amp; "," &amp; $D$7 &amp; ")", CellContents, -1670480,55)</f>
        <v>-1670480</v>
      </c>
    </row>
    <row r="31" spans="3:6" s="31" customFormat="1" x14ac:dyDescent="0.3">
      <c r="C31" s="40" t="s">
        <v>86</v>
      </c>
      <c r="D31" s="41" t="str">
        <f>MID("Cost of Sales", 1, 255)</f>
        <v>Cost of Sales</v>
      </c>
      <c r="E31" s="72">
        <f>CHOOSE(B, "GLActualYTD(" &amp; "Account" &amp; "," &amp; $D$3 &amp; "," &amp; $D$4 &amp; "," &amp; $D$5 &amp; "," &amp; "AccountGroupCode" &amp; "," &amp; $C31 &amp; "," &amp; "AccountStructureCode" &amp; "," &amp; "AccountType" &amp; "," &amp; "BalanceType" &amp; "," &amp; $D$6 &amp; "," &amp; $D$7 &amp; ")", CellContents, 677189,92)</f>
        <v>677189</v>
      </c>
    </row>
    <row r="32" spans="3:6" s="31" customFormat="1" x14ac:dyDescent="0.3">
      <c r="C32" s="40" t="s">
        <v>87</v>
      </c>
      <c r="D32" s="41" t="str">
        <f>MID("Other Revenue", 1, 255)</f>
        <v>Other Revenue</v>
      </c>
      <c r="E32" s="72">
        <f>CHOOSE(B, "GLActualYTD(" &amp; "Account" &amp; "," &amp; $D$3 &amp; "," &amp; $D$4 &amp; "," &amp; $D$5 &amp; "," &amp; "AccountGroupCode" &amp; "," &amp; $C32 &amp; "," &amp; "AccountStructureCode" &amp; "," &amp; "AccountType" &amp; "," &amp; "BalanceType" &amp; "," &amp; $D$6 &amp; "," &amp; $D$7 &amp; ")", CellContents, -200806,55)</f>
        <v>-200806</v>
      </c>
    </row>
    <row r="33" spans="3:5" s="31" customFormat="1" x14ac:dyDescent="0.3">
      <c r="C33" s="40" t="s">
        <v>88</v>
      </c>
      <c r="D33" s="41" t="str">
        <f>MID("Other Expenses", 1, 255)</f>
        <v>Other Expenses</v>
      </c>
      <c r="E33" s="72">
        <f>CHOOSE(B, "GLActualYTD(" &amp; "Account" &amp; "," &amp; $D$3 &amp; "," &amp; $D$4 &amp; "," &amp; $D$5 &amp; "," &amp; "AccountGroupCode" &amp; "," &amp; $C33 &amp; "," &amp; "AccountStructureCode" &amp; "," &amp; "AccountType" &amp; "," &amp; "BalanceType" &amp; "," &amp; $D$6 &amp; "," &amp; $D$7 &amp; ")", CellContents, 1056417,54)</f>
        <v>1056417</v>
      </c>
    </row>
    <row r="34" spans="3:5" s="31" customFormat="1" x14ac:dyDescent="0.3">
      <c r="C34" s="40" t="s">
        <v>89</v>
      </c>
      <c r="D34" s="41" t="str">
        <f>MID("Depreciation Expense", 1, 255)</f>
        <v>Depreciation Expense</v>
      </c>
      <c r="E34" s="72">
        <f>CHOOSE(B, "GLActualYTD(" &amp; "Account" &amp; "," &amp; $D$3 &amp; "," &amp; $D$4 &amp; "," &amp; $D$5 &amp; "," &amp; "AccountGroupCode" &amp; "," &amp; $C34 &amp; "," &amp; "AccountStructureCode" &amp; "," &amp; "AccountType" &amp; "," &amp; "BalanceType" &amp; "," &amp; $D$6 &amp; "," &amp; $D$7 &amp; ")", CellContents, 40000)</f>
        <v>40000</v>
      </c>
    </row>
    <row r="35" spans="3:5" s="31" customFormat="1" x14ac:dyDescent="0.3">
      <c r="C35" s="40" t="s">
        <v>90</v>
      </c>
      <c r="D35" s="41" t="str">
        <f>MID("Gains and Losses", 1, 255)</f>
        <v>Gains and Losses</v>
      </c>
      <c r="E35" s="72">
        <f>CHOOSE(B, "GLActualYTD(" &amp; "Account" &amp; "," &amp; $D$3 &amp; "," &amp; $D$4 &amp; "," &amp; $D$5 &amp; "," &amp; "AccountGroupCode" &amp; "," &amp; $C35 &amp; "," &amp; "AccountStructureCode" &amp; "," &amp; "AccountType" &amp; "," &amp; "BalanceType" &amp; "," &amp; $D$6 &amp; "," &amp; $D$7 &amp; ")", CellContents, 69,16)</f>
        <v>69</v>
      </c>
    </row>
    <row r="36" spans="3:5" s="31" customFormat="1" x14ac:dyDescent="0.3">
      <c r="C36" s="40" t="s">
        <v>91</v>
      </c>
      <c r="D36" s="41" t="str">
        <f>MID("Interest Expense", 1, 255)</f>
        <v>Interest Expense</v>
      </c>
      <c r="E36" s="72">
        <f>CHOOSE(B, "GLActualYTD(" &amp; "Account" &amp; "," &amp; $D$3 &amp; "," &amp; $D$4 &amp; "," &amp; $D$5 &amp; "," &amp; "AccountGroupCode" &amp; "," &amp; $C36 &amp; "," &amp; "AccountStructureCode" &amp; "," &amp; "AccountType" &amp; "," &amp; "BalanceType" &amp; "," &amp; $D$6 &amp; "," &amp; $D$7 &amp; ")", CellContents, 1500)</f>
        <v>1500</v>
      </c>
    </row>
    <row r="37" spans="3:5" s="31" customFormat="1" x14ac:dyDescent="0.3">
      <c r="C37" s="40">
        <f>210</f>
        <v>210</v>
      </c>
      <c r="D37" s="41" t="str">
        <f>MID("Income Taxes", 1, 255)</f>
        <v>Income Taxes</v>
      </c>
      <c r="E37" s="72">
        <f>CHOOSE(B, "GLActualYTD(" &amp; "Account" &amp; "," &amp; $D$3 &amp; "," &amp; $D$4 &amp; "," &amp; $D$5 &amp; "," &amp; "AccountGroupCode" &amp; "," &amp; $C37 &amp; "," &amp; "AccountStructureCode" &amp; "," &amp; "AccountType" &amp; "," &amp; "BalanceType" &amp; "," &amp; $D$6 &amp; "," &amp; $D$7 &amp; ")", CellContents, 8000)</f>
        <v>8000</v>
      </c>
    </row>
    <row r="38" spans="3:5" s="31" customFormat="1" ht="7.5" customHeight="1" x14ac:dyDescent="0.3">
      <c r="C38" s="40"/>
      <c r="D38" s="41"/>
      <c r="E38" s="32"/>
    </row>
    <row r="39" spans="3:5" s="31" customFormat="1" x14ac:dyDescent="0.3">
      <c r="C39" s="17"/>
      <c r="D39" s="42" t="s">
        <v>92</v>
      </c>
      <c r="E39" s="43">
        <f>SUM(E30:E37)</f>
        <v>-88111</v>
      </c>
    </row>
    <row r="40" spans="3:5" s="31" customFormat="1" x14ac:dyDescent="0.3">
      <c r="C40" s="17"/>
      <c r="E40" s="44"/>
    </row>
    <row r="41" spans="3:5" s="31" customFormat="1" x14ac:dyDescent="0.3">
      <c r="C41" s="17"/>
      <c r="E41" s="44"/>
    </row>
    <row r="42" spans="3:5" s="31" customFormat="1" x14ac:dyDescent="0.3">
      <c r="C42" s="17"/>
      <c r="E42" s="44"/>
    </row>
    <row r="43" spans="3:5" s="31" customFormat="1" x14ac:dyDescent="0.3">
      <c r="C43" s="17"/>
      <c r="E43" s="44"/>
    </row>
    <row r="44" spans="3:5" x14ac:dyDescent="0.3">
      <c r="C44" s="45"/>
      <c r="E44" s="46"/>
    </row>
    <row r="45" spans="3:5" x14ac:dyDescent="0.3">
      <c r="C45" s="45"/>
    </row>
  </sheetData>
  <mergeCells count="1">
    <mergeCell ref="G3:J6"/>
  </mergeCells>
  <dataValidations count="3">
    <dataValidation type="list" allowBlank="1" showInputMessage="1" showErrorMessage="1" sqref="D3">
      <formula1>CompaniesTemplate</formula1>
    </dataValidation>
    <dataValidation type="list" allowBlank="1" showInputMessage="1" showErrorMessage="1" sqref="D5">
      <formula1>Periods</formula1>
    </dataValidation>
    <dataValidation type="list" allowBlank="1" showInputMessage="1" showErrorMessage="1" sqref="D4">
      <formula1>FiscalYearsTemplate</formula1>
    </dataValidation>
  </dataValidations>
  <hyperlinks>
    <hyperlink ref="B2" location="Home!A1" tooltip="Click to navigate to the Home sheet." display="ß"/>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Below="0"/>
  </sheetPr>
  <dimension ref="B1:M91"/>
  <sheetViews>
    <sheetView showGridLines="0" zoomScale="90" zoomScaleNormal="90" workbookViewId="0"/>
  </sheetViews>
  <sheetFormatPr defaultRowHeight="16.5" x14ac:dyDescent="0.3"/>
  <cols>
    <col min="1" max="1" width="2.85546875" style="12" customWidth="1"/>
    <col min="2" max="2" width="11.140625" style="11" bestFit="1" customWidth="1"/>
    <col min="3" max="3" width="39" style="12" customWidth="1"/>
    <col min="4" max="4" width="0.42578125" style="12" customWidth="1"/>
    <col min="5" max="6" width="18.140625" style="12" customWidth="1"/>
    <col min="7" max="7" width="1.85546875" style="12" customWidth="1"/>
    <col min="8" max="9" width="18.140625" style="12" customWidth="1"/>
    <col min="10" max="10" width="1.85546875" style="12" customWidth="1"/>
    <col min="11" max="12" width="18.140625" style="12" customWidth="1"/>
    <col min="13" max="16384" width="9.140625" style="12"/>
  </cols>
  <sheetData>
    <row r="1" spans="2:13" ht="15" customHeight="1" x14ac:dyDescent="0.3"/>
    <row r="2" spans="2:13" ht="33.75" customHeight="1" x14ac:dyDescent="0.7">
      <c r="B2" s="91" t="s">
        <v>154</v>
      </c>
      <c r="C2" s="13" t="str">
        <f>CONCATENATE(E4," Income Statement")</f>
        <v>0 Income Statement</v>
      </c>
      <c r="D2" s="13"/>
    </row>
    <row r="3" spans="2:13" x14ac:dyDescent="0.3">
      <c r="H3" s="128" t="s">
        <v>161</v>
      </c>
      <c r="I3" s="128"/>
      <c r="J3" s="128"/>
      <c r="K3" s="128"/>
    </row>
    <row r="4" spans="2:13" x14ac:dyDescent="0.3">
      <c r="C4" s="14" t="s">
        <v>26</v>
      </c>
      <c r="D4" s="14"/>
      <c r="E4" s="68">
        <f>INDEX(Companies,1)</f>
        <v>0</v>
      </c>
      <c r="H4" s="128"/>
      <c r="I4" s="128"/>
      <c r="J4" s="128"/>
      <c r="K4" s="128"/>
    </row>
    <row r="5" spans="2:13" x14ac:dyDescent="0.3">
      <c r="C5" s="14" t="s">
        <v>25</v>
      </c>
      <c r="D5" s="14"/>
      <c r="E5" s="74">
        <f>CHOOSE(B, "GLCurrentPeriod(" &amp; $E$4 &amp; ")", CellContents, 1)</f>
        <v>1</v>
      </c>
      <c r="H5" s="128"/>
      <c r="I5" s="128"/>
      <c r="J5" s="128"/>
      <c r="K5" s="128"/>
    </row>
    <row r="6" spans="2:13" x14ac:dyDescent="0.3">
      <c r="C6" s="14" t="s">
        <v>27</v>
      </c>
      <c r="D6" s="14"/>
      <c r="E6" s="15" t="str">
        <f>CHOOSE(B, "GLHomeCurrency(" &amp; $E$4 &amp; ")", CellContents, "CAD")</f>
        <v>CAD</v>
      </c>
      <c r="H6" s="128"/>
      <c r="I6" s="128"/>
      <c r="J6" s="128"/>
      <c r="K6" s="128"/>
    </row>
    <row r="7" spans="2:13" x14ac:dyDescent="0.3">
      <c r="C7" s="14" t="s">
        <v>28</v>
      </c>
      <c r="D7" s="14"/>
      <c r="E7" s="15" t="s">
        <v>29</v>
      </c>
    </row>
    <row r="8" spans="2:13" ht="7.5" customHeight="1" x14ac:dyDescent="0.3">
      <c r="C8" s="16"/>
      <c r="D8" s="16"/>
      <c r="E8" s="17"/>
    </row>
    <row r="9" spans="2:13" x14ac:dyDescent="0.3">
      <c r="E9" s="70">
        <f>CHOOSE(B, "GLCurrentYear(" &amp; $E$4 &amp; ")", CellContents, 2020)</f>
        <v>2020</v>
      </c>
      <c r="F9" s="73"/>
      <c r="G9" s="47"/>
      <c r="H9" s="70">
        <v>2019</v>
      </c>
      <c r="I9" s="75"/>
      <c r="J9" s="47"/>
      <c r="K9" s="127" t="s">
        <v>93</v>
      </c>
      <c r="L9" s="127"/>
    </row>
    <row r="10" spans="2:13" x14ac:dyDescent="0.3">
      <c r="E10" s="48" t="s">
        <v>94</v>
      </c>
      <c r="F10" s="48" t="s">
        <v>95</v>
      </c>
      <c r="G10" s="47"/>
      <c r="H10" s="48" t="s">
        <v>94</v>
      </c>
      <c r="I10" s="48" t="s">
        <v>95</v>
      </c>
      <c r="J10" s="47"/>
      <c r="K10" s="48" t="s">
        <v>94</v>
      </c>
      <c r="L10" s="48" t="s">
        <v>95</v>
      </c>
    </row>
    <row r="11" spans="2:13" ht="7.5" customHeight="1" x14ac:dyDescent="0.3">
      <c r="B11" s="28"/>
      <c r="C11" s="29"/>
      <c r="D11" s="29"/>
      <c r="E11" s="29"/>
      <c r="F11" s="29"/>
      <c r="G11" s="29"/>
      <c r="H11" s="29"/>
      <c r="I11" s="29"/>
      <c r="J11" s="29"/>
      <c r="K11" s="29"/>
      <c r="L11" s="29"/>
      <c r="M11" s="29"/>
    </row>
    <row r="12" spans="2:13" x14ac:dyDescent="0.3">
      <c r="B12" s="29" t="s">
        <v>85</v>
      </c>
      <c r="C12" s="29" t="s">
        <v>43</v>
      </c>
      <c r="D12" s="29"/>
      <c r="E12" s="76">
        <f>CHOOSE(B, "-GLActual(" &amp; "Account" &amp; "," &amp; $E$4 &amp; "," &amp; $E$9 &amp; "," &amp; $E$5 &amp; "," &amp; "AccountGroupCode" &amp; "," &amp; $B12 &amp; "," &amp; "AccountStructureCode" &amp; "," &amp; "AccountType" &amp; "," &amp; "BalanceType" &amp; "," &amp; $E$6 &amp; "," &amp; $E$7 &amp; ")", CellContents, 1670480,55)</f>
        <v>1670480</v>
      </c>
      <c r="F12" s="32">
        <f>CHOOSE(B, "-GLActualYTD(" &amp; "Account" &amp; "," &amp; $E$4 &amp; "," &amp; $E$9 &amp; "," &amp; $E$5 &amp; "," &amp; "AccountGroupCode" &amp; "," &amp; $B12 &amp; "," &amp; "AccountStructureCode" &amp; "," &amp; "AccountType" &amp; "," &amp; "BalanceType" &amp; "," &amp; $E$6 &amp; "," &amp; $E$7 &amp; ")", CellContents, 1670480,55)</f>
        <v>1670480</v>
      </c>
      <c r="G12" s="32"/>
      <c r="H12" s="76">
        <f>CHOOSE(B, "-GLActual(" &amp; "Account" &amp; "," &amp; $E$4 &amp; "," &amp; $H$9 &amp; "," &amp; $E$5 &amp; "," &amp; "AccountGroupCode" &amp; "," &amp; $B12 &amp; "," &amp; "AccountStructureCode" &amp; "," &amp; "AccountType" &amp; "," &amp; "BalanceType" &amp; "," &amp; $E$6 &amp; "," &amp; $E$7 &amp; ")", CellContents, 2666286,86)</f>
        <v>2666286</v>
      </c>
      <c r="I12" s="32">
        <f>CHOOSE(B, "-GLActualYTD(" &amp; "Account" &amp; "," &amp; $E$4 &amp; "," &amp; $H$9 &amp; "," &amp; $E$5 &amp; "," &amp; "AccountGroupCode" &amp; "," &amp; $B12 &amp; "," &amp; "AccountStructureCode" &amp; "," &amp; "AccountType" &amp; "," &amp; "BalanceType" &amp; "," &amp; $E$6 &amp; "," &amp; $E$7 &amp; ")", CellContents, 2666286,86)</f>
        <v>2666286</v>
      </c>
      <c r="J12" s="32"/>
      <c r="K12" s="32">
        <f>E12-H12</f>
        <v>-995806</v>
      </c>
      <c r="L12" s="32">
        <f>F12-I12</f>
        <v>-995806</v>
      </c>
      <c r="M12" s="29"/>
    </row>
    <row r="13" spans="2:13" ht="7.5" customHeight="1" x14ac:dyDescent="0.3">
      <c r="B13" s="28"/>
      <c r="C13" s="29"/>
      <c r="D13" s="29"/>
      <c r="E13" s="32"/>
      <c r="F13" s="32"/>
      <c r="G13" s="32"/>
      <c r="H13" s="32"/>
      <c r="I13" s="32"/>
      <c r="J13" s="32"/>
      <c r="K13" s="32"/>
      <c r="L13" s="32"/>
      <c r="M13" s="29"/>
    </row>
    <row r="14" spans="2:13" x14ac:dyDescent="0.3">
      <c r="B14" s="29" t="s">
        <v>86</v>
      </c>
      <c r="C14" s="29" t="s">
        <v>10</v>
      </c>
      <c r="D14" s="29"/>
      <c r="E14" s="76">
        <f>CHOOSE(B, "GLActual(" &amp; "Account" &amp; "," &amp; $E$4 &amp; "," &amp; $E$9 &amp; "," &amp; $E$5 &amp; "," &amp; "AccountGroupCode" &amp; "," &amp; $B14 &amp; "," &amp; "AccountStructureCode" &amp; "," &amp; "AccountType" &amp; "," &amp; "BalanceType" &amp; "," &amp; $E$6 &amp; "," &amp; $E$7 &amp; ")", CellContents, 677189,92)</f>
        <v>677189</v>
      </c>
      <c r="F14" s="32">
        <f>CHOOSE(B, "GLActualYTD(" &amp; "Account" &amp; "," &amp; $E$4 &amp; "," &amp; $E$9 &amp; "," &amp; $E$5 &amp; "," &amp; "AccountGroupCode" &amp; "," &amp; $B14 &amp; "," &amp; "AccountStructureCode" &amp; "," &amp; "AccountType" &amp; "," &amp; "BalanceType" &amp; "," &amp; $E$6 &amp; "," &amp; $E$7 &amp; ")", CellContents, 677189,92)</f>
        <v>677189</v>
      </c>
      <c r="G14" s="32"/>
      <c r="H14" s="76">
        <f>CHOOSE(B, "GLActual(" &amp; "Account" &amp; "," &amp; $E$4 &amp; "," &amp; $H$9 &amp; "," &amp; $E$5 &amp; "," &amp; "AccountGroupCode" &amp; "," &amp; $B14 &amp; "," &amp; "AccountStructureCode" &amp; "," &amp; "AccountType" &amp; "," &amp; "BalanceType" &amp; "," &amp; $E$6 &amp; "," &amp; $E$7 &amp; ")", CellContents, 924267,23)</f>
        <v>924267</v>
      </c>
      <c r="I14" s="32">
        <f>CHOOSE(B, "GLActualYTD(" &amp; "Account" &amp; "," &amp; $E$4 &amp; "," &amp; $H$9 &amp; "," &amp; $E$5 &amp; "," &amp; "AccountGroupCode" &amp; "," &amp; $B14 &amp; "," &amp; "AccountStructureCode" &amp; "," &amp; "AccountType" &amp; "," &amp; "BalanceType" &amp; "," &amp; $E$6 &amp; "," &amp; $E$7 &amp; ")", CellContents, 924267,23)</f>
        <v>924267</v>
      </c>
      <c r="J14" s="32"/>
      <c r="K14" s="32">
        <f>E14-H14</f>
        <v>-247078</v>
      </c>
      <c r="L14" s="32">
        <f>F14-I14</f>
        <v>-247078</v>
      </c>
      <c r="M14" s="29"/>
    </row>
    <row r="15" spans="2:13" ht="7.5" customHeight="1" x14ac:dyDescent="0.3">
      <c r="B15" s="28"/>
      <c r="C15" s="29"/>
      <c r="D15" s="29"/>
      <c r="E15" s="32"/>
      <c r="F15" s="32"/>
      <c r="G15" s="32"/>
      <c r="H15" s="32"/>
      <c r="I15" s="32"/>
      <c r="J15" s="32"/>
      <c r="K15" s="32"/>
      <c r="L15" s="32"/>
      <c r="M15" s="29"/>
    </row>
    <row r="16" spans="2:13" s="49" customFormat="1" x14ac:dyDescent="0.3">
      <c r="B16" s="34"/>
      <c r="C16" s="35" t="s">
        <v>96</v>
      </c>
      <c r="D16" s="29"/>
      <c r="E16" s="36">
        <f>E12-E14</f>
        <v>993291</v>
      </c>
      <c r="F16" s="36">
        <f>F12-F14</f>
        <v>993291</v>
      </c>
      <c r="G16" s="32"/>
      <c r="H16" s="36">
        <f t="shared" ref="H16:I16" si="0">H12-H14</f>
        <v>1742019</v>
      </c>
      <c r="I16" s="36">
        <f t="shared" si="0"/>
        <v>1742019</v>
      </c>
      <c r="J16" s="32"/>
      <c r="K16" s="36">
        <f>K12-K14</f>
        <v>-748728</v>
      </c>
      <c r="L16" s="36">
        <f>L12-L14</f>
        <v>-748728</v>
      </c>
      <c r="M16" s="35"/>
    </row>
    <row r="17" spans="2:13" ht="7.5" customHeight="1" x14ac:dyDescent="0.3">
      <c r="B17" s="28"/>
      <c r="C17" s="29"/>
      <c r="D17" s="29"/>
      <c r="E17" s="32"/>
      <c r="F17" s="32"/>
      <c r="G17" s="32"/>
      <c r="H17" s="32"/>
      <c r="I17" s="32"/>
      <c r="J17" s="32"/>
      <c r="K17" s="32"/>
      <c r="L17" s="32"/>
      <c r="M17" s="29"/>
    </row>
    <row r="18" spans="2:13" x14ac:dyDescent="0.3">
      <c r="B18" s="29" t="s">
        <v>87</v>
      </c>
      <c r="C18" s="29" t="s">
        <v>44</v>
      </c>
      <c r="D18" s="29"/>
      <c r="E18" s="76">
        <f>CHOOSE(B, "-GLActual(" &amp; "Account" &amp; "," &amp; $E$4 &amp; "," &amp; $E$9 &amp; "," &amp; $E$5 &amp; "," &amp; "AccountGroupCode" &amp; "," &amp; $B18 &amp; "," &amp; "AccountStructureCode" &amp; "," &amp; "AccountType" &amp; "," &amp; "BalanceType" &amp; "," &amp; $E$6 &amp; "," &amp; $E$7 &amp; ")", CellContents, 200806,55)</f>
        <v>200806</v>
      </c>
      <c r="F18" s="32">
        <f>CHOOSE(B, "-GLActualYTD(" &amp; "Account" &amp; "," &amp; $E$4 &amp; "," &amp; $E$9 &amp; "," &amp; $E$5 &amp; "," &amp; "AccountGroupCode" &amp; "," &amp; $B18 &amp; "," &amp; "AccountStructureCode" &amp; "," &amp; "AccountType" &amp; "," &amp; "BalanceType" &amp; "," &amp; $E$6 &amp; "," &amp; $E$7 &amp; ")", CellContents, 200806,55)</f>
        <v>200806</v>
      </c>
      <c r="G18" s="32"/>
      <c r="H18" s="76">
        <f>CHOOSE(B, "-GLActual(" &amp; "Account" &amp; "," &amp; $E$4 &amp; "," &amp; $H$9 &amp; "," &amp; $E$5 &amp; "," &amp; "AccountGroupCode" &amp; "," &amp; $B18 &amp; "," &amp; "AccountStructureCode" &amp; "," &amp; "AccountType" &amp; "," &amp; "BalanceType" &amp; "," &amp; $E$6 &amp; "," &amp; $E$7 &amp; ")", CellContents, 230021,27)</f>
        <v>230021</v>
      </c>
      <c r="I18" s="32">
        <f>CHOOSE(B, "-GLActualYTD(" &amp; "Account" &amp; "," &amp; $E$4 &amp; "," &amp; $H$9 &amp; "," &amp; $E$5 &amp; "," &amp; "AccountGroupCode" &amp; "," &amp; $B18 &amp; "," &amp; "AccountStructureCode" &amp; "," &amp; "AccountType" &amp; "," &amp; "BalanceType" &amp; "," &amp; $E$6 &amp; "," &amp; $E$7 &amp; ")", CellContents, 230021,27)</f>
        <v>230021</v>
      </c>
      <c r="J18" s="32"/>
      <c r="K18" s="32">
        <f>E18-H18</f>
        <v>-29215</v>
      </c>
      <c r="L18" s="32">
        <f>F18-I18</f>
        <v>-29215</v>
      </c>
      <c r="M18" s="29"/>
    </row>
    <row r="19" spans="2:13" s="49" customFormat="1" ht="7.5" customHeight="1" x14ac:dyDescent="0.3">
      <c r="B19" s="34"/>
      <c r="E19" s="50"/>
      <c r="F19" s="50"/>
      <c r="G19" s="50"/>
      <c r="H19" s="50"/>
      <c r="I19" s="50"/>
      <c r="J19" s="50"/>
      <c r="K19" s="50"/>
      <c r="L19" s="50"/>
      <c r="M19" s="35"/>
    </row>
    <row r="20" spans="2:13" s="49" customFormat="1" x14ac:dyDescent="0.3">
      <c r="B20" s="34"/>
      <c r="C20" s="35" t="s">
        <v>97</v>
      </c>
      <c r="D20" s="35"/>
      <c r="E20" s="36">
        <f>E16+E18</f>
        <v>1194097</v>
      </c>
      <c r="F20" s="36">
        <f>F16+F18</f>
        <v>1194097</v>
      </c>
      <c r="G20" s="32"/>
      <c r="H20" s="36">
        <f>H16+H18</f>
        <v>1972040</v>
      </c>
      <c r="I20" s="36">
        <f>I16+I18</f>
        <v>1972040</v>
      </c>
      <c r="J20" s="32"/>
      <c r="K20" s="36">
        <f>K16+K18</f>
        <v>-777943</v>
      </c>
      <c r="L20" s="36">
        <f>L16+L18</f>
        <v>-777943</v>
      </c>
      <c r="M20" s="35"/>
    </row>
    <row r="21" spans="2:13" ht="7.5" customHeight="1" x14ac:dyDescent="0.3">
      <c r="B21" s="28"/>
      <c r="C21" s="29"/>
      <c r="D21" s="29"/>
      <c r="E21" s="32"/>
      <c r="F21" s="32"/>
      <c r="G21" s="32"/>
      <c r="H21" s="32"/>
      <c r="I21" s="32"/>
      <c r="J21" s="32"/>
      <c r="K21" s="32"/>
      <c r="L21" s="32"/>
      <c r="M21" s="29"/>
    </row>
    <row r="22" spans="2:13" x14ac:dyDescent="0.3">
      <c r="B22" s="28"/>
      <c r="C22" s="29" t="s">
        <v>177</v>
      </c>
      <c r="D22" s="29"/>
      <c r="E22" s="32">
        <f>SUM(E23:E25)</f>
        <v>1096486</v>
      </c>
      <c r="F22" s="32">
        <f>SUM(F23:F25)</f>
        <v>1096486</v>
      </c>
      <c r="G22" s="32"/>
      <c r="H22" s="32">
        <f>SUM(H23:H25)</f>
        <v>9569374</v>
      </c>
      <c r="I22" s="32">
        <f>SUM(I23:I25)</f>
        <v>9569374</v>
      </c>
      <c r="J22" s="32"/>
      <c r="K22" s="32">
        <f>E22-H22</f>
        <v>-8472888</v>
      </c>
      <c r="L22" s="32">
        <f>F22-I22</f>
        <v>-8472888</v>
      </c>
      <c r="M22" s="29"/>
    </row>
    <row r="23" spans="2:13" x14ac:dyDescent="0.3">
      <c r="B23" s="29" t="s">
        <v>88</v>
      </c>
      <c r="C23" s="29" t="s">
        <v>45</v>
      </c>
      <c r="D23" s="29"/>
      <c r="E23" s="76">
        <f>CHOOSE(B, "GLActual(" &amp; "Account" &amp; "," &amp; $E$4 &amp; "," &amp; $E$9 &amp; "," &amp; $E$5 &amp; "," &amp; "AccountGroupCode" &amp; "," &amp; $B23 &amp; "," &amp; "AccountStructureCode" &amp; "," &amp; "AccountType" &amp; "," &amp; "BalanceType" &amp; "," &amp; $E$6 &amp; "," &amp; $E$7 &amp; ")", CellContents, 1056417,54)</f>
        <v>1056417</v>
      </c>
      <c r="F23" s="32">
        <f>CHOOSE(B, "GLActualYTD(" &amp; "Account" &amp; "," &amp; $E$4 &amp; "," &amp; $E$9 &amp; "," &amp; $E$5 &amp; "," &amp; "AccountGroupCode" &amp; "," &amp; $B23 &amp; "," &amp; "AccountStructureCode" &amp; "," &amp; "AccountType" &amp; "," &amp; "BalanceType" &amp; "," &amp; $E$6 &amp; "," &amp; $E$7 &amp; ")", CellContents, 1056417,54)</f>
        <v>1056417</v>
      </c>
      <c r="G23" s="32"/>
      <c r="H23" s="76">
        <f>CHOOSE(B, "GLActual(" &amp; "Account" &amp; "," &amp; $E$4 &amp; "," &amp; $H$9 &amp; "," &amp; $E$5 &amp; "," &amp; "AccountGroupCode" &amp; "," &amp; $B23 &amp; "," &amp; "AccountStructureCode" &amp; "," &amp; "AccountType" &amp; "," &amp; "BalanceType" &amp; "," &amp; $E$6 &amp; "," &amp; $E$7 &amp; ")", CellContents, 9506365,3)</f>
        <v>9506365</v>
      </c>
      <c r="I23" s="32">
        <f>CHOOSE(B, "GLActualYTD(" &amp; "Account" &amp; "," &amp; $E$4 &amp; "," &amp; $H$9 &amp; "," &amp; $E$5 &amp; "," &amp; "AccountGroupCode" &amp; "," &amp; $B23 &amp; "," &amp; "AccountStructureCode" &amp; "," &amp; "AccountType" &amp; "," &amp; "BalanceType" &amp; "," &amp; $E$6 &amp; "," &amp; $E$7 &amp; ")", CellContents, 9506365,3)</f>
        <v>9506365</v>
      </c>
      <c r="J23" s="32"/>
      <c r="K23" s="32">
        <f t="shared" ref="K23:K25" si="1">E23-H23</f>
        <v>-8449948</v>
      </c>
      <c r="L23" s="32">
        <f t="shared" ref="L23:L25" si="2">F23-I23</f>
        <v>-8449948</v>
      </c>
      <c r="M23" s="29"/>
    </row>
    <row r="24" spans="2:13" x14ac:dyDescent="0.3">
      <c r="B24" s="29" t="s">
        <v>89</v>
      </c>
      <c r="C24" s="29" t="s">
        <v>46</v>
      </c>
      <c r="D24" s="29"/>
      <c r="E24" s="76">
        <f>CHOOSE(B, "GLActual(" &amp; "Account" &amp; "," &amp; $E$4 &amp; "," &amp; $E$9 &amp; "," &amp; $E$5 &amp; "," &amp; "AccountGroupCode" &amp; "," &amp; $B24 &amp; "," &amp; "AccountStructureCode" &amp; "," &amp; "AccountType" &amp; "," &amp; "BalanceType" &amp; "," &amp; $E$6 &amp; "," &amp; $E$7 &amp; ")", CellContents, 40000)</f>
        <v>40000</v>
      </c>
      <c r="F24" s="32">
        <f>CHOOSE(B, "GLActualYTD(" &amp; "Account" &amp; "," &amp; $E$4 &amp; "," &amp; $E$9 &amp; "," &amp; $E$5 &amp; "," &amp; "AccountGroupCode" &amp; "," &amp; $B24 &amp; "," &amp; "AccountStructureCode" &amp; "," &amp; "AccountType" &amp; "," &amp; "BalanceType" &amp; "," &amp; $E$6 &amp; "," &amp; $E$7 &amp; ")", CellContents, 40000)</f>
        <v>40000</v>
      </c>
      <c r="G24" s="32"/>
      <c r="H24" s="76">
        <f>CHOOSE(B, "GLActual(" &amp; "Account" &amp; "," &amp; $E$4 &amp; "," &amp; $H$9 &amp; "," &amp; $E$5 &amp; "," &amp; "AccountGroupCode" &amp; "," &amp; $B24 &amp; "," &amp; "AccountStructureCode" &amp; "," &amp; "AccountType" &amp; "," &amp; "BalanceType" &amp; "," &amp; $E$6 &amp; "," &amp; $E$7 &amp; ")", CellContents, 40000)</f>
        <v>40000</v>
      </c>
      <c r="I24" s="32">
        <f>CHOOSE(B, "GLActualYTD(" &amp; "Account" &amp; "," &amp; $E$4 &amp; "," &amp; $H$9 &amp; "," &amp; $E$5 &amp; "," &amp; "AccountGroupCode" &amp; "," &amp; $B24 &amp; "," &amp; "AccountStructureCode" &amp; "," &amp; "AccountType" &amp; "," &amp; "BalanceType" &amp; "," &amp; $E$6 &amp; "," &amp; $E$7 &amp; ")", CellContents, 40000)</f>
        <v>40000</v>
      </c>
      <c r="J24" s="32"/>
      <c r="K24" s="32">
        <f t="shared" si="1"/>
        <v>0</v>
      </c>
      <c r="L24" s="32">
        <f t="shared" si="2"/>
        <v>0</v>
      </c>
      <c r="M24" s="29"/>
    </row>
    <row r="25" spans="2:13" x14ac:dyDescent="0.3">
      <c r="B25" s="29" t="s">
        <v>90</v>
      </c>
      <c r="C25" s="29" t="s">
        <v>175</v>
      </c>
      <c r="D25" s="29"/>
      <c r="E25" s="76">
        <f>CHOOSE(B, "GLActual(" &amp; "Account" &amp; "," &amp; $E$4 &amp; "," &amp; $E$9 &amp; "," &amp; $E$5 &amp; "," &amp; "AccountGroupCode" &amp; "," &amp; $B25 &amp; "," &amp; "AccountStructureCode" &amp; "," &amp; "AccountType" &amp; "," &amp; "BalanceType" &amp; "," &amp; $E$6 &amp; "," &amp; $E$7 &amp; ")", CellContents, 69,16)</f>
        <v>69</v>
      </c>
      <c r="F25" s="32">
        <f>CHOOSE(B, "GLActualYTD(" &amp; "Account" &amp; "," &amp; $E$4 &amp; "," &amp; $E$9 &amp; "," &amp; $E$5 &amp; "," &amp; "AccountGroupCode" &amp; "," &amp; $B25 &amp; "," &amp; "AccountStructureCode" &amp; "," &amp; "AccountType" &amp; "," &amp; "BalanceType" &amp; "," &amp; $E$6 &amp; "," &amp; $E$7 &amp; ")", CellContents, 69,16)</f>
        <v>69</v>
      </c>
      <c r="G25" s="32"/>
      <c r="H25" s="76">
        <f>CHOOSE(B, "GLActual(" &amp; "Account" &amp; "," &amp; $E$4 &amp; "," &amp; $H$9 &amp; "," &amp; $E$5 &amp; "," &amp; "AccountGroupCode" &amp; "," &amp; $B25 &amp; "," &amp; "AccountStructureCode" &amp; "," &amp; "AccountType" &amp; "," &amp; "BalanceType" &amp; "," &amp; $E$6 &amp; "," &amp; $E$7 &amp; ")", CellContents, 23009,1)</f>
        <v>23009</v>
      </c>
      <c r="I25" s="32">
        <f>CHOOSE(B, "GLActualYTD(" &amp; "Account" &amp; "," &amp; $E$4 &amp; "," &amp; $H$9 &amp; "," &amp; $E$5 &amp; "," &amp; "AccountGroupCode" &amp; "," &amp; $B25 &amp; "," &amp; "AccountStructureCode" &amp; "," &amp; "AccountType" &amp; "," &amp; "BalanceType" &amp; "," &amp; $E$6 &amp; "," &amp; $E$7 &amp; ")", CellContents, 23009,1)</f>
        <v>23009</v>
      </c>
      <c r="J25" s="32"/>
      <c r="K25" s="32">
        <f t="shared" si="1"/>
        <v>-22940</v>
      </c>
      <c r="L25" s="32">
        <f t="shared" si="2"/>
        <v>-22940</v>
      </c>
      <c r="M25" s="29"/>
    </row>
    <row r="26" spans="2:13" s="47" customFormat="1" ht="7.5" customHeight="1" x14ac:dyDescent="0.3">
      <c r="B26" s="51"/>
      <c r="E26" s="32"/>
      <c r="F26" s="32"/>
      <c r="G26" s="32"/>
      <c r="H26" s="32"/>
      <c r="I26" s="32"/>
      <c r="J26" s="32"/>
      <c r="K26" s="32"/>
      <c r="L26" s="32"/>
      <c r="M26" s="41"/>
    </row>
    <row r="27" spans="2:13" ht="7.5" customHeight="1" x14ac:dyDescent="0.3">
      <c r="B27" s="28"/>
      <c r="C27" s="29"/>
      <c r="D27" s="29"/>
      <c r="E27" s="32"/>
      <c r="F27" s="32"/>
      <c r="G27" s="33"/>
      <c r="H27" s="32"/>
      <c r="I27" s="32"/>
      <c r="J27" s="33"/>
      <c r="K27" s="32"/>
      <c r="L27" s="32"/>
      <c r="M27" s="29"/>
    </row>
    <row r="28" spans="2:13" x14ac:dyDescent="0.3">
      <c r="B28" s="28"/>
      <c r="C28" s="35" t="s">
        <v>98</v>
      </c>
      <c r="D28" s="35"/>
      <c r="E28" s="36">
        <f>E20-E22</f>
        <v>97611</v>
      </c>
      <c r="F28" s="36">
        <f>F20-F22</f>
        <v>97611</v>
      </c>
      <c r="G28" s="33"/>
      <c r="H28" s="36">
        <f t="shared" ref="H28:I28" si="3">H20-H22</f>
        <v>-7597334</v>
      </c>
      <c r="I28" s="36">
        <f t="shared" si="3"/>
        <v>-7597334</v>
      </c>
      <c r="J28" s="33"/>
      <c r="K28" s="36">
        <f t="shared" ref="K28:L28" si="4">K20-K22</f>
        <v>7694945</v>
      </c>
      <c r="L28" s="36">
        <f t="shared" si="4"/>
        <v>7694945</v>
      </c>
      <c r="M28" s="29"/>
    </row>
    <row r="29" spans="2:13" ht="7.5" customHeight="1" x14ac:dyDescent="0.3">
      <c r="B29" s="28"/>
      <c r="C29" s="29"/>
      <c r="D29" s="29"/>
      <c r="E29" s="32"/>
      <c r="F29" s="32"/>
      <c r="G29" s="33"/>
      <c r="H29" s="32"/>
      <c r="I29" s="32"/>
      <c r="J29" s="33"/>
      <c r="K29" s="32"/>
      <c r="L29" s="32"/>
      <c r="M29" s="29"/>
    </row>
    <row r="30" spans="2:13" x14ac:dyDescent="0.3">
      <c r="B30" s="29" t="s">
        <v>91</v>
      </c>
      <c r="C30" s="29" t="s">
        <v>47</v>
      </c>
      <c r="D30" s="29"/>
      <c r="E30" s="76">
        <f>CHOOSE(B, "GLActual(" &amp; "Account" &amp; "," &amp; $E$4 &amp; "," &amp; $E$9 &amp; "," &amp; $E$5 &amp; "," &amp; "AccountGroupCode" &amp; "," &amp; $B30 &amp; "," &amp; "AccountStructureCode" &amp; "," &amp; "AccountType" &amp; "," &amp; "BalanceType" &amp; "," &amp; $E$6 &amp; "," &amp; $E$7 &amp; ")", CellContents, 1500)</f>
        <v>1500</v>
      </c>
      <c r="F30" s="32">
        <f>CHOOSE(B, "GLActualYTD(" &amp; "Account" &amp; "," &amp; $E$4 &amp; "," &amp; $E$9 &amp; "," &amp; $E$5 &amp; "," &amp; "AccountGroupCode" &amp; "," &amp; $B30 &amp; "," &amp; "AccountStructureCode" &amp; "," &amp; "AccountType" &amp; "," &amp; "BalanceType" &amp; "," &amp; $E$6 &amp; "," &amp; $E$7 &amp; ")", CellContents, 1500)</f>
        <v>1500</v>
      </c>
      <c r="G30" s="32"/>
      <c r="H30" s="76">
        <f>CHOOSE(B, "GLActual(" &amp; "Account" &amp; "," &amp; $E$4 &amp; "," &amp; $H$9 &amp; "," &amp; $E$5 &amp; "," &amp; "AccountGroupCode" &amp; "," &amp; $B30 &amp; "," &amp; "AccountStructureCode" &amp; "," &amp; "AccountType" &amp; "," &amp; "BalanceType" &amp; "," &amp; $E$6 &amp; "," &amp; $E$7 &amp; ")", CellContents, 1500)</f>
        <v>1500</v>
      </c>
      <c r="I30" s="32">
        <f>CHOOSE(B, "GLActualYTD(" &amp; "Account" &amp; "," &amp; $E$4 &amp; "," &amp; $H$9 &amp; "," &amp; $E$5 &amp; "," &amp; "AccountGroupCode" &amp; "," &amp; $B30 &amp; "," &amp; "AccountStructureCode" &amp; "," &amp; "AccountType" &amp; "," &amp; "BalanceType" &amp; "," &amp; $E$6 &amp; "," &amp; $E$7 &amp; ")", CellContents, 1500)</f>
        <v>1500</v>
      </c>
      <c r="J30" s="33"/>
      <c r="K30" s="32">
        <f t="shared" ref="K30" si="5">E30-H30</f>
        <v>0</v>
      </c>
      <c r="L30" s="32">
        <f t="shared" ref="L30" si="6">F30-I30</f>
        <v>0</v>
      </c>
      <c r="M30" s="29"/>
    </row>
    <row r="31" spans="2:13" ht="7.5" customHeight="1" x14ac:dyDescent="0.3">
      <c r="B31" s="28"/>
      <c r="C31" s="29"/>
      <c r="D31" s="29"/>
      <c r="E31" s="32"/>
      <c r="F31" s="32"/>
      <c r="G31" s="33"/>
      <c r="H31" s="32"/>
      <c r="I31" s="32"/>
      <c r="J31" s="33"/>
      <c r="K31" s="32"/>
      <c r="L31" s="32"/>
      <c r="M31" s="29"/>
    </row>
    <row r="32" spans="2:13" s="49" customFormat="1" x14ac:dyDescent="0.3">
      <c r="B32" s="34"/>
      <c r="C32" s="35" t="s">
        <v>99</v>
      </c>
      <c r="D32" s="35"/>
      <c r="E32" s="36">
        <f>E28-E30</f>
        <v>96111</v>
      </c>
      <c r="F32" s="36">
        <f>F28-F30</f>
        <v>96111</v>
      </c>
      <c r="G32" s="33"/>
      <c r="H32" s="36">
        <f t="shared" ref="H32:I32" si="7">H28-H30</f>
        <v>-7598834</v>
      </c>
      <c r="I32" s="36">
        <f t="shared" si="7"/>
        <v>-7598834</v>
      </c>
      <c r="J32" s="33"/>
      <c r="K32" s="36">
        <f t="shared" ref="K32:L32" si="8">K28-K30</f>
        <v>7694945</v>
      </c>
      <c r="L32" s="36">
        <f t="shared" si="8"/>
        <v>7694945</v>
      </c>
      <c r="M32" s="35"/>
    </row>
    <row r="33" spans="2:13" ht="7.5" customHeight="1" x14ac:dyDescent="0.3">
      <c r="B33" s="28"/>
      <c r="C33" s="29"/>
      <c r="D33" s="29"/>
      <c r="E33" s="32"/>
      <c r="F33" s="32"/>
      <c r="G33" s="33"/>
      <c r="H33" s="32"/>
      <c r="I33" s="32"/>
      <c r="J33" s="33"/>
      <c r="K33" s="32"/>
      <c r="L33" s="32"/>
      <c r="M33" s="29"/>
    </row>
    <row r="34" spans="2:13" x14ac:dyDescent="0.3">
      <c r="B34" s="29" t="s">
        <v>176</v>
      </c>
      <c r="C34" s="29" t="s">
        <v>48</v>
      </c>
      <c r="D34" s="29"/>
      <c r="E34" s="76">
        <f>CHOOSE(B, "GLActual(" &amp; "Account" &amp; "," &amp; $E$4 &amp; "," &amp; $E$9 &amp; "," &amp; $E$5 &amp; "," &amp; "AccountGroupCode" &amp; "," &amp; $B34 &amp; "," &amp; "AccountStructureCode" &amp; "," &amp; "AccountType" &amp; "," &amp; "BalanceType" &amp; "," &amp; $E$6 &amp; "," &amp; $E$7 &amp; ")", CellContents, 8000)</f>
        <v>8000</v>
      </c>
      <c r="F34" s="32">
        <f>CHOOSE(B, "GLActualYTD(" &amp; "Account" &amp; "," &amp; $E$4 &amp; "," &amp; $E$9 &amp; "," &amp; $E$5 &amp; "," &amp; "AccountGroupCode" &amp; "," &amp; $B34 &amp; "," &amp; "AccountStructureCode" &amp; "," &amp; "AccountType" &amp; "," &amp; "BalanceType" &amp; "," &amp; $E$6 &amp; "," &amp; $E$7 &amp; ")", CellContents, 8000)</f>
        <v>8000</v>
      </c>
      <c r="G34" s="32"/>
      <c r="H34" s="76">
        <f>CHOOSE(B, "GLActual(" &amp; "Account" &amp; "," &amp; $E$4 &amp; "," &amp; $H$9 &amp; "," &amp; $E$5 &amp; "," &amp; "AccountGroupCode" &amp; "," &amp; $B34 &amp; "," &amp; "AccountStructureCode" &amp; "," &amp; "AccountType" &amp; "," &amp; "BalanceType" &amp; "," &amp; $E$6 &amp; "," &amp; $E$7 &amp; ")", CellContents, 20000)</f>
        <v>20000</v>
      </c>
      <c r="I34" s="32">
        <f>CHOOSE(B, "GLActualYTD(" &amp; "Account" &amp; "," &amp; $E$4 &amp; "," &amp; $H$9 &amp; "," &amp; $E$5 &amp; "," &amp; "AccountGroupCode" &amp; "," &amp; $B34 &amp; "," &amp; "AccountStructureCode" &amp; "," &amp; "AccountType" &amp; "," &amp; "BalanceType" &amp; "," &amp; $E$6 &amp; "," &amp; $E$7 &amp; ")", CellContents, 20000)</f>
        <v>20000</v>
      </c>
      <c r="J34" s="32"/>
      <c r="K34" s="32">
        <f t="shared" ref="K34" si="9">E34-H34</f>
        <v>-12000</v>
      </c>
      <c r="L34" s="32">
        <f t="shared" ref="L34" si="10">F34-I34</f>
        <v>-12000</v>
      </c>
      <c r="M34" s="29"/>
    </row>
    <row r="35" spans="2:13" ht="7.5" customHeight="1" x14ac:dyDescent="0.3">
      <c r="B35" s="28"/>
      <c r="C35" s="29"/>
      <c r="D35" s="29"/>
      <c r="E35" s="32"/>
      <c r="F35" s="32"/>
      <c r="G35" s="32"/>
      <c r="H35" s="32"/>
      <c r="I35" s="32"/>
      <c r="J35" s="32"/>
      <c r="K35" s="32"/>
      <c r="L35" s="32"/>
      <c r="M35" s="29"/>
    </row>
    <row r="36" spans="2:13" s="49" customFormat="1" x14ac:dyDescent="0.3">
      <c r="B36" s="34"/>
      <c r="C36" s="35" t="s">
        <v>11</v>
      </c>
      <c r="D36" s="35"/>
      <c r="E36" s="36">
        <f>E32-E34</f>
        <v>88111</v>
      </c>
      <c r="F36" s="36">
        <f>F32-F34</f>
        <v>88111</v>
      </c>
      <c r="G36" s="50"/>
      <c r="H36" s="36">
        <f>H32-H34</f>
        <v>-7618834</v>
      </c>
      <c r="I36" s="36">
        <f>I32-I34</f>
        <v>-7618834</v>
      </c>
      <c r="J36" s="50"/>
      <c r="K36" s="36">
        <f>K32-K34</f>
        <v>7706945</v>
      </c>
      <c r="L36" s="36">
        <f>L32-L34</f>
        <v>7706945</v>
      </c>
      <c r="M36" s="35"/>
    </row>
    <row r="37" spans="2:13" x14ac:dyDescent="0.3">
      <c r="B37" s="28"/>
      <c r="C37" s="29"/>
      <c r="D37" s="29"/>
      <c r="E37" s="32"/>
      <c r="F37" s="32"/>
      <c r="G37" s="32"/>
      <c r="H37" s="32"/>
      <c r="I37" s="32"/>
      <c r="J37" s="32"/>
      <c r="K37" s="32"/>
      <c r="L37" s="32"/>
      <c r="M37" s="29"/>
    </row>
    <row r="38" spans="2:13" x14ac:dyDescent="0.3">
      <c r="B38" s="28"/>
      <c r="C38" s="29"/>
      <c r="D38" s="29"/>
      <c r="E38" s="32"/>
      <c r="F38" s="32"/>
      <c r="G38" s="32"/>
      <c r="H38" s="32"/>
      <c r="I38" s="32"/>
      <c r="J38" s="32"/>
      <c r="K38" s="32"/>
      <c r="L38" s="32"/>
      <c r="M38" s="29"/>
    </row>
    <row r="39" spans="2:13" x14ac:dyDescent="0.3">
      <c r="B39" s="28"/>
      <c r="C39" s="29"/>
      <c r="D39" s="29"/>
      <c r="E39" s="32"/>
      <c r="F39" s="32"/>
      <c r="G39" s="32"/>
      <c r="H39" s="32"/>
      <c r="I39" s="32"/>
      <c r="J39" s="32"/>
      <c r="K39" s="32"/>
      <c r="L39" s="32"/>
      <c r="M39" s="29"/>
    </row>
    <row r="40" spans="2:13" x14ac:dyDescent="0.3">
      <c r="B40" s="28"/>
      <c r="C40" s="29"/>
      <c r="D40" s="29"/>
      <c r="E40" s="32"/>
      <c r="F40" s="32"/>
      <c r="G40" s="32"/>
      <c r="H40" s="32"/>
      <c r="I40" s="32"/>
      <c r="J40" s="32"/>
      <c r="K40" s="32"/>
      <c r="L40" s="32"/>
      <c r="M40" s="29"/>
    </row>
    <row r="41" spans="2:13" x14ac:dyDescent="0.3">
      <c r="B41" s="28"/>
      <c r="C41" s="29"/>
      <c r="D41" s="29"/>
      <c r="E41" s="32"/>
      <c r="F41" s="32"/>
      <c r="G41" s="32"/>
      <c r="H41" s="32"/>
      <c r="I41" s="32"/>
      <c r="J41" s="32"/>
      <c r="K41" s="32"/>
      <c r="L41" s="32"/>
      <c r="M41" s="29"/>
    </row>
    <row r="42" spans="2:13" x14ac:dyDescent="0.3">
      <c r="B42" s="28"/>
      <c r="C42" s="29"/>
      <c r="D42" s="29"/>
      <c r="E42" s="32"/>
      <c r="F42" s="32"/>
      <c r="G42" s="32"/>
      <c r="H42" s="32"/>
      <c r="I42" s="32"/>
      <c r="J42" s="32"/>
      <c r="K42" s="32"/>
      <c r="L42" s="32"/>
      <c r="M42" s="29"/>
    </row>
    <row r="43" spans="2:13" x14ac:dyDescent="0.3">
      <c r="B43" s="28"/>
      <c r="C43" s="29"/>
      <c r="D43" s="29"/>
      <c r="E43" s="32"/>
      <c r="F43" s="32"/>
      <c r="G43" s="32"/>
      <c r="H43" s="32"/>
      <c r="I43" s="32"/>
      <c r="J43" s="32"/>
      <c r="K43" s="32"/>
      <c r="L43" s="32"/>
      <c r="M43" s="29"/>
    </row>
    <row r="44" spans="2:13" x14ac:dyDescent="0.3">
      <c r="B44" s="28"/>
      <c r="C44" s="29"/>
      <c r="D44" s="29"/>
      <c r="E44" s="32"/>
      <c r="F44" s="32"/>
      <c r="G44" s="32"/>
      <c r="H44" s="32"/>
      <c r="I44" s="32"/>
      <c r="J44" s="32"/>
      <c r="K44" s="32"/>
      <c r="L44" s="32"/>
      <c r="M44" s="29"/>
    </row>
    <row r="45" spans="2:13" x14ac:dyDescent="0.3">
      <c r="B45" s="28"/>
      <c r="C45" s="29"/>
      <c r="D45" s="29"/>
      <c r="E45" s="32"/>
      <c r="F45" s="32"/>
      <c r="G45" s="32"/>
      <c r="H45" s="32"/>
      <c r="I45" s="32"/>
      <c r="J45" s="32"/>
      <c r="K45" s="32"/>
      <c r="L45" s="32"/>
      <c r="M45" s="29"/>
    </row>
    <row r="46" spans="2:13" x14ac:dyDescent="0.3">
      <c r="B46" s="28"/>
      <c r="C46" s="29"/>
      <c r="D46" s="29"/>
      <c r="E46" s="32"/>
      <c r="F46" s="32"/>
      <c r="G46" s="32"/>
      <c r="H46" s="32"/>
      <c r="I46" s="32"/>
      <c r="J46" s="32"/>
      <c r="K46" s="32"/>
      <c r="L46" s="32"/>
      <c r="M46" s="29"/>
    </row>
    <row r="47" spans="2:13" x14ac:dyDescent="0.3">
      <c r="B47" s="28"/>
      <c r="C47" s="29"/>
      <c r="D47" s="29"/>
      <c r="E47" s="32"/>
      <c r="F47" s="32"/>
      <c r="G47" s="32"/>
      <c r="H47" s="32"/>
      <c r="I47" s="32"/>
      <c r="J47" s="32"/>
      <c r="K47" s="32"/>
      <c r="L47" s="32"/>
      <c r="M47" s="29"/>
    </row>
    <row r="48" spans="2:13" x14ac:dyDescent="0.3">
      <c r="B48" s="28"/>
      <c r="C48" s="29"/>
      <c r="D48" s="29"/>
      <c r="E48" s="32"/>
      <c r="F48" s="32"/>
      <c r="G48" s="32"/>
      <c r="H48" s="32"/>
      <c r="I48" s="32"/>
      <c r="J48" s="32"/>
      <c r="K48" s="32"/>
      <c r="L48" s="32"/>
      <c r="M48" s="29"/>
    </row>
    <row r="49" spans="2:13" x14ac:dyDescent="0.3">
      <c r="B49" s="28"/>
      <c r="C49" s="29"/>
      <c r="D49" s="29"/>
      <c r="E49" s="32"/>
      <c r="F49" s="32"/>
      <c r="G49" s="32"/>
      <c r="H49" s="32"/>
      <c r="I49" s="32"/>
      <c r="J49" s="32"/>
      <c r="K49" s="32"/>
      <c r="L49" s="32"/>
      <c r="M49" s="29"/>
    </row>
    <row r="50" spans="2:13" x14ac:dyDescent="0.3">
      <c r="B50" s="28"/>
      <c r="C50" s="29"/>
      <c r="D50" s="29"/>
      <c r="E50" s="32"/>
      <c r="F50" s="32"/>
      <c r="G50" s="32"/>
      <c r="H50" s="32"/>
      <c r="I50" s="32"/>
      <c r="J50" s="32"/>
      <c r="K50" s="32"/>
      <c r="L50" s="32"/>
      <c r="M50" s="29"/>
    </row>
    <row r="51" spans="2:13" x14ac:dyDescent="0.3">
      <c r="B51" s="28"/>
      <c r="C51" s="29"/>
      <c r="D51" s="29"/>
      <c r="E51" s="32"/>
      <c r="F51" s="32"/>
      <c r="G51" s="32"/>
      <c r="H51" s="32"/>
      <c r="I51" s="32"/>
      <c r="J51" s="32"/>
      <c r="K51" s="32"/>
      <c r="L51" s="32"/>
      <c r="M51" s="29"/>
    </row>
    <row r="52" spans="2:13" x14ac:dyDescent="0.3">
      <c r="B52" s="28"/>
      <c r="C52" s="29"/>
      <c r="D52" s="29"/>
      <c r="E52" s="32"/>
      <c r="F52" s="32"/>
      <c r="G52" s="32"/>
      <c r="H52" s="32"/>
      <c r="I52" s="32"/>
      <c r="J52" s="32"/>
      <c r="K52" s="32"/>
      <c r="L52" s="32"/>
      <c r="M52" s="29"/>
    </row>
    <row r="53" spans="2:13" x14ac:dyDescent="0.3">
      <c r="B53" s="28"/>
      <c r="C53" s="29"/>
      <c r="D53" s="29"/>
      <c r="E53" s="32"/>
      <c r="F53" s="32"/>
      <c r="G53" s="32"/>
      <c r="H53" s="32"/>
      <c r="I53" s="32"/>
      <c r="J53" s="32"/>
      <c r="K53" s="32"/>
      <c r="L53" s="32"/>
      <c r="M53" s="29"/>
    </row>
    <row r="54" spans="2:13" x14ac:dyDescent="0.3">
      <c r="B54" s="28"/>
      <c r="C54" s="29"/>
      <c r="D54" s="29"/>
      <c r="E54" s="32"/>
      <c r="F54" s="32"/>
      <c r="G54" s="32"/>
      <c r="H54" s="32"/>
      <c r="I54" s="32"/>
      <c r="J54" s="32"/>
      <c r="K54" s="32"/>
      <c r="L54" s="32"/>
      <c r="M54" s="29"/>
    </row>
    <row r="55" spans="2:13" x14ac:dyDescent="0.3">
      <c r="B55" s="28"/>
      <c r="C55" s="29"/>
      <c r="D55" s="29"/>
      <c r="E55" s="32"/>
      <c r="F55" s="32"/>
      <c r="G55" s="32"/>
      <c r="H55" s="32"/>
      <c r="I55" s="32"/>
      <c r="J55" s="32"/>
      <c r="K55" s="32"/>
      <c r="L55" s="32"/>
      <c r="M55" s="29"/>
    </row>
    <row r="56" spans="2:13" x14ac:dyDescent="0.3">
      <c r="B56" s="28"/>
      <c r="C56" s="29"/>
      <c r="D56" s="29"/>
      <c r="E56" s="32"/>
      <c r="F56" s="32"/>
      <c r="G56" s="32"/>
      <c r="H56" s="32"/>
      <c r="I56" s="32"/>
      <c r="J56" s="32"/>
      <c r="K56" s="32"/>
      <c r="L56" s="32"/>
      <c r="M56" s="29"/>
    </row>
    <row r="57" spans="2:13" x14ac:dyDescent="0.3">
      <c r="B57" s="28"/>
      <c r="C57" s="29"/>
      <c r="D57" s="29"/>
      <c r="E57" s="32"/>
      <c r="F57" s="32"/>
      <c r="G57" s="32"/>
      <c r="H57" s="32"/>
      <c r="I57" s="32"/>
      <c r="J57" s="32"/>
      <c r="K57" s="32"/>
      <c r="L57" s="32"/>
      <c r="M57" s="29"/>
    </row>
    <row r="58" spans="2:13" x14ac:dyDescent="0.3">
      <c r="B58" s="28"/>
      <c r="C58" s="29"/>
      <c r="D58" s="29"/>
      <c r="E58" s="32"/>
      <c r="F58" s="32"/>
      <c r="G58" s="32"/>
      <c r="H58" s="32"/>
      <c r="I58" s="32"/>
      <c r="J58" s="32"/>
      <c r="K58" s="32"/>
      <c r="L58" s="32"/>
      <c r="M58" s="29"/>
    </row>
    <row r="59" spans="2:13" x14ac:dyDescent="0.3">
      <c r="B59" s="28"/>
      <c r="C59" s="29"/>
      <c r="D59" s="29"/>
      <c r="E59" s="32"/>
      <c r="F59" s="32"/>
      <c r="G59" s="32"/>
      <c r="H59" s="32"/>
      <c r="I59" s="32"/>
      <c r="J59" s="32"/>
      <c r="K59" s="32"/>
      <c r="L59" s="32"/>
      <c r="M59" s="29"/>
    </row>
    <row r="60" spans="2:13" x14ac:dyDescent="0.3">
      <c r="B60" s="28"/>
      <c r="C60" s="29"/>
      <c r="D60" s="29"/>
      <c r="E60" s="32"/>
      <c r="F60" s="32"/>
      <c r="G60" s="32"/>
      <c r="H60" s="32"/>
      <c r="I60" s="32"/>
      <c r="J60" s="32"/>
      <c r="K60" s="32"/>
      <c r="L60" s="32"/>
      <c r="M60" s="29"/>
    </row>
    <row r="61" spans="2:13" x14ac:dyDescent="0.3">
      <c r="B61" s="28"/>
      <c r="C61" s="29"/>
      <c r="D61" s="29"/>
      <c r="E61" s="32"/>
      <c r="F61" s="32"/>
      <c r="G61" s="32"/>
      <c r="H61" s="32"/>
      <c r="I61" s="32"/>
      <c r="J61" s="32"/>
      <c r="K61" s="32"/>
      <c r="L61" s="32"/>
      <c r="M61" s="29"/>
    </row>
    <row r="62" spans="2:13" x14ac:dyDescent="0.3">
      <c r="B62" s="28"/>
      <c r="C62" s="29"/>
      <c r="D62" s="29"/>
      <c r="E62" s="32"/>
      <c r="F62" s="32"/>
      <c r="G62" s="32"/>
      <c r="H62" s="32"/>
      <c r="I62" s="32"/>
      <c r="J62" s="32"/>
      <c r="K62" s="32"/>
      <c r="L62" s="32"/>
      <c r="M62" s="29"/>
    </row>
    <row r="63" spans="2:13" x14ac:dyDescent="0.3">
      <c r="B63" s="28"/>
      <c r="C63" s="29"/>
      <c r="D63" s="29"/>
      <c r="E63" s="32"/>
      <c r="F63" s="32"/>
      <c r="G63" s="32"/>
      <c r="H63" s="32"/>
      <c r="I63" s="32"/>
      <c r="J63" s="32"/>
      <c r="K63" s="32"/>
      <c r="L63" s="32"/>
      <c r="M63" s="29"/>
    </row>
    <row r="64" spans="2:13" x14ac:dyDescent="0.3">
      <c r="B64" s="28"/>
      <c r="C64" s="29"/>
      <c r="D64" s="29"/>
      <c r="E64" s="32"/>
      <c r="F64" s="32"/>
      <c r="G64" s="32"/>
      <c r="H64" s="32"/>
      <c r="I64" s="32"/>
      <c r="J64" s="32"/>
      <c r="K64" s="32"/>
      <c r="L64" s="32"/>
      <c r="M64" s="29"/>
    </row>
    <row r="65" spans="2:13" x14ac:dyDescent="0.3">
      <c r="B65" s="28"/>
      <c r="C65" s="29"/>
      <c r="D65" s="29"/>
      <c r="E65" s="32"/>
      <c r="F65" s="32"/>
      <c r="G65" s="32"/>
      <c r="H65" s="32"/>
      <c r="I65" s="32"/>
      <c r="J65" s="32"/>
      <c r="K65" s="32"/>
      <c r="L65" s="32"/>
      <c r="M65" s="29"/>
    </row>
    <row r="66" spans="2:13" x14ac:dyDescent="0.3">
      <c r="B66" s="28"/>
      <c r="C66" s="29"/>
      <c r="D66" s="29"/>
      <c r="E66" s="32"/>
      <c r="F66" s="32"/>
      <c r="G66" s="32"/>
      <c r="H66" s="32"/>
      <c r="I66" s="32"/>
      <c r="J66" s="32"/>
      <c r="K66" s="32"/>
      <c r="L66" s="32"/>
      <c r="M66" s="29"/>
    </row>
    <row r="67" spans="2:13" x14ac:dyDescent="0.3">
      <c r="B67" s="28"/>
      <c r="C67" s="29"/>
      <c r="D67" s="29"/>
      <c r="E67" s="32"/>
      <c r="F67" s="32"/>
      <c r="G67" s="32"/>
      <c r="H67" s="32"/>
      <c r="I67" s="32"/>
      <c r="J67" s="32"/>
      <c r="K67" s="32"/>
      <c r="L67" s="32"/>
      <c r="M67" s="29"/>
    </row>
    <row r="68" spans="2:13" x14ac:dyDescent="0.3">
      <c r="B68" s="28"/>
      <c r="C68" s="29"/>
      <c r="D68" s="29"/>
      <c r="E68" s="32"/>
      <c r="F68" s="32"/>
      <c r="G68" s="32"/>
      <c r="H68" s="32"/>
      <c r="I68" s="32"/>
      <c r="J68" s="32"/>
      <c r="K68" s="32"/>
      <c r="L68" s="32"/>
      <c r="M68" s="29"/>
    </row>
    <row r="69" spans="2:13" x14ac:dyDescent="0.3">
      <c r="B69" s="28"/>
      <c r="C69" s="29"/>
      <c r="D69" s="29"/>
      <c r="E69" s="32"/>
      <c r="F69" s="32"/>
      <c r="G69" s="32"/>
      <c r="H69" s="32"/>
      <c r="I69" s="32"/>
      <c r="J69" s="32"/>
      <c r="K69" s="32"/>
      <c r="L69" s="32"/>
      <c r="M69" s="29"/>
    </row>
    <row r="70" spans="2:13" x14ac:dyDescent="0.3">
      <c r="B70" s="28"/>
      <c r="C70" s="29"/>
      <c r="D70" s="29"/>
      <c r="E70" s="32"/>
      <c r="F70" s="32"/>
      <c r="G70" s="32"/>
      <c r="H70" s="32"/>
      <c r="I70" s="32"/>
      <c r="J70" s="32"/>
      <c r="K70" s="32"/>
      <c r="L70" s="32"/>
      <c r="M70" s="29"/>
    </row>
    <row r="71" spans="2:13" x14ac:dyDescent="0.3">
      <c r="B71" s="28"/>
      <c r="C71" s="29"/>
      <c r="D71" s="29"/>
      <c r="E71" s="32"/>
      <c r="F71" s="32"/>
      <c r="G71" s="32"/>
      <c r="H71" s="32"/>
      <c r="I71" s="32"/>
      <c r="J71" s="32"/>
      <c r="K71" s="32"/>
      <c r="L71" s="32"/>
      <c r="M71" s="29"/>
    </row>
    <row r="72" spans="2:13" x14ac:dyDescent="0.3">
      <c r="B72" s="28"/>
      <c r="C72" s="29"/>
      <c r="D72" s="29"/>
      <c r="E72" s="32"/>
      <c r="F72" s="32"/>
      <c r="G72" s="32"/>
      <c r="H72" s="32"/>
      <c r="I72" s="32"/>
      <c r="J72" s="32"/>
      <c r="K72" s="32"/>
      <c r="L72" s="32"/>
      <c r="M72" s="29"/>
    </row>
    <row r="73" spans="2:13" x14ac:dyDescent="0.3">
      <c r="B73" s="28"/>
      <c r="C73" s="29"/>
      <c r="D73" s="29"/>
      <c r="E73" s="32"/>
      <c r="F73" s="32"/>
      <c r="G73" s="32"/>
      <c r="H73" s="32"/>
      <c r="I73" s="32"/>
      <c r="J73" s="32"/>
      <c r="K73" s="32"/>
      <c r="L73" s="32"/>
      <c r="M73" s="29"/>
    </row>
    <row r="74" spans="2:13" x14ac:dyDescent="0.3">
      <c r="B74" s="28"/>
      <c r="C74" s="29"/>
      <c r="D74" s="29"/>
      <c r="E74" s="32"/>
      <c r="F74" s="32"/>
      <c r="G74" s="32"/>
      <c r="H74" s="32"/>
      <c r="I74" s="32"/>
      <c r="J74" s="32"/>
      <c r="K74" s="32"/>
      <c r="L74" s="32"/>
      <c r="M74" s="29"/>
    </row>
    <row r="75" spans="2:13" x14ac:dyDescent="0.3">
      <c r="B75" s="28"/>
      <c r="C75" s="29"/>
      <c r="D75" s="29"/>
      <c r="E75" s="29"/>
      <c r="F75" s="29"/>
      <c r="G75" s="29"/>
      <c r="H75" s="29"/>
      <c r="I75" s="29"/>
      <c r="J75" s="29"/>
      <c r="K75" s="29"/>
      <c r="L75" s="29"/>
      <c r="M75" s="29"/>
    </row>
    <row r="76" spans="2:13" x14ac:dyDescent="0.3">
      <c r="B76" s="28"/>
      <c r="C76" s="29"/>
      <c r="D76" s="29"/>
      <c r="E76" s="29"/>
      <c r="F76" s="29"/>
      <c r="G76" s="29"/>
      <c r="H76" s="29"/>
      <c r="I76" s="29"/>
      <c r="J76" s="29"/>
      <c r="K76" s="29"/>
      <c r="L76" s="29"/>
      <c r="M76" s="29"/>
    </row>
    <row r="77" spans="2:13" x14ac:dyDescent="0.3">
      <c r="B77" s="28"/>
      <c r="C77" s="29"/>
      <c r="D77" s="29"/>
      <c r="E77" s="29"/>
      <c r="F77" s="29"/>
      <c r="G77" s="29"/>
      <c r="H77" s="29"/>
      <c r="I77" s="29"/>
      <c r="J77" s="29"/>
      <c r="K77" s="29"/>
      <c r="L77" s="29"/>
      <c r="M77" s="29"/>
    </row>
    <row r="78" spans="2:13" x14ac:dyDescent="0.3">
      <c r="B78" s="28"/>
      <c r="C78" s="29"/>
      <c r="D78" s="29"/>
      <c r="E78" s="29"/>
      <c r="F78" s="29"/>
      <c r="G78" s="29"/>
      <c r="H78" s="29"/>
      <c r="I78" s="29"/>
      <c r="J78" s="29"/>
      <c r="K78" s="29"/>
      <c r="L78" s="29"/>
      <c r="M78" s="29"/>
    </row>
    <row r="79" spans="2:13" x14ac:dyDescent="0.3">
      <c r="B79" s="28"/>
      <c r="C79" s="29"/>
      <c r="D79" s="29"/>
      <c r="E79" s="29"/>
      <c r="F79" s="29"/>
      <c r="G79" s="29"/>
      <c r="H79" s="29"/>
      <c r="I79" s="29"/>
      <c r="J79" s="29"/>
      <c r="K79" s="29"/>
      <c r="L79" s="29"/>
      <c r="M79" s="29"/>
    </row>
    <row r="80" spans="2:13" x14ac:dyDescent="0.3">
      <c r="B80" s="28"/>
      <c r="C80" s="29"/>
      <c r="D80" s="29"/>
      <c r="E80" s="29"/>
      <c r="F80" s="29"/>
      <c r="G80" s="29"/>
      <c r="H80" s="29"/>
      <c r="I80" s="29"/>
      <c r="J80" s="29"/>
      <c r="K80" s="29"/>
      <c r="L80" s="29"/>
      <c r="M80" s="29"/>
    </row>
    <row r="81" spans="2:13" x14ac:dyDescent="0.3">
      <c r="B81" s="28"/>
      <c r="C81" s="29"/>
      <c r="D81" s="29"/>
      <c r="E81" s="29"/>
      <c r="F81" s="29"/>
      <c r="G81" s="29"/>
      <c r="H81" s="29"/>
      <c r="I81" s="29"/>
      <c r="J81" s="29"/>
      <c r="K81" s="29"/>
      <c r="L81" s="29"/>
      <c r="M81" s="29"/>
    </row>
    <row r="82" spans="2:13" x14ac:dyDescent="0.3">
      <c r="B82" s="28"/>
      <c r="C82" s="29"/>
      <c r="D82" s="29"/>
      <c r="E82" s="29"/>
      <c r="F82" s="29"/>
      <c r="G82" s="29"/>
      <c r="H82" s="29"/>
      <c r="I82" s="29"/>
      <c r="J82" s="29"/>
      <c r="K82" s="29"/>
      <c r="L82" s="29"/>
      <c r="M82" s="29"/>
    </row>
    <row r="83" spans="2:13" x14ac:dyDescent="0.3">
      <c r="B83" s="28"/>
      <c r="C83" s="29"/>
      <c r="D83" s="29"/>
      <c r="E83" s="29"/>
      <c r="F83" s="29"/>
      <c r="G83" s="29"/>
      <c r="H83" s="29"/>
      <c r="I83" s="29"/>
      <c r="J83" s="29"/>
      <c r="K83" s="29"/>
      <c r="L83" s="29"/>
      <c r="M83" s="29"/>
    </row>
    <row r="84" spans="2:13" x14ac:dyDescent="0.3">
      <c r="B84" s="28"/>
      <c r="C84" s="29"/>
      <c r="D84" s="29"/>
      <c r="E84" s="29"/>
      <c r="F84" s="29"/>
      <c r="G84" s="29"/>
      <c r="H84" s="29"/>
      <c r="I84" s="29"/>
      <c r="J84" s="29"/>
      <c r="K84" s="29"/>
      <c r="L84" s="29"/>
      <c r="M84" s="29"/>
    </row>
    <row r="85" spans="2:13" x14ac:dyDescent="0.3">
      <c r="B85" s="28"/>
      <c r="C85" s="29"/>
      <c r="D85" s="29"/>
      <c r="E85" s="29"/>
      <c r="F85" s="29"/>
      <c r="G85" s="29"/>
      <c r="H85" s="29"/>
      <c r="I85" s="29"/>
      <c r="J85" s="29"/>
      <c r="K85" s="29"/>
      <c r="L85" s="29"/>
      <c r="M85" s="29"/>
    </row>
    <row r="86" spans="2:13" x14ac:dyDescent="0.3">
      <c r="B86" s="28"/>
      <c r="C86" s="29"/>
      <c r="D86" s="29"/>
      <c r="E86" s="29"/>
      <c r="F86" s="29"/>
      <c r="G86" s="29"/>
      <c r="H86" s="29"/>
      <c r="I86" s="29"/>
      <c r="J86" s="29"/>
      <c r="K86" s="29"/>
      <c r="L86" s="29"/>
      <c r="M86" s="29"/>
    </row>
    <row r="87" spans="2:13" x14ac:dyDescent="0.3">
      <c r="B87" s="28"/>
      <c r="C87" s="29"/>
      <c r="D87" s="29"/>
      <c r="E87" s="29"/>
      <c r="F87" s="29"/>
      <c r="G87" s="29"/>
      <c r="H87" s="29"/>
      <c r="I87" s="29"/>
      <c r="J87" s="29"/>
      <c r="K87" s="29"/>
      <c r="L87" s="29"/>
      <c r="M87" s="29"/>
    </row>
    <row r="88" spans="2:13" x14ac:dyDescent="0.3">
      <c r="B88" s="28"/>
      <c r="C88" s="29"/>
      <c r="D88" s="29"/>
      <c r="E88" s="29"/>
      <c r="F88" s="29"/>
      <c r="G88" s="29"/>
      <c r="H88" s="29"/>
      <c r="I88" s="29"/>
      <c r="J88" s="29"/>
      <c r="K88" s="29"/>
      <c r="L88" s="29"/>
      <c r="M88" s="29"/>
    </row>
    <row r="89" spans="2:13" x14ac:dyDescent="0.3">
      <c r="B89" s="28"/>
      <c r="C89" s="29"/>
      <c r="D89" s="29"/>
      <c r="E89" s="29"/>
      <c r="F89" s="29"/>
      <c r="G89" s="29"/>
      <c r="H89" s="29"/>
      <c r="I89" s="29"/>
      <c r="J89" s="29"/>
      <c r="K89" s="29"/>
      <c r="L89" s="29"/>
      <c r="M89" s="29"/>
    </row>
    <row r="90" spans="2:13" x14ac:dyDescent="0.3">
      <c r="B90" s="28"/>
      <c r="C90" s="29"/>
      <c r="D90" s="29"/>
      <c r="E90" s="29"/>
      <c r="F90" s="29"/>
      <c r="G90" s="29"/>
      <c r="H90" s="29"/>
      <c r="I90" s="29"/>
      <c r="J90" s="29"/>
      <c r="K90" s="29"/>
      <c r="L90" s="29"/>
      <c r="M90" s="29"/>
    </row>
    <row r="91" spans="2:13" x14ac:dyDescent="0.3">
      <c r="B91" s="28"/>
      <c r="C91" s="29"/>
      <c r="D91" s="29"/>
      <c r="E91" s="29"/>
      <c r="F91" s="29"/>
      <c r="G91" s="29"/>
      <c r="H91" s="29"/>
      <c r="I91" s="29"/>
      <c r="J91" s="29"/>
      <c r="K91" s="29"/>
      <c r="L91" s="29"/>
      <c r="M91" s="29"/>
    </row>
  </sheetData>
  <mergeCells count="2">
    <mergeCell ref="K9:L9"/>
    <mergeCell ref="H3:K6"/>
  </mergeCells>
  <dataValidations count="3">
    <dataValidation type="list" allowBlank="1" showInputMessage="1" showErrorMessage="1" sqref="E4">
      <formula1>CompaniesTemplate</formula1>
    </dataValidation>
    <dataValidation type="list" allowBlank="1" showInputMessage="1" showErrorMessage="1" sqref="E5">
      <formula1>Periods</formula1>
    </dataValidation>
    <dataValidation type="list" allowBlank="1" showInputMessage="1" sqref="H9 E9">
      <formula1>FiscalYearsTemplate</formula1>
    </dataValidation>
  </dataValidations>
  <hyperlinks>
    <hyperlink ref="B2" location="Home!A1" tooltip="Click to navigate to the Home sheet." display="ß"/>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heetPr>
  <dimension ref="B1:T77"/>
  <sheetViews>
    <sheetView showGridLines="0" topLeftCell="C1" zoomScale="90" zoomScaleNormal="90" workbookViewId="0">
      <selection activeCell="C1" sqref="C1"/>
    </sheetView>
  </sheetViews>
  <sheetFormatPr defaultRowHeight="16.5" x14ac:dyDescent="0.3"/>
  <cols>
    <col min="1" max="1" width="2.85546875" style="12" customWidth="1"/>
    <col min="2" max="2" width="6" style="12" customWidth="1"/>
    <col min="3" max="3" width="37.28515625" style="12" customWidth="1"/>
    <col min="4" max="4" width="0.42578125" style="12" customWidth="1"/>
    <col min="5" max="19" width="13.28515625" style="12" customWidth="1"/>
    <col min="20" max="16384" width="9.140625" style="12"/>
  </cols>
  <sheetData>
    <row r="1" spans="2:20" ht="15" customHeight="1" x14ac:dyDescent="0.3"/>
    <row r="2" spans="2:20" ht="33.75" customHeight="1" x14ac:dyDescent="0.7">
      <c r="B2" s="91" t="s">
        <v>154</v>
      </c>
      <c r="C2" s="13" t="str">
        <f>CONCATENATE(E3," Income Statement")</f>
        <v>0 Income Statement</v>
      </c>
      <c r="D2" s="13"/>
    </row>
    <row r="3" spans="2:20" x14ac:dyDescent="0.3">
      <c r="B3" s="11"/>
      <c r="C3" s="14" t="s">
        <v>26</v>
      </c>
      <c r="D3" s="14"/>
      <c r="E3" s="66">
        <f>INDEX(Companies,1)</f>
        <v>0</v>
      </c>
      <c r="G3" s="128" t="s">
        <v>205</v>
      </c>
      <c r="H3" s="128"/>
      <c r="I3" s="128"/>
      <c r="J3" s="128"/>
    </row>
    <row r="4" spans="2:20" x14ac:dyDescent="0.3">
      <c r="B4" s="11"/>
      <c r="C4" s="14" t="s">
        <v>56</v>
      </c>
      <c r="E4" s="68">
        <f>CHOOSE(B, "GLCurrentYear(" &amp; $E$3 &amp; ")", CellContents, 2020)</f>
        <v>2020</v>
      </c>
      <c r="G4" s="128"/>
      <c r="H4" s="128"/>
      <c r="I4" s="128"/>
      <c r="J4" s="128"/>
    </row>
    <row r="5" spans="2:20" x14ac:dyDescent="0.3">
      <c r="B5" s="11"/>
      <c r="C5" s="14" t="s">
        <v>25</v>
      </c>
      <c r="D5" s="14"/>
      <c r="E5" s="69">
        <f>CHOOSE(B, "GLCurrentPeriod(" &amp; $E$3 &amp; ")", CellContents, 1)</f>
        <v>1</v>
      </c>
      <c r="G5" s="128"/>
      <c r="H5" s="128"/>
      <c r="I5" s="128"/>
      <c r="J5" s="128"/>
    </row>
    <row r="6" spans="2:20" x14ac:dyDescent="0.3">
      <c r="B6" s="11"/>
      <c r="C6" s="14" t="s">
        <v>27</v>
      </c>
      <c r="D6" s="14"/>
      <c r="E6" s="15" t="str">
        <f>CHOOSE(B, "GLHomeCurrency(" &amp; $E$3 &amp; ")", CellContents, "CAD")</f>
        <v>CAD</v>
      </c>
      <c r="G6" s="128"/>
      <c r="H6" s="128"/>
      <c r="I6" s="128"/>
      <c r="J6" s="128"/>
    </row>
    <row r="7" spans="2:20" x14ac:dyDescent="0.3">
      <c r="B7" s="11"/>
      <c r="C7" s="14" t="s">
        <v>28</v>
      </c>
      <c r="D7" s="14"/>
      <c r="E7" s="15" t="s">
        <v>29</v>
      </c>
    </row>
    <row r="8" spans="2:20" ht="7.5" customHeight="1" x14ac:dyDescent="0.3">
      <c r="B8" s="11"/>
      <c r="C8" s="16"/>
      <c r="D8" s="16"/>
      <c r="E8" s="17"/>
    </row>
    <row r="9" spans="2:20" ht="15.75" customHeight="1" x14ac:dyDescent="0.3">
      <c r="B9" s="11"/>
      <c r="C9" s="16"/>
      <c r="D9" s="16"/>
      <c r="E9" s="92" t="s">
        <v>21</v>
      </c>
      <c r="F9" s="92"/>
      <c r="G9" s="92"/>
      <c r="H9" s="92"/>
      <c r="I9" s="92"/>
      <c r="J9" s="92"/>
      <c r="K9" s="92"/>
      <c r="L9" s="92"/>
      <c r="M9" s="92"/>
      <c r="N9" s="92"/>
      <c r="O9" s="92"/>
      <c r="P9" s="92"/>
      <c r="Q9" s="92"/>
      <c r="R9" s="92"/>
      <c r="S9" s="129" t="str">
        <f>CONCATENATE("YTD as of Period ",E5)</f>
        <v>YTD as of Period 1</v>
      </c>
    </row>
    <row r="10" spans="2:20" x14ac:dyDescent="0.3">
      <c r="B10" s="11"/>
      <c r="E10" s="48">
        <v>1</v>
      </c>
      <c r="F10" s="48">
        <v>2</v>
      </c>
      <c r="G10" s="48">
        <v>3</v>
      </c>
      <c r="H10" s="48">
        <v>4</v>
      </c>
      <c r="I10" s="48">
        <v>5</v>
      </c>
      <c r="J10" s="48">
        <v>6</v>
      </c>
      <c r="K10" s="48">
        <v>7</v>
      </c>
      <c r="L10" s="48">
        <v>8</v>
      </c>
      <c r="M10" s="48">
        <v>9</v>
      </c>
      <c r="N10" s="48">
        <v>10</v>
      </c>
      <c r="O10" s="48">
        <v>11</v>
      </c>
      <c r="P10" s="48">
        <v>12</v>
      </c>
      <c r="Q10" s="48">
        <v>13</v>
      </c>
      <c r="R10" s="48">
        <v>14</v>
      </c>
      <c r="S10" s="129"/>
    </row>
    <row r="11" spans="2:20" customFormat="1" ht="8.25" customHeight="1" x14ac:dyDescent="0.25"/>
    <row r="12" spans="2:20" x14ac:dyDescent="0.3">
      <c r="B12" s="29" t="s">
        <v>85</v>
      </c>
      <c r="C12" s="29" t="s">
        <v>43</v>
      </c>
      <c r="D12" s="29"/>
      <c r="E12" s="32">
        <f>CHOOSE(B, "-GLActual(" &amp; "Account" &amp; "," &amp; $E$3 &amp; "," &amp; $E$4 &amp; "," &amp; E$10 &amp; "," &amp; "AccountGroupCode" &amp; "," &amp; $B12 &amp; "," &amp; "AccountStructureCode" &amp; "," &amp; "AccountType" &amp; "," &amp; "BalanceType" &amp; "," &amp; $E$6 &amp; "," &amp; $E$7 &amp; ")", CellContents, 1670480,55)</f>
        <v>1670480</v>
      </c>
      <c r="F12" s="32">
        <f>CHOOSE(B, "-GLActual(" &amp; "Account" &amp; "," &amp; $E$3 &amp; "," &amp; $E$4 &amp; "," &amp; F$10 &amp; "," &amp; "AccountGroupCode" &amp; "," &amp; $B12 &amp; "," &amp; "AccountStructureCode" &amp; "," &amp; "AccountType" &amp; "," &amp; "BalanceType" &amp; "," &amp; $E$6 &amp; "," &amp; $E$7 &amp; ")", CellContents, 1889808,25)</f>
        <v>1889808</v>
      </c>
      <c r="G12" s="32">
        <f>CHOOSE(B, "-GLActual(" &amp; "Account" &amp; "," &amp; $E$3 &amp; "," &amp; $E$4 &amp; "," &amp; G$10 &amp; "," &amp; "AccountGroupCode" &amp; "," &amp; $B12 &amp; "," &amp; "AccountStructureCode" &amp; "," &amp; "AccountType" &amp; "," &amp; "BalanceType" &amp; "," &amp; $E$6 &amp; "," &amp; $E$7 &amp; ")", CellContents, 1995180,78)</f>
        <v>1995180</v>
      </c>
      <c r="H12" s="32">
        <f>CHOOSE(B, "-GLActual(" &amp; "Account" &amp; "," &amp; $E$3 &amp; "," &amp; $E$4 &amp; "," &amp; H$10 &amp; "," &amp; "AccountGroupCode" &amp; "," &amp; $B12 &amp; "," &amp; "AccountStructureCode" &amp; "," &amp; "AccountType" &amp; "," &amp; "BalanceType" &amp; "," &amp; $E$6 &amp; "," &amp; $E$7 &amp; ")", CellContents, 2081967,76)</f>
        <v>2081967</v>
      </c>
      <c r="I12" s="32">
        <f>CHOOSE(B, "-GLActual(" &amp; "Account" &amp; "," &amp; $E$3 &amp; "," &amp; $E$4 &amp; "," &amp; I$10 &amp; "," &amp; "AccountGroupCode" &amp; "," &amp; $B12 &amp; "," &amp; "AccountStructureCode" &amp; "," &amp; "AccountType" &amp; "," &amp; "BalanceType" &amp; "," &amp; $E$6 &amp; "," &amp; $E$7 &amp; ")", CellContents, 2505387,31)</f>
        <v>2505387</v>
      </c>
      <c r="J12" s="32">
        <f>CHOOSE(B, "-GLActual(" &amp; "Account" &amp; "," &amp; $E$3 &amp; "," &amp; $E$4 &amp; "," &amp; J$10 &amp; "," &amp; "AccountGroupCode" &amp; "," &amp; $B12 &amp; "," &amp; "AccountStructureCode" &amp; "," &amp; "AccountType" &amp; "," &amp; "BalanceType" &amp; "," &amp; $E$6 &amp; "," &amp; $E$7 &amp; ")", CellContents, 6072,99)</f>
        <v>6072</v>
      </c>
      <c r="K12" s="32">
        <f>CHOOSE(B, "-GLActual(" &amp; "Account" &amp; "," &amp; $E$3 &amp; "," &amp; $E$4 &amp; "," &amp; K$10 &amp; "," &amp; "AccountGroupCode" &amp; "," &amp; $B12 &amp; "," &amp; "AccountStructureCode" &amp; "," &amp; "AccountType" &amp; "," &amp; "BalanceType" &amp; "," &amp; $E$6 &amp; "," &amp; $E$7 &amp; ")", CellContents, 4730,32)</f>
        <v>4730</v>
      </c>
      <c r="L12" s="32">
        <f>CHOOSE(B, "-GLActual(" &amp; "Account" &amp; "," &amp; $E$3 &amp; "," &amp; $E$4 &amp; "," &amp; L$10 &amp; "," &amp; "AccountGroupCode" &amp; "," &amp; $B12 &amp; "," &amp; "AccountStructureCode" &amp; "," &amp; "AccountType" &amp; "," &amp; "BalanceType" &amp; "," &amp; $E$6 &amp; "," &amp; $E$7 &amp; ")", CellContents, -150)</f>
        <v>-150</v>
      </c>
      <c r="M12" s="32">
        <f t="shared" ref="M12:R12" si="0">CHOOSE(B, "-GLActual(" &amp; "Account" &amp; "," &amp; $E$3 &amp; "," &amp; $E$4 &amp; "," &amp; M$10 &amp; "," &amp; "AccountGroupCode" &amp; "," &amp; $B12 &amp; "," &amp; "AccountStructureCode" &amp; "," &amp; "AccountType" &amp; "," &amp; "BalanceType" &amp; "," &amp; $E$6 &amp; "," &amp; $E$7 &amp; ")", CellContents, 0)</f>
        <v>0</v>
      </c>
      <c r="N12" s="32">
        <f t="shared" si="0"/>
        <v>0</v>
      </c>
      <c r="O12" s="32">
        <f t="shared" si="0"/>
        <v>0</v>
      </c>
      <c r="P12" s="32">
        <f t="shared" si="0"/>
        <v>0</v>
      </c>
      <c r="Q12" s="32">
        <f t="shared" si="0"/>
        <v>0</v>
      </c>
      <c r="R12" s="32">
        <f t="shared" si="0"/>
        <v>0</v>
      </c>
      <c r="S12" s="32">
        <f>CHOOSE(B, "-GLActualYTD(" &amp; "Account" &amp; "," &amp; $E$3 &amp; "," &amp; $E$4 &amp; "," &amp; $E$5 &amp; "," &amp; "AccountGroupCode" &amp; "," &amp; $B$12 &amp; "," &amp; "AccountStructureCode" &amp; "," &amp; "AccountType" &amp; "," &amp; "BalanceType" &amp; "," &amp; $E$6 &amp; "," &amp; $E$7 &amp; ")", CellContents, 1670480,55)</f>
        <v>1670480</v>
      </c>
      <c r="T12" s="52"/>
    </row>
    <row r="13" spans="2:20" x14ac:dyDescent="0.3">
      <c r="B13" s="28"/>
      <c r="C13" s="29"/>
      <c r="D13" s="29"/>
      <c r="E13" s="32"/>
      <c r="F13" s="32"/>
      <c r="G13" s="32"/>
      <c r="H13" s="32"/>
      <c r="I13" s="32"/>
      <c r="J13" s="32"/>
      <c r="K13" s="32"/>
      <c r="L13" s="32"/>
      <c r="M13" s="32"/>
      <c r="N13" s="32"/>
      <c r="O13" s="32"/>
      <c r="P13" s="32"/>
      <c r="Q13" s="32"/>
      <c r="R13" s="32"/>
      <c r="S13" s="52"/>
      <c r="T13" s="52"/>
    </row>
    <row r="14" spans="2:20" x14ac:dyDescent="0.3">
      <c r="B14" s="29" t="s">
        <v>86</v>
      </c>
      <c r="C14" s="29" t="s">
        <v>10</v>
      </c>
      <c r="D14" s="29"/>
      <c r="E14" s="32">
        <f>CHOOSE(B, "GLActual(" &amp; "Account" &amp; "," &amp; $E$3 &amp; "," &amp; $E$4 &amp; "," &amp; E$10 &amp; "," &amp; "AccountGroupCode" &amp; "," &amp; $B14 &amp; "," &amp; "AccountStructureCode" &amp; "," &amp; "AccountType" &amp; "," &amp; "BalanceType" &amp; "," &amp; $E$6 &amp; "," &amp; $E$7 &amp; ")", CellContents, 677189,92)</f>
        <v>677189</v>
      </c>
      <c r="F14" s="32">
        <f>CHOOSE(B, "GLActual(" &amp; "Account" &amp; "," &amp; $E$3 &amp; "," &amp; $E$4 &amp; "," &amp; F$10 &amp; "," &amp; "AccountGroupCode" &amp; "," &amp; $B14 &amp; "," &amp; "AccountStructureCode" &amp; "," &amp; "AccountType" &amp; "," &amp; "BalanceType" &amp; "," &amp; $E$6 &amp; "," &amp; $E$7 &amp; ")", CellContents, 867064,25)</f>
        <v>867064</v>
      </c>
      <c r="G14" s="32">
        <f>CHOOSE(B, "GLActual(" &amp; "Account" &amp; "," &amp; $E$3 &amp; "," &amp; $E$4 &amp; "," &amp; G$10 &amp; "," &amp; "AccountGroupCode" &amp; "," &amp; $B14 &amp; "," &amp; "AccountStructureCode" &amp; "," &amp; "AccountType" &amp; "," &amp; "BalanceType" &amp; "," &amp; $E$6 &amp; "," &amp; $E$7 &amp; ")", CellContents, 887656,57)</f>
        <v>887656</v>
      </c>
      <c r="H14" s="32">
        <f>CHOOSE(B, "GLActual(" &amp; "Account" &amp; "," &amp; $E$3 &amp; "," &amp; $E$4 &amp; "," &amp; H$10 &amp; "," &amp; "AccountGroupCode" &amp; "," &amp; $B14 &amp; "," &amp; "AccountStructureCode" &amp; "," &amp; "AccountType" &amp; "," &amp; "BalanceType" &amp; "," &amp; $E$6 &amp; "," &amp; $E$7 &amp; ")", CellContents, 1052670,8)</f>
        <v>1052670</v>
      </c>
      <c r="I14" s="32">
        <f>CHOOSE(B, "GLActual(" &amp; "Account" &amp; "," &amp; $E$3 &amp; "," &amp; $E$4 &amp; "," &amp; I$10 &amp; "," &amp; "AccountGroupCode" &amp; "," &amp; $B14 &amp; "," &amp; "AccountStructureCode" &amp; "," &amp; "AccountType" &amp; "," &amp; "BalanceType" &amp; "," &amp; $E$6 &amp; "," &amp; $E$7 &amp; ")", CellContents, 1135168,85)</f>
        <v>1135168</v>
      </c>
      <c r="J14" s="32">
        <f>CHOOSE(B, "GLActual(" &amp; "Account" &amp; "," &amp; $E$3 &amp; "," &amp; $E$4 &amp; "," &amp; J$10 &amp; "," &amp; "AccountGroupCode" &amp; "," &amp; $B14 &amp; "," &amp; "AccountStructureCode" &amp; "," &amp; "AccountType" &amp; "," &amp; "BalanceType" &amp; "," &amp; $E$6 &amp; "," &amp; $E$7 &amp; ")", CellContents, 1829,47)</f>
        <v>1829</v>
      </c>
      <c r="K14" s="32">
        <f>CHOOSE(B, "GLActual(" &amp; "Account" &amp; "," &amp; $E$3 &amp; "," &amp; $E$4 &amp; "," &amp; K$10 &amp; "," &amp; "AccountGroupCode" &amp; "," &amp; $B14 &amp; "," &amp; "AccountStructureCode" &amp; "," &amp; "AccountType" &amp; "," &amp; "BalanceType" &amp; "," &amp; $E$6 &amp; "," &amp; $E$7 &amp; ")", CellContents, 1026,93)</f>
        <v>1026</v>
      </c>
      <c r="L14" s="32">
        <f>CHOOSE(B, "GLActual(" &amp; "Account" &amp; "," &amp; $E$3 &amp; "," &amp; $E$4 &amp; "," &amp; L$10 &amp; "," &amp; "AccountGroupCode" &amp; "," &amp; $B14 &amp; "," &amp; "AccountStructureCode" &amp; "," &amp; "AccountType" &amp; "," &amp; "BalanceType" &amp; "," &amp; $E$6 &amp; "," &amp; $E$7 &amp; ")", CellContents, 227,31)</f>
        <v>227</v>
      </c>
      <c r="M14" s="32">
        <f t="shared" ref="M14:R14" si="1">CHOOSE(B, "GLActual(" &amp; "Account" &amp; "," &amp; $E$3 &amp; "," &amp; $E$4 &amp; "," &amp; M$10 &amp; "," &amp; "AccountGroupCode" &amp; "," &amp; $B14 &amp; "," &amp; "AccountStructureCode" &amp; "," &amp; "AccountType" &amp; "," &amp; "BalanceType" &amp; "," &amp; $E$6 &amp; "," &amp; $E$7 &amp; ")", CellContents, 0)</f>
        <v>0</v>
      </c>
      <c r="N14" s="32">
        <f t="shared" si="1"/>
        <v>0</v>
      </c>
      <c r="O14" s="32">
        <f t="shared" si="1"/>
        <v>0</v>
      </c>
      <c r="P14" s="32">
        <f t="shared" si="1"/>
        <v>0</v>
      </c>
      <c r="Q14" s="32">
        <f t="shared" si="1"/>
        <v>0</v>
      </c>
      <c r="R14" s="32">
        <f t="shared" si="1"/>
        <v>0</v>
      </c>
      <c r="S14" s="32">
        <f>CHOOSE(B, "GLActualYTD(" &amp; "Account" &amp; "," &amp; $E$3 &amp; "," &amp; $E$4 &amp; "," &amp; $E$5 &amp; "," &amp; "AccountGroupCode" &amp; "," &amp; $B14 &amp; "," &amp; "AccountStructureCode" &amp; "," &amp; "AccountType" &amp; "," &amp; "BalanceType" &amp; "," &amp; $E$6 &amp; "," &amp; $E$7 &amp; ")", CellContents, 677189,92)</f>
        <v>677189</v>
      </c>
      <c r="T14" s="52"/>
    </row>
    <row r="15" spans="2:20" x14ac:dyDescent="0.3">
      <c r="B15" s="28"/>
      <c r="C15" s="29"/>
      <c r="D15" s="29"/>
      <c r="E15" s="32"/>
      <c r="F15" s="32"/>
      <c r="G15" s="32"/>
      <c r="H15" s="32"/>
      <c r="I15" s="32"/>
      <c r="J15" s="32"/>
      <c r="K15" s="32"/>
      <c r="L15" s="32"/>
      <c r="M15" s="32"/>
      <c r="N15" s="32"/>
      <c r="O15" s="32"/>
      <c r="P15" s="32"/>
      <c r="Q15" s="32"/>
      <c r="R15" s="32"/>
      <c r="S15" s="52"/>
      <c r="T15" s="52"/>
    </row>
    <row r="16" spans="2:20" x14ac:dyDescent="0.3">
      <c r="B16" s="34"/>
      <c r="C16" s="35" t="s">
        <v>96</v>
      </c>
      <c r="D16" s="29"/>
      <c r="E16" s="36">
        <f>E12-E14</f>
        <v>993291</v>
      </c>
      <c r="F16" s="36">
        <f t="shared" ref="F16:S16" si="2">F12-F14</f>
        <v>1022744</v>
      </c>
      <c r="G16" s="36">
        <f t="shared" si="2"/>
        <v>1107524</v>
      </c>
      <c r="H16" s="36">
        <f t="shared" si="2"/>
        <v>1029297</v>
      </c>
      <c r="I16" s="36">
        <f t="shared" si="2"/>
        <v>1370219</v>
      </c>
      <c r="J16" s="36">
        <f t="shared" si="2"/>
        <v>4243</v>
      </c>
      <c r="K16" s="36">
        <f t="shared" si="2"/>
        <v>3704</v>
      </c>
      <c r="L16" s="36">
        <f t="shared" si="2"/>
        <v>-377</v>
      </c>
      <c r="M16" s="36">
        <f t="shared" si="2"/>
        <v>0</v>
      </c>
      <c r="N16" s="36">
        <f t="shared" si="2"/>
        <v>0</v>
      </c>
      <c r="O16" s="36">
        <f t="shared" si="2"/>
        <v>0</v>
      </c>
      <c r="P16" s="36">
        <f t="shared" si="2"/>
        <v>0</v>
      </c>
      <c r="Q16" s="36">
        <f t="shared" si="2"/>
        <v>0</v>
      </c>
      <c r="R16" s="36">
        <f t="shared" si="2"/>
        <v>0</v>
      </c>
      <c r="S16" s="36">
        <f t="shared" si="2"/>
        <v>993291</v>
      </c>
      <c r="T16" s="52"/>
    </row>
    <row r="17" spans="2:20" x14ac:dyDescent="0.3">
      <c r="B17" s="28"/>
      <c r="C17" s="29"/>
      <c r="D17" s="29"/>
      <c r="E17" s="32"/>
      <c r="F17" s="32"/>
      <c r="G17" s="32"/>
      <c r="H17" s="32"/>
      <c r="I17" s="32"/>
      <c r="J17" s="32"/>
      <c r="K17" s="32"/>
      <c r="L17" s="32"/>
      <c r="M17" s="32"/>
      <c r="N17" s="32"/>
      <c r="O17" s="32"/>
      <c r="P17" s="32"/>
      <c r="Q17" s="32"/>
      <c r="R17" s="32"/>
      <c r="S17" s="52"/>
      <c r="T17" s="52"/>
    </row>
    <row r="18" spans="2:20" x14ac:dyDescent="0.3">
      <c r="B18" s="29" t="s">
        <v>87</v>
      </c>
      <c r="C18" s="29" t="s">
        <v>44</v>
      </c>
      <c r="D18" s="29"/>
      <c r="E18" s="32">
        <f>CHOOSE(B, "-GLActual(" &amp; "Account" &amp; "," &amp; $E$3 &amp; "," &amp; $E$4 &amp; "," &amp; E$10 &amp; "," &amp; "AccountGroupCode" &amp; "," &amp; $B18 &amp; "," &amp; "AccountStructureCode" &amp; "," &amp; "AccountType" &amp; "," &amp; "BalanceType" &amp; "," &amp; $E$6 &amp; "," &amp; $E$7 &amp; ")", CellContents, 200806,55)</f>
        <v>200806</v>
      </c>
      <c r="F18" s="32">
        <f>CHOOSE(B, "-GLActual(" &amp; "Account" &amp; "," &amp; $E$3 &amp; "," &amp; $E$4 &amp; "," &amp; F$10 &amp; "," &amp; "AccountGroupCode" &amp; "," &amp; $B18 &amp; "," &amp; "AccountStructureCode" &amp; "," &amp; "AccountType" &amp; "," &amp; "BalanceType" &amp; "," &amp; $E$6 &amp; "," &amp; $E$7 &amp; ")", CellContents, 230927,55)</f>
        <v>230927</v>
      </c>
      <c r="G18" s="32">
        <f>CHOOSE(B, "-GLActual(" &amp; "Account" &amp; "," &amp; $E$3 &amp; "," &amp; $E$4 &amp; "," &amp; G$10 &amp; "," &amp; "AccountGroupCode" &amp; "," &amp; $B18 &amp; "," &amp; "AccountStructureCode" &amp; "," &amp; "AccountType" &amp; "," &amp; "BalanceType" &amp; "," &amp; $E$6 &amp; "," &amp; $E$7 &amp; ")", CellContents, 235519,14)</f>
        <v>235519</v>
      </c>
      <c r="H18" s="32">
        <f>CHOOSE(B, "-GLActual(" &amp; "Account" &amp; "," &amp; $E$3 &amp; "," &amp; $E$4 &amp; "," &amp; H$10 &amp; "," &amp; "AccountGroupCode" &amp; "," &amp; $B18 &amp; "," &amp; "AccountStructureCode" &amp; "," &amp; "AccountType" &amp; "," &amp; "BalanceType" &amp; "," &amp; $E$6 &amp; "," &amp; $E$7 &amp; ")", CellContents, 247323,46)</f>
        <v>247323</v>
      </c>
      <c r="I18" s="32">
        <f>CHOOSE(B, "-GLActual(" &amp; "Account" &amp; "," &amp; $E$3 &amp; "," &amp; $E$4 &amp; "," &amp; I$10 &amp; "," &amp; "AccountGroupCode" &amp; "," &amp; $B18 &amp; "," &amp; "AccountStructureCode" &amp; "," &amp; "AccountType" &amp; "," &amp; "BalanceType" &amp; "," &amp; $E$6 &amp; "," &amp; $E$7 &amp; ")", CellContents, 296788,16)</f>
        <v>296788</v>
      </c>
      <c r="J18" s="32">
        <f>CHOOSE(B, "-GLActual(" &amp; "Account" &amp; "," &amp; $E$3 &amp; "," &amp; $E$4 &amp; "," &amp; J$10 &amp; "," &amp; "AccountGroupCode" &amp; "," &amp; $B18 &amp; "," &amp; "AccountStructureCode" &amp; "," &amp; "AccountType" &amp; "," &amp; "BalanceType" &amp; "," &amp; $E$6 &amp; "," &amp; $E$7 &amp; ")", CellContents, 2787,3)</f>
        <v>2787</v>
      </c>
      <c r="K18" s="32">
        <f>CHOOSE(B, "-GLActual(" &amp; "Account" &amp; "," &amp; $E$3 &amp; "," &amp; $E$4 &amp; "," &amp; K$10 &amp; "," &amp; "AccountGroupCode" &amp; "," &amp; $B18 &amp; "," &amp; "AccountStructureCode" &amp; "," &amp; "AccountType" &amp; "," &amp; "BalanceType" &amp; "," &amp; $E$6 &amp; "," &amp; $E$7 &amp; ")", CellContents, 1077)</f>
        <v>1077</v>
      </c>
      <c r="L18" s="32">
        <f>CHOOSE(B, "-GLActual(" &amp; "Account" &amp; "," &amp; $E$3 &amp; "," &amp; $E$4 &amp; "," &amp; L$10 &amp; "," &amp; "AccountGroupCode" &amp; "," &amp; $B18 &amp; "," &amp; "AccountStructureCode" &amp; "," &amp; "AccountType" &amp; "," &amp; "BalanceType" &amp; "," &amp; $E$6 &amp; "," &amp; $E$7 &amp; ")", CellContents, 494,58)</f>
        <v>494</v>
      </c>
      <c r="M18" s="32">
        <f t="shared" ref="M18:R18" si="3">CHOOSE(B, "-GLActual(" &amp; "Account" &amp; "," &amp; $E$3 &amp; "," &amp; $E$4 &amp; "," &amp; M$10 &amp; "," &amp; "AccountGroupCode" &amp; "," &amp; $B18 &amp; "," &amp; "AccountStructureCode" &amp; "," &amp; "AccountType" &amp; "," &amp; "BalanceType" &amp; "," &amp; $E$6 &amp; "," &amp; $E$7 &amp; ")", CellContents, 0)</f>
        <v>0</v>
      </c>
      <c r="N18" s="32">
        <f t="shared" si="3"/>
        <v>0</v>
      </c>
      <c r="O18" s="32">
        <f t="shared" si="3"/>
        <v>0</v>
      </c>
      <c r="P18" s="32">
        <f t="shared" si="3"/>
        <v>0</v>
      </c>
      <c r="Q18" s="32">
        <f t="shared" si="3"/>
        <v>0</v>
      </c>
      <c r="R18" s="32">
        <f t="shared" si="3"/>
        <v>0</v>
      </c>
      <c r="S18" s="32">
        <f>CHOOSE(B, "-GLActualYTD(" &amp; "Account" &amp; "," &amp; $E$3 &amp; "," &amp; $E$4 &amp; "," &amp; $E$5 &amp; "," &amp; "AccountGroupCode" &amp; "," &amp; $B18 &amp; "," &amp; "AccountStructureCode" &amp; "," &amp; "AccountType" &amp; "," &amp; "BalanceType" &amp; "," &amp; $E$6 &amp; "," &amp; $E$7 &amp; ")", CellContents, 200806,55)</f>
        <v>200806</v>
      </c>
      <c r="T18" s="52"/>
    </row>
    <row r="19" spans="2:20" x14ac:dyDescent="0.3">
      <c r="B19" s="34"/>
      <c r="C19" s="49"/>
      <c r="D19" s="49"/>
      <c r="E19" s="50"/>
      <c r="F19" s="50"/>
      <c r="G19" s="50"/>
      <c r="H19" s="50"/>
      <c r="I19" s="50"/>
      <c r="J19" s="50"/>
      <c r="K19" s="50"/>
      <c r="L19" s="50"/>
      <c r="M19" s="50"/>
      <c r="N19" s="50"/>
      <c r="O19" s="50"/>
      <c r="P19" s="50"/>
      <c r="Q19" s="50"/>
      <c r="R19" s="50"/>
      <c r="S19" s="52"/>
      <c r="T19" s="52"/>
    </row>
    <row r="20" spans="2:20" x14ac:dyDescent="0.3">
      <c r="B20" s="34"/>
      <c r="C20" s="35" t="s">
        <v>97</v>
      </c>
      <c r="D20" s="35"/>
      <c r="E20" s="36">
        <f>E16+E18</f>
        <v>1194097</v>
      </c>
      <c r="F20" s="36">
        <f t="shared" ref="F20:S20" si="4">F16+F18</f>
        <v>1253671</v>
      </c>
      <c r="G20" s="36">
        <f t="shared" si="4"/>
        <v>1343043</v>
      </c>
      <c r="H20" s="36">
        <f t="shared" si="4"/>
        <v>1276620</v>
      </c>
      <c r="I20" s="36">
        <f t="shared" si="4"/>
        <v>1667007</v>
      </c>
      <c r="J20" s="36">
        <f t="shared" si="4"/>
        <v>7030</v>
      </c>
      <c r="K20" s="36">
        <f t="shared" si="4"/>
        <v>4781</v>
      </c>
      <c r="L20" s="36">
        <f t="shared" si="4"/>
        <v>117</v>
      </c>
      <c r="M20" s="36">
        <f t="shared" si="4"/>
        <v>0</v>
      </c>
      <c r="N20" s="36">
        <f t="shared" si="4"/>
        <v>0</v>
      </c>
      <c r="O20" s="36">
        <f t="shared" si="4"/>
        <v>0</v>
      </c>
      <c r="P20" s="36">
        <f t="shared" si="4"/>
        <v>0</v>
      </c>
      <c r="Q20" s="36">
        <f t="shared" si="4"/>
        <v>0</v>
      </c>
      <c r="R20" s="36">
        <f t="shared" si="4"/>
        <v>0</v>
      </c>
      <c r="S20" s="36">
        <f t="shared" si="4"/>
        <v>1194097</v>
      </c>
      <c r="T20" s="52"/>
    </row>
    <row r="21" spans="2:20" x14ac:dyDescent="0.3">
      <c r="B21" s="28"/>
      <c r="C21" s="29"/>
      <c r="D21" s="29"/>
      <c r="E21" s="32"/>
      <c r="F21" s="32"/>
      <c r="G21" s="32"/>
      <c r="H21" s="32"/>
      <c r="I21" s="32"/>
      <c r="J21" s="32"/>
      <c r="K21" s="32"/>
      <c r="L21" s="32"/>
      <c r="M21" s="32"/>
      <c r="N21" s="32"/>
      <c r="O21" s="32"/>
      <c r="P21" s="32"/>
      <c r="Q21" s="32"/>
      <c r="R21" s="32"/>
      <c r="S21" s="52"/>
      <c r="T21" s="52"/>
    </row>
    <row r="22" spans="2:20" x14ac:dyDescent="0.3">
      <c r="B22" s="28"/>
      <c r="C22" s="29" t="s">
        <v>45</v>
      </c>
      <c r="D22" s="29"/>
      <c r="E22" s="32">
        <f>SUM(E23:E25)</f>
        <v>1096486</v>
      </c>
      <c r="F22" s="32">
        <f t="shared" ref="F22:S22" si="5">SUM(F23:F25)</f>
        <v>1052792</v>
      </c>
      <c r="G22" s="32">
        <f t="shared" si="5"/>
        <v>1094841</v>
      </c>
      <c r="H22" s="32">
        <f t="shared" si="5"/>
        <v>1074113</v>
      </c>
      <c r="I22" s="32">
        <f t="shared" si="5"/>
        <v>1297181</v>
      </c>
      <c r="J22" s="32">
        <f t="shared" si="5"/>
        <v>4084</v>
      </c>
      <c r="K22" s="32">
        <f t="shared" si="5"/>
        <v>20596</v>
      </c>
      <c r="L22" s="32">
        <f t="shared" si="5"/>
        <v>-302</v>
      </c>
      <c r="M22" s="32">
        <f t="shared" si="5"/>
        <v>0</v>
      </c>
      <c r="N22" s="32">
        <f t="shared" si="5"/>
        <v>0</v>
      </c>
      <c r="O22" s="32">
        <f t="shared" si="5"/>
        <v>0</v>
      </c>
      <c r="P22" s="32">
        <f t="shared" si="5"/>
        <v>0</v>
      </c>
      <c r="Q22" s="32">
        <f t="shared" si="5"/>
        <v>0</v>
      </c>
      <c r="R22" s="32">
        <f t="shared" si="5"/>
        <v>0</v>
      </c>
      <c r="S22" s="32">
        <f t="shared" si="5"/>
        <v>1096486</v>
      </c>
      <c r="T22" s="52"/>
    </row>
    <row r="23" spans="2:20" x14ac:dyDescent="0.3">
      <c r="B23" s="29" t="s">
        <v>88</v>
      </c>
      <c r="C23" s="29" t="s">
        <v>45</v>
      </c>
      <c r="D23" s="29"/>
      <c r="E23" s="32">
        <f>CHOOSE(B, "GLActual(" &amp; "Account" &amp; "," &amp; $E$3 &amp; "," &amp; $E$4 &amp; "," &amp; E$10 &amp; "," &amp; "AccountGroupCode" &amp; "," &amp; $B23 &amp; "," &amp; "AccountStructureCode" &amp; "," &amp; "AccountType" &amp; "," &amp; "BalanceType" &amp; "," &amp; $E$6 &amp; "," &amp; $E$7 &amp; ")", CellContents, 1056417,54)</f>
        <v>1056417</v>
      </c>
      <c r="F23" s="32">
        <f>CHOOSE(B, "GLActual(" &amp; "Account" &amp; "," &amp; $E$3 &amp; "," &amp; $E$4 &amp; "," &amp; F$10 &amp; "," &amp; "AccountGroupCode" &amp; "," &amp; $B23 &amp; "," &amp; "AccountStructureCode" &amp; "," &amp; "AccountType" &amp; "," &amp; "BalanceType" &amp; "," &amp; $E$6 &amp; "," &amp; $E$7 &amp; ")", CellContents, 1007792,57)</f>
        <v>1007792</v>
      </c>
      <c r="G23" s="32">
        <f>CHOOSE(B, "GLActual(" &amp; "Account" &amp; "," &amp; $E$3 &amp; "," &amp; $E$4 &amp; "," &amp; G$10 &amp; "," &amp; "AccountGroupCode" &amp; "," &amp; $B23 &amp; "," &amp; "AccountStructureCode" &amp; "," &amp; "AccountType" &amp; "," &amp; "BalanceType" &amp; "," &amp; $E$6 &amp; "," &amp; $E$7 &amp; ")", CellContents, 1045135,37)</f>
        <v>1045135</v>
      </c>
      <c r="H23" s="32">
        <f>CHOOSE(B, "GLActual(" &amp; "Account" &amp; "," &amp; $E$3 &amp; "," &amp; $E$4 &amp; "," &amp; H$10 &amp; "," &amp; "AccountGroupCode" &amp; "," &amp; $B23 &amp; "," &amp; "AccountStructureCode" &amp; "," &amp; "AccountType" &amp; "," &amp; "BalanceType" &amp; "," &amp; $E$6 &amp; "," &amp; $E$7 &amp; ")", CellContents, 1019101,71)</f>
        <v>1019101</v>
      </c>
      <c r="I23" s="32">
        <f>CHOOSE(B, "GLActual(" &amp; "Account" &amp; "," &amp; $E$3 &amp; "," &amp; $E$4 &amp; "," &amp; I$10 &amp; "," &amp; "AccountGroupCode" &amp; "," &amp; $B23 &amp; "," &amp; "AccountStructureCode" &amp; "," &amp; "AccountType" &amp; "," &amp; "BalanceType" &amp; "," &amp; $E$6 &amp; "," &amp; $E$7 &amp; ")", CellContents, 1236292,11)</f>
        <v>1236292</v>
      </c>
      <c r="J23" s="32">
        <f>CHOOSE(B, "GLActual(" &amp; "Account" &amp; "," &amp; $E$3 &amp; "," &amp; $E$4 &amp; "," &amp; J$10 &amp; "," &amp; "AccountGroupCode" &amp; "," &amp; $B23 &amp; "," &amp; "AccountStructureCode" &amp; "," &amp; "AccountType" &amp; "," &amp; "BalanceType" &amp; "," &amp; $E$6 &amp; "," &amp; $E$7 &amp; ")", CellContents, 4018,53)</f>
        <v>4018</v>
      </c>
      <c r="K23" s="32">
        <f>CHOOSE(B, "GLActual(" &amp; "Account" &amp; "," &amp; $E$3 &amp; "," &amp; $E$4 &amp; "," &amp; K$10 &amp; "," &amp; "AccountGroupCode" &amp; "," &amp; $B23 &amp; "," &amp; "AccountStructureCode" &amp; "," &amp; "AccountType" &amp; "," &amp; "BalanceType" &amp; "," &amp; $E$6 &amp; "," &amp; $E$7 &amp; ")", CellContents, 20592,74)</f>
        <v>20592</v>
      </c>
      <c r="L23" s="32">
        <f>CHOOSE(B, "GLActual(" &amp; "Account" &amp; "," &amp; $E$3 &amp; "," &amp; $E$4 &amp; "," &amp; L$10 &amp; "," &amp; "AccountGroupCode" &amp; "," &amp; $B23 &amp; "," &amp; "AccountStructureCode" &amp; "," &amp; "AccountType" &amp; "," &amp; "BalanceType" &amp; "," &amp; $E$6 &amp; "," &amp; $E$7 &amp; ")", CellContents, -302,4)</f>
        <v>-302</v>
      </c>
      <c r="M23" s="32">
        <f t="shared" ref="M23:R25" si="6">CHOOSE(B, "GLActual(" &amp; "Account" &amp; "," &amp; $E$3 &amp; "," &amp; $E$4 &amp; "," &amp; M$10 &amp; "," &amp; "AccountGroupCode" &amp; "," &amp; $B23 &amp; "," &amp; "AccountStructureCode" &amp; "," &amp; "AccountType" &amp; "," &amp; "BalanceType" &amp; "," &amp; $E$6 &amp; "," &amp; $E$7 &amp; ")", CellContents, 0)</f>
        <v>0</v>
      </c>
      <c r="N23" s="32">
        <f t="shared" si="6"/>
        <v>0</v>
      </c>
      <c r="O23" s="32">
        <f t="shared" si="6"/>
        <v>0</v>
      </c>
      <c r="P23" s="32">
        <f t="shared" si="6"/>
        <v>0</v>
      </c>
      <c r="Q23" s="32">
        <f t="shared" si="6"/>
        <v>0</v>
      </c>
      <c r="R23" s="32">
        <f t="shared" si="6"/>
        <v>0</v>
      </c>
      <c r="S23" s="32">
        <f>CHOOSE(B, "GLActualYTD(" &amp; "Account" &amp; "," &amp; $E$3 &amp; "," &amp; $E$4 &amp; "," &amp; $E$5 &amp; "," &amp; "AccountGroupCode" &amp; "," &amp; $B23 &amp; "," &amp; "AccountStructureCode" &amp; "," &amp; "AccountType" &amp; "," &amp; "BalanceType" &amp; "," &amp; $E$6 &amp; "," &amp; $E$7 &amp; ")", CellContents, 1056417,54)</f>
        <v>1056417</v>
      </c>
      <c r="T23" s="52"/>
    </row>
    <row r="24" spans="2:20" x14ac:dyDescent="0.3">
      <c r="B24" s="29" t="s">
        <v>89</v>
      </c>
      <c r="C24" s="29" t="s">
        <v>46</v>
      </c>
      <c r="D24" s="29"/>
      <c r="E24" s="32">
        <f>CHOOSE(B, "GLActual(" &amp; "Account" &amp; "," &amp; $E$3 &amp; "," &amp; $E$4 &amp; "," &amp; E$10 &amp; "," &amp; "AccountGroupCode" &amp; "," &amp; $B24 &amp; "," &amp; "AccountStructureCode" &amp; "," &amp; "AccountType" &amp; "," &amp; "BalanceType" &amp; "," &amp; $E$6 &amp; "," &amp; $E$7 &amp; ")", CellContents, 40000)</f>
        <v>40000</v>
      </c>
      <c r="F24" s="32">
        <f>CHOOSE(B, "GLActual(" &amp; "Account" &amp; "," &amp; $E$3 &amp; "," &amp; $E$4 &amp; "," &amp; F$10 &amp; "," &amp; "AccountGroupCode" &amp; "," &amp; $B24 &amp; "," &amp; "AccountStructureCode" &amp; "," &amp; "AccountType" &amp; "," &amp; "BalanceType" &amp; "," &amp; $E$6 &amp; "," &amp; $E$7 &amp; ")", CellContents, 45000)</f>
        <v>45000</v>
      </c>
      <c r="G24" s="32">
        <f>CHOOSE(B, "GLActual(" &amp; "Account" &amp; "," &amp; $E$3 &amp; "," &amp; $E$4 &amp; "," &amp; G$10 &amp; "," &amp; "AccountGroupCode" &amp; "," &amp; $B24 &amp; "," &amp; "AccountStructureCode" &amp; "," &amp; "AccountType" &amp; "," &amp; "BalanceType" &amp; "," &amp; $E$6 &amp; "," &amp; $E$7 &amp; ")", CellContents, 50000)</f>
        <v>50000</v>
      </c>
      <c r="H24" s="32">
        <f>CHOOSE(B, "GLActual(" &amp; "Account" &amp; "," &amp; $E$3 &amp; "," &amp; $E$4 &amp; "," &amp; H$10 &amp; "," &amp; "AccountGroupCode" &amp; "," &amp; $B24 &amp; "," &amp; "AccountStructureCode" &amp; "," &amp; "AccountType" &amp; "," &amp; "BalanceType" &amp; "," &amp; $E$6 &amp; "," &amp; $E$7 &amp; ")", CellContents, 55000)</f>
        <v>55000</v>
      </c>
      <c r="I24" s="32">
        <f>CHOOSE(B, "GLActual(" &amp; "Account" &amp; "," &amp; $E$3 &amp; "," &amp; $E$4 &amp; "," &amp; I$10 &amp; "," &amp; "AccountGroupCode" &amp; "," &amp; $B24 &amp; "," &amp; "AccountStructureCode" &amp; "," &amp; "AccountType" &amp; "," &amp; "BalanceType" &amp; "," &amp; $E$6 &amp; "," &amp; $E$7 &amp; ")", CellContents, 60000)</f>
        <v>60000</v>
      </c>
      <c r="J24" s="32">
        <f>CHOOSE(B, "GLActual(" &amp; "Account" &amp; "," &amp; $E$3 &amp; "," &amp; $E$4 &amp; "," &amp; J$10 &amp; "," &amp; "AccountGroupCode" &amp; "," &amp; $B24 &amp; "," &amp; "AccountStructureCode" &amp; "," &amp; "AccountType" &amp; "," &amp; "BalanceType" &amp; "," &amp; $E$6 &amp; "," &amp; $E$7 &amp; ")", CellContents, 0)</f>
        <v>0</v>
      </c>
      <c r="K24" s="32">
        <f>CHOOSE(B, "GLActual(" &amp; "Account" &amp; "," &amp; $E$3 &amp; "," &amp; $E$4 &amp; "," &amp; K$10 &amp; "," &amp; "AccountGroupCode" &amp; "," &amp; $B24 &amp; "," &amp; "AccountStructureCode" &amp; "," &amp; "AccountType" &amp; "," &amp; "BalanceType" &amp; "," &amp; $E$6 &amp; "," &amp; $E$7 &amp; ")", CellContents, 0)</f>
        <v>0</v>
      </c>
      <c r="L24" s="32">
        <f>CHOOSE(B, "GLActual(" &amp; "Account" &amp; "," &amp; $E$3 &amp; "," &amp; $E$4 &amp; "," &amp; L$10 &amp; "," &amp; "AccountGroupCode" &amp; "," &amp; $B24 &amp; "," &amp; "AccountStructureCode" &amp; "," &amp; "AccountType" &amp; "," &amp; "BalanceType" &amp; "," &amp; $E$6 &amp; "," &amp; $E$7 &amp; ")", CellContents, 0)</f>
        <v>0</v>
      </c>
      <c r="M24" s="32">
        <f t="shared" si="6"/>
        <v>0</v>
      </c>
      <c r="N24" s="32">
        <f t="shared" si="6"/>
        <v>0</v>
      </c>
      <c r="O24" s="32">
        <f t="shared" si="6"/>
        <v>0</v>
      </c>
      <c r="P24" s="32">
        <f t="shared" si="6"/>
        <v>0</v>
      </c>
      <c r="Q24" s="32">
        <f t="shared" si="6"/>
        <v>0</v>
      </c>
      <c r="R24" s="32">
        <f t="shared" si="6"/>
        <v>0</v>
      </c>
      <c r="S24" s="32">
        <f>CHOOSE(B, "GLActualYTD(" &amp; "Account" &amp; "," &amp; $E$3 &amp; "," &amp; $E$4 &amp; "," &amp; $E$5 &amp; "," &amp; "AccountGroupCode" &amp; "," &amp; $B24 &amp; "," &amp; "AccountStructureCode" &amp; "," &amp; "AccountType" &amp; "," &amp; "BalanceType" &amp; "," &amp; $E$6 &amp; "," &amp; $E$7 &amp; ")", CellContents, 40000)</f>
        <v>40000</v>
      </c>
      <c r="T24" s="52"/>
    </row>
    <row r="25" spans="2:20" x14ac:dyDescent="0.3">
      <c r="B25" s="29" t="s">
        <v>90</v>
      </c>
      <c r="C25" s="29" t="s">
        <v>175</v>
      </c>
      <c r="D25" s="29"/>
      <c r="E25" s="32">
        <f>CHOOSE(B, "GLActual(" &amp; "Account" &amp; "," &amp; $E$3 &amp; "," &amp; $E$4 &amp; "," &amp; E$10 &amp; "," &amp; "AccountGroupCode" &amp; "," &amp; $B25 &amp; "," &amp; "AccountStructureCode" &amp; "," &amp; "AccountType" &amp; "," &amp; "BalanceType" &amp; "," &amp; $E$6 &amp; "," &amp; $E$7 &amp; ")", CellContents, 69,16)</f>
        <v>69</v>
      </c>
      <c r="F25" s="32">
        <f>CHOOSE(B, "GLActual(" &amp; "Account" &amp; "," &amp; $E$3 &amp; "," &amp; $E$4 &amp; "," &amp; F$10 &amp; "," &amp; "AccountGroupCode" &amp; "," &amp; $B25 &amp; "," &amp; "AccountStructureCode" &amp; "," &amp; "AccountType" &amp; "," &amp; "BalanceType" &amp; "," &amp; $E$6 &amp; "," &amp; $E$7 &amp; ")", CellContents, 0,1)</f>
        <v>0</v>
      </c>
      <c r="G25" s="32">
        <f>CHOOSE(B, "GLActual(" &amp; "Account" &amp; "," &amp; $E$3 &amp; "," &amp; $E$4 &amp; "," &amp; G$10 &amp; "," &amp; "AccountGroupCode" &amp; "," &amp; $B25 &amp; "," &amp; "AccountStructureCode" &amp; "," &amp; "AccountType" &amp; "," &amp; "BalanceType" &amp; "," &amp; $E$6 &amp; "," &amp; $E$7 &amp; ")", CellContents, -294,77)</f>
        <v>-294</v>
      </c>
      <c r="H25" s="32">
        <f>CHOOSE(B, "GLActual(" &amp; "Account" &amp; "," &amp; $E$3 &amp; "," &amp; $E$4 &amp; "," &amp; H$10 &amp; "," &amp; "AccountGroupCode" &amp; "," &amp; $B25 &amp; "," &amp; "AccountStructureCode" &amp; "," &amp; "AccountType" &amp; "," &amp; "BalanceType" &amp; "," &amp; $E$6 &amp; "," &amp; $E$7 &amp; ")", CellContents, 12,69)</f>
        <v>12</v>
      </c>
      <c r="I25" s="32">
        <f>CHOOSE(B, "GLActual(" &amp; "Account" &amp; "," &amp; $E$3 &amp; "," &amp; $E$4 &amp; "," &amp; I$10 &amp; "," &amp; "AccountGroupCode" &amp; "," &amp; $B25 &amp; "," &amp; "AccountStructureCode" &amp; "," &amp; "AccountType" &amp; "," &amp; "BalanceType" &amp; "," &amp; $E$6 &amp; "," &amp; $E$7 &amp; ")", CellContents, 889,55)</f>
        <v>889</v>
      </c>
      <c r="J25" s="32">
        <f>CHOOSE(B, "GLActual(" &amp; "Account" &amp; "," &amp; $E$3 &amp; "," &amp; $E$4 &amp; "," &amp; J$10 &amp; "," &amp; "AccountGroupCode" &amp; "," &amp; $B25 &amp; "," &amp; "AccountStructureCode" &amp; "," &amp; "AccountType" &amp; "," &amp; "BalanceType" &amp; "," &amp; $E$6 &amp; "," &amp; $E$7 &amp; ")", CellContents, 66,72)</f>
        <v>66</v>
      </c>
      <c r="K25" s="32">
        <f>CHOOSE(B, "GLActual(" &amp; "Account" &amp; "," &amp; $E$3 &amp; "," &amp; $E$4 &amp; "," &amp; K$10 &amp; "," &amp; "AccountGroupCode" &amp; "," &amp; $B25 &amp; "," &amp; "AccountStructureCode" &amp; "," &amp; "AccountType" &amp; "," &amp; "BalanceType" &amp; "," &amp; $E$6 &amp; "," &amp; $E$7 &amp; ")", CellContents, 4,61)</f>
        <v>4</v>
      </c>
      <c r="L25" s="32">
        <f>CHOOSE(B, "GLActual(" &amp; "Account" &amp; "," &amp; $E$3 &amp; "," &amp; $E$4 &amp; "," &amp; L$10 &amp; "," &amp; "AccountGroupCode" &amp; "," &amp; $B25 &amp; "," &amp; "AccountStructureCode" &amp; "," &amp; "AccountType" &amp; "," &amp; "BalanceType" &amp; "," &amp; $E$6 &amp; "," &amp; $E$7 &amp; ")", CellContents, 0)</f>
        <v>0</v>
      </c>
      <c r="M25" s="32">
        <f t="shared" si="6"/>
        <v>0</v>
      </c>
      <c r="N25" s="32">
        <f t="shared" si="6"/>
        <v>0</v>
      </c>
      <c r="O25" s="32">
        <f t="shared" si="6"/>
        <v>0</v>
      </c>
      <c r="P25" s="32">
        <f t="shared" si="6"/>
        <v>0</v>
      </c>
      <c r="Q25" s="32">
        <f t="shared" si="6"/>
        <v>0</v>
      </c>
      <c r="R25" s="32">
        <f t="shared" si="6"/>
        <v>0</v>
      </c>
      <c r="S25" s="32">
        <f>CHOOSE(B, "GLActualYTD(" &amp; "Account" &amp; "," &amp; $E$3 &amp; "," &amp; $E$4 &amp; "," &amp; $E$5 &amp; "," &amp; "AccountGroupCode" &amp; "," &amp; $B25 &amp; "," &amp; "AccountStructureCode" &amp; "," &amp; "AccountType" &amp; "," &amp; "BalanceType" &amp; "," &amp; $E$6 &amp; "," &amp; $E$7 &amp; ")", CellContents, 69,16)</f>
        <v>69</v>
      </c>
      <c r="T25" s="52"/>
    </row>
    <row r="26" spans="2:20" x14ac:dyDescent="0.3">
      <c r="B26" s="51"/>
      <c r="C26" s="47"/>
      <c r="D26" s="47"/>
      <c r="E26" s="32"/>
      <c r="F26" s="32"/>
      <c r="G26" s="32"/>
      <c r="H26" s="32"/>
      <c r="I26" s="32"/>
      <c r="J26" s="32"/>
      <c r="K26" s="32"/>
      <c r="L26" s="32"/>
      <c r="M26" s="32"/>
      <c r="N26" s="32"/>
      <c r="O26" s="32"/>
      <c r="P26" s="32"/>
      <c r="Q26" s="32"/>
      <c r="R26" s="32"/>
      <c r="S26" s="52"/>
      <c r="T26" s="52"/>
    </row>
    <row r="27" spans="2:20" x14ac:dyDescent="0.3">
      <c r="B27" s="28"/>
      <c r="C27" s="29"/>
      <c r="D27" s="29"/>
      <c r="E27" s="32"/>
      <c r="F27" s="32"/>
      <c r="G27" s="32"/>
      <c r="H27" s="32"/>
      <c r="I27" s="32"/>
      <c r="J27" s="32"/>
      <c r="K27" s="32"/>
      <c r="L27" s="32"/>
      <c r="M27" s="32"/>
      <c r="N27" s="32"/>
      <c r="O27" s="32"/>
      <c r="P27" s="32"/>
      <c r="Q27" s="32"/>
      <c r="R27" s="32"/>
      <c r="S27" s="52"/>
      <c r="T27" s="52"/>
    </row>
    <row r="28" spans="2:20" x14ac:dyDescent="0.3">
      <c r="B28" s="28"/>
      <c r="C28" s="35" t="s">
        <v>98</v>
      </c>
      <c r="D28" s="35"/>
      <c r="E28" s="36">
        <f>E20-E22</f>
        <v>97611</v>
      </c>
      <c r="F28" s="36">
        <f>F20-F22</f>
        <v>200879</v>
      </c>
      <c r="G28" s="36">
        <f t="shared" ref="G28:S28" si="7">G20-G22</f>
        <v>248202</v>
      </c>
      <c r="H28" s="36">
        <f t="shared" si="7"/>
        <v>202507</v>
      </c>
      <c r="I28" s="36">
        <f t="shared" si="7"/>
        <v>369826</v>
      </c>
      <c r="J28" s="36">
        <f t="shared" si="7"/>
        <v>2946</v>
      </c>
      <c r="K28" s="36">
        <f t="shared" si="7"/>
        <v>-15815</v>
      </c>
      <c r="L28" s="36">
        <f t="shared" si="7"/>
        <v>419</v>
      </c>
      <c r="M28" s="36">
        <f t="shared" si="7"/>
        <v>0</v>
      </c>
      <c r="N28" s="36">
        <f t="shared" si="7"/>
        <v>0</v>
      </c>
      <c r="O28" s="36">
        <f t="shared" si="7"/>
        <v>0</v>
      </c>
      <c r="P28" s="36">
        <f t="shared" si="7"/>
        <v>0</v>
      </c>
      <c r="Q28" s="36">
        <f t="shared" si="7"/>
        <v>0</v>
      </c>
      <c r="R28" s="36">
        <f t="shared" si="7"/>
        <v>0</v>
      </c>
      <c r="S28" s="36">
        <f t="shared" si="7"/>
        <v>97611</v>
      </c>
      <c r="T28" s="52"/>
    </row>
    <row r="29" spans="2:20" x14ac:dyDescent="0.3">
      <c r="B29" s="28"/>
      <c r="C29" s="29"/>
      <c r="D29" s="29"/>
      <c r="E29" s="32"/>
      <c r="F29" s="32"/>
      <c r="G29" s="32"/>
      <c r="H29" s="32"/>
      <c r="I29" s="32"/>
      <c r="J29" s="32"/>
      <c r="K29" s="32"/>
      <c r="L29" s="32"/>
      <c r="M29" s="32"/>
      <c r="N29" s="32"/>
      <c r="O29" s="32"/>
      <c r="P29" s="32"/>
      <c r="Q29" s="32"/>
      <c r="R29" s="32"/>
      <c r="S29" s="52"/>
      <c r="T29" s="52"/>
    </row>
    <row r="30" spans="2:20" x14ac:dyDescent="0.3">
      <c r="B30" s="29" t="s">
        <v>91</v>
      </c>
      <c r="C30" s="29" t="s">
        <v>47</v>
      </c>
      <c r="D30" s="29"/>
      <c r="E30" s="32">
        <f>CHOOSE(B, "GLActual(" &amp; "Account" &amp; "," &amp; $E$3 &amp; "," &amp; $E$4 &amp; "," &amp; E$10 &amp; "," &amp; "AccountGroupCode" &amp; "," &amp; $B30 &amp; "," &amp; "AccountStructureCode" &amp; "," &amp; "AccountType" &amp; "," &amp; "BalanceType" &amp; "," &amp; $E$6 &amp; "," &amp; $E$7 &amp; ")", CellContents, 1500)</f>
        <v>1500</v>
      </c>
      <c r="F30" s="32">
        <f>CHOOSE(B, "GLActual(" &amp; "Account" &amp; "," &amp; $E$3 &amp; "," &amp; $E$4 &amp; "," &amp; F$10 &amp; "," &amp; "AccountGroupCode" &amp; "," &amp; $B30 &amp; "," &amp; "AccountStructureCode" &amp; "," &amp; "AccountType" &amp; "," &amp; "BalanceType" &amp; "," &amp; $E$6 &amp; "," &amp; $E$7 &amp; ")", CellContents, 1500)</f>
        <v>1500</v>
      </c>
      <c r="G30" s="32">
        <f>CHOOSE(B, "GLActual(" &amp; "Account" &amp; "," &amp; $E$3 &amp; "," &amp; $E$4 &amp; "," &amp; G$10 &amp; "," &amp; "AccountGroupCode" &amp; "," &amp; $B30 &amp; "," &amp; "AccountStructureCode" &amp; "," &amp; "AccountType" &amp; "," &amp; "BalanceType" &amp; "," &amp; $E$6 &amp; "," &amp; $E$7 &amp; ")", CellContents, 1500)</f>
        <v>1500</v>
      </c>
      <c r="H30" s="32">
        <f>CHOOSE(B, "GLActual(" &amp; "Account" &amp; "," &amp; $E$3 &amp; "," &amp; $E$4 &amp; "," &amp; H$10 &amp; "," &amp; "AccountGroupCode" &amp; "," &amp; $B30 &amp; "," &amp; "AccountStructureCode" &amp; "," &amp; "AccountType" &amp; "," &amp; "BalanceType" &amp; "," &amp; $E$6 &amp; "," &amp; $E$7 &amp; ")", CellContents, 1500)</f>
        <v>1500</v>
      </c>
      <c r="I30" s="32">
        <f>CHOOSE(B, "GLActual(" &amp; "Account" &amp; "," &amp; $E$3 &amp; "," &amp; $E$4 &amp; "," &amp; I$10 &amp; "," &amp; "AccountGroupCode" &amp; "," &amp; $B30 &amp; "," &amp; "AccountStructureCode" &amp; "," &amp; "AccountType" &amp; "," &amp; "BalanceType" &amp; "," &amp; $E$6 &amp; "," &amp; $E$7 &amp; ")", CellContents, 1500)</f>
        <v>1500</v>
      </c>
      <c r="J30" s="32">
        <f t="shared" ref="J30:R30" si="8">CHOOSE(B, "GLActual(" &amp; "Account" &amp; "," &amp; $E$3 &amp; "," &amp; $E$4 &amp; "," &amp; J$10 &amp; "," &amp; "AccountGroupCode" &amp; "," &amp; $B30 &amp; "," &amp; "AccountStructureCode" &amp; "," &amp; "AccountType" &amp; "," &amp; "BalanceType" &amp; "," &amp; $E$6 &amp; "," &amp; $E$7 &amp; ")", CellContents, 0)</f>
        <v>0</v>
      </c>
      <c r="K30" s="32">
        <f t="shared" si="8"/>
        <v>0</v>
      </c>
      <c r="L30" s="32">
        <f t="shared" si="8"/>
        <v>0</v>
      </c>
      <c r="M30" s="32">
        <f t="shared" si="8"/>
        <v>0</v>
      </c>
      <c r="N30" s="32">
        <f t="shared" si="8"/>
        <v>0</v>
      </c>
      <c r="O30" s="32">
        <f t="shared" si="8"/>
        <v>0</v>
      </c>
      <c r="P30" s="32">
        <f t="shared" si="8"/>
        <v>0</v>
      </c>
      <c r="Q30" s="32">
        <f t="shared" si="8"/>
        <v>0</v>
      </c>
      <c r="R30" s="32">
        <f t="shared" si="8"/>
        <v>0</v>
      </c>
      <c r="S30" s="32">
        <f>CHOOSE(B, "GLActualYTD(" &amp; "Account" &amp; "," &amp; $E$3 &amp; "," &amp; $E$4 &amp; "," &amp; $E$5 &amp; "," &amp; "AccountGroupCode" &amp; "," &amp; $B30 &amp; "," &amp; "AccountStructureCode" &amp; "," &amp; "AccountType" &amp; "," &amp; "BalanceType" &amp; "," &amp; $E$6 &amp; "," &amp; $E$7 &amp; ")", CellContents, 1500)</f>
        <v>1500</v>
      </c>
      <c r="T30" s="52"/>
    </row>
    <row r="31" spans="2:20" x14ac:dyDescent="0.3">
      <c r="B31" s="28"/>
      <c r="C31" s="29"/>
      <c r="D31" s="29"/>
      <c r="E31" s="32"/>
      <c r="F31" s="32"/>
      <c r="G31" s="32"/>
      <c r="H31" s="32"/>
      <c r="I31" s="32"/>
      <c r="J31" s="32"/>
      <c r="K31" s="32"/>
      <c r="L31" s="32"/>
      <c r="M31" s="32"/>
      <c r="N31" s="32"/>
      <c r="O31" s="32"/>
      <c r="P31" s="32"/>
      <c r="Q31" s="32"/>
      <c r="R31" s="32"/>
      <c r="S31" s="52"/>
      <c r="T31" s="52"/>
    </row>
    <row r="32" spans="2:20" x14ac:dyDescent="0.3">
      <c r="B32" s="34"/>
      <c r="C32" s="35" t="s">
        <v>99</v>
      </c>
      <c r="D32" s="35"/>
      <c r="E32" s="36">
        <f>E28-E30</f>
        <v>96111</v>
      </c>
      <c r="F32" s="36">
        <f t="shared" ref="F32:S32" si="9">F28-F30</f>
        <v>199379</v>
      </c>
      <c r="G32" s="36">
        <f t="shared" si="9"/>
        <v>246702</v>
      </c>
      <c r="H32" s="36">
        <f t="shared" si="9"/>
        <v>201007</v>
      </c>
      <c r="I32" s="36">
        <f t="shared" si="9"/>
        <v>368326</v>
      </c>
      <c r="J32" s="36">
        <f t="shared" si="9"/>
        <v>2946</v>
      </c>
      <c r="K32" s="36">
        <f t="shared" si="9"/>
        <v>-15815</v>
      </c>
      <c r="L32" s="36">
        <f t="shared" si="9"/>
        <v>419</v>
      </c>
      <c r="M32" s="36">
        <f t="shared" si="9"/>
        <v>0</v>
      </c>
      <c r="N32" s="36">
        <f t="shared" si="9"/>
        <v>0</v>
      </c>
      <c r="O32" s="36">
        <f t="shared" si="9"/>
        <v>0</v>
      </c>
      <c r="P32" s="36">
        <f t="shared" si="9"/>
        <v>0</v>
      </c>
      <c r="Q32" s="36">
        <f t="shared" si="9"/>
        <v>0</v>
      </c>
      <c r="R32" s="36">
        <f t="shared" si="9"/>
        <v>0</v>
      </c>
      <c r="S32" s="36">
        <f t="shared" si="9"/>
        <v>96111</v>
      </c>
      <c r="T32" s="52"/>
    </row>
    <row r="33" spans="2:20" x14ac:dyDescent="0.3">
      <c r="B33" s="28"/>
      <c r="C33" s="29"/>
      <c r="D33" s="29"/>
      <c r="E33" s="32"/>
      <c r="F33" s="32"/>
      <c r="G33" s="32"/>
      <c r="H33" s="32"/>
      <c r="I33" s="32"/>
      <c r="J33" s="32"/>
      <c r="K33" s="32"/>
      <c r="L33" s="32"/>
      <c r="M33" s="32"/>
      <c r="N33" s="32"/>
      <c r="O33" s="32"/>
      <c r="P33" s="32"/>
      <c r="Q33" s="32"/>
      <c r="R33" s="32"/>
      <c r="S33" s="52"/>
      <c r="T33" s="52"/>
    </row>
    <row r="34" spans="2:20" x14ac:dyDescent="0.3">
      <c r="B34" s="29" t="s">
        <v>176</v>
      </c>
      <c r="C34" s="29" t="s">
        <v>48</v>
      </c>
      <c r="D34" s="29"/>
      <c r="E34" s="32">
        <f>CHOOSE(B, "GLActual(" &amp; "Account" &amp; "," &amp; $E$3 &amp; "," &amp; $E$4 &amp; "," &amp; E$10 &amp; "," &amp; "AccountGroupCode" &amp; "," &amp; $B34 &amp; "," &amp; "AccountStructureCode" &amp; "," &amp; "AccountType" &amp; "," &amp; "BalanceType" &amp; "," &amp; $E$6 &amp; "," &amp; $E$7 &amp; ")", CellContents, 8000)</f>
        <v>8000</v>
      </c>
      <c r="F34" s="32">
        <f>CHOOSE(B, "GLActual(" &amp; "Account" &amp; "," &amp; $E$3 &amp; "," &amp; $E$4 &amp; "," &amp; F$10 &amp; "," &amp; "AccountGroupCode" &amp; "," &amp; $B34 &amp; "," &amp; "AccountStructureCode" &amp; "," &amp; "AccountType" &amp; "," &amp; "BalanceType" &amp; "," &amp; $E$6 &amp; "," &amp; $E$7 &amp; ")", CellContents, 15000)</f>
        <v>15000</v>
      </c>
      <c r="G34" s="32">
        <f>CHOOSE(B, "GLActual(" &amp; "Account" &amp; "," &amp; $E$3 &amp; "," &amp; $E$4 &amp; "," &amp; G$10 &amp; "," &amp; "AccountGroupCode" &amp; "," &amp; $B34 &amp; "," &amp; "AccountStructureCode" &amp; "," &amp; "AccountType" &amp; "," &amp; "BalanceType" &amp; "," &amp; $E$6 &amp; "," &amp; $E$7 &amp; ")", CellContents, 20000)</f>
        <v>20000</v>
      </c>
      <c r="H34" s="32">
        <f>CHOOSE(B, "GLActual(" &amp; "Account" &amp; "," &amp; $E$3 &amp; "," &amp; $E$4 &amp; "," &amp; H$10 &amp; "," &amp; "AccountGroupCode" &amp; "," &amp; $B34 &amp; "," &amp; "AccountStructureCode" &amp; "," &amp; "AccountType" &amp; "," &amp; "BalanceType" &amp; "," &amp; $E$6 &amp; "," &amp; $E$7 &amp; ")", CellContents, 15000)</f>
        <v>15000</v>
      </c>
      <c r="I34" s="32">
        <f>CHOOSE(B, "GLActual(" &amp; "Account" &amp; "," &amp; $E$3 &amp; "," &amp; $E$4 &amp; "," &amp; I$10 &amp; "," &amp; "AccountGroupCode" &amp; "," &amp; $B34 &amp; "," &amp; "AccountStructureCode" &amp; "," &amp; "AccountType" &amp; "," &amp; "BalanceType" &amp; "," &amp; $E$6 &amp; "," &amp; $E$7 &amp; ")", CellContents, 50000)</f>
        <v>50000</v>
      </c>
      <c r="J34" s="32">
        <f t="shared" ref="J34:R34" si="10">CHOOSE(B, "GLActual(" &amp; "Account" &amp; "," &amp; $E$3 &amp; "," &amp; $E$4 &amp; "," &amp; J$10 &amp; "," &amp; "AccountGroupCode" &amp; "," &amp; $B34 &amp; "," &amp; "AccountStructureCode" &amp; "," &amp; "AccountType" &amp; "," &amp; "BalanceType" &amp; "," &amp; $E$6 &amp; "," &amp; $E$7 &amp; ")", CellContents, 0)</f>
        <v>0</v>
      </c>
      <c r="K34" s="32">
        <f t="shared" si="10"/>
        <v>0</v>
      </c>
      <c r="L34" s="32">
        <f t="shared" si="10"/>
        <v>0</v>
      </c>
      <c r="M34" s="32">
        <f t="shared" si="10"/>
        <v>0</v>
      </c>
      <c r="N34" s="32">
        <f t="shared" si="10"/>
        <v>0</v>
      </c>
      <c r="O34" s="32">
        <f t="shared" si="10"/>
        <v>0</v>
      </c>
      <c r="P34" s="32">
        <f t="shared" si="10"/>
        <v>0</v>
      </c>
      <c r="Q34" s="32">
        <f t="shared" si="10"/>
        <v>0</v>
      </c>
      <c r="R34" s="32">
        <f t="shared" si="10"/>
        <v>0</v>
      </c>
      <c r="S34" s="32">
        <f>CHOOSE(B, "GLActualYTD(" &amp; "Account" &amp; "," &amp; $E$3 &amp; "," &amp; $E$4 &amp; "," &amp; $E$5 &amp; "," &amp; "AccountGroupCode" &amp; "," &amp; $B34 &amp; "," &amp; "AccountStructureCode" &amp; "," &amp; "AccountType" &amp; "," &amp; "BalanceType" &amp; "," &amp; $E$6 &amp; "," &amp; $E$7 &amp; ")", CellContents, 8000)</f>
        <v>8000</v>
      </c>
      <c r="T34" s="52"/>
    </row>
    <row r="35" spans="2:20" x14ac:dyDescent="0.3">
      <c r="B35" s="28"/>
      <c r="C35" s="29"/>
      <c r="D35" s="29"/>
      <c r="E35" s="32"/>
      <c r="F35" s="32"/>
      <c r="G35" s="32"/>
      <c r="H35" s="32"/>
      <c r="I35" s="32"/>
      <c r="J35" s="32"/>
      <c r="K35" s="32"/>
      <c r="L35" s="32"/>
      <c r="M35" s="32"/>
      <c r="N35" s="32"/>
      <c r="O35" s="32"/>
      <c r="P35" s="32"/>
      <c r="Q35" s="32"/>
      <c r="R35" s="32"/>
      <c r="S35" s="52"/>
      <c r="T35" s="52"/>
    </row>
    <row r="36" spans="2:20" x14ac:dyDescent="0.3">
      <c r="B36" s="34"/>
      <c r="C36" s="35" t="s">
        <v>11</v>
      </c>
      <c r="D36" s="35"/>
      <c r="E36" s="36">
        <f>E32-E34</f>
        <v>88111</v>
      </c>
      <c r="F36" s="36">
        <f t="shared" ref="F36:S36" si="11">F32-F34</f>
        <v>184379</v>
      </c>
      <c r="G36" s="36">
        <f t="shared" si="11"/>
        <v>226702</v>
      </c>
      <c r="H36" s="36">
        <f t="shared" si="11"/>
        <v>186007</v>
      </c>
      <c r="I36" s="36">
        <f t="shared" si="11"/>
        <v>318326</v>
      </c>
      <c r="J36" s="36">
        <f t="shared" si="11"/>
        <v>2946</v>
      </c>
      <c r="K36" s="36">
        <f t="shared" si="11"/>
        <v>-15815</v>
      </c>
      <c r="L36" s="36">
        <f t="shared" si="11"/>
        <v>419</v>
      </c>
      <c r="M36" s="36">
        <f t="shared" si="11"/>
        <v>0</v>
      </c>
      <c r="N36" s="36">
        <f t="shared" si="11"/>
        <v>0</v>
      </c>
      <c r="O36" s="36">
        <f t="shared" si="11"/>
        <v>0</v>
      </c>
      <c r="P36" s="36">
        <f t="shared" si="11"/>
        <v>0</v>
      </c>
      <c r="Q36" s="36">
        <f t="shared" si="11"/>
        <v>0</v>
      </c>
      <c r="R36" s="36">
        <f t="shared" si="11"/>
        <v>0</v>
      </c>
      <c r="S36" s="36">
        <f t="shared" si="11"/>
        <v>88111</v>
      </c>
      <c r="T36" s="52"/>
    </row>
    <row r="37" spans="2:20" x14ac:dyDescent="0.3">
      <c r="B37" s="28"/>
      <c r="C37" s="29"/>
      <c r="D37" s="29"/>
      <c r="E37" s="32"/>
      <c r="F37" s="52"/>
      <c r="G37" s="52"/>
      <c r="H37" s="52"/>
      <c r="I37" s="52"/>
      <c r="J37" s="52"/>
      <c r="K37" s="52"/>
      <c r="L37" s="52"/>
      <c r="M37" s="52"/>
      <c r="N37" s="52"/>
      <c r="O37" s="52"/>
      <c r="P37" s="52"/>
      <c r="Q37" s="52"/>
      <c r="R37" s="52"/>
      <c r="S37" s="52"/>
      <c r="T37" s="52"/>
    </row>
    <row r="38" spans="2:20" x14ac:dyDescent="0.3">
      <c r="B38" s="28"/>
      <c r="C38" s="29"/>
      <c r="D38" s="29"/>
      <c r="E38" s="32"/>
      <c r="F38" s="52"/>
      <c r="G38" s="52"/>
      <c r="H38" s="52"/>
      <c r="I38" s="52"/>
      <c r="J38" s="52"/>
      <c r="K38" s="52"/>
      <c r="L38" s="52"/>
      <c r="M38" s="52"/>
      <c r="N38" s="52"/>
      <c r="O38" s="52"/>
      <c r="P38" s="52"/>
      <c r="Q38" s="52"/>
      <c r="R38" s="52"/>
      <c r="S38" s="52"/>
      <c r="T38" s="52"/>
    </row>
    <row r="39" spans="2:20" x14ac:dyDescent="0.3">
      <c r="B39" s="28"/>
      <c r="C39" s="29"/>
      <c r="D39" s="29"/>
      <c r="E39" s="32"/>
      <c r="F39" s="52"/>
      <c r="G39" s="52"/>
      <c r="H39" s="52"/>
      <c r="I39" s="52"/>
      <c r="J39" s="52"/>
      <c r="K39" s="52"/>
      <c r="L39" s="52"/>
      <c r="M39" s="52"/>
      <c r="N39" s="52"/>
      <c r="O39" s="52"/>
      <c r="P39" s="52"/>
      <c r="Q39" s="52"/>
      <c r="R39" s="52"/>
      <c r="S39" s="52"/>
      <c r="T39" s="52"/>
    </row>
    <row r="40" spans="2:20" x14ac:dyDescent="0.3">
      <c r="B40" s="28"/>
      <c r="C40" s="29"/>
      <c r="D40" s="29"/>
      <c r="E40" s="32"/>
      <c r="F40" s="52"/>
      <c r="G40" s="52"/>
      <c r="H40" s="52"/>
      <c r="I40" s="52"/>
      <c r="J40" s="52"/>
      <c r="K40" s="52"/>
      <c r="L40" s="52"/>
      <c r="M40" s="52"/>
      <c r="N40" s="52"/>
      <c r="O40" s="52"/>
      <c r="P40" s="52"/>
      <c r="Q40" s="52"/>
      <c r="R40" s="52"/>
      <c r="S40" s="52"/>
      <c r="T40" s="52"/>
    </row>
    <row r="41" spans="2:20" x14ac:dyDescent="0.3">
      <c r="B41" s="28"/>
      <c r="C41" s="29"/>
      <c r="D41" s="29"/>
      <c r="E41" s="32"/>
      <c r="F41" s="52"/>
      <c r="G41" s="52"/>
      <c r="H41" s="52"/>
      <c r="I41" s="52"/>
      <c r="J41" s="52"/>
      <c r="K41" s="52"/>
      <c r="L41" s="52"/>
      <c r="M41" s="52"/>
      <c r="N41" s="52"/>
      <c r="O41" s="52"/>
      <c r="P41" s="52"/>
      <c r="Q41" s="52"/>
      <c r="R41" s="52"/>
      <c r="S41" s="52"/>
      <c r="T41" s="52"/>
    </row>
    <row r="42" spans="2:20" x14ac:dyDescent="0.3">
      <c r="B42" s="28"/>
      <c r="C42" s="29"/>
      <c r="D42" s="29"/>
      <c r="E42" s="32"/>
      <c r="F42" s="52"/>
      <c r="G42" s="52"/>
      <c r="H42" s="52"/>
      <c r="I42" s="52"/>
      <c r="J42" s="52"/>
      <c r="K42" s="52"/>
      <c r="L42" s="52"/>
      <c r="M42" s="52"/>
      <c r="N42" s="52"/>
      <c r="O42" s="52"/>
      <c r="P42" s="52"/>
      <c r="Q42" s="52"/>
      <c r="R42" s="52"/>
      <c r="S42" s="52"/>
      <c r="T42" s="52"/>
    </row>
    <row r="43" spans="2:20" x14ac:dyDescent="0.3">
      <c r="B43" s="28"/>
      <c r="C43" s="29"/>
      <c r="D43" s="29"/>
      <c r="E43" s="32"/>
      <c r="F43" s="52"/>
      <c r="G43" s="52"/>
      <c r="H43" s="52"/>
      <c r="I43" s="52"/>
      <c r="J43" s="52"/>
      <c r="K43" s="52"/>
      <c r="L43" s="52"/>
      <c r="M43" s="52"/>
      <c r="N43" s="52"/>
      <c r="O43" s="52"/>
      <c r="P43" s="52"/>
      <c r="Q43" s="52"/>
      <c r="R43" s="52"/>
      <c r="S43" s="52"/>
      <c r="T43" s="52"/>
    </row>
    <row r="44" spans="2:20" x14ac:dyDescent="0.3">
      <c r="B44" s="28"/>
      <c r="C44" s="29"/>
      <c r="D44" s="29"/>
      <c r="E44" s="32"/>
      <c r="F44" s="52"/>
      <c r="G44" s="52"/>
      <c r="H44" s="52"/>
      <c r="I44" s="52"/>
      <c r="J44" s="52"/>
      <c r="K44" s="52"/>
      <c r="L44" s="52"/>
      <c r="M44" s="52"/>
      <c r="N44" s="52"/>
      <c r="O44" s="52"/>
      <c r="P44" s="52"/>
      <c r="Q44" s="52"/>
      <c r="R44" s="52"/>
      <c r="S44" s="52"/>
      <c r="T44" s="52"/>
    </row>
    <row r="45" spans="2:20" x14ac:dyDescent="0.3">
      <c r="B45" s="28"/>
      <c r="C45" s="29"/>
      <c r="D45" s="29"/>
      <c r="E45" s="32"/>
      <c r="F45" s="52"/>
      <c r="G45" s="52"/>
      <c r="H45" s="52"/>
      <c r="I45" s="52"/>
      <c r="J45" s="52"/>
      <c r="K45" s="52"/>
      <c r="L45" s="52"/>
      <c r="M45" s="52"/>
      <c r="N45" s="52"/>
      <c r="O45" s="52"/>
      <c r="P45" s="52"/>
      <c r="Q45" s="52"/>
      <c r="R45" s="52"/>
      <c r="S45" s="52"/>
      <c r="T45" s="52"/>
    </row>
    <row r="46" spans="2:20" x14ac:dyDescent="0.3">
      <c r="B46" s="28"/>
      <c r="C46" s="29"/>
      <c r="D46" s="29"/>
      <c r="E46" s="32"/>
      <c r="F46" s="52"/>
      <c r="G46" s="52"/>
      <c r="H46" s="52"/>
      <c r="I46" s="52"/>
      <c r="J46" s="52"/>
      <c r="K46" s="52"/>
      <c r="L46" s="52"/>
      <c r="M46" s="52"/>
      <c r="N46" s="52"/>
      <c r="O46" s="52"/>
      <c r="P46" s="52"/>
      <c r="Q46" s="52"/>
      <c r="R46" s="52"/>
      <c r="S46" s="52"/>
      <c r="T46" s="52"/>
    </row>
    <row r="47" spans="2:20" x14ac:dyDescent="0.3">
      <c r="B47" s="28"/>
      <c r="C47" s="29"/>
      <c r="D47" s="29"/>
      <c r="E47" s="32"/>
      <c r="F47" s="52"/>
      <c r="G47" s="52"/>
      <c r="H47" s="52"/>
      <c r="I47" s="52"/>
      <c r="J47" s="52"/>
      <c r="K47" s="52"/>
      <c r="L47" s="52"/>
      <c r="M47" s="52"/>
      <c r="N47" s="52"/>
      <c r="O47" s="52"/>
      <c r="P47" s="52"/>
      <c r="Q47" s="52"/>
      <c r="R47" s="52"/>
      <c r="S47" s="52"/>
      <c r="T47" s="52"/>
    </row>
    <row r="48" spans="2:20" x14ac:dyDescent="0.3">
      <c r="B48" s="28"/>
      <c r="C48" s="29"/>
      <c r="D48" s="29"/>
      <c r="E48" s="32"/>
      <c r="F48" s="52"/>
      <c r="G48" s="52"/>
      <c r="H48" s="52"/>
      <c r="I48" s="52"/>
      <c r="J48" s="52"/>
      <c r="K48" s="52"/>
      <c r="L48" s="52"/>
      <c r="M48" s="52"/>
      <c r="N48" s="52"/>
      <c r="O48" s="52"/>
      <c r="P48" s="52"/>
      <c r="Q48" s="52"/>
      <c r="R48" s="52"/>
      <c r="S48" s="52"/>
      <c r="T48" s="52"/>
    </row>
    <row r="49" spans="2:20" x14ac:dyDescent="0.3">
      <c r="B49" s="28"/>
      <c r="C49" s="29"/>
      <c r="D49" s="29"/>
      <c r="E49" s="32"/>
      <c r="F49" s="52"/>
      <c r="G49" s="52"/>
      <c r="H49" s="52"/>
      <c r="I49" s="52"/>
      <c r="J49" s="52"/>
      <c r="K49" s="52"/>
      <c r="L49" s="52"/>
      <c r="M49" s="52"/>
      <c r="N49" s="52"/>
      <c r="O49" s="52"/>
      <c r="P49" s="52"/>
      <c r="Q49" s="52"/>
      <c r="R49" s="52"/>
      <c r="S49" s="52"/>
      <c r="T49" s="52"/>
    </row>
    <row r="50" spans="2:20" x14ac:dyDescent="0.3">
      <c r="B50" s="28"/>
      <c r="C50" s="29"/>
      <c r="D50" s="29"/>
      <c r="E50" s="32"/>
      <c r="F50" s="52"/>
      <c r="G50" s="52"/>
      <c r="H50" s="52"/>
      <c r="I50" s="52"/>
      <c r="J50" s="52"/>
      <c r="K50" s="52"/>
      <c r="L50" s="52"/>
      <c r="M50" s="52"/>
      <c r="N50" s="52"/>
      <c r="O50" s="52"/>
      <c r="P50" s="52"/>
      <c r="Q50" s="52"/>
      <c r="R50" s="52"/>
      <c r="S50" s="52"/>
      <c r="T50" s="52"/>
    </row>
    <row r="51" spans="2:20" x14ac:dyDescent="0.3">
      <c r="B51" s="28"/>
      <c r="C51" s="29"/>
      <c r="D51" s="29"/>
      <c r="E51" s="32"/>
      <c r="F51" s="52"/>
      <c r="G51" s="52"/>
      <c r="H51" s="52"/>
      <c r="I51" s="52"/>
      <c r="J51" s="52"/>
      <c r="K51" s="52"/>
      <c r="L51" s="52"/>
      <c r="M51" s="52"/>
      <c r="N51" s="52"/>
      <c r="O51" s="52"/>
      <c r="P51" s="52"/>
      <c r="Q51" s="52"/>
      <c r="R51" s="52"/>
      <c r="S51" s="52"/>
      <c r="T51" s="52"/>
    </row>
    <row r="52" spans="2:20" x14ac:dyDescent="0.3">
      <c r="B52" s="28"/>
      <c r="C52" s="29"/>
      <c r="D52" s="29"/>
      <c r="E52" s="32"/>
      <c r="F52" s="52"/>
      <c r="G52" s="52"/>
      <c r="H52" s="52"/>
      <c r="I52" s="52"/>
      <c r="J52" s="52"/>
      <c r="K52" s="52"/>
      <c r="L52" s="52"/>
      <c r="M52" s="52"/>
      <c r="N52" s="52"/>
      <c r="O52" s="52"/>
      <c r="P52" s="52"/>
      <c r="Q52" s="52"/>
      <c r="R52" s="52"/>
      <c r="S52" s="52"/>
      <c r="T52" s="52"/>
    </row>
    <row r="53" spans="2:20" x14ac:dyDescent="0.3">
      <c r="B53" s="28"/>
      <c r="C53" s="29"/>
      <c r="D53" s="29"/>
      <c r="E53" s="32"/>
      <c r="F53" s="52"/>
      <c r="G53" s="52"/>
      <c r="H53" s="52"/>
      <c r="I53" s="52"/>
      <c r="J53" s="52"/>
      <c r="K53" s="52"/>
      <c r="L53" s="52"/>
      <c r="M53" s="52"/>
      <c r="N53" s="52"/>
      <c r="O53" s="52"/>
      <c r="P53" s="52"/>
      <c r="Q53" s="52"/>
      <c r="R53" s="52"/>
      <c r="S53" s="52"/>
      <c r="T53" s="52"/>
    </row>
    <row r="54" spans="2:20" x14ac:dyDescent="0.3">
      <c r="B54" s="28"/>
      <c r="C54" s="29"/>
      <c r="D54" s="29"/>
      <c r="E54" s="32"/>
      <c r="F54" s="52"/>
      <c r="G54" s="52"/>
      <c r="H54" s="52"/>
      <c r="I54" s="52"/>
      <c r="J54" s="52"/>
      <c r="K54" s="52"/>
      <c r="L54" s="52"/>
      <c r="M54" s="52"/>
      <c r="N54" s="52"/>
      <c r="O54" s="52"/>
      <c r="P54" s="52"/>
      <c r="Q54" s="52"/>
      <c r="R54" s="52"/>
      <c r="S54" s="52"/>
      <c r="T54" s="52"/>
    </row>
    <row r="55" spans="2:20" x14ac:dyDescent="0.3">
      <c r="B55" s="28"/>
      <c r="C55" s="29"/>
      <c r="D55" s="29"/>
      <c r="E55" s="32"/>
      <c r="F55" s="52"/>
      <c r="G55" s="52"/>
      <c r="H55" s="52"/>
      <c r="I55" s="52"/>
      <c r="J55" s="52"/>
      <c r="K55" s="52"/>
      <c r="L55" s="52"/>
      <c r="M55" s="52"/>
      <c r="N55" s="52"/>
      <c r="O55" s="52"/>
      <c r="P55" s="52"/>
      <c r="Q55" s="52"/>
      <c r="R55" s="52"/>
      <c r="S55" s="52"/>
      <c r="T55" s="52"/>
    </row>
    <row r="56" spans="2:20" x14ac:dyDescent="0.3">
      <c r="B56" s="28"/>
      <c r="C56" s="29"/>
      <c r="D56" s="29"/>
      <c r="E56" s="32"/>
      <c r="F56" s="52"/>
      <c r="G56" s="52"/>
      <c r="H56" s="52"/>
      <c r="I56" s="52"/>
      <c r="J56" s="52"/>
      <c r="K56" s="52"/>
      <c r="L56" s="52"/>
      <c r="M56" s="52"/>
      <c r="N56" s="52"/>
      <c r="O56" s="52"/>
      <c r="P56" s="52"/>
      <c r="Q56" s="52"/>
      <c r="R56" s="52"/>
      <c r="S56" s="52"/>
      <c r="T56" s="52"/>
    </row>
    <row r="57" spans="2:20" x14ac:dyDescent="0.3">
      <c r="B57" s="28"/>
      <c r="C57" s="29"/>
      <c r="D57" s="29"/>
      <c r="E57" s="32"/>
      <c r="F57" s="52"/>
      <c r="G57" s="52"/>
      <c r="H57" s="52"/>
      <c r="I57" s="52"/>
      <c r="J57" s="52"/>
      <c r="K57" s="52"/>
      <c r="L57" s="52"/>
      <c r="M57" s="52"/>
      <c r="N57" s="52"/>
      <c r="O57" s="52"/>
      <c r="P57" s="52"/>
      <c r="Q57" s="52"/>
      <c r="R57" s="52"/>
      <c r="S57" s="52"/>
      <c r="T57" s="52"/>
    </row>
    <row r="58" spans="2:20" x14ac:dyDescent="0.3">
      <c r="B58" s="28"/>
      <c r="C58" s="29"/>
      <c r="D58" s="29"/>
      <c r="E58" s="32"/>
      <c r="F58" s="52"/>
      <c r="G58" s="52"/>
      <c r="H58" s="52"/>
      <c r="I58" s="52"/>
      <c r="J58" s="52"/>
      <c r="K58" s="52"/>
      <c r="L58" s="52"/>
      <c r="M58" s="52"/>
      <c r="N58" s="52"/>
      <c r="O58" s="52"/>
      <c r="P58" s="52"/>
      <c r="Q58" s="52"/>
      <c r="R58" s="52"/>
      <c r="S58" s="52"/>
      <c r="T58" s="52"/>
    </row>
    <row r="59" spans="2:20" x14ac:dyDescent="0.3">
      <c r="B59" s="28"/>
      <c r="C59" s="29"/>
      <c r="D59" s="29"/>
      <c r="E59" s="32"/>
      <c r="F59" s="52"/>
      <c r="G59" s="52"/>
      <c r="H59" s="52"/>
      <c r="I59" s="52"/>
      <c r="J59" s="52"/>
      <c r="K59" s="52"/>
      <c r="L59" s="52"/>
      <c r="M59" s="52"/>
      <c r="N59" s="52"/>
      <c r="O59" s="52"/>
      <c r="P59" s="52"/>
      <c r="Q59" s="52"/>
      <c r="R59" s="52"/>
      <c r="S59" s="52"/>
      <c r="T59" s="52"/>
    </row>
    <row r="60" spans="2:20" x14ac:dyDescent="0.3">
      <c r="B60" s="28"/>
      <c r="C60" s="29"/>
      <c r="D60" s="29"/>
      <c r="E60" s="32"/>
      <c r="F60" s="52"/>
      <c r="G60" s="52"/>
      <c r="H60" s="52"/>
      <c r="I60" s="52"/>
      <c r="J60" s="52"/>
      <c r="K60" s="52"/>
      <c r="L60" s="52"/>
      <c r="M60" s="52"/>
      <c r="N60" s="52"/>
      <c r="O60" s="52"/>
      <c r="P60" s="52"/>
      <c r="Q60" s="52"/>
      <c r="R60" s="52"/>
      <c r="S60" s="52"/>
      <c r="T60" s="52"/>
    </row>
    <row r="61" spans="2:20" x14ac:dyDescent="0.3">
      <c r="B61" s="28"/>
      <c r="C61" s="29"/>
      <c r="D61" s="29"/>
      <c r="E61" s="32"/>
      <c r="F61" s="52"/>
      <c r="G61" s="52"/>
      <c r="H61" s="52"/>
      <c r="I61" s="52"/>
      <c r="J61" s="52"/>
      <c r="K61" s="52"/>
      <c r="L61" s="52"/>
      <c r="M61" s="52"/>
      <c r="N61" s="52"/>
      <c r="O61" s="52"/>
      <c r="P61" s="52"/>
      <c r="Q61" s="52"/>
      <c r="R61" s="52"/>
      <c r="S61" s="52"/>
      <c r="T61" s="52"/>
    </row>
    <row r="62" spans="2:20" x14ac:dyDescent="0.3">
      <c r="B62" s="28"/>
      <c r="C62" s="29"/>
      <c r="D62" s="29"/>
      <c r="E62" s="32"/>
      <c r="F62" s="52"/>
      <c r="G62" s="52"/>
      <c r="H62" s="52"/>
      <c r="I62" s="52"/>
      <c r="J62" s="52"/>
      <c r="K62" s="52"/>
      <c r="L62" s="52"/>
      <c r="M62" s="52"/>
      <c r="N62" s="52"/>
      <c r="O62" s="52"/>
      <c r="P62" s="52"/>
      <c r="Q62" s="52"/>
      <c r="R62" s="52"/>
      <c r="S62" s="52"/>
      <c r="T62" s="52"/>
    </row>
    <row r="63" spans="2:20" x14ac:dyDescent="0.3">
      <c r="B63" s="28"/>
      <c r="C63" s="29"/>
      <c r="D63" s="29"/>
      <c r="E63" s="32"/>
      <c r="F63" s="52"/>
      <c r="G63" s="52"/>
      <c r="H63" s="52"/>
      <c r="I63" s="52"/>
      <c r="J63" s="52"/>
      <c r="K63" s="52"/>
      <c r="L63" s="52"/>
      <c r="M63" s="52"/>
      <c r="N63" s="52"/>
      <c r="O63" s="52"/>
      <c r="P63" s="52"/>
      <c r="Q63" s="52"/>
      <c r="R63" s="52"/>
      <c r="S63" s="52"/>
      <c r="T63" s="52"/>
    </row>
    <row r="64" spans="2:20" x14ac:dyDescent="0.3">
      <c r="B64" s="28"/>
      <c r="C64" s="29"/>
      <c r="D64" s="29"/>
      <c r="E64" s="32"/>
      <c r="F64" s="52"/>
      <c r="G64" s="52"/>
      <c r="H64" s="52"/>
      <c r="I64" s="52"/>
      <c r="J64" s="52"/>
      <c r="K64" s="52"/>
      <c r="L64" s="52"/>
      <c r="M64" s="52"/>
      <c r="N64" s="52"/>
      <c r="O64" s="52"/>
      <c r="P64" s="52"/>
      <c r="Q64" s="52"/>
      <c r="R64" s="52"/>
      <c r="S64" s="52"/>
      <c r="T64" s="52"/>
    </row>
    <row r="65" spans="2:20" x14ac:dyDescent="0.3">
      <c r="B65" s="28"/>
      <c r="C65" s="29"/>
      <c r="D65" s="29"/>
      <c r="E65" s="32"/>
      <c r="F65" s="52"/>
      <c r="G65" s="52"/>
      <c r="H65" s="52"/>
      <c r="I65" s="52"/>
      <c r="J65" s="52"/>
      <c r="K65" s="52"/>
      <c r="L65" s="52"/>
      <c r="M65" s="52"/>
      <c r="N65" s="52"/>
      <c r="O65" s="52"/>
      <c r="P65" s="52"/>
      <c r="Q65" s="52"/>
      <c r="R65" s="52"/>
      <c r="S65" s="52"/>
      <c r="T65" s="52"/>
    </row>
    <row r="66" spans="2:20" x14ac:dyDescent="0.3">
      <c r="B66" s="28"/>
      <c r="C66" s="29"/>
      <c r="D66" s="29"/>
      <c r="E66" s="32"/>
      <c r="F66" s="52"/>
      <c r="G66" s="52"/>
      <c r="H66" s="52"/>
      <c r="I66" s="52"/>
      <c r="J66" s="52"/>
      <c r="K66" s="52"/>
      <c r="L66" s="52"/>
      <c r="M66" s="52"/>
      <c r="N66" s="52"/>
      <c r="O66" s="52"/>
      <c r="P66" s="52"/>
      <c r="Q66" s="52"/>
      <c r="R66" s="52"/>
      <c r="S66" s="52"/>
      <c r="T66" s="52"/>
    </row>
    <row r="67" spans="2:20" x14ac:dyDescent="0.3">
      <c r="B67" s="28"/>
      <c r="C67" s="29"/>
      <c r="D67" s="29"/>
      <c r="E67" s="32"/>
      <c r="F67" s="52"/>
      <c r="G67" s="52"/>
      <c r="H67" s="52"/>
      <c r="I67" s="52"/>
      <c r="J67" s="52"/>
      <c r="K67" s="52"/>
      <c r="L67" s="52"/>
      <c r="M67" s="52"/>
      <c r="N67" s="52"/>
      <c r="O67" s="52"/>
      <c r="P67" s="52"/>
      <c r="Q67" s="52"/>
      <c r="R67" s="52"/>
      <c r="S67" s="52"/>
      <c r="T67" s="52"/>
    </row>
    <row r="68" spans="2:20" x14ac:dyDescent="0.3">
      <c r="B68" s="28"/>
      <c r="C68" s="29"/>
      <c r="D68" s="29"/>
      <c r="E68" s="32"/>
      <c r="F68" s="52"/>
      <c r="G68" s="52"/>
      <c r="H68" s="52"/>
      <c r="I68" s="52"/>
      <c r="J68" s="52"/>
      <c r="K68" s="52"/>
      <c r="L68" s="52"/>
      <c r="M68" s="52"/>
      <c r="N68" s="52"/>
      <c r="O68" s="52"/>
      <c r="P68" s="52"/>
      <c r="Q68" s="52"/>
      <c r="R68" s="52"/>
      <c r="S68" s="52"/>
      <c r="T68" s="52"/>
    </row>
    <row r="69" spans="2:20" x14ac:dyDescent="0.3">
      <c r="B69" s="28"/>
      <c r="C69" s="29"/>
      <c r="D69" s="29"/>
      <c r="E69" s="32"/>
      <c r="F69" s="52"/>
      <c r="G69" s="52"/>
      <c r="H69" s="52"/>
      <c r="I69" s="52"/>
      <c r="J69" s="52"/>
      <c r="K69" s="52"/>
      <c r="L69" s="52"/>
      <c r="M69" s="52"/>
      <c r="N69" s="52"/>
      <c r="O69" s="52"/>
      <c r="P69" s="52"/>
      <c r="Q69" s="52"/>
      <c r="R69" s="52"/>
      <c r="S69" s="52"/>
      <c r="T69" s="52"/>
    </row>
    <row r="70" spans="2:20" x14ac:dyDescent="0.3">
      <c r="B70" s="28"/>
      <c r="C70" s="29"/>
      <c r="D70" s="29"/>
      <c r="E70" s="32"/>
      <c r="F70" s="52"/>
      <c r="G70" s="52"/>
      <c r="H70" s="52"/>
      <c r="I70" s="52"/>
      <c r="J70" s="52"/>
      <c r="K70" s="52"/>
      <c r="L70" s="52"/>
      <c r="M70" s="52"/>
      <c r="N70" s="52"/>
      <c r="O70" s="52"/>
      <c r="P70" s="52"/>
      <c r="Q70" s="52"/>
      <c r="R70" s="52"/>
      <c r="S70" s="52"/>
      <c r="T70" s="52"/>
    </row>
    <row r="71" spans="2:20" x14ac:dyDescent="0.3">
      <c r="B71" s="28"/>
      <c r="C71" s="29"/>
      <c r="D71" s="29"/>
      <c r="E71" s="32"/>
      <c r="F71" s="52"/>
      <c r="G71" s="52"/>
      <c r="H71" s="52"/>
      <c r="I71" s="52"/>
      <c r="J71" s="52"/>
      <c r="K71" s="52"/>
      <c r="L71" s="52"/>
      <c r="M71" s="52"/>
      <c r="N71" s="52"/>
      <c r="O71" s="52"/>
      <c r="P71" s="52"/>
      <c r="Q71" s="52"/>
      <c r="R71" s="52"/>
      <c r="S71" s="52"/>
      <c r="T71" s="52"/>
    </row>
    <row r="72" spans="2:20" x14ac:dyDescent="0.3">
      <c r="B72" s="28"/>
      <c r="C72" s="29"/>
      <c r="D72" s="29"/>
      <c r="E72" s="30"/>
      <c r="F72" s="46"/>
      <c r="G72" s="46"/>
      <c r="H72" s="46"/>
      <c r="I72" s="46"/>
      <c r="J72" s="46"/>
      <c r="K72" s="46"/>
      <c r="L72" s="46"/>
      <c r="M72" s="46"/>
      <c r="N72" s="46"/>
      <c r="O72" s="46"/>
      <c r="P72" s="46"/>
      <c r="Q72" s="46"/>
      <c r="R72" s="46"/>
      <c r="S72" s="46"/>
      <c r="T72" s="46"/>
    </row>
    <row r="73" spans="2:20" x14ac:dyDescent="0.3">
      <c r="B73" s="28"/>
      <c r="C73" s="29"/>
      <c r="D73" s="29"/>
      <c r="E73" s="30"/>
      <c r="F73" s="46"/>
      <c r="G73" s="46"/>
      <c r="H73" s="46"/>
      <c r="I73" s="46"/>
      <c r="J73" s="46"/>
      <c r="K73" s="46"/>
      <c r="L73" s="46"/>
      <c r="M73" s="46"/>
      <c r="N73" s="46"/>
      <c r="O73" s="46"/>
      <c r="P73" s="46"/>
      <c r="Q73" s="46"/>
      <c r="R73" s="46"/>
      <c r="S73" s="46"/>
      <c r="T73" s="46"/>
    </row>
    <row r="74" spans="2:20" x14ac:dyDescent="0.3">
      <c r="B74" s="28"/>
      <c r="C74" s="29"/>
      <c r="D74" s="29"/>
      <c r="E74" s="29"/>
    </row>
    <row r="75" spans="2:20" x14ac:dyDescent="0.3">
      <c r="B75" s="28"/>
      <c r="C75" s="29"/>
      <c r="D75" s="29"/>
      <c r="E75" s="29"/>
    </row>
    <row r="76" spans="2:20" x14ac:dyDescent="0.3">
      <c r="B76" s="28"/>
      <c r="C76" s="29"/>
      <c r="D76" s="29"/>
      <c r="E76" s="29"/>
    </row>
    <row r="77" spans="2:20" x14ac:dyDescent="0.3">
      <c r="B77" s="28"/>
      <c r="C77" s="29"/>
      <c r="D77" s="29"/>
      <c r="E77" s="29"/>
    </row>
  </sheetData>
  <mergeCells count="2">
    <mergeCell ref="G3:J6"/>
    <mergeCell ref="S9:S10"/>
  </mergeCells>
  <dataValidations count="3">
    <dataValidation type="list" allowBlank="1" showInputMessage="1" showErrorMessage="1" sqref="E3">
      <formula1>CompaniesTemplate</formula1>
    </dataValidation>
    <dataValidation type="list" allowBlank="1" showInputMessage="1" showErrorMessage="1" sqref="E5">
      <formula1>Periods</formula1>
    </dataValidation>
    <dataValidation type="list" allowBlank="1" showInputMessage="1" sqref="E4">
      <formula1>FiscalYearsTemplate</formula1>
    </dataValidation>
  </dataValidations>
  <hyperlinks>
    <hyperlink ref="B2" location="Home!A1" tooltip="Click to navigate to the Home sheet." display="ß"/>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heetPr>
  <dimension ref="B1:O38"/>
  <sheetViews>
    <sheetView showGridLines="0" zoomScale="90" zoomScaleNormal="90" workbookViewId="0"/>
  </sheetViews>
  <sheetFormatPr defaultRowHeight="16.5" outlineLevelRow="1" x14ac:dyDescent="0.3"/>
  <cols>
    <col min="1" max="1" width="2.85546875" style="12" customWidth="1"/>
    <col min="2" max="2" width="5.5703125" style="11" customWidth="1"/>
    <col min="3" max="3" width="39" style="12" customWidth="1"/>
    <col min="4" max="4" width="0.5703125" style="12" customWidth="1"/>
    <col min="5" max="5" width="14.5703125" style="12" bestFit="1" customWidth="1"/>
    <col min="6" max="6" width="15" style="12" bestFit="1" customWidth="1"/>
    <col min="7" max="7" width="1.85546875" style="12" customWidth="1"/>
    <col min="8" max="8" width="14.5703125" style="12" bestFit="1" customWidth="1"/>
    <col min="9" max="9" width="15" style="12" bestFit="1" customWidth="1"/>
    <col min="10" max="10" width="1.85546875" style="12" customWidth="1"/>
    <col min="11" max="11" width="14.5703125" style="12" bestFit="1" customWidth="1"/>
    <col min="12" max="12" width="15" style="12" bestFit="1" customWidth="1"/>
    <col min="13" max="13" width="9.140625" style="12"/>
    <col min="14" max="15" width="15" style="12" bestFit="1" customWidth="1"/>
    <col min="16" max="16384" width="9.140625" style="12"/>
  </cols>
  <sheetData>
    <row r="1" spans="2:15" ht="15" customHeight="1" x14ac:dyDescent="0.3"/>
    <row r="2" spans="2:15" ht="33.75" customHeight="1" x14ac:dyDescent="0.7">
      <c r="B2" s="91" t="s">
        <v>154</v>
      </c>
      <c r="C2" s="13" t="str">
        <f>CONCATENATE(F4," Trial Balance")</f>
        <v>0 Trial Balance</v>
      </c>
      <c r="D2" s="13"/>
      <c r="E2" s="13"/>
    </row>
    <row r="3" spans="2:15" x14ac:dyDescent="0.3">
      <c r="I3" s="128" t="s">
        <v>161</v>
      </c>
      <c r="J3" s="128"/>
      <c r="K3" s="128"/>
      <c r="L3" s="128"/>
    </row>
    <row r="4" spans="2:15" x14ac:dyDescent="0.3">
      <c r="C4" s="14" t="s">
        <v>26</v>
      </c>
      <c r="D4" s="14"/>
      <c r="E4" s="15"/>
      <c r="F4" s="66">
        <f>INDEX(Companies,1)</f>
        <v>0</v>
      </c>
      <c r="H4"/>
      <c r="I4" s="128"/>
      <c r="J4" s="128"/>
      <c r="K4" s="128"/>
      <c r="L4" s="128"/>
    </row>
    <row r="5" spans="2:15" x14ac:dyDescent="0.3">
      <c r="C5" s="14" t="s">
        <v>25</v>
      </c>
      <c r="D5" s="14"/>
      <c r="E5" s="15"/>
      <c r="F5" s="77">
        <f>CHOOSE(B, "GLCurrentPeriod(" &amp; $F$4 &amp; ")", CellContents, 1)</f>
        <v>1</v>
      </c>
      <c r="H5"/>
      <c r="I5" s="128"/>
      <c r="J5" s="128"/>
      <c r="K5" s="128"/>
      <c r="L5" s="128"/>
    </row>
    <row r="6" spans="2:15" x14ac:dyDescent="0.3">
      <c r="C6" s="14" t="s">
        <v>27</v>
      </c>
      <c r="D6" s="14"/>
      <c r="E6" s="15"/>
      <c r="F6" s="15" t="str">
        <f>CHOOSE(B, "GLHomeCurrency(" &amp; $F$4 &amp; ")", CellContents, "CAD")</f>
        <v>CAD</v>
      </c>
      <c r="I6" s="128"/>
      <c r="J6" s="128"/>
      <c r="K6" s="128"/>
      <c r="L6" s="128"/>
    </row>
    <row r="7" spans="2:15" x14ac:dyDescent="0.3">
      <c r="C7" s="14" t="s">
        <v>28</v>
      </c>
      <c r="D7" s="14"/>
      <c r="E7" s="15"/>
      <c r="F7" s="15" t="s">
        <v>29</v>
      </c>
    </row>
    <row r="8" spans="2:15" ht="7.5" customHeight="1" x14ac:dyDescent="0.3">
      <c r="C8" s="16"/>
      <c r="D8" s="16"/>
      <c r="E8" s="16"/>
      <c r="F8" s="17"/>
    </row>
    <row r="9" spans="2:15" ht="16.5" customHeight="1" x14ac:dyDescent="0.3">
      <c r="E9" s="70">
        <f>CHOOSE(B, "GLCurrentYear(" &amp; $F$4 &amp; ")", CellContents, 2020)</f>
        <v>2020</v>
      </c>
      <c r="F9" s="67"/>
      <c r="G9" s="53"/>
      <c r="H9" s="70">
        <v>2019</v>
      </c>
      <c r="I9" s="90"/>
      <c r="J9" s="54"/>
      <c r="K9" s="130" t="s">
        <v>93</v>
      </c>
      <c r="L9" s="130"/>
      <c r="M9" s="55"/>
    </row>
    <row r="10" spans="2:15" ht="16.5" customHeight="1" x14ac:dyDescent="0.3">
      <c r="E10" s="39" t="s">
        <v>94</v>
      </c>
      <c r="F10" s="39" t="s">
        <v>8</v>
      </c>
      <c r="G10" s="53"/>
      <c r="H10" s="39" t="s">
        <v>94</v>
      </c>
      <c r="I10" s="39" t="s">
        <v>8</v>
      </c>
      <c r="J10" s="54"/>
      <c r="K10" s="39" t="s">
        <v>94</v>
      </c>
      <c r="L10" s="39" t="s">
        <v>8</v>
      </c>
      <c r="M10" s="55"/>
    </row>
    <row r="11" spans="2:15" ht="7.5" customHeight="1" x14ac:dyDescent="0.3"/>
    <row r="12" spans="2:15" s="27" customFormat="1" ht="12.75" x14ac:dyDescent="0.2">
      <c r="B12" s="25"/>
      <c r="C12" s="35" t="s">
        <v>100</v>
      </c>
      <c r="D12" s="35"/>
      <c r="E12" s="36">
        <f>SUM(E13:E26)</f>
        <v>88110</v>
      </c>
      <c r="F12" s="36">
        <f>SUM(F13:F26)</f>
        <v>88109</v>
      </c>
      <c r="G12" s="32"/>
      <c r="H12" s="36">
        <f>SUM(H13:H26)</f>
        <v>-7618834</v>
      </c>
      <c r="I12" s="36">
        <f>SUM(I13:I26)</f>
        <v>-7618833</v>
      </c>
      <c r="J12" s="32"/>
      <c r="K12" s="36">
        <f>SUM(K13:K26)</f>
        <v>7706944</v>
      </c>
      <c r="L12" s="36">
        <f>SUM(L13:L26)</f>
        <v>7706942</v>
      </c>
    </row>
    <row r="13" spans="2:15" s="27" customFormat="1" ht="15" customHeight="1" outlineLevel="1" x14ac:dyDescent="0.25">
      <c r="B13" s="29" t="s">
        <v>171</v>
      </c>
      <c r="C13" s="29" t="s">
        <v>32</v>
      </c>
      <c r="D13" s="29"/>
      <c r="E13" s="32">
        <f>CHOOSE(B, "GLActual(" &amp; "Account" &amp; "," &amp; $F$4 &amp; "," &amp; $E$9 &amp; "," &amp; $F$5 &amp; "," &amp; "AccountGroupCode" &amp; "," &amp; $B13 &amp; "," &amp; "AccountStructureCode" &amp; "," &amp; "AccountType" &amp; "," &amp; "BalanceType" &amp; "," &amp; $F$6 &amp; "," &amp; $F$7 &amp; ")", CellContents, 1071635,98)</f>
        <v>1071635</v>
      </c>
      <c r="F13" s="32">
        <f>CHOOSE(B, "GLClosingBalance(" &amp; "Account" &amp; "," &amp; $F$4 &amp; "," &amp; $E$9 &amp; "," &amp; $F$5 &amp; "," &amp; "AccountGroupCode" &amp; "," &amp; $B13 &amp; "," &amp; "AccountStructureCode" &amp; "," &amp; "AccountType" &amp; "," &amp; "BalanceType" &amp; "," &amp; $F$6 &amp; "," &amp; $F$7 &amp; ")", CellContents, 7912363,97)</f>
        <v>7912363</v>
      </c>
      <c r="G13" s="32"/>
      <c r="H13" s="32">
        <f>CHOOSE(B, "GLActual(" &amp; "Account" &amp; "," &amp; $F$4 &amp; "," &amp; $H$9 &amp; "," &amp; $F$5 &amp; "," &amp; "AccountGroupCode" &amp; "," &amp; $B13 &amp; "," &amp; "AccountStructureCode" &amp; "," &amp; "AccountType" &amp; "," &amp; "BalanceType" &amp; "," &amp; $F$6 &amp; "," &amp; $F$7 &amp; ")", CellContents, 729436,5)</f>
        <v>729436</v>
      </c>
      <c r="I13" s="32">
        <f>CHOOSE(B, "GLClosingBalance(" &amp; "Account" &amp; "," &amp; $F$4 &amp; "," &amp; $H$9 &amp; "," &amp; $F$5 &amp; "," &amp; "AccountGroupCode" &amp; "," &amp; $B13 &amp; "," &amp; "AccountStructureCode" &amp; "," &amp; "AccountType" &amp; "," &amp; "BalanceType" &amp; "," &amp; $F$6 &amp; "," &amp; $F$7 &amp; ")", CellContents, 2748523,6)</f>
        <v>2748523</v>
      </c>
      <c r="J13" s="32"/>
      <c r="K13" s="32">
        <f>E13-H13</f>
        <v>342199</v>
      </c>
      <c r="L13" s="32">
        <f>F13-I13</f>
        <v>5163840</v>
      </c>
      <c r="N13" s="56"/>
      <c r="O13" s="56"/>
    </row>
    <row r="14" spans="2:15" s="27" customFormat="1" ht="15" customHeight="1" outlineLevel="1" x14ac:dyDescent="0.25">
      <c r="B14" s="29" t="s">
        <v>72</v>
      </c>
      <c r="C14" s="29" t="s">
        <v>33</v>
      </c>
      <c r="D14" s="29"/>
      <c r="E14" s="32">
        <f>CHOOSE(B, "GLActual(" &amp; "Account" &amp; "," &amp; $F$4 &amp; "," &amp; $E$9 &amp; "," &amp; $F$5 &amp; "," &amp; "AccountGroupCode" &amp; "," &amp; $B14 &amp; "," &amp; "AccountStructureCode" &amp; "," &amp; "AccountType" &amp; "," &amp; "BalanceType" &amp; "," &amp; $F$6 &amp; "," &amp; $F$7 &amp; ")", CellContents, -149165,7)</f>
        <v>-149165</v>
      </c>
      <c r="F14" s="32">
        <f>CHOOSE(B, "GLClosingBalance(" &amp; "Account" &amp; "," &amp; $F$4 &amp; "," &amp; $E$9 &amp; "," &amp; $F$5 &amp; "," &amp; "AccountGroupCode" &amp; "," &amp; $B14 &amp; "," &amp; "AccountStructureCode" &amp; "," &amp; "AccountType" &amp; "," &amp; "BalanceType" &amp; "," &amp; $F$6 &amp; "," &amp; $F$7 &amp; ")", CellContents, 2969264,75)</f>
        <v>2969264</v>
      </c>
      <c r="G14" s="32"/>
      <c r="H14" s="32">
        <f>CHOOSE(B, "GLActual(" &amp; "Account" &amp; "," &amp; $F$4 &amp; "," &amp; $H$9 &amp; "," &amp; $F$5 &amp; "," &amp; "AccountGroupCode" &amp; "," &amp; $B14 &amp; "," &amp; "AccountStructureCode" &amp; "," &amp; "AccountType" &amp; "," &amp; "BalanceType" &amp; "," &amp; $F$6 &amp; "," &amp; $F$7 &amp; ")", CellContents, 884217,21)</f>
        <v>884217</v>
      </c>
      <c r="I14" s="32">
        <f>CHOOSE(B, "GLClosingBalance(" &amp; "Account" &amp; "," &amp; $F$4 &amp; "," &amp; $H$9 &amp; "," &amp; $F$5 &amp; "," &amp; "AccountGroupCode" &amp; "," &amp; $B14 &amp; "," &amp; "AccountStructureCode" &amp; "," &amp; "AccountType" &amp; "," &amp; "BalanceType" &amp; "," &amp; $F$6 &amp; "," &amp; $F$7 &amp; ")", CellContents, 1930170,59)</f>
        <v>1930170</v>
      </c>
      <c r="J14" s="32"/>
      <c r="K14" s="32">
        <f t="shared" ref="K14:K25" si="0">E14-H14</f>
        <v>-1033382</v>
      </c>
      <c r="L14" s="32">
        <f t="shared" ref="L14:L25" si="1">F14-I14</f>
        <v>1039094</v>
      </c>
      <c r="N14" s="56"/>
      <c r="O14" s="56"/>
    </row>
    <row r="15" spans="2:15" s="27" customFormat="1" ht="15" customHeight="1" outlineLevel="1" x14ac:dyDescent="0.25">
      <c r="B15" s="29" t="s">
        <v>73</v>
      </c>
      <c r="C15" s="29" t="s">
        <v>35</v>
      </c>
      <c r="D15" s="29"/>
      <c r="E15" s="32">
        <f>CHOOSE(B, "GLActual(" &amp; "Account" &amp; "," &amp; $F$4 &amp; "," &amp; $E$9 &amp; "," &amp; $F$5 &amp; "," &amp; "AccountGroupCode" &amp; "," &amp; $B15 &amp; "," &amp; "AccountStructureCode" &amp; "," &amp; "AccountType" &amp; "," &amp; "BalanceType" &amp; "," &amp; $F$6 &amp; "," &amp; $F$7 &amp; ")", CellContents, -4910,9)</f>
        <v>-4910</v>
      </c>
      <c r="F15" s="32">
        <f>CHOOSE(B, "GLClosingBalance(" &amp; "Account" &amp; "," &amp; $F$4 &amp; "," &amp; $E$9 &amp; "," &amp; $F$5 &amp; "," &amp; "AccountGroupCode" &amp; "," &amp; $B15 &amp; "," &amp; "AccountStructureCode" &amp; "," &amp; "AccountType" &amp; "," &amp; "BalanceType" &amp; "," &amp; $F$6 &amp; "," &amp; $F$7 &amp; ")", CellContents, 1928978,6)</f>
        <v>1928978</v>
      </c>
      <c r="G15" s="32"/>
      <c r="H15" s="32">
        <f>CHOOSE(B, "GLActual(" &amp; "Account" &amp; "," &amp; $F$4 &amp; "," &amp; $H$9 &amp; "," &amp; $F$5 &amp; "," &amp; "AccountGroupCode" &amp; "," &amp; $B15 &amp; "," &amp; "AccountStructureCode" &amp; "," &amp; "AccountType" &amp; "," &amp; "BalanceType" &amp; "," &amp; $F$6 &amp; "," &amp; $F$7 &amp; ")", CellContents, 890629,56)</f>
        <v>890629</v>
      </c>
      <c r="I15" s="32">
        <f>CHOOSE(B, "GLClosingBalance(" &amp; "Account" &amp; "," &amp; $F$4 &amp; "," &amp; $H$9 &amp; "," &amp; $F$5 &amp; "," &amp; "AccountGroupCode" &amp; "," &amp; $B15 &amp; "," &amp; "AccountStructureCode" &amp; "," &amp; "AccountType" &amp; "," &amp; "BalanceType" &amp; "," &amp; $F$6 &amp; "," &amp; $F$7 &amp; ")", CellContents, 1873135,81)</f>
        <v>1873135</v>
      </c>
      <c r="J15" s="32"/>
      <c r="K15" s="32">
        <f t="shared" si="0"/>
        <v>-895539</v>
      </c>
      <c r="L15" s="32">
        <f t="shared" si="1"/>
        <v>55843</v>
      </c>
      <c r="N15" s="56"/>
      <c r="O15" s="56"/>
    </row>
    <row r="16" spans="2:15" s="27" customFormat="1" ht="15" customHeight="1" outlineLevel="1" x14ac:dyDescent="0.25">
      <c r="B16" s="29" t="s">
        <v>74</v>
      </c>
      <c r="C16" s="29" t="s">
        <v>36</v>
      </c>
      <c r="D16" s="29"/>
      <c r="E16" s="32">
        <f>CHOOSE(B, "GLActual(" &amp; "Account" &amp; "," &amp; $F$4 &amp; "," &amp; $E$9 &amp; "," &amp; $F$5 &amp; "," &amp; "AccountGroupCode" &amp; "," &amp; $B16 &amp; "," &amp; "AccountStructureCode" &amp; "," &amp; "AccountType" &amp; "," &amp; "BalanceType" &amp; "," &amp; $F$6 &amp; "," &amp; $F$7 &amp; ")", CellContents, 0)</f>
        <v>0</v>
      </c>
      <c r="F16" s="32">
        <f>CHOOSE(B, "GLClosingBalance(" &amp; "Account" &amp; "," &amp; $F$4 &amp; "," &amp; $E$9 &amp; "," &amp; $F$5 &amp; "," &amp; "AccountGroupCode" &amp; "," &amp; $B16 &amp; "," &amp; "AccountStructureCode" &amp; "," &amp; "AccountType" &amp; "," &amp; "BalanceType" &amp; "," &amp; $F$6 &amp; "," &amp; $F$7 &amp; ")", CellContents, 38655,49)</f>
        <v>38655</v>
      </c>
      <c r="G16" s="32"/>
      <c r="H16" s="32">
        <f>CHOOSE(B, "GLActual(" &amp; "Account" &amp; "," &amp; $F$4 &amp; "," &amp; $H$9 &amp; "," &amp; $F$5 &amp; "," &amp; "AccountGroupCode" &amp; "," &amp; $B16 &amp; "," &amp; "AccountStructureCode" &amp; "," &amp; "AccountType" &amp; "," &amp; "BalanceType" &amp; "," &amp; $F$6 &amp; "," &amp; $F$7 &amp; ")", CellContents, 5455,49)</f>
        <v>5455</v>
      </c>
      <c r="I16" s="32">
        <f>CHOOSE(B, "GLClosingBalance(" &amp; "Account" &amp; "," &amp; $F$4 &amp; "," &amp; $H$9 &amp; "," &amp; $F$5 &amp; "," &amp; "AccountGroupCode" &amp; "," &amp; $B16 &amp; "," &amp; "AccountStructureCode" &amp; "," &amp; "AccountType" &amp; "," &amp; "BalanceType" &amp; "," &amp; $F$6 &amp; "," &amp; $F$7 &amp; ")", CellContents, 38655,49)</f>
        <v>38655</v>
      </c>
      <c r="J16" s="32"/>
      <c r="K16" s="32">
        <f t="shared" si="0"/>
        <v>-5455</v>
      </c>
      <c r="L16" s="32">
        <f t="shared" si="1"/>
        <v>0</v>
      </c>
      <c r="N16" s="56"/>
      <c r="O16" s="56"/>
    </row>
    <row r="17" spans="2:15" s="27" customFormat="1" ht="15" customHeight="1" outlineLevel="1" x14ac:dyDescent="0.25">
      <c r="B17" s="29" t="s">
        <v>75</v>
      </c>
      <c r="C17" s="29" t="s">
        <v>38</v>
      </c>
      <c r="D17" s="29"/>
      <c r="E17" s="32">
        <f>CHOOSE(B, "GLActual(" &amp; "Account" &amp; "," &amp; $F$4 &amp; "," &amp; $E$9 &amp; "," &amp; $F$5 &amp; "," &amp; "AccountGroupCode" &amp; "," &amp; $B17 &amp; "," &amp; "AccountStructureCode" &amp; "," &amp; "AccountType" &amp; "," &amp; "BalanceType" &amp; "," &amp; $F$6 &amp; "," &amp; $F$7 &amp; ")", CellContents, 0)</f>
        <v>0</v>
      </c>
      <c r="F17" s="32">
        <f>CHOOSE(B, "GLClosingBalance(" &amp; "Account" &amp; "," &amp; $F$4 &amp; "," &amp; $E$9 &amp; "," &amp; $F$5 &amp; "," &amp; "AccountGroupCode" &amp; "," &amp; $B17 &amp; "," &amp; "AccountStructureCode" &amp; "," &amp; "AccountType" &amp; "," &amp; "BalanceType" &amp; "," &amp; $F$6 &amp; "," &amp; $F$7 &amp; ")", CellContents, 1062888,79)</f>
        <v>1062888</v>
      </c>
      <c r="G17" s="32"/>
      <c r="H17" s="32">
        <f>CHOOSE(B, "GLActual(" &amp; "Account" &amp; "," &amp; $F$4 &amp; "," &amp; $H$9 &amp; "," &amp; $F$5 &amp; "," &amp; "AccountGroupCode" &amp; "," &amp; $B17 &amp; "," &amp; "AccountStructureCode" &amp; "," &amp; "AccountType" &amp; "," &amp; "BalanceType" &amp; "," &amp; $F$6 &amp; "," &amp; $F$7 &amp; ")", CellContents, 0)</f>
        <v>0</v>
      </c>
      <c r="I17" s="32">
        <f>CHOOSE(B, "GLClosingBalance(" &amp; "Account" &amp; "," &amp; $F$4 &amp; "," &amp; $H$9 &amp; "," &amp; $F$5 &amp; "," &amp; "AccountGroupCode" &amp; "," &amp; $B17 &amp; "," &amp; "AccountStructureCode" &amp; "," &amp; "AccountType" &amp; "," &amp; "BalanceType" &amp; "," &amp; $F$6 &amp; "," &amp; $F$7 &amp; ")", CellContents, 762888,79)</f>
        <v>762888</v>
      </c>
      <c r="J17" s="32"/>
      <c r="K17" s="32">
        <f t="shared" si="0"/>
        <v>0</v>
      </c>
      <c r="L17" s="32">
        <f t="shared" si="1"/>
        <v>300000</v>
      </c>
      <c r="N17" s="56"/>
      <c r="O17" s="56"/>
    </row>
    <row r="18" spans="2:15" s="27" customFormat="1" ht="15" customHeight="1" outlineLevel="1" x14ac:dyDescent="0.25">
      <c r="B18" s="29" t="s">
        <v>76</v>
      </c>
      <c r="C18" s="29" t="s">
        <v>39</v>
      </c>
      <c r="D18" s="29"/>
      <c r="E18" s="32">
        <f>CHOOSE(B, "GLActual(" &amp; "Account" &amp; "," &amp; $F$4 &amp; "," &amp; $E$9 &amp; "," &amp; $F$5 &amp; "," &amp; "AccountGroupCode" &amp; "," &amp; $B18 &amp; "," &amp; "AccountStructureCode" &amp; "," &amp; "AccountType" &amp; "," &amp; "BalanceType" &amp; "," &amp; $F$6 &amp; "," &amp; $F$7 &amp; ")", CellContents, -40000)</f>
        <v>-40000</v>
      </c>
      <c r="F18" s="32">
        <f>CHOOSE(B, "GLClosingBalance(" &amp; "Account" &amp; "," &amp; $F$4 &amp; "," &amp; $E$9 &amp; "," &amp; $F$5 &amp; "," &amp; "AccountGroupCode" &amp; "," &amp; $B18 &amp; "," &amp; "AccountStructureCode" &amp; "," &amp; "AccountType" &amp; "," &amp; "BalanceType" &amp; "," &amp; $F$6 &amp; "," &amp; $F$7 &amp; ")", CellContents, -802426,42)</f>
        <v>-802426</v>
      </c>
      <c r="G18" s="32"/>
      <c r="H18" s="32">
        <f>CHOOSE(B, "GLActual(" &amp; "Account" &amp; "," &amp; $F$4 &amp; "," &amp; $H$9 &amp; "," &amp; $F$5 &amp; "," &amp; "AccountGroupCode" &amp; "," &amp; $B18 &amp; "," &amp; "AccountStructureCode" &amp; "," &amp; "AccountType" &amp; "," &amp; "BalanceType" &amp; "," &amp; $F$6 &amp; "," &amp; $F$7 &amp; ")", CellContents, -40000)</f>
        <v>-40000</v>
      </c>
      <c r="I18" s="32">
        <f>CHOOSE(B, "GLClosingBalance(" &amp; "Account" &amp; "," &amp; $F$4 &amp; "," &amp; $H$9 &amp; "," &amp; $F$5 &amp; "," &amp; "AccountGroupCode" &amp; "," &amp; $B18 &amp; "," &amp; "AccountStructureCode" &amp; "," &amp; "AccountType" &amp; "," &amp; "BalanceType" &amp; "," &amp; $F$6 &amp; "," &amp; $F$7 &amp; ")", CellContents, -327426,42)</f>
        <v>-327426</v>
      </c>
      <c r="J18" s="32"/>
      <c r="K18" s="32">
        <f t="shared" si="0"/>
        <v>0</v>
      </c>
      <c r="L18" s="32">
        <f t="shared" si="1"/>
        <v>-475000</v>
      </c>
      <c r="N18" s="56"/>
      <c r="O18" s="56"/>
    </row>
    <row r="19" spans="2:15" s="27" customFormat="1" ht="15" customHeight="1" outlineLevel="1" x14ac:dyDescent="0.25">
      <c r="B19" s="29" t="s">
        <v>77</v>
      </c>
      <c r="C19" s="29" t="s">
        <v>34</v>
      </c>
      <c r="D19" s="29"/>
      <c r="E19" s="32">
        <f>CHOOSE(B, "GLActual(" &amp; "Account" &amp; "," &amp; $F$4 &amp; "," &amp; $E$9 &amp; "," &amp; $F$5 &amp; "," &amp; "AccountGroupCode" &amp; "," &amp; $B19 &amp; "," &amp; "AccountStructureCode" &amp; "," &amp; "AccountType" &amp; "," &amp; "BalanceType" &amp; "," &amp; $F$6 &amp; "," &amp; $F$7 &amp; ")", CellContents, 0)</f>
        <v>0</v>
      </c>
      <c r="F19" s="32">
        <f>CHOOSE(B, "GLClosingBalance(" &amp; "Account" &amp; "," &amp; $F$4 &amp; "," &amp; $E$9 &amp; "," &amp; $F$5 &amp; "," &amp; "AccountGroupCode" &amp; "," &amp; $B19 &amp; "," &amp; "AccountStructureCode" &amp; "," &amp; "AccountType" &amp; "," &amp; "BalanceType" &amp; "," &amp; $F$6 &amp; "," &amp; $F$7 &amp; ")", CellContents, 0)</f>
        <v>0</v>
      </c>
      <c r="G19" s="32"/>
      <c r="H19" s="32">
        <f>CHOOSE(B, "GLActual(" &amp; "Account" &amp; "," &amp; $F$4 &amp; "," &amp; $H$9 &amp; "," &amp; $F$5 &amp; "," &amp; "AccountGroupCode" &amp; "," &amp; $B19 &amp; "," &amp; "AccountStructureCode" &amp; "," &amp; "AccountType" &amp; "," &amp; "BalanceType" &amp; "," &amp; $F$6 &amp; "," &amp; $F$7 &amp; ")", CellContents, 0)</f>
        <v>0</v>
      </c>
      <c r="I19" s="32">
        <f>CHOOSE(B, "GLClosingBalance(" &amp; "Account" &amp; "," &amp; $F$4 &amp; "," &amp; $H$9 &amp; "," &amp; $F$5 &amp; "," &amp; "AccountGroupCode" &amp; "," &amp; $B19 &amp; "," &amp; "AccountStructureCode" &amp; "," &amp; "AccountType" &amp; "," &amp; "BalanceType" &amp; "," &amp; $F$6 &amp; "," &amp; $F$7 &amp; ")", CellContents, 0)</f>
        <v>0</v>
      </c>
      <c r="J19" s="32"/>
      <c r="K19" s="32">
        <f t="shared" si="0"/>
        <v>0</v>
      </c>
      <c r="L19" s="32">
        <f t="shared" si="1"/>
        <v>0</v>
      </c>
      <c r="N19" s="56"/>
      <c r="O19" s="56"/>
    </row>
    <row r="20" spans="2:15" s="27" customFormat="1" ht="15" customHeight="1" outlineLevel="1" x14ac:dyDescent="0.25">
      <c r="B20" s="29" t="s">
        <v>78</v>
      </c>
      <c r="C20" s="29" t="s">
        <v>41</v>
      </c>
      <c r="D20" s="29"/>
      <c r="E20" s="32">
        <f>CHOOSE(B, "GLActual(" &amp; "Account" &amp; "," &amp; $F$4 &amp; "," &amp; $E$9 &amp; "," &amp; $F$5 &amp; "," &amp; "AccountGroupCode" &amp; "," &amp; $B20 &amp; "," &amp; "AccountStructureCode" &amp; "," &amp; "AccountType" &amp; "," &amp; "BalanceType" &amp; "," &amp; $F$6 &amp; "," &amp; $F$7 &amp; ")", CellContents, -832473,77)</f>
        <v>-832473</v>
      </c>
      <c r="F20" s="32">
        <f>CHOOSE(B, "GLClosingBalance(" &amp; "Account" &amp; "," &amp; $F$4 &amp; "," &amp; $E$9 &amp; "," &amp; $F$5 &amp; "," &amp; "AccountGroupCode" &amp; "," &amp; $B20 &amp; "," &amp; "AccountStructureCode" &amp; "," &amp; "AccountType" &amp; "," &amp; "BalanceType" &amp; "," &amp; $F$6 &amp; "," &amp; $F$7 &amp; ")", CellContents, -12993043,12)</f>
        <v>-12993043</v>
      </c>
      <c r="G20" s="32"/>
      <c r="H20" s="32">
        <f>CHOOSE(B, "GLActual(" &amp; "Account" &amp; "," &amp; $F$4 &amp; "," &amp; $H$9 &amp; "," &amp; $F$5 &amp; "," &amp; "AccountGroupCode" &amp; "," &amp; $B20 &amp; "," &amp; "AccountStructureCode" &amp; "," &amp; "AccountType" &amp; "," &amp; "BalanceType" &amp; "," &amp; $F$6 &amp; "," &amp; $F$7 &amp; ")", CellContents, -9970361)</f>
        <v>-9970361</v>
      </c>
      <c r="I20" s="32">
        <f>CHOOSE(B, "GLClosingBalance(" &amp; "Account" &amp; "," &amp; $F$4 &amp; "," &amp; $H$9 &amp; "," &amp; $F$5 &amp; "," &amp; "AccountGroupCode" &amp; "," &amp; $B20 &amp; "," &amp; "AccountStructureCode" &amp; "," &amp; "AccountType" &amp; "," &amp; "BalanceType" &amp; "," &amp; $F$6 &amp; "," &amp; $F$7 &amp; ")", CellContents, -11240492,98)</f>
        <v>-11240492</v>
      </c>
      <c r="J20" s="32"/>
      <c r="K20" s="32">
        <f t="shared" si="0"/>
        <v>9137888</v>
      </c>
      <c r="L20" s="32">
        <f t="shared" si="1"/>
        <v>-1752551</v>
      </c>
      <c r="N20" s="56"/>
      <c r="O20" s="56"/>
    </row>
    <row r="21" spans="2:15" s="27" customFormat="1" ht="15" customHeight="1" outlineLevel="1" x14ac:dyDescent="0.25">
      <c r="B21" s="29" t="s">
        <v>79</v>
      </c>
      <c r="C21" s="29" t="s">
        <v>40</v>
      </c>
      <c r="D21" s="29"/>
      <c r="E21" s="32">
        <f>CHOOSE(B, "GLActual(" &amp; "Account" &amp; "," &amp; $F$4 &amp; "," &amp; $E$9 &amp; "," &amp; $F$5 &amp; "," &amp; "AccountGroupCode" &amp; "," &amp; $B21 &amp; "," &amp; "AccountStructureCode" &amp; "," &amp; "AccountType" &amp; "," &amp; "BalanceType" &amp; "," &amp; $F$6 &amp; "," &amp; $F$7 &amp; ")", CellContents, 31023,43)</f>
        <v>31023</v>
      </c>
      <c r="F21" s="32">
        <f>CHOOSE(B, "GLClosingBalance(" &amp; "Account" &amp; "," &amp; $F$4 &amp; "," &amp; $E$9 &amp; "," &amp; $F$5 &amp; "," &amp; "AccountGroupCode" &amp; "," &amp; $B21 &amp; "," &amp; "AccountStructureCode" &amp; "," &amp; "AccountType" &amp; "," &amp; "BalanceType" &amp; "," &amp; $F$6 &amp; "," &amp; $F$7 &amp; ")", CellContents, -971872,89)</f>
        <v>-971872</v>
      </c>
      <c r="G21" s="32"/>
      <c r="H21" s="32">
        <f>CHOOSE(B, "GLActual(" &amp; "Account" &amp; "," &amp; $F$4 &amp; "," &amp; $H$9 &amp; "," &amp; $F$5 &amp; "," &amp; "AccountGroupCode" &amp; "," &amp; $B21 &amp; "," &amp; "AccountStructureCode" &amp; "," &amp; "AccountType" &amp; "," &amp; "BalanceType" &amp; "," &amp; $F$6 &amp; "," &amp; $F$7 &amp; ")", CellContents, -130210,45)</f>
        <v>-130210</v>
      </c>
      <c r="I21" s="32">
        <f>CHOOSE(B, "GLClosingBalance(" &amp; "Account" &amp; "," &amp; $F$4 &amp; "," &amp; $H$9 &amp; "," &amp; $F$5 &amp; "," &amp; "AccountGroupCode" &amp; "," &amp; $B21 &amp; "," &amp; "AccountStructureCode" &amp; "," &amp; "AccountType" &amp; "," &amp; "BalanceType" &amp; "," &amp; $F$6 &amp; "," &amp; $F$7 &amp; ")", CellContents, -981168,82)</f>
        <v>-981168</v>
      </c>
      <c r="J21" s="32"/>
      <c r="K21" s="32">
        <f t="shared" si="0"/>
        <v>161233</v>
      </c>
      <c r="L21" s="32">
        <f t="shared" si="1"/>
        <v>9296</v>
      </c>
      <c r="N21" s="56"/>
      <c r="O21" s="56"/>
    </row>
    <row r="22" spans="2:15" s="27" customFormat="1" ht="15" customHeight="1" outlineLevel="1" x14ac:dyDescent="0.25">
      <c r="B22" s="29" t="s">
        <v>80</v>
      </c>
      <c r="C22" s="29" t="s">
        <v>172</v>
      </c>
      <c r="D22" s="29"/>
      <c r="E22" s="32">
        <f>CHOOSE(B, "GLActual(" &amp; "Account" &amp; "," &amp; $F$4 &amp; "," &amp; $E$9 &amp; "," &amp; $F$5 &amp; "," &amp; "AccountGroupCode" &amp; "," &amp; $B22 &amp; "," &amp; "AccountStructureCode" &amp; "," &amp; "AccountType" &amp; "," &amp; "BalanceType" &amp; "," &amp; $F$6 &amp; "," &amp; $F$7 &amp; ")", CellContents, 12000)</f>
        <v>12000</v>
      </c>
      <c r="F22" s="32">
        <f>CHOOSE(B, "GLClosingBalance(" &amp; "Account" &amp; "," &amp; $F$4 &amp; "," &amp; $E$9 &amp; "," &amp; $F$5 &amp; "," &amp; "AccountGroupCode" &amp; "," &amp; $B22 &amp; "," &amp; "AccountStructureCode" &amp; "," &amp; "AccountType" &amp; "," &amp; "BalanceType" &amp; "," &amp; $F$6 &amp; "," &amp; $F$7 &amp; ")", CellContents, -288963,54)</f>
        <v>-288963</v>
      </c>
      <c r="G22" s="32"/>
      <c r="H22" s="32">
        <f>CHOOSE(B, "GLActual(" &amp; "Account" &amp; "," &amp; $F$4 &amp; "," &amp; $H$9 &amp; "," &amp; $F$5 &amp; "," &amp; "AccountGroupCode" &amp; "," &amp; $B22 &amp; "," &amp; "AccountStructureCode" &amp; "," &amp; "AccountType" &amp; "," &amp; "BalanceType" &amp; "," &amp; $F$6 &amp; "," &amp; $F$7 &amp; ")", CellContents, 12000)</f>
        <v>12000</v>
      </c>
      <c r="I22" s="32">
        <f>CHOOSE(B, "GLClosingBalance(" &amp; "Account" &amp; "," &amp; $F$4 &amp; "," &amp; $H$9 &amp; "," &amp; $F$5 &amp; "," &amp; "AccountGroupCode" &amp; "," &amp; $B22 &amp; "," &amp; "AccountStructureCode" &amp; "," &amp; "AccountType" &amp; "," &amp; "BalanceType" &amp; "," &amp; $F$6 &amp; "," &amp; $F$7 &amp; ")", CellContents, -432963,54)</f>
        <v>-432963</v>
      </c>
      <c r="J22" s="32"/>
      <c r="K22" s="32">
        <f t="shared" si="0"/>
        <v>0</v>
      </c>
      <c r="L22" s="32">
        <f t="shared" si="1"/>
        <v>144000</v>
      </c>
      <c r="N22" s="56"/>
      <c r="O22" s="56"/>
    </row>
    <row r="23" spans="2:15" s="27" customFormat="1" ht="15" customHeight="1" outlineLevel="1" x14ac:dyDescent="0.25">
      <c r="B23" s="29" t="s">
        <v>81</v>
      </c>
      <c r="C23" s="29" t="s">
        <v>173</v>
      </c>
      <c r="D23" s="29"/>
      <c r="E23" s="32">
        <f>CHOOSE(B, "GLActual(" &amp; "Account" &amp; "," &amp; $F$4 &amp; "," &amp; $E$9 &amp; "," &amp; $F$5 &amp; "," &amp; "AccountGroupCode" &amp; "," &amp; $B23 &amp; "," &amp; "AccountStructureCode" &amp; "," &amp; "AccountType" &amp; "," &amp; "BalanceType" &amp; "," &amp; $F$6 &amp; "," &amp; $F$7 &amp; ")", CellContents, 0)</f>
        <v>0</v>
      </c>
      <c r="F23" s="32">
        <f>CHOOSE(B, "GLClosingBalance(" &amp; "Account" &amp; "," &amp; $F$4 &amp; "," &amp; $E$9 &amp; "," &amp; $F$5 &amp; "," &amp; "AccountGroupCode" &amp; "," &amp; $B23 &amp; "," &amp; "AccountStructureCode" &amp; "," &amp; "AccountType" &amp; "," &amp; "BalanceType" &amp; "," &amp; $F$6 &amp; "," &amp; $F$7 &amp; ")", CellContents, 0)</f>
        <v>0</v>
      </c>
      <c r="G23" s="32"/>
      <c r="H23" s="32">
        <f>CHOOSE(B, "GLActual(" &amp; "Account" &amp; "," &amp; $F$4 &amp; "," &amp; $H$9 &amp; "," &amp; $F$5 &amp; "," &amp; "AccountGroupCode" &amp; "," &amp; $B23 &amp; "," &amp; "AccountStructureCode" &amp; "," &amp; "AccountType" &amp; "," &amp; "BalanceType" &amp; "," &amp; $F$6 &amp; "," &amp; $F$7 &amp; ")", CellContents, 0)</f>
        <v>0</v>
      </c>
      <c r="I23" s="32">
        <f>CHOOSE(B, "GLClosingBalance(" &amp; "Account" &amp; "," &amp; $F$4 &amp; "," &amp; $H$9 &amp; "," &amp; $F$5 &amp; "," &amp; "AccountGroupCode" &amp; "," &amp; $B23 &amp; "," &amp; "AccountStructureCode" &amp; "," &amp; "AccountType" &amp; "," &amp; "BalanceType" &amp; "," &amp; $F$6 &amp; "," &amp; $F$7 &amp; ")", CellContents, 0)</f>
        <v>0</v>
      </c>
      <c r="J23" s="32"/>
      <c r="K23" s="32">
        <f t="shared" si="0"/>
        <v>0</v>
      </c>
      <c r="L23" s="32">
        <f t="shared" si="1"/>
        <v>0</v>
      </c>
      <c r="N23" s="56"/>
      <c r="O23" s="56"/>
    </row>
    <row r="24" spans="2:15" s="27" customFormat="1" ht="15" customHeight="1" outlineLevel="1" x14ac:dyDescent="0.25">
      <c r="B24" s="29" t="s">
        <v>82</v>
      </c>
      <c r="C24" s="29" t="s">
        <v>174</v>
      </c>
      <c r="D24" s="29"/>
      <c r="E24" s="32">
        <f>CHOOSE(B, "GLActual(" &amp; "Account" &amp; "," &amp; $F$4 &amp; "," &amp; $E$9 &amp; "," &amp; $F$5 &amp; "," &amp; "AccountGroupCode" &amp; "," &amp; $B24 &amp; "," &amp; "AccountStructureCode" &amp; "," &amp; "AccountType" &amp; "," &amp; "BalanceType" &amp; "," &amp; $F$6 &amp; "," &amp; $F$7 &amp; ")", CellContents, 0)</f>
        <v>0</v>
      </c>
      <c r="F24" s="32">
        <f>CHOOSE(B, "GLClosingBalance(" &amp; "Account" &amp; "," &amp; $F$4 &amp; "," &amp; $E$9 &amp; "," &amp; $F$5 &amp; "," &amp; "AccountGroupCode" &amp; "," &amp; $B24 &amp; "," &amp; "AccountStructureCode" &amp; "," &amp; "AccountType" &amp; "," &amp; "BalanceType" &amp; "," &amp; $F$6 &amp; "," &amp; $F$7 &amp; ")", CellContents, -250000)</f>
        <v>-250000</v>
      </c>
      <c r="G24" s="32"/>
      <c r="H24" s="32">
        <f>CHOOSE(B, "GLActual(" &amp; "Account" &amp; "," &amp; $F$4 &amp; "," &amp; $H$9 &amp; "," &amp; $F$5 &amp; "," &amp; "AccountGroupCode" &amp; "," &amp; $B24 &amp; "," &amp; "AccountStructureCode" &amp; "," &amp; "AccountType" &amp; "," &amp; "BalanceType" &amp; "," &amp; $F$6 &amp; "," &amp; $F$7 &amp; ")", CellContents, 0)</f>
        <v>0</v>
      </c>
      <c r="I24" s="32">
        <f>CHOOSE(B, "GLClosingBalance(" &amp; "Account" &amp; "," &amp; $F$4 &amp; "," &amp; $H$9 &amp; "," &amp; $F$5 &amp; "," &amp; "AccountGroupCode" &amp; "," &amp; $B24 &amp; "," &amp; "AccountStructureCode" &amp; "," &amp; "AccountType" &amp; "," &amp; "BalanceType" &amp; "," &amp; $F$6 &amp; "," &amp; $F$7 &amp; ")", CellContents, -250000)</f>
        <v>-250000</v>
      </c>
      <c r="J24" s="32"/>
      <c r="K24" s="32">
        <f t="shared" si="0"/>
        <v>0</v>
      </c>
      <c r="L24" s="32">
        <f t="shared" si="1"/>
        <v>0</v>
      </c>
      <c r="N24" s="56"/>
      <c r="O24" s="56"/>
    </row>
    <row r="25" spans="2:15" s="27" customFormat="1" ht="15" customHeight="1" outlineLevel="1" x14ac:dyDescent="0.25">
      <c r="B25" s="29" t="s">
        <v>83</v>
      </c>
      <c r="C25" s="29" t="s">
        <v>42</v>
      </c>
      <c r="D25" s="29"/>
      <c r="E25" s="32">
        <f>CHOOSE(B, "GLActual(" &amp; "Account" &amp; "," &amp; $F$4 &amp; "," &amp; $E$9 &amp; "," &amp; $F$5 &amp; "," &amp; "AccountGroupCode" &amp; "," &amp; $B25 &amp; "," &amp; "AccountStructureCode" &amp; "," &amp; "AccountType" &amp; "," &amp; "BalanceType" &amp; "," &amp; $F$6 &amp; "," &amp; $F$7 &amp; ")", CellContents, 0)</f>
        <v>0</v>
      </c>
      <c r="F25" s="32">
        <f>CHOOSE(B, "GLClosingBalance(" &amp; "Account" &amp; "," &amp; $F$4 &amp; "," &amp; $E$9 &amp; "," &amp; $F$5 &amp; "," &amp; "AccountGroupCode" &amp; "," &amp; $B25 &amp; "," &amp; "AccountStructureCode" &amp; "," &amp; "AccountType" &amp; "," &amp; "BalanceType" &amp; "," &amp; $F$6 &amp; "," &amp; $F$7 &amp; ")", CellContents, 1482265,39)</f>
        <v>1482265</v>
      </c>
      <c r="G25" s="32"/>
      <c r="H25" s="32">
        <f>CHOOSE(B, "GLActual(" &amp; "Account" &amp; "," &amp; $F$4 &amp; "," &amp; $H$9 &amp; "," &amp; $F$5 &amp; "," &amp; "AccountGroupCode" &amp; "," &amp; $B25 &amp; "," &amp; "AccountStructureCode" &amp; "," &amp; "AccountType" &amp; "," &amp; "BalanceType" &amp; "," &amp; $F$6 &amp; "," &amp; $F$7 &amp; ")", CellContents, 0)</f>
        <v>0</v>
      </c>
      <c r="I25" s="32">
        <f>CHOOSE(B, "GLClosingBalance(" &amp; "Account" &amp; "," &amp; $F$4 &amp; "," &amp; $H$9 &amp; "," &amp; $F$5 &amp; "," &amp; "AccountGroupCode" &amp; "," &amp; $B25 &amp; "," &amp; "AccountStructureCode" &amp; "," &amp; "AccountType" &amp; "," &amp; "BalanceType" &amp; "," &amp; $F$6 &amp; "," &amp; $F$7 &amp; ")", CellContents, -1740155,66)</f>
        <v>-1740155</v>
      </c>
      <c r="J25" s="32"/>
      <c r="K25" s="32">
        <f t="shared" si="0"/>
        <v>0</v>
      </c>
      <c r="L25" s="32">
        <f t="shared" si="1"/>
        <v>3222420</v>
      </c>
      <c r="N25" s="56"/>
      <c r="O25" s="56"/>
    </row>
    <row r="26" spans="2:15" s="27" customFormat="1" ht="12.75" x14ac:dyDescent="0.2">
      <c r="B26" s="28"/>
      <c r="C26" s="29"/>
      <c r="D26" s="29"/>
      <c r="E26" s="32"/>
      <c r="F26" s="32"/>
      <c r="G26" s="32"/>
      <c r="H26" s="32"/>
      <c r="I26" s="32"/>
      <c r="J26" s="32"/>
      <c r="K26" s="32"/>
      <c r="L26" s="32"/>
    </row>
    <row r="27" spans="2:15" s="27" customFormat="1" ht="12.75" x14ac:dyDescent="0.2">
      <c r="B27" s="28"/>
      <c r="C27" s="35" t="s">
        <v>101</v>
      </c>
      <c r="D27" s="35"/>
      <c r="E27" s="36">
        <f>SUM(E28:E35)</f>
        <v>-88111</v>
      </c>
      <c r="F27" s="36">
        <f>SUM(F28:F35)</f>
        <v>-88111</v>
      </c>
      <c r="G27" s="57"/>
      <c r="H27" s="36">
        <f>SUM(H28:H35)</f>
        <v>7618834</v>
      </c>
      <c r="I27" s="36">
        <f>SUM(I28:I35)</f>
        <v>7618834</v>
      </c>
      <c r="J27" s="32"/>
      <c r="K27" s="36">
        <f>SUM(K28:K35)</f>
        <v>-7706945</v>
      </c>
      <c r="L27" s="36">
        <f>SUM(L28:L35)</f>
        <v>-7706945</v>
      </c>
    </row>
    <row r="28" spans="2:15" s="27" customFormat="1" ht="15" customHeight="1" outlineLevel="1" x14ac:dyDescent="0.2">
      <c r="B28" s="29" t="s">
        <v>85</v>
      </c>
      <c r="C28" s="29" t="s">
        <v>43</v>
      </c>
      <c r="D28" s="29"/>
      <c r="E28" s="32">
        <f>CHOOSE(B, "GLActual(" &amp; "Account" &amp; "," &amp; $F$4 &amp; "," &amp; $E$9 &amp; "," &amp; $F$5 &amp; "," &amp; "AccountGroupCode" &amp; "," &amp; $B28 &amp; "," &amp; "AccountStructureCode" &amp; "," &amp; "AccountType" &amp; "," &amp; "BalanceType" &amp; "," &amp; $F$6 &amp; "," &amp; $F$7 &amp; ")", CellContents, -1670480,55)</f>
        <v>-1670480</v>
      </c>
      <c r="F28" s="32">
        <f>CHOOSE(B, "GLActualYTD(" &amp; "Account" &amp; "," &amp; $F$4 &amp; "," &amp; $E$9 &amp; "," &amp; $F$5 &amp; "," &amp; "AccountGroupCode" &amp; "," &amp; $B28 &amp; "," &amp; "AccountStructureCode" &amp; "," &amp; "AccountType" &amp; "," &amp; "BalanceType" &amp; "," &amp; $F$6 &amp; "," &amp; $F$7 &amp; ")", CellContents, -1670480,55)</f>
        <v>-1670480</v>
      </c>
      <c r="G28" s="32"/>
      <c r="H28" s="32">
        <f>CHOOSE(B, "GLActual(" &amp; "Account" &amp; "," &amp; $F$4 &amp; "," &amp; $H$9 &amp; "," &amp; $F$5 &amp; "," &amp; "AccountGroupCode" &amp; "," &amp; $B28 &amp; "," &amp; "AccountStructureCode" &amp; "," &amp; "AccountType" &amp; "," &amp; "BalanceType" &amp; "," &amp; $F$6 &amp; "," &amp; $F$7 &amp; ")", CellContents, -2666286,86)</f>
        <v>-2666286</v>
      </c>
      <c r="I28" s="32">
        <f>CHOOSE(B, "GLActualYTD(" &amp; "Account" &amp; "," &amp; $F$4 &amp; "," &amp; $H$9 &amp; "," &amp; $F$5 &amp; "," &amp; "AccountGroupCode" &amp; "," &amp; $B28 &amp; "," &amp; "AccountStructureCode" &amp; "," &amp; "AccountType" &amp; "," &amp; "BalanceType" &amp; "," &amp; $F$6 &amp; "," &amp; $F$7 &amp; ")", CellContents, -2666286,86)</f>
        <v>-2666286</v>
      </c>
      <c r="J28" s="32"/>
      <c r="K28" s="32">
        <f t="shared" ref="K28:K35" si="2">E28-H28</f>
        <v>995806</v>
      </c>
      <c r="L28" s="32">
        <f t="shared" ref="L28:L35" si="3">F28-I28</f>
        <v>995806</v>
      </c>
    </row>
    <row r="29" spans="2:15" s="27" customFormat="1" ht="15" customHeight="1" outlineLevel="1" x14ac:dyDescent="0.2">
      <c r="B29" s="29" t="s">
        <v>86</v>
      </c>
      <c r="C29" s="29" t="s">
        <v>10</v>
      </c>
      <c r="D29" s="29"/>
      <c r="E29" s="32">
        <f>CHOOSE(B, "GLActual(" &amp; "Account" &amp; "," &amp; $F$4 &amp; "," &amp; $E$9 &amp; "," &amp; $F$5 &amp; "," &amp; "AccountGroupCode" &amp; "," &amp; $B29 &amp; "," &amp; "AccountStructureCode" &amp; "," &amp; "AccountType" &amp; "," &amp; "BalanceType" &amp; "," &amp; $F$6 &amp; "," &amp; $F$7 &amp; ")", CellContents, 677189,92)</f>
        <v>677189</v>
      </c>
      <c r="F29" s="32">
        <f>CHOOSE(B, "GLActualYTD(" &amp; "Account" &amp; "," &amp; $F$4 &amp; "," &amp; $E$9 &amp; "," &amp; $F$5 &amp; "," &amp; "AccountGroupCode" &amp; "," &amp; $B29 &amp; "," &amp; "AccountStructureCode" &amp; "," &amp; "AccountType" &amp; "," &amp; "BalanceType" &amp; "," &amp; $F$6 &amp; "," &amp; $F$7 &amp; ")", CellContents, 677189,92)</f>
        <v>677189</v>
      </c>
      <c r="G29" s="32"/>
      <c r="H29" s="32">
        <f>CHOOSE(B, "GLActual(" &amp; "Account" &amp; "," &amp; $F$4 &amp; "," &amp; $H$9 &amp; "," &amp; $F$5 &amp; "," &amp; "AccountGroupCode" &amp; "," &amp; $B29 &amp; "," &amp; "AccountStructureCode" &amp; "," &amp; "AccountType" &amp; "," &amp; "BalanceType" &amp; "," &amp; $F$6 &amp; "," &amp; $F$7 &amp; ")", CellContents, 924267,23)</f>
        <v>924267</v>
      </c>
      <c r="I29" s="32">
        <f>CHOOSE(B, "GLActualYTD(" &amp; "Account" &amp; "," &amp; $F$4 &amp; "," &amp; $H$9 &amp; "," &amp; $F$5 &amp; "," &amp; "AccountGroupCode" &amp; "," &amp; $B29 &amp; "," &amp; "AccountStructureCode" &amp; "," &amp; "AccountType" &amp; "," &amp; "BalanceType" &amp; "," &amp; $F$6 &amp; "," &amp; $F$7 &amp; ")", CellContents, 924267,23)</f>
        <v>924267</v>
      </c>
      <c r="J29" s="32"/>
      <c r="K29" s="32">
        <f t="shared" si="2"/>
        <v>-247078</v>
      </c>
      <c r="L29" s="32">
        <f t="shared" si="3"/>
        <v>-247078</v>
      </c>
    </row>
    <row r="30" spans="2:15" s="27" customFormat="1" ht="15" customHeight="1" outlineLevel="1" x14ac:dyDescent="0.2">
      <c r="B30" s="29" t="s">
        <v>87</v>
      </c>
      <c r="C30" s="29" t="s">
        <v>44</v>
      </c>
      <c r="D30" s="29"/>
      <c r="E30" s="32">
        <f>CHOOSE(B, "GLActual(" &amp; "Account" &amp; "," &amp; $F$4 &amp; "," &amp; $E$9 &amp; "," &amp; $F$5 &amp; "," &amp; "AccountGroupCode" &amp; "," &amp; $B30 &amp; "," &amp; "AccountStructureCode" &amp; "," &amp; "AccountType" &amp; "," &amp; "BalanceType" &amp; "," &amp; $F$6 &amp; "," &amp; $F$7 &amp; ")", CellContents, -200806,55)</f>
        <v>-200806</v>
      </c>
      <c r="F30" s="32">
        <f>CHOOSE(B, "GLActualYTD(" &amp; "Account" &amp; "," &amp; $F$4 &amp; "," &amp; $E$9 &amp; "," &amp; $F$5 &amp; "," &amp; "AccountGroupCode" &amp; "," &amp; $B30 &amp; "," &amp; "AccountStructureCode" &amp; "," &amp; "AccountType" &amp; "," &amp; "BalanceType" &amp; "," &amp; $F$6 &amp; "," &amp; $F$7 &amp; ")", CellContents, -200806,55)</f>
        <v>-200806</v>
      </c>
      <c r="G30" s="32"/>
      <c r="H30" s="32">
        <f>CHOOSE(B, "GLActual(" &amp; "Account" &amp; "," &amp; $F$4 &amp; "," &amp; $H$9 &amp; "," &amp; $F$5 &amp; "," &amp; "AccountGroupCode" &amp; "," &amp; $B30 &amp; "," &amp; "AccountStructureCode" &amp; "," &amp; "AccountType" &amp; "," &amp; "BalanceType" &amp; "," &amp; $F$6 &amp; "," &amp; $F$7 &amp; ")", CellContents, -230021,27)</f>
        <v>-230021</v>
      </c>
      <c r="I30" s="32">
        <f>CHOOSE(B, "GLActualYTD(" &amp; "Account" &amp; "," &amp; $F$4 &amp; "," &amp; $H$9 &amp; "," &amp; $F$5 &amp; "," &amp; "AccountGroupCode" &amp; "," &amp; $B30 &amp; "," &amp; "AccountStructureCode" &amp; "," &amp; "AccountType" &amp; "," &amp; "BalanceType" &amp; "," &amp; $F$6 &amp; "," &amp; $F$7 &amp; ")", CellContents, -230021,27)</f>
        <v>-230021</v>
      </c>
      <c r="J30" s="32"/>
      <c r="K30" s="32">
        <f t="shared" si="2"/>
        <v>29215</v>
      </c>
      <c r="L30" s="32">
        <f t="shared" si="3"/>
        <v>29215</v>
      </c>
    </row>
    <row r="31" spans="2:15" s="27" customFormat="1" ht="15" customHeight="1" outlineLevel="1" x14ac:dyDescent="0.2">
      <c r="B31" s="29" t="s">
        <v>88</v>
      </c>
      <c r="C31" s="29" t="s">
        <v>45</v>
      </c>
      <c r="D31" s="29"/>
      <c r="E31" s="32">
        <f>CHOOSE(B, "GLActual(" &amp; "Account" &amp; "," &amp; $F$4 &amp; "," &amp; $E$9 &amp; "," &amp; $F$5 &amp; "," &amp; "AccountGroupCode" &amp; "," &amp; $B31 &amp; "," &amp; "AccountStructureCode" &amp; "," &amp; "AccountType" &amp; "," &amp; "BalanceType" &amp; "," &amp; $F$6 &amp; "," &amp; $F$7 &amp; ")", CellContents, 1056417,54)</f>
        <v>1056417</v>
      </c>
      <c r="F31" s="32">
        <f>CHOOSE(B, "GLActualYTD(" &amp; "Account" &amp; "," &amp; $F$4 &amp; "," &amp; $E$9 &amp; "," &amp; $F$5 &amp; "," &amp; "AccountGroupCode" &amp; "," &amp; $B31 &amp; "," &amp; "AccountStructureCode" &amp; "," &amp; "AccountType" &amp; "," &amp; "BalanceType" &amp; "," &amp; $F$6 &amp; "," &amp; $F$7 &amp; ")", CellContents, 1056417,54)</f>
        <v>1056417</v>
      </c>
      <c r="G31" s="32"/>
      <c r="H31" s="32">
        <f>CHOOSE(B, "GLActual(" &amp; "Account" &amp; "," &amp; $F$4 &amp; "," &amp; $H$9 &amp; "," &amp; $F$5 &amp; "," &amp; "AccountGroupCode" &amp; "," &amp; $B31 &amp; "," &amp; "AccountStructureCode" &amp; "," &amp; "AccountType" &amp; "," &amp; "BalanceType" &amp; "," &amp; $F$6 &amp; "," &amp; $F$7 &amp; ")", CellContents, 9506365,3)</f>
        <v>9506365</v>
      </c>
      <c r="I31" s="32">
        <f>CHOOSE(B, "GLActualYTD(" &amp; "Account" &amp; "," &amp; $F$4 &amp; "," &amp; $H$9 &amp; "," &amp; $F$5 &amp; "," &amp; "AccountGroupCode" &amp; "," &amp; $B31 &amp; "," &amp; "AccountStructureCode" &amp; "," &amp; "AccountType" &amp; "," &amp; "BalanceType" &amp; "," &amp; $F$6 &amp; "," &amp; $F$7 &amp; ")", CellContents, 9506365,3)</f>
        <v>9506365</v>
      </c>
      <c r="J31" s="32"/>
      <c r="K31" s="32">
        <f t="shared" si="2"/>
        <v>-8449948</v>
      </c>
      <c r="L31" s="32">
        <f t="shared" si="3"/>
        <v>-8449948</v>
      </c>
    </row>
    <row r="32" spans="2:15" s="27" customFormat="1" ht="15" customHeight="1" outlineLevel="1" x14ac:dyDescent="0.2">
      <c r="B32" s="29" t="s">
        <v>89</v>
      </c>
      <c r="C32" s="29" t="s">
        <v>46</v>
      </c>
      <c r="D32" s="29"/>
      <c r="E32" s="32">
        <f>CHOOSE(B, "GLActual(" &amp; "Account" &amp; "," &amp; $F$4 &amp; "," &amp; $E$9 &amp; "," &amp; $F$5 &amp; "," &amp; "AccountGroupCode" &amp; "," &amp; $B32 &amp; "," &amp; "AccountStructureCode" &amp; "," &amp; "AccountType" &amp; "," &amp; "BalanceType" &amp; "," &amp; $F$6 &amp; "," &amp; $F$7 &amp; ")", CellContents, 40000)</f>
        <v>40000</v>
      </c>
      <c r="F32" s="32">
        <f>CHOOSE(B, "GLActualYTD(" &amp; "Account" &amp; "," &amp; $F$4 &amp; "," &amp; $E$9 &amp; "," &amp; $F$5 &amp; "," &amp; "AccountGroupCode" &amp; "," &amp; $B32 &amp; "," &amp; "AccountStructureCode" &amp; "," &amp; "AccountType" &amp; "," &amp; "BalanceType" &amp; "," &amp; $F$6 &amp; "," &amp; $F$7 &amp; ")", CellContents, 40000)</f>
        <v>40000</v>
      </c>
      <c r="G32" s="32"/>
      <c r="H32" s="32">
        <f>CHOOSE(B, "GLActual(" &amp; "Account" &amp; "," &amp; $F$4 &amp; "," &amp; $H$9 &amp; "," &amp; $F$5 &amp; "," &amp; "AccountGroupCode" &amp; "," &amp; $B32 &amp; "," &amp; "AccountStructureCode" &amp; "," &amp; "AccountType" &amp; "," &amp; "BalanceType" &amp; "," &amp; $F$6 &amp; "," &amp; $F$7 &amp; ")", CellContents, 40000)</f>
        <v>40000</v>
      </c>
      <c r="I32" s="32">
        <f>CHOOSE(B, "GLActualYTD(" &amp; "Account" &amp; "," &amp; $F$4 &amp; "," &amp; $H$9 &amp; "," &amp; $F$5 &amp; "," &amp; "AccountGroupCode" &amp; "," &amp; $B32 &amp; "," &amp; "AccountStructureCode" &amp; "," &amp; "AccountType" &amp; "," &amp; "BalanceType" &amp; "," &amp; $F$6 &amp; "," &amp; $F$7 &amp; ")", CellContents, 40000)</f>
        <v>40000</v>
      </c>
      <c r="J32" s="32"/>
      <c r="K32" s="32">
        <f t="shared" si="2"/>
        <v>0</v>
      </c>
      <c r="L32" s="32">
        <f t="shared" si="3"/>
        <v>0</v>
      </c>
    </row>
    <row r="33" spans="2:12" s="27" customFormat="1" ht="15" customHeight="1" outlineLevel="1" x14ac:dyDescent="0.2">
      <c r="B33" s="29" t="s">
        <v>90</v>
      </c>
      <c r="C33" s="29" t="s">
        <v>175</v>
      </c>
      <c r="D33" s="29"/>
      <c r="E33" s="32">
        <f>CHOOSE(B, "GLActual(" &amp; "Account" &amp; "," &amp; $F$4 &amp; "," &amp; $E$9 &amp; "," &amp; $F$5 &amp; "," &amp; "AccountGroupCode" &amp; "," &amp; $B33 &amp; "," &amp; "AccountStructureCode" &amp; "," &amp; "AccountType" &amp; "," &amp; "BalanceType" &amp; "," &amp; $F$6 &amp; "," &amp; $F$7 &amp; ")", CellContents, 69,16)</f>
        <v>69</v>
      </c>
      <c r="F33" s="32">
        <f>CHOOSE(B, "GLActualYTD(" &amp; "Account" &amp; "," &amp; $F$4 &amp; "," &amp; $E$9 &amp; "," &amp; $F$5 &amp; "," &amp; "AccountGroupCode" &amp; "," &amp; $B33 &amp; "," &amp; "AccountStructureCode" &amp; "," &amp; "AccountType" &amp; "," &amp; "BalanceType" &amp; "," &amp; $F$6 &amp; "," &amp; $F$7 &amp; ")", CellContents, 69,16)</f>
        <v>69</v>
      </c>
      <c r="G33" s="32"/>
      <c r="H33" s="32">
        <f>CHOOSE(B, "GLActual(" &amp; "Account" &amp; "," &amp; $F$4 &amp; "," &amp; $H$9 &amp; "," &amp; $F$5 &amp; "," &amp; "AccountGroupCode" &amp; "," &amp; $B33 &amp; "," &amp; "AccountStructureCode" &amp; "," &amp; "AccountType" &amp; "," &amp; "BalanceType" &amp; "," &amp; $F$6 &amp; "," &amp; $F$7 &amp; ")", CellContents, 23009,1)</f>
        <v>23009</v>
      </c>
      <c r="I33" s="32">
        <f>CHOOSE(B, "GLActualYTD(" &amp; "Account" &amp; "," &amp; $F$4 &amp; "," &amp; $H$9 &amp; "," &amp; $F$5 &amp; "," &amp; "AccountGroupCode" &amp; "," &amp; $B33 &amp; "," &amp; "AccountStructureCode" &amp; "," &amp; "AccountType" &amp; "," &amp; "BalanceType" &amp; "," &amp; $F$6 &amp; "," &amp; $F$7 &amp; ")", CellContents, 23009,1)</f>
        <v>23009</v>
      </c>
      <c r="J33" s="32"/>
      <c r="K33" s="32">
        <f t="shared" si="2"/>
        <v>-22940</v>
      </c>
      <c r="L33" s="32">
        <f t="shared" si="3"/>
        <v>-22940</v>
      </c>
    </row>
    <row r="34" spans="2:12" s="27" customFormat="1" ht="15" customHeight="1" outlineLevel="1" x14ac:dyDescent="0.2">
      <c r="B34" s="29" t="s">
        <v>91</v>
      </c>
      <c r="C34" s="29" t="s">
        <v>47</v>
      </c>
      <c r="D34" s="29"/>
      <c r="E34" s="32">
        <f>CHOOSE(B, "GLActual(" &amp; "Account" &amp; "," &amp; $F$4 &amp; "," &amp; $E$9 &amp; "," &amp; $F$5 &amp; "," &amp; "AccountGroupCode" &amp; "," &amp; $B34 &amp; "," &amp; "AccountStructureCode" &amp; "," &amp; "AccountType" &amp; "," &amp; "BalanceType" &amp; "," &amp; $F$6 &amp; "," &amp; $F$7 &amp; ")", CellContents, 1500)</f>
        <v>1500</v>
      </c>
      <c r="F34" s="32">
        <f>CHOOSE(B, "GLActualYTD(" &amp; "Account" &amp; "," &amp; $F$4 &amp; "," &amp; $E$9 &amp; "," &amp; $F$5 &amp; "," &amp; "AccountGroupCode" &amp; "," &amp; $B34 &amp; "," &amp; "AccountStructureCode" &amp; "," &amp; "AccountType" &amp; "," &amp; "BalanceType" &amp; "," &amp; $F$6 &amp; "," &amp; $F$7 &amp; ")", CellContents, 1500)</f>
        <v>1500</v>
      </c>
      <c r="G34" s="32"/>
      <c r="H34" s="32">
        <f>CHOOSE(B, "GLActual(" &amp; "Account" &amp; "," &amp; $F$4 &amp; "," &amp; $H$9 &amp; "," &amp; $F$5 &amp; "," &amp; "AccountGroupCode" &amp; "," &amp; $B34 &amp; "," &amp; "AccountStructureCode" &amp; "," &amp; "AccountType" &amp; "," &amp; "BalanceType" &amp; "," &amp; $F$6 &amp; "," &amp; $F$7 &amp; ")", CellContents, 1500)</f>
        <v>1500</v>
      </c>
      <c r="I34" s="32">
        <f>CHOOSE(B, "GLActualYTD(" &amp; "Account" &amp; "," &amp; $F$4 &amp; "," &amp; $H$9 &amp; "," &amp; $F$5 &amp; "," &amp; "AccountGroupCode" &amp; "," &amp; $B34 &amp; "," &amp; "AccountStructureCode" &amp; "," &amp; "AccountType" &amp; "," &amp; "BalanceType" &amp; "," &amp; $F$6 &amp; "," &amp; $F$7 &amp; ")", CellContents, 1500)</f>
        <v>1500</v>
      </c>
      <c r="J34" s="32"/>
      <c r="K34" s="32">
        <f t="shared" si="2"/>
        <v>0</v>
      </c>
      <c r="L34" s="32">
        <f t="shared" si="3"/>
        <v>0</v>
      </c>
    </row>
    <row r="35" spans="2:12" s="27" customFormat="1" ht="15" customHeight="1" outlineLevel="1" x14ac:dyDescent="0.2">
      <c r="B35" s="29" t="s">
        <v>176</v>
      </c>
      <c r="C35" s="29" t="s">
        <v>48</v>
      </c>
      <c r="D35" s="29"/>
      <c r="E35" s="32">
        <f>CHOOSE(B, "GLActual(" &amp; "Account" &amp; "," &amp; $F$4 &amp; "," &amp; $E$9 &amp; "," &amp; $F$5 &amp; "," &amp; "AccountGroupCode" &amp; "," &amp; $B35 &amp; "," &amp; "AccountStructureCode" &amp; "," &amp; "AccountType" &amp; "," &amp; "BalanceType" &amp; "," &amp; $F$6 &amp; "," &amp; $F$7 &amp; ")", CellContents, 8000)</f>
        <v>8000</v>
      </c>
      <c r="F35" s="32">
        <f>CHOOSE(B, "GLActualYTD(" &amp; "Account" &amp; "," &amp; $F$4 &amp; "," &amp; $E$9 &amp; "," &amp; $F$5 &amp; "," &amp; "AccountGroupCode" &amp; "," &amp; $B35 &amp; "," &amp; "AccountStructureCode" &amp; "," &amp; "AccountType" &amp; "," &amp; "BalanceType" &amp; "," &amp; $F$6 &amp; "," &amp; $F$7 &amp; ")", CellContents, 8000)</f>
        <v>8000</v>
      </c>
      <c r="G35" s="32"/>
      <c r="H35" s="32">
        <f>CHOOSE(B, "GLActual(" &amp; "Account" &amp; "," &amp; $F$4 &amp; "," &amp; $H$9 &amp; "," &amp; $F$5 &amp; "," &amp; "AccountGroupCode" &amp; "," &amp; $B35 &amp; "," &amp; "AccountStructureCode" &amp; "," &amp; "AccountType" &amp; "," &amp; "BalanceType" &amp; "," &amp; $F$6 &amp; "," &amp; $F$7 &amp; ")", CellContents, 20000)</f>
        <v>20000</v>
      </c>
      <c r="I35" s="32">
        <f>CHOOSE(B, "GLActualYTD(" &amp; "Account" &amp; "," &amp; $F$4 &amp; "," &amp; $H$9 &amp; "," &amp; $F$5 &amp; "," &amp; "AccountGroupCode" &amp; "," &amp; $B35 &amp; "," &amp; "AccountStructureCode" &amp; "," &amp; "AccountType" &amp; "," &amp; "BalanceType" &amp; "," &amp; $F$6 &amp; "," &amp; $F$7 &amp; ")", CellContents, 20000)</f>
        <v>20000</v>
      </c>
      <c r="J35" s="32"/>
      <c r="K35" s="32">
        <f t="shared" si="2"/>
        <v>-12000</v>
      </c>
      <c r="L35" s="32">
        <f t="shared" si="3"/>
        <v>-12000</v>
      </c>
    </row>
    <row r="36" spans="2:12" x14ac:dyDescent="0.3">
      <c r="E36" s="52"/>
      <c r="F36" s="52"/>
      <c r="G36" s="52"/>
      <c r="H36" s="52"/>
      <c r="I36" s="52"/>
      <c r="J36" s="52"/>
      <c r="K36" s="52"/>
      <c r="L36" s="52"/>
    </row>
    <row r="37" spans="2:12" x14ac:dyDescent="0.3">
      <c r="E37" s="52"/>
      <c r="F37" s="52"/>
      <c r="G37" s="52"/>
      <c r="H37" s="52"/>
      <c r="I37" s="52"/>
      <c r="J37" s="52"/>
      <c r="K37" s="33"/>
      <c r="L37" s="52"/>
    </row>
    <row r="38" spans="2:12" x14ac:dyDescent="0.3">
      <c r="E38" s="52"/>
      <c r="F38" s="52"/>
      <c r="G38" s="52"/>
      <c r="H38" s="52"/>
      <c r="I38" s="52"/>
      <c r="J38" s="52"/>
      <c r="K38" s="52"/>
      <c r="L38" s="52"/>
    </row>
  </sheetData>
  <mergeCells count="2">
    <mergeCell ref="K9:L9"/>
    <mergeCell ref="I3:L6"/>
  </mergeCells>
  <dataValidations count="4">
    <dataValidation type="list" allowBlank="1" showInputMessage="1" showErrorMessage="1" sqref="F4">
      <formula1>CompaniesTemplate</formula1>
    </dataValidation>
    <dataValidation type="list" allowBlank="1" showInputMessage="1" sqref="E9">
      <formula1>FiscalYearsTemplate</formula1>
    </dataValidation>
    <dataValidation type="list" allowBlank="1" showInputMessage="1" showErrorMessage="1" sqref="F5">
      <formula1>Periods</formula1>
    </dataValidation>
    <dataValidation type="list" allowBlank="1" showInputMessage="1" showErrorMessage="1" sqref="H9">
      <formula1>FiscalYearsTemplate</formula1>
    </dataValidation>
  </dataValidations>
  <hyperlinks>
    <hyperlink ref="B2" location="Home!A1" tooltip="Click to navigate to the Home sheet." display="ß"/>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L27"/>
  <sheetViews>
    <sheetView showGridLines="0" zoomScale="90" zoomScaleNormal="90" workbookViewId="0"/>
  </sheetViews>
  <sheetFormatPr defaultRowHeight="16.5" x14ac:dyDescent="0.3"/>
  <cols>
    <col min="1" max="1" width="2.85546875" style="12" customWidth="1"/>
    <col min="2" max="2" width="5.5703125" style="12" customWidth="1"/>
    <col min="3" max="3" width="60.5703125" style="12" bestFit="1" customWidth="1"/>
    <col min="4" max="4" width="14.42578125" style="12" customWidth="1"/>
    <col min="5" max="5" width="1.85546875" style="12" customWidth="1"/>
    <col min="6" max="6" width="14.42578125" style="12" customWidth="1"/>
    <col min="7" max="7" width="1.85546875" style="12" customWidth="1"/>
    <col min="8" max="8" width="9.140625" style="12"/>
    <col min="9" max="9" width="12.28515625" style="12" bestFit="1" customWidth="1"/>
    <col min="10" max="16384" width="9.140625" style="12"/>
  </cols>
  <sheetData>
    <row r="1" spans="2:12" ht="15" customHeight="1" x14ac:dyDescent="0.3"/>
    <row r="2" spans="2:12" ht="33.75" customHeight="1" x14ac:dyDescent="0.7">
      <c r="B2" s="91" t="s">
        <v>154</v>
      </c>
      <c r="C2" s="13" t="str">
        <f>CONCATENATE(D3," Summary Income Statement")</f>
        <v>0 Summary Income Statement</v>
      </c>
      <c r="D2" s="13"/>
    </row>
    <row r="3" spans="2:12" x14ac:dyDescent="0.3">
      <c r="C3" s="14" t="s">
        <v>26</v>
      </c>
      <c r="D3" s="68">
        <f>INDEX(Companies,1)</f>
        <v>0</v>
      </c>
      <c r="I3" s="128" t="s">
        <v>183</v>
      </c>
      <c r="J3" s="128"/>
      <c r="K3" s="128"/>
      <c r="L3" s="128"/>
    </row>
    <row r="4" spans="2:12" x14ac:dyDescent="0.3">
      <c r="C4" s="14" t="s">
        <v>56</v>
      </c>
      <c r="D4" s="68">
        <f>CHOOSE(B, "GLCurrentYear(" &amp; $D$3 &amp; ")", CellContents, 2020)</f>
        <v>2020</v>
      </c>
      <c r="I4" s="128"/>
      <c r="J4" s="128"/>
      <c r="K4" s="128"/>
      <c r="L4" s="128"/>
    </row>
    <row r="5" spans="2:12" x14ac:dyDescent="0.3">
      <c r="C5" s="14" t="s">
        <v>25</v>
      </c>
      <c r="D5" s="71">
        <f>CHOOSE(B, "GLCurrentPeriod(" &amp; $D$3 &amp; ")", CellContents, 1)</f>
        <v>1</v>
      </c>
      <c r="I5" s="128"/>
      <c r="J5" s="128"/>
      <c r="K5" s="128"/>
      <c r="L5" s="128"/>
    </row>
    <row r="6" spans="2:12" x14ac:dyDescent="0.3">
      <c r="C6" s="14" t="s">
        <v>27</v>
      </c>
      <c r="D6" s="78" t="str">
        <f>CHOOSE(B, "GLHomeCurrency(" &amp; $D$3 &amp; ")", CellContents, "CAD")</f>
        <v>CAD</v>
      </c>
      <c r="I6" s="128"/>
      <c r="J6" s="128"/>
      <c r="K6" s="128"/>
      <c r="L6" s="128"/>
    </row>
    <row r="7" spans="2:12" x14ac:dyDescent="0.3">
      <c r="C7" s="14" t="s">
        <v>28</v>
      </c>
      <c r="D7" s="15" t="s">
        <v>29</v>
      </c>
    </row>
    <row r="8" spans="2:12" x14ac:dyDescent="0.3">
      <c r="C8" s="14" t="s">
        <v>102</v>
      </c>
      <c r="D8" s="15" t="s">
        <v>103</v>
      </c>
    </row>
    <row r="9" spans="2:12" ht="7.5" customHeight="1" x14ac:dyDescent="0.3">
      <c r="C9" s="16"/>
      <c r="D9" s="16"/>
      <c r="E9" s="17"/>
    </row>
    <row r="10" spans="2:12" x14ac:dyDescent="0.3">
      <c r="D10" s="58" t="s">
        <v>54</v>
      </c>
      <c r="E10" s="47"/>
      <c r="F10" s="58" t="s">
        <v>55</v>
      </c>
    </row>
    <row r="11" spans="2:12" x14ac:dyDescent="0.3">
      <c r="D11" s="58" t="s">
        <v>71</v>
      </c>
      <c r="E11" s="47"/>
      <c r="F11" s="58" t="s">
        <v>71</v>
      </c>
    </row>
    <row r="12" spans="2:12" ht="7.5" customHeight="1" x14ac:dyDescent="0.3">
      <c r="D12" s="59"/>
    </row>
    <row r="13" spans="2:12" x14ac:dyDescent="0.3">
      <c r="B13" s="29" t="s">
        <v>85</v>
      </c>
      <c r="C13" s="29" t="s">
        <v>43</v>
      </c>
      <c r="D13" s="36">
        <f>CHOOSE(B, "-GLActualYTD(" &amp; "Account" &amp; "," &amp; $D$3 &amp; "," &amp; $D$4 &amp; "," &amp; $D$5 &amp; "," &amp; "AccountGroupCode" &amp; "," &amp; $B13 &amp; "," &amp; "AccountStructureCode" &amp; "," &amp; "AccountType" &amp; "," &amp; "BalanceType" &amp; "," &amp; $D$6 &amp; "," &amp; $D$7 &amp; ")", CellContents, 1670480,55)</f>
        <v>1670480</v>
      </c>
      <c r="E13" s="37"/>
      <c r="F13" s="36">
        <f>CHOOSE(B, "-GLBudgetYTD(" &amp; "Account" &amp; "," &amp; $D$3 &amp; "," &amp; $D$4 &amp; "," &amp; $D$5 &amp; "," &amp; $D$8 &amp; "," &amp; "AccountGroupCode" &amp; "," &amp; $B13 &amp; "," &amp; "AccountStructureCode" &amp; "," &amp; "AccountType" &amp; "," &amp; "BalanceType" &amp; "," &amp; $D$6 &amp; "," &amp; $D$7 &amp; ")", CellContents, 769000)</f>
        <v>769000</v>
      </c>
    </row>
    <row r="14" spans="2:12" ht="7.5" customHeight="1" x14ac:dyDescent="0.3">
      <c r="B14" s="29"/>
      <c r="C14" s="29"/>
      <c r="D14" s="32"/>
      <c r="E14" s="37"/>
      <c r="F14" s="37"/>
    </row>
    <row r="15" spans="2:12" x14ac:dyDescent="0.3">
      <c r="B15" s="29" t="s">
        <v>86</v>
      </c>
      <c r="C15" s="29" t="s">
        <v>10</v>
      </c>
      <c r="D15" s="33">
        <f>CHOOSE(B, "GLActualYTD(" &amp; "Account" &amp; "," &amp; $D$3 &amp; "," &amp; $D$4 &amp; "," &amp; $D$5 &amp; "," &amp; "AccountGroupCode" &amp; "," &amp; $B15 &amp; "," &amp; "AccountStructureCode" &amp; "," &amp; "AccountType" &amp; "," &amp; "BalanceType" &amp; "," &amp; $D$6 &amp; "," &amp; $D$7 &amp; ")", CellContents, 677189,92)</f>
        <v>677189</v>
      </c>
      <c r="E15" s="37"/>
      <c r="F15" s="33">
        <f>CHOOSE(B, "GLBudgetYTD(" &amp; "Account" &amp; "," &amp; $D$3 &amp; "," &amp; $D$4 &amp; "," &amp; $D$5 &amp; "," &amp; $D$8 &amp; "," &amp; $B15 &amp; "," &amp; "AccountCategoryCode" &amp; "," &amp; "AccountStructureCode" &amp; "," &amp; "AccountType" &amp; "," &amp; "BalanceType" &amp; "," &amp; $D$6 &amp; "," &amp; $D$7 &amp; ")", CellContents, 0)</f>
        <v>0</v>
      </c>
    </row>
    <row r="16" spans="2:12" x14ac:dyDescent="0.3">
      <c r="B16" s="29" t="s">
        <v>87</v>
      </c>
      <c r="C16" s="29" t="s">
        <v>44</v>
      </c>
      <c r="D16" s="33">
        <f>CHOOSE(B, "GLActualYTD(" &amp; "Account" &amp; "," &amp; $D$3 &amp; "," &amp; $D$4 &amp; "," &amp; $D$5 &amp; "," &amp; "AccountGroupCode" &amp; "," &amp; $B16 &amp; "," &amp; "AccountStructureCode" &amp; "," &amp; "AccountType" &amp; "," &amp; "BalanceType" &amp; "," &amp; $D$6 &amp; "," &amp; $D$7 &amp; ")", CellContents, -200806,55)</f>
        <v>-200806</v>
      </c>
      <c r="E16" s="37"/>
      <c r="F16" s="33">
        <f>CHOOSE(B, "GLBudgetYTD(" &amp; "Account" &amp; "," &amp; $D$3 &amp; "," &amp; $D$4 &amp; "," &amp; $D$5 &amp; "," &amp; $D$8 &amp; "," &amp; $B16 &amp; "," &amp; "AccountCategoryCode" &amp; "," &amp; "AccountStructureCode" &amp; "," &amp; "AccountType" &amp; "," &amp; "BalanceType" &amp; "," &amp; $D$6 &amp; "," &amp; $D$7 &amp; ")", CellContents, 0)</f>
        <v>0</v>
      </c>
    </row>
    <row r="17" spans="2:6" x14ac:dyDescent="0.3">
      <c r="B17" s="29" t="s">
        <v>88</v>
      </c>
      <c r="C17" s="29" t="s">
        <v>45</v>
      </c>
      <c r="D17" s="33">
        <f>CHOOSE(B, "GLActualYTD(" &amp; "Account" &amp; "," &amp; $D$3 &amp; "," &amp; $D$4 &amp; "," &amp; $D$5 &amp; "," &amp; "AccountGroupCode" &amp; "," &amp; $B17 &amp; "," &amp; "AccountStructureCode" &amp; "," &amp; "AccountType" &amp; "," &amp; "BalanceType" &amp; "," &amp; $D$6 &amp; "," &amp; $D$7 &amp; ")", CellContents, 1056417,54)</f>
        <v>1056417</v>
      </c>
      <c r="E17" s="37"/>
      <c r="F17" s="33">
        <f>CHOOSE(B, "GLBudgetYTD(" &amp; "Account" &amp; "," &amp; $D$3 &amp; "," &amp; $D$4 &amp; "," &amp; $D$5 &amp; "," &amp; $D$8 &amp; "," &amp; $B17 &amp; "," &amp; "AccountCategoryCode" &amp; "," &amp; "AccountStructureCode" &amp; "," &amp; "AccountType" &amp; "," &amp; "BalanceType" &amp; "," &amp; $D$6 &amp; "," &amp; $D$7 &amp; ")", CellContents, 0)</f>
        <v>0</v>
      </c>
    </row>
    <row r="18" spans="2:6" x14ac:dyDescent="0.3">
      <c r="B18" s="29" t="s">
        <v>89</v>
      </c>
      <c r="C18" s="29" t="s">
        <v>46</v>
      </c>
      <c r="D18" s="33">
        <f>CHOOSE(B, "GLActualYTD(" &amp; "Account" &amp; "," &amp; $D$3 &amp; "," &amp; $D$4 &amp; "," &amp; $D$5 &amp; "," &amp; "AccountGroupCode" &amp; "," &amp; $B18 &amp; "," &amp; "AccountStructureCode" &amp; "," &amp; "AccountType" &amp; "," &amp; "BalanceType" &amp; "," &amp; $D$6 &amp; "," &amp; $D$7 &amp; ")", CellContents, 40000)</f>
        <v>40000</v>
      </c>
      <c r="E18" s="37"/>
      <c r="F18" s="33">
        <f>CHOOSE(B, "GLBudgetYTD(" &amp; "Account" &amp; "," &amp; $D$3 &amp; "," &amp; $D$4 &amp; "," &amp; $D$5 &amp; "," &amp; $D$8 &amp; "," &amp; $B18 &amp; "," &amp; "AccountCategoryCode" &amp; "," &amp; "AccountStructureCode" &amp; "," &amp; "AccountType" &amp; "," &amp; "BalanceType" &amp; "," &amp; $D$6 &amp; "," &amp; $D$7 &amp; ")", CellContents, 0)</f>
        <v>0</v>
      </c>
    </row>
    <row r="19" spans="2:6" x14ac:dyDescent="0.3">
      <c r="B19" s="29" t="s">
        <v>90</v>
      </c>
      <c r="C19" s="29" t="s">
        <v>175</v>
      </c>
      <c r="D19" s="33">
        <f>CHOOSE(B, "GLActualYTD(" &amp; "Account" &amp; "," &amp; $D$3 &amp; "," &amp; $D$4 &amp; "," &amp; $D$5 &amp; "," &amp; "AccountGroupCode" &amp; "," &amp; $B19 &amp; "," &amp; "AccountStructureCode" &amp; "," &amp; "AccountType" &amp; "," &amp; "BalanceType" &amp; "," &amp; $D$6 &amp; "," &amp; $D$7 &amp; ")", CellContents, 69,16)</f>
        <v>69</v>
      </c>
      <c r="E19" s="37"/>
      <c r="F19" s="33">
        <f>CHOOSE(B, "GLBudgetYTD(" &amp; "Account" &amp; "," &amp; $D$3 &amp; "," &amp; $D$4 &amp; "," &amp; $D$5 &amp; "," &amp; $D$8 &amp; "," &amp; $B19 &amp; "," &amp; "AccountCategoryCode" &amp; "," &amp; "AccountStructureCode" &amp; "," &amp; "AccountType" &amp; "," &amp; "BalanceType" &amp; "," &amp; $D$6 &amp; "," &amp; $D$7 &amp; ")", CellContents, 0)</f>
        <v>0</v>
      </c>
    </row>
    <row r="20" spans="2:6" ht="7.5" customHeight="1" x14ac:dyDescent="0.3">
      <c r="B20" s="31"/>
      <c r="C20" s="31"/>
      <c r="D20" s="32"/>
      <c r="E20" s="37"/>
      <c r="F20" s="37"/>
    </row>
    <row r="21" spans="2:6" x14ac:dyDescent="0.3">
      <c r="B21" s="31"/>
      <c r="C21" s="35" t="s">
        <v>104</v>
      </c>
      <c r="D21" s="36">
        <f>SUM(D15:D20)</f>
        <v>1572869</v>
      </c>
      <c r="E21" s="37"/>
      <c r="F21" s="36">
        <f>SUM(F15:F20)</f>
        <v>0</v>
      </c>
    </row>
    <row r="22" spans="2:6" ht="7.5" customHeight="1" x14ac:dyDescent="0.3">
      <c r="B22" s="31"/>
      <c r="C22" s="31"/>
      <c r="D22" s="32"/>
      <c r="E22" s="37"/>
      <c r="F22" s="37"/>
    </row>
    <row r="23" spans="2:6" x14ac:dyDescent="0.3">
      <c r="B23" s="29" t="s">
        <v>91</v>
      </c>
      <c r="C23" s="29" t="s">
        <v>47</v>
      </c>
      <c r="D23" s="33">
        <f>CHOOSE(B, "GLActualYTD(" &amp; "Account" &amp; "," &amp; $D$3 &amp; "," &amp; $D$4 &amp; "," &amp; $D$5 &amp; "," &amp; "AccountGroupCode" &amp; "," &amp; $B23 &amp; "," &amp; "AccountStructureCode" &amp; "," &amp; "AccountType" &amp; "," &amp; "BalanceType" &amp; "," &amp; $D$6 &amp; "," &amp; $D$7 &amp; ")", CellContents, 1500)</f>
        <v>1500</v>
      </c>
      <c r="E23" s="37"/>
      <c r="F23" s="33">
        <f>CHOOSE(B, "GLBudgetYTD(" &amp; "Account" &amp; "," &amp; $D$3 &amp; "," &amp; $D$4 &amp; "," &amp; $D$5 &amp; "," &amp; $D$8 &amp; "," &amp; $B23 &amp; "," &amp; "AccountCategoryCode" &amp; "," &amp; "AccountStructureCode" &amp; "," &amp; "AccountType" &amp; "," &amp; "BalanceType" &amp; "," &amp; $D$6 &amp; "," &amp; $D$7 &amp; ")", CellContents, 0)</f>
        <v>0</v>
      </c>
    </row>
    <row r="24" spans="2:6" x14ac:dyDescent="0.3">
      <c r="B24" s="29" t="s">
        <v>176</v>
      </c>
      <c r="C24" s="29" t="s">
        <v>48</v>
      </c>
      <c r="D24" s="33">
        <f>CHOOSE(B, "GLActualYTD(" &amp; "Account" &amp; "," &amp; $D$3 &amp; "," &amp; $D$4 &amp; "," &amp; $D$5 &amp; "," &amp; "AccountGroupCode" &amp; "," &amp; $B24 &amp; "," &amp; "AccountStructureCode" &amp; "," &amp; "AccountType" &amp; "," &amp; "BalanceType" &amp; "," &amp; $D$6 &amp; "," &amp; $D$7 &amp; ")", CellContents, 8000)</f>
        <v>8000</v>
      </c>
      <c r="E24" s="37"/>
      <c r="F24" s="33">
        <f>CHOOSE(B, "GLBudgetYTD(" &amp; "Account" &amp; "," &amp; $D$3 &amp; "," &amp; $D$4 &amp; "," &amp; $D$5 &amp; "," &amp; $D$8 &amp; "," &amp; $B24 &amp; "," &amp; "AccountCategoryCode" &amp; "," &amp; "AccountStructureCode" &amp; "," &amp; "AccountType" &amp; "," &amp; "BalanceType" &amp; "," &amp; $D$6 &amp; "," &amp; $D$7 &amp; ")", CellContents, 0)</f>
        <v>0</v>
      </c>
    </row>
    <row r="25" spans="2:6" ht="7.5" customHeight="1" x14ac:dyDescent="0.3">
      <c r="B25" s="31"/>
      <c r="C25" s="31"/>
      <c r="D25" s="37"/>
      <c r="E25" s="37"/>
      <c r="F25" s="37"/>
    </row>
    <row r="26" spans="2:6" x14ac:dyDescent="0.3">
      <c r="B26" s="31"/>
      <c r="C26" s="35" t="s">
        <v>105</v>
      </c>
      <c r="D26" s="36">
        <f>D13-D21-D23-D24</f>
        <v>88111</v>
      </c>
      <c r="E26" s="37"/>
      <c r="F26" s="36">
        <f>F13-F21-F23-F24</f>
        <v>769000</v>
      </c>
    </row>
    <row r="27" spans="2:6" x14ac:dyDescent="0.3">
      <c r="D27" s="52"/>
      <c r="E27" s="52"/>
      <c r="F27" s="52"/>
    </row>
  </sheetData>
  <mergeCells count="1">
    <mergeCell ref="I3:L6"/>
  </mergeCells>
  <dataValidations count="3">
    <dataValidation type="list" allowBlank="1" showInputMessage="1" showErrorMessage="1" sqref="D3">
      <formula1>CompaniesTemplate</formula1>
    </dataValidation>
    <dataValidation type="list" allowBlank="1" showInputMessage="1" sqref="D4">
      <formula1>FiscalYearsTemplate</formula1>
    </dataValidation>
    <dataValidation type="list" allowBlank="1" showInputMessage="1" showErrorMessage="1" sqref="D5">
      <formula1>Periods</formula1>
    </dataValidation>
  </dataValidations>
  <hyperlinks>
    <hyperlink ref="B2" location="Home!A1" tooltip="Click to navigate to the Home sheet." display="ß"/>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FB5D92A31364E4EB82BB0A43C17A7C9" ma:contentTypeVersion="0" ma:contentTypeDescription="Create a new document." ma:contentTypeScope="" ma:versionID="802809ef1e66a142c2a2780d2c3e68ba">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0B8B332B-B0AC-47C5-BCB8-074A3C2716B8}">
  <ds:schemaRefs>
    <ds:schemaRef ds:uri="http://purl.org/dc/dcmitype/"/>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F7A87D1F-041A-4E03-9555-23EEB3F80FA7}">
  <ds:schemaRefs>
    <ds:schemaRef ds:uri="http://schemas.microsoft.com/sharepoint/v3/contenttype/forms"/>
  </ds:schemaRefs>
</ds:datastoreItem>
</file>

<file path=customXml/itemProps3.xml><?xml version="1.0" encoding="utf-8"?>
<ds:datastoreItem xmlns:ds="http://schemas.openxmlformats.org/officeDocument/2006/customXml" ds:itemID="{9138EA9B-D33A-4B47-84CC-343E12032F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36</vt:i4>
      </vt:variant>
    </vt:vector>
  </HeadingPairs>
  <TitlesOfParts>
    <vt:vector size="53" baseType="lpstr">
      <vt:lpstr>Go! Internal</vt:lpstr>
      <vt:lpstr>Lookup Data</vt:lpstr>
      <vt:lpstr>Home</vt:lpstr>
      <vt:lpstr>Balance Sheet</vt:lpstr>
      <vt:lpstr>Categories</vt:lpstr>
      <vt:lpstr>Income Statement</vt:lpstr>
      <vt:lpstr>Inc Stat Incl Adj</vt:lpstr>
      <vt:lpstr>Trial Balance</vt:lpstr>
      <vt:lpstr>Summary</vt:lpstr>
      <vt:lpstr>Cash Flow</vt:lpstr>
      <vt:lpstr>Cash Flow Detail</vt:lpstr>
      <vt:lpstr>Divisional</vt:lpstr>
      <vt:lpstr>Regional</vt:lpstr>
      <vt:lpstr>Balance Sheet Template</vt:lpstr>
      <vt:lpstr>Income Statement Template</vt:lpstr>
      <vt:lpstr>Trial Balance Template</vt:lpstr>
      <vt:lpstr>Missing Accounts</vt:lpstr>
      <vt:lpstr>AutoRefresh</vt:lpstr>
      <vt:lpstr>AutoRefresh1</vt:lpstr>
      <vt:lpstr>AutoRefresh10</vt:lpstr>
      <vt:lpstr>AutoRefresh11</vt:lpstr>
      <vt:lpstr>AutoRefresh12</vt:lpstr>
      <vt:lpstr>AutoRefresh13</vt:lpstr>
      <vt:lpstr>AutoRefresh14</vt:lpstr>
      <vt:lpstr>AutoRefresh15</vt:lpstr>
      <vt:lpstr>AutoRefresh16</vt:lpstr>
      <vt:lpstr>AutoRefresh17</vt:lpstr>
      <vt:lpstr>AutoRefresh18</vt:lpstr>
      <vt:lpstr>AutoRefresh19</vt:lpstr>
      <vt:lpstr>AutoRefresh2</vt:lpstr>
      <vt:lpstr>AutoRefresh20</vt:lpstr>
      <vt:lpstr>AutoRefresh21</vt:lpstr>
      <vt:lpstr>AutoRefresh22</vt:lpstr>
      <vt:lpstr>AutoRefresh23</vt:lpstr>
      <vt:lpstr>AutoRefresh24</vt:lpstr>
      <vt:lpstr>AutoRefresh25</vt:lpstr>
      <vt:lpstr>AutoRefresh26</vt:lpstr>
      <vt:lpstr>AutoRefresh27</vt:lpstr>
      <vt:lpstr>AutoRefresh28</vt:lpstr>
      <vt:lpstr>AutoRefresh29</vt:lpstr>
      <vt:lpstr>AutoRefresh3</vt:lpstr>
      <vt:lpstr>AutoRefresh4</vt:lpstr>
      <vt:lpstr>AutoRefresh5</vt:lpstr>
      <vt:lpstr>AutoRefresh6</vt:lpstr>
      <vt:lpstr>AutoRefresh9</vt:lpstr>
      <vt:lpstr>B</vt:lpstr>
      <vt:lpstr>Companies</vt:lpstr>
      <vt:lpstr>CompaniesBudgets</vt:lpstr>
      <vt:lpstr>Decimal</vt:lpstr>
      <vt:lpstr>Delimiter</vt:lpstr>
      <vt:lpstr>FiscalYears</vt:lpstr>
      <vt:lpstr>MissingAccounts</vt:lpstr>
      <vt:lpstr>Periods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Brennan, Michael</dc:creator>
  <cp:lastModifiedBy>Greaves, Jessica</cp:lastModifiedBy>
  <dcterms:created xsi:type="dcterms:W3CDTF">2014-03-14T08:42:55Z</dcterms:created>
  <dcterms:modified xsi:type="dcterms:W3CDTF">2015-04-21T11:59:54Z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0x0101004FB5D92A31364E4EB82BB0A43C17A7C9</vt:lpwstr>
  </property>
</Properties>
</file>