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essica.greaves\Desktop\Integration\Columbus NA\Final Templates\"/>
    </mc:Choice>
  </mc:AlternateContent>
  <bookViews>
    <workbookView xWindow="0" yWindow="0" windowWidth="28800" windowHeight="12435" tabRatio="763" firstSheet="2" activeTab="2"/>
  </bookViews>
  <sheets>
    <sheet name="Go! Internal" sheetId="1" state="hidden" r:id="rId1"/>
    <sheet name="Lookup Data" sheetId="2" state="hidden" r:id="rId2"/>
    <sheet name="Home" sheetId="40" r:id="rId3"/>
    <sheet name="Actual YTD" sheetId="36" r:id="rId4"/>
    <sheet name="Actual vs Prior" sheetId="37" r:id="rId5"/>
    <sheet name="Actual vs Budget" sheetId="38" r:id="rId6"/>
    <sheet name="Actual vs Prior Template" sheetId="41" r:id="rId7"/>
    <sheet name="Missing Accounts" sheetId="13" r:id="rId8"/>
  </sheets>
  <definedNames>
    <definedName name="ALCHEMEX_DRILL_SET">"GL_001"</definedName>
    <definedName name="AutoRefresh">'Lookup Data'!$D$2:$D$32</definedName>
    <definedName name="AutoRefresh1">'Actual YTD'!$D$4:$D$7</definedName>
    <definedName name="AutoRefresh2">'Actual vs Prior'!$D$4:$D$7</definedName>
    <definedName name="AutoRefresh3">'Actual vs Budget'!$D$4:$D$7</definedName>
    <definedName name="AutoRefresh4">'Actual vs Prior Template'!$D$4:$D$7</definedName>
    <definedName name="AutoRefresh5">'Actual YTD'!$E$14:$E$48</definedName>
    <definedName name="AutoRefresh6">'Actual vs Prior'!$F$15:$G$47</definedName>
    <definedName name="AutoRefresh7">'Actual vs Budget'!$F$16:$G$49</definedName>
    <definedName name="AutoRefresh8">'Actual vs Prior Template'!$G$13:$H$13</definedName>
    <definedName name="B">'Go! Internal'!$A$2</definedName>
    <definedName name="CellContents">_xlfn.FORMULATEXT(INDIRECT(ADDRESS(ROW(), COLUMN())))</definedName>
    <definedName name="Companies">'Lookup Data'!$A$2:$A$39</definedName>
    <definedName name="CompaniesBudgets">'Lookup Data'!$E$2:$G$39</definedName>
    <definedName name="CompaniesTemplate">'Lookup Data'!$A$2:INDEX('Lookup Data'!$A$2:$A$40,COUNTA('Lookup Data'!$A$2:$A$40))</definedName>
    <definedName name="Decimal">'Go! Internal'!$A$6</definedName>
    <definedName name="Delimiter">'Go! Internal'!$A$4</definedName>
    <definedName name="ENG_BI_CORE_LOCATION">"C:\Program Files (x86)\Sage\Sage 300 ERP\BX62A\"</definedName>
    <definedName name="ENG_BI_EXE_FULL_PATH">"C:\Program Files (x86)\Sage\Sage 300 ERP\BX62A\BICORE.EXE"</definedName>
    <definedName name="ENG_BI_EXE_NAME" hidden="1">"BICORE.EXE"</definedName>
    <definedName name="ENG_BI_EXEC_CMD_ARGS" hidden="1">"03304607806507208207308704104507303704607512708407308306508709109606708806907006608306908207308707612512707306708509308007306605313413009611212310611910211610507306609207808209007408306211905105205310511805612612310411311511011810112110107707506706908"</definedName>
    <definedName name="ENG_BI_EXEC_CMD_ARGS_2" hidden="1">"90660770830710651200971181121110991341240961171141091230971251100680700900840700860611191021251321021131141141190981211010720710800740920830910840830690650830710870650860650510510580600500590510630540520610680510530640510580630500540570590590580490590"</definedName>
    <definedName name="ENG_BI_EXEC_CMD_ARGS_3" hidden="1">"60053060055053054064049060057059053061052060053052054064049066059060054059060058056059054056048068059050052064052050063049061058059059058049059059052060055055055064049061066059054057055126127095116122098117112100076074079072072079072074061110119125127"</definedName>
    <definedName name="ENG_BI_EXEC_CMD_ARGS_4" hidden="1">"100113118102108109104065076074081065076069067089089084074061062134123099117118099112105103070067076087066067085080072084078089088069091070065072082074079129123083087068078089070068089066083070077087066049134"</definedName>
    <definedName name="ENG_BI_GEN_LIC" hidden="1">"0"</definedName>
    <definedName name="ENG_BI_GEN_LIC_WS" hidden="1">"True"</definedName>
    <definedName name="ENG_BI_LANG_CODE" hidden="1">"en"</definedName>
    <definedName name="ENG_BI_LBI" localSheetId="5" hidden="1">"0E71BI55XN"</definedName>
    <definedName name="ENG_BI_LBI" localSheetId="4" hidden="1">"0E71BI55XN"</definedName>
    <definedName name="ENG_BI_LBI" localSheetId="6" hidden="1">"0E71BI55XN"</definedName>
    <definedName name="ENG_BI_LBI" localSheetId="3" hidden="1">"0E71BI55XN"</definedName>
    <definedName name="ENG_BI_LBI" hidden="1">"O2VPZ6UULC"</definedName>
    <definedName name="ENG_BI_PROFILE_PATH" localSheetId="5" hidden="1">"C:\ProgramData\Alchemex\AlchemexSmartReporting\MetaData\Report Designer Add-In S300SQL DEMO 1-0\BICORE_profiler_20130506_113613.csv"</definedName>
    <definedName name="ENG_BI_PROFILE_PATH" localSheetId="4" hidden="1">"C:\ProgramData\Alchemex\AlchemexSmartReporting\MetaData\Report Designer Add-In S300SQL DEMO 1-0\BICORE_profiler_20130506_113613.csv"</definedName>
    <definedName name="ENG_BI_PROFILE_PATH" localSheetId="6" hidden="1">"C:\ProgramData\Alchemex\AlchemexSmartReporting\MetaData\Report Designer Add-In S300SQL DEMO 1-0\BICORE_profiler_20130506_113613.csv"</definedName>
    <definedName name="ENG_BI_PROFILE_PATH" localSheetId="3" hidden="1">"C:\ProgramData\Alchemex\AlchemexSmartReporting\MetaData\Report Designer Add-In S300SQL DEMO 1-0\BICORE_profiler_20130506_113613.csv"</definedName>
    <definedName name="ENG_BI_PROFILE_PATH" hidden="1">"C:\ProgramData\Alchemex\AlchemexSmartReporting\MetaData\Financial Income Statement S300SQL 1-0\BICORE_profiler_20130618_190845.csv"</definedName>
    <definedName name="ENG_BI_REPOS_FILE" hidden="1">"C:\Program Files (x86)\Sage\Sage 300 ERP\BXDATA\SQL\alchemex.svd"</definedName>
    <definedName name="ENG_BI_REPOS_PATH" hidden="1">"C:\Program Files (x86)\Sage\Sage 300 ERP\BXDATA\SQL\"</definedName>
    <definedName name="ENG_BI_TLA" localSheetId="5" hidden="1">"110;212;20;208;208;200;86;139;261;17;247;154;175;55;236;232;36;164;45;166;38;105;107;236;138;172;58;80;127;208;262;203"</definedName>
    <definedName name="ENG_BI_TLA" localSheetId="4" hidden="1">"110;212;20;208;208;200;86;139;261;17;247;154;175;55;236;232;36;164;45;166;38;105;107;236;138;172;58;80;127;208;262;203"</definedName>
    <definedName name="ENG_BI_TLA" localSheetId="6" hidden="1">"110;212;20;208;208;200;86;139;261;17;247;154;175;55;236;232;36;164;45;166;38;105;107;236;138;172;58;80;127;208;262;203"</definedName>
    <definedName name="ENG_BI_TLA" localSheetId="3" hidden="1">"110;212;20;208;208;200;86;139;261;17;247;154;175;55;236;232;36;164;45;166;38;105;107;236;138;172;58;80;127;208;262;203"</definedName>
    <definedName name="ENG_BI_TLA" hidden="1">"43;232;61;140;258;236;90;48;67;37;95;167;21;46;265;53;258;156;248;61;269;80;62;25;241;186;265;177;182;58;266;245"</definedName>
    <definedName name="ENG_BI_TLA2" localSheetId="5" hidden="1">"60;101;232;154;127;28;200;41;6;6;215;80;13;48;70;214;51;236;81;83;81;10;145;200;24;44;88;240;254;91;214;24"</definedName>
    <definedName name="ENG_BI_TLA2" localSheetId="4" hidden="1">"60;101;232;154;127;28;200;41;6;6;215;80;13;48;70;214;51;236;81;83;81;10;145;200;24;44;88;240;254;91;214;24"</definedName>
    <definedName name="ENG_BI_TLA2" localSheetId="6" hidden="1">"60;101;232;154;127;28;200;41;6;6;215;80;13;48;70;214;51;236;81;83;81;10;145;200;24;44;88;240;254;91;214;24"</definedName>
    <definedName name="ENG_BI_TLA2" localSheetId="3" hidden="1">"60;101;232;154;127;28;200;41;6;6;215;80;13;48;70;214;51;236;81;83;81;10;145;200;24;44;88;240;254;91;214;24"</definedName>
    <definedName name="ENG_BI_TLA2" hidden="1">"161;29;159;161;72;197;165;62;216;174;245;130;167;202;80;118;85;211;131;187;207;208;122;124;127;48;53;255;195;176;151;230"</definedName>
    <definedName name="FiscalYears">'Lookup Data'!$B$2:$B$39</definedName>
    <definedName name="FiscalYearsTemplate">'Lookup Data'!$B$2:INDEX('Lookup Data'!$B$2:$B$40,COUNTA('Lookup Data'!$B$2:$B$40))</definedName>
    <definedName name="INFO_BI_EXE_NAME" hidden="1">"BICORE.EXE"</definedName>
    <definedName name="INFO_EXE_SERVER_PATH" hidden="1">"C:\Program Files (x86)\Sage\Sage 300 ERP\BX62A\BICORE.EXE"</definedName>
    <definedName name="INFO_INSTANCE_ID" hidden="1">"0"</definedName>
    <definedName name="INFO_INSTANCE_NAME" localSheetId="5" hidden="1">"Financial Balance Sheet S300SQL 1-0-0_20130605_10_37_08_3737.xls"</definedName>
    <definedName name="INFO_INSTANCE_NAME" localSheetId="4" hidden="1">"Financial Balance Sheet S300SQL 1-0-0_20130605_10_37_08_3737.xls"</definedName>
    <definedName name="INFO_INSTANCE_NAME" localSheetId="6" hidden="1">"Financial Balance Sheet S300SQL 1-0-0_20130605_10_37_08_3737.xls"</definedName>
    <definedName name="INFO_INSTANCE_NAME" localSheetId="3" hidden="1">"Financial Balance Sheet S300SQL 1-0-0_20130605_10_37_08_3737.xls"</definedName>
    <definedName name="INFO_INSTANCE_NAME" hidden="1">"Financial Income Statement S300SQL 1-0-0_20130605_11_27_28_2727.xls"</definedName>
    <definedName name="INFO_REPORT_CODE" localSheetId="5" hidden="1">"S300-SQL-AI21-1-0"</definedName>
    <definedName name="INFO_REPORT_CODE" localSheetId="4" hidden="1">"S300-SQL-AI21-1-0"</definedName>
    <definedName name="INFO_REPORT_CODE" localSheetId="6" hidden="1">"S300-SQL-AI21-1-0"</definedName>
    <definedName name="INFO_REPORT_CODE" localSheetId="3" hidden="1">"S300-SQL-AI21-1-0"</definedName>
    <definedName name="INFO_REPORT_CODE" hidden="1">"S300-SQL-AI25-1-0"</definedName>
    <definedName name="INFO_REPORT_ID" hidden="1">"12"</definedName>
    <definedName name="INFO_REPORT_NAME" localSheetId="5" hidden="1">"Financial Balance Sheet S300SQL 1-0-0"</definedName>
    <definedName name="INFO_REPORT_NAME" localSheetId="4" hidden="1">"Financial Balance Sheet S300SQL 1-0-0"</definedName>
    <definedName name="INFO_REPORT_NAME" localSheetId="6" hidden="1">"Financial Balance Sheet S300SQL 1-0-0"</definedName>
    <definedName name="INFO_REPORT_NAME" localSheetId="3" hidden="1">"Financial Balance Sheet S300SQL 1-0-0"</definedName>
    <definedName name="INFO_REPORT_NAME" hidden="1">"Financial Income Statement S300SQL 1-0-0"</definedName>
    <definedName name="INFO_RUN_USER" hidden="1">""</definedName>
    <definedName name="INFO_RUN_WORKSTATION" hidden="1">"S300IM1"</definedName>
    <definedName name="MissingAccounts">'Missing Accounts'!$B$4:$H$600</definedName>
    <definedName name="Periods">'Lookup Data'!$C$2:$C$13</definedName>
    <definedName name="_xlnm.Print_Area" localSheetId="5">'Actual vs Budget'!$C$1:$J$49</definedName>
    <definedName name="_xlnm.Print_Area" localSheetId="4">'Actual vs Prior'!$C$1:$J$48</definedName>
    <definedName name="SV_AUTO_CONN_CATALOG" hidden="1">"saminc"</definedName>
    <definedName name="SV_AUTO_CONN_SERVER" hidden="1">"s300im1"</definedName>
    <definedName name="SV_DBTYPE">"5"</definedName>
    <definedName name="SV_ENCPT_AUTO_CONN_PASSWORD" hidden="1">"083096084083070086065116117119052116100"</definedName>
    <definedName name="SV_ENCPT_AUTO_CONN_USER" hidden="1">"095094088070084121098"</definedName>
    <definedName name="SV_ENCPT_LOGON_PWD" hidden="1">"078104085088070"</definedName>
    <definedName name="SV_ENCPT_LOGON_USER" hidden="1">"095094088070084071069078075078"</definedName>
    <definedName name="SV_REPORT_CODE" localSheetId="5">"S300-SQL-AI21-1-0"</definedName>
    <definedName name="SV_REPORT_CODE" localSheetId="4">"S300-SQL-AI21-1-0"</definedName>
    <definedName name="SV_REPORT_CODE" localSheetId="6">"S300-SQL-AI21-1-0"</definedName>
    <definedName name="SV_REPORT_CODE" localSheetId="3">"S300-SQL-AI21-1-0"</definedName>
    <definedName name="SV_REPORT_CODE">"S300-SQL-AI25-1-0"</definedName>
    <definedName name="SV_REPORT_ID">"12"</definedName>
    <definedName name="SV_REPORT_NAME" localSheetId="5">"Financial Balance Sheet S300SQL 1-0"</definedName>
    <definedName name="SV_REPORT_NAME" localSheetId="4">"Financial Balance Sheet S300SQL 1-0"</definedName>
    <definedName name="SV_REPORT_NAME" localSheetId="6">"Financial Balance Sheet S300SQL 1-0"</definedName>
    <definedName name="SV_REPORT_NAME" localSheetId="3">"Financial Balance Sheet S300SQL 1-0"</definedName>
    <definedName name="SV_REPORT_NAME">"Financial Income Statement S300SQL 1-0"</definedName>
    <definedName name="SV_REPOSCODE">""</definedName>
    <definedName name="SV_SOLUTION_ID">"33"</definedName>
    <definedName name="SV_TENANT_CODE">"SAMINC"</definedName>
    <definedName name="XLGENIE_GLOBAL_PIVOT_ALLWORD">"(All)"</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41" l="1"/>
  <c r="H13" i="41"/>
  <c r="F43" i="38"/>
  <c r="G43" i="38"/>
  <c r="F44" i="38"/>
  <c r="G44" i="38"/>
  <c r="F45" i="38"/>
  <c r="G45" i="38"/>
  <c r="F37" i="38"/>
  <c r="G37" i="38"/>
  <c r="F38" i="38"/>
  <c r="G38" i="38"/>
  <c r="F33" i="38"/>
  <c r="G33" i="38"/>
  <c r="F34" i="38"/>
  <c r="G34" i="38"/>
  <c r="F26" i="38"/>
  <c r="G26" i="38"/>
  <c r="F22" i="38"/>
  <c r="G22" i="38"/>
  <c r="F23" i="38"/>
  <c r="G23" i="38"/>
  <c r="F16" i="38"/>
  <c r="G16" i="38"/>
  <c r="F17" i="38"/>
  <c r="G17" i="38"/>
  <c r="F18" i="38"/>
  <c r="G18" i="38"/>
  <c r="F19" i="38"/>
  <c r="G19" i="38"/>
  <c r="F42" i="37"/>
  <c r="G42" i="37"/>
  <c r="F43" i="37"/>
  <c r="G43" i="37"/>
  <c r="F44" i="37"/>
  <c r="G44" i="37"/>
  <c r="F36" i="37"/>
  <c r="G36" i="37"/>
  <c r="F37" i="37"/>
  <c r="G37" i="37"/>
  <c r="F32" i="37"/>
  <c r="G32" i="37"/>
  <c r="F33" i="37"/>
  <c r="G33" i="37"/>
  <c r="F25" i="37"/>
  <c r="G25" i="37"/>
  <c r="F21" i="37"/>
  <c r="G21" i="37"/>
  <c r="F22" i="37"/>
  <c r="G22" i="37"/>
  <c r="F15" i="37"/>
  <c r="G15" i="37"/>
  <c r="F16" i="37"/>
  <c r="G16" i="37"/>
  <c r="F17" i="37"/>
  <c r="G17" i="37"/>
  <c r="F18" i="37"/>
  <c r="G18" i="37"/>
  <c r="E42" i="36"/>
  <c r="E43" i="36"/>
  <c r="E44" i="36"/>
  <c r="E36" i="36"/>
  <c r="E37" i="36"/>
  <c r="E32" i="36"/>
  <c r="E33" i="36"/>
  <c r="E24" i="36"/>
  <c r="E20" i="36"/>
  <c r="E21" i="36"/>
  <c r="E14" i="36"/>
  <c r="E15" i="36"/>
  <c r="E16" i="36"/>
  <c r="E17" i="36"/>
  <c r="D5" i="41"/>
  <c r="D6" i="41"/>
  <c r="D7" i="41"/>
  <c r="D5" i="38"/>
  <c r="D6" i="38"/>
  <c r="D7" i="38"/>
  <c r="D5" i="37"/>
  <c r="D6" i="37"/>
  <c r="D7" i="37"/>
  <c r="D5" i="36"/>
  <c r="D6" i="36"/>
  <c r="D7" i="36"/>
  <c r="D4" i="41" l="1"/>
  <c r="D4" i="38"/>
  <c r="D4" i="37"/>
  <c r="D4" i="36"/>
  <c r="F11" i="37" l="1"/>
  <c r="G11" i="41"/>
  <c r="C2" i="41"/>
  <c r="F39" i="38" l="1"/>
  <c r="G24" i="38"/>
  <c r="G35" i="38"/>
  <c r="G20" i="38"/>
  <c r="F38" i="37"/>
  <c r="I36" i="37"/>
  <c r="F19" i="37"/>
  <c r="I17" i="37"/>
  <c r="J17" i="37" s="1"/>
  <c r="I37" i="37"/>
  <c r="G46" i="38"/>
  <c r="I22" i="37"/>
  <c r="I25" i="37"/>
  <c r="I32" i="37"/>
  <c r="F34" i="37"/>
  <c r="I44" i="37"/>
  <c r="E18" i="36"/>
  <c r="I18" i="37"/>
  <c r="J18" i="37" s="1"/>
  <c r="I33" i="37"/>
  <c r="G38" i="37"/>
  <c r="I43" i="37"/>
  <c r="G34" i="37"/>
  <c r="I15" i="37"/>
  <c r="I21" i="37"/>
  <c r="I23" i="37" s="1"/>
  <c r="F23" i="37"/>
  <c r="I42" i="37"/>
  <c r="F45" i="37"/>
  <c r="E22" i="36"/>
  <c r="E38" i="36"/>
  <c r="F46" i="38"/>
  <c r="E45" i="36"/>
  <c r="F35" i="38"/>
  <c r="E34" i="36"/>
  <c r="G39" i="38"/>
  <c r="I16" i="37"/>
  <c r="J16" i="37" s="1"/>
  <c r="G23" i="37"/>
  <c r="G45" i="37"/>
  <c r="G19" i="37"/>
  <c r="I16" i="38"/>
  <c r="I43" i="38"/>
  <c r="I17" i="38"/>
  <c r="I37" i="38"/>
  <c r="I26" i="38"/>
  <c r="I19" i="38"/>
  <c r="I45" i="38"/>
  <c r="I34" i="38"/>
  <c r="I23" i="38"/>
  <c r="I44" i="38"/>
  <c r="I33" i="38"/>
  <c r="I38" i="38"/>
  <c r="I22" i="38"/>
  <c r="I18" i="38"/>
  <c r="D44" i="38"/>
  <c r="D43" i="38"/>
  <c r="D38" i="38"/>
  <c r="D37" i="38"/>
  <c r="D34" i="38"/>
  <c r="D33" i="38"/>
  <c r="D26" i="38"/>
  <c r="D23" i="38"/>
  <c r="D22" i="38"/>
  <c r="D19" i="38"/>
  <c r="D18" i="38"/>
  <c r="D17" i="38"/>
  <c r="D16" i="38"/>
  <c r="C2" i="38"/>
  <c r="D43" i="37"/>
  <c r="D42" i="37"/>
  <c r="D37" i="37"/>
  <c r="D36" i="37"/>
  <c r="D33" i="37"/>
  <c r="D32" i="37"/>
  <c r="D25" i="37"/>
  <c r="D22" i="37"/>
  <c r="D21" i="37"/>
  <c r="D18" i="37"/>
  <c r="D17" i="37"/>
  <c r="D16" i="37"/>
  <c r="D15" i="37"/>
  <c r="C2" i="37"/>
  <c r="D43" i="36"/>
  <c r="D42" i="36"/>
  <c r="D37" i="36"/>
  <c r="D36" i="36"/>
  <c r="D33" i="36"/>
  <c r="D32" i="36"/>
  <c r="D24" i="36"/>
  <c r="D21" i="36"/>
  <c r="D20" i="36"/>
  <c r="D17" i="36"/>
  <c r="D16" i="36"/>
  <c r="D15" i="36"/>
  <c r="D14" i="36"/>
  <c r="C2" i="36"/>
  <c r="F40" i="37" l="1"/>
  <c r="I38" i="37"/>
  <c r="I45" i="37"/>
  <c r="F27" i="37"/>
  <c r="E27" i="36"/>
  <c r="G41" i="38"/>
  <c r="G49" i="38" s="1"/>
  <c r="F41" i="38"/>
  <c r="E40" i="36"/>
  <c r="G28" i="38"/>
  <c r="G40" i="37"/>
  <c r="G47" i="37" s="1"/>
  <c r="G27" i="37"/>
  <c r="I19" i="37"/>
  <c r="I27" i="37" s="1"/>
  <c r="F47" i="37"/>
  <c r="I34" i="37"/>
  <c r="I40" i="37" s="1"/>
  <c r="I47" i="37" s="1"/>
  <c r="J15" i="37"/>
  <c r="I39" i="38"/>
  <c r="J13" i="41"/>
  <c r="K13" i="41" s="1"/>
  <c r="I35" i="38"/>
  <c r="I46" i="38"/>
  <c r="I20" i="38"/>
  <c r="I41" i="38" l="1"/>
  <c r="I49" i="38" s="1"/>
  <c r="J32" i="37"/>
  <c r="J22" i="37"/>
  <c r="J44" i="37"/>
  <c r="J43" i="37"/>
  <c r="J37" i="37"/>
  <c r="J33" i="37"/>
  <c r="J25" i="37"/>
  <c r="J34" i="37" l="1"/>
  <c r="J21" i="37"/>
  <c r="J36" i="37"/>
  <c r="J45" i="37"/>
  <c r="J42" i="37"/>
  <c r="J47" i="37" l="1"/>
  <c r="J38" i="37"/>
  <c r="J23" i="37"/>
  <c r="J27" i="37"/>
  <c r="J19" i="37"/>
  <c r="A6" i="1"/>
  <c r="A4" i="1"/>
  <c r="J40" i="37" l="1"/>
  <c r="J38" i="38"/>
  <c r="J26" i="38"/>
  <c r="J23" i="38"/>
  <c r="J44" i="38"/>
  <c r="J19" i="38"/>
  <c r="J45" i="38"/>
  <c r="J18" i="38"/>
  <c r="J17" i="38"/>
  <c r="J34" i="38"/>
  <c r="F24" i="38"/>
  <c r="J37" i="38"/>
  <c r="J43" i="38"/>
  <c r="J16" i="38"/>
  <c r="F20" i="38"/>
  <c r="J33" i="38"/>
  <c r="F28" i="38" l="1"/>
  <c r="F49" i="38"/>
  <c r="J46" i="38"/>
  <c r="J35" i="38"/>
  <c r="J39" i="38"/>
  <c r="I24" i="38"/>
  <c r="I28" i="38" s="1"/>
  <c r="J22" i="38"/>
  <c r="J24" i="38" l="1"/>
  <c r="J28" i="38"/>
  <c r="J41" i="38"/>
  <c r="J49" i="38"/>
  <c r="J20" i="38"/>
  <c r="F21" i="36" l="1"/>
  <c r="F15" i="36" l="1"/>
  <c r="F27" i="36"/>
  <c r="F14" i="36"/>
  <c r="F16" i="36"/>
  <c r="F18" i="36"/>
  <c r="F20" i="36"/>
  <c r="F17" i="36"/>
  <c r="F22" i="36"/>
  <c r="F24" i="36"/>
  <c r="E48" i="36" l="1"/>
  <c r="F34" i="36" s="1"/>
  <c r="F33" i="36" l="1"/>
  <c r="F36" i="36"/>
  <c r="F37" i="36"/>
  <c r="F38" i="36"/>
  <c r="F43" i="36"/>
  <c r="F48" i="36"/>
  <c r="F44" i="36"/>
  <c r="F42" i="36"/>
  <c r="F32" i="36"/>
  <c r="F45" i="36"/>
  <c r="F40" i="36"/>
</calcChain>
</file>

<file path=xl/sharedStrings.xml><?xml version="1.0" encoding="utf-8"?>
<sst xmlns="http://schemas.openxmlformats.org/spreadsheetml/2006/main" count="146" uniqueCount="82">
  <si>
    <t>Bound Cell</t>
  </si>
  <si>
    <t>Delimiter</t>
  </si>
  <si>
    <t>Decimal</t>
  </si>
  <si>
    <t>Companies</t>
  </si>
  <si>
    <t>Fiscal Years</t>
  </si>
  <si>
    <t>Periods</t>
  </si>
  <si>
    <t>Formulas Ranges</t>
  </si>
  <si>
    <t>Missing Accounts</t>
  </si>
  <si>
    <t>Current Year</t>
  </si>
  <si>
    <t>Account Description</t>
  </si>
  <si>
    <t>If you ever need to check if there are accounts missing from your financial reports, use the Missing Accounts feature and look here.</t>
  </si>
  <si>
    <t>Company Name</t>
  </si>
  <si>
    <t>Account Number</t>
  </si>
  <si>
    <t>Account Type</t>
  </si>
  <si>
    <t>Companies Budgets</t>
  </si>
  <si>
    <t>Budgets</t>
  </si>
  <si>
    <t>Budgets ID</t>
  </si>
  <si>
    <t>Current Period:</t>
  </si>
  <si>
    <t>Company:</t>
  </si>
  <si>
    <t>Currency:</t>
  </si>
  <si>
    <t>Currency Type:</t>
  </si>
  <si>
    <t>F</t>
  </si>
  <si>
    <t>Actual</t>
  </si>
  <si>
    <t>Budget</t>
  </si>
  <si>
    <t>Current Year:</t>
  </si>
  <si>
    <t>GroupCode</t>
  </si>
  <si>
    <t>GroupName</t>
  </si>
  <si>
    <t>YTD</t>
  </si>
  <si>
    <t>Variance</t>
  </si>
  <si>
    <t>Percentage</t>
  </si>
  <si>
    <t>Budget Set:</t>
  </si>
  <si>
    <t>01</t>
  </si>
  <si>
    <t>Actual YTD</t>
  </si>
  <si>
    <t>Actual vs Prior</t>
  </si>
  <si>
    <t>Actual vs Budget</t>
  </si>
  <si>
    <t>AutoRefresh1</t>
  </si>
  <si>
    <t>AutoRefresh2</t>
  </si>
  <si>
    <t>AutoRefresh3</t>
  </si>
  <si>
    <t>Assets</t>
  </si>
  <si>
    <t>Current Assets</t>
  </si>
  <si>
    <t>Fixed Assets, net</t>
  </si>
  <si>
    <t>Total Assets</t>
  </si>
  <si>
    <t>Liabilities</t>
  </si>
  <si>
    <t>Total Current Liabilities</t>
  </si>
  <si>
    <t>Total Long Term Liabilities</t>
  </si>
  <si>
    <t>Total Liabilities</t>
  </si>
  <si>
    <t>Profit (Loss) for Period</t>
  </si>
  <si>
    <t>Shareholder's Equity</t>
  </si>
  <si>
    <t>Total Shareholder's Equity and Liabilities</t>
  </si>
  <si>
    <t>Value</t>
  </si>
  <si>
    <t>Sahreholder's Equity</t>
  </si>
  <si>
    <t>I</t>
  </si>
  <si>
    <t>ç</t>
  </si>
  <si>
    <t>Facebook</t>
  </si>
  <si>
    <t>Twitter</t>
  </si>
  <si>
    <t>LinkedIn</t>
  </si>
  <si>
    <t>YouTube</t>
  </si>
  <si>
    <t>Please select values from the drop down lists for both current year and prior year. Your values will be updated once you have refreshed.</t>
  </si>
  <si>
    <t>Sage Intelligence Community</t>
  </si>
  <si>
    <t>|</t>
  </si>
  <si>
    <t>Blog</t>
  </si>
  <si>
    <t>Knowledgebase</t>
  </si>
  <si>
    <t>Support</t>
  </si>
  <si>
    <t xml:space="preserve"> View Standard Reports:</t>
  </si>
  <si>
    <t>Follow us</t>
  </si>
  <si>
    <t>Account</t>
  </si>
  <si>
    <t>Acount Desctiption</t>
  </si>
  <si>
    <t>Structure Code</t>
  </si>
  <si>
    <t>Acc</t>
  </si>
  <si>
    <t>Fixed Assets - Office Furniture &amp; Fittings</t>
  </si>
  <si>
    <t>StructureCode</t>
  </si>
  <si>
    <t>AccountGroupName</t>
  </si>
  <si>
    <t>GroupCategoryDescription</t>
  </si>
  <si>
    <t>Actual vs Prior Template</t>
  </si>
  <si>
    <t>Please select values from the drop down lists for the current year. Your values will be updated once you have refreshed.</t>
  </si>
  <si>
    <t>Please select values from the drop down lists for all required cells. Row 13 has been entered as an example.  The Account Number, Account Description and Structure Code should therefore be updated with your account details.  Your values will be updated once you have refreshed.</t>
  </si>
  <si>
    <t>AutoRefresh4</t>
  </si>
  <si>
    <t>AutoRefresh5</t>
  </si>
  <si>
    <t>AutoRefresh6</t>
  </si>
  <si>
    <t>AutoRefresh7</t>
  </si>
  <si>
    <t>AutoRefresh8</t>
  </si>
  <si>
    <t>SAMLTD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</si>
</sst>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0;\(#,##0.00\)"/>
    <numFmt numFmtId="166" formatCode="###0.00%;\(###0.00%\)"/>
  </numFmts>
  <fonts count="34" x14ac:knownFonts="1">
    <font>
      <sz val="10"/>
      <color theme="1"/>
      <name val="Segoe U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Segoe UI"/>
      <family val="2"/>
    </font>
    <font>
      <sz val="11"/>
      <color theme="0"/>
      <name val="Segoe UI"/>
      <family val="2"/>
    </font>
    <font>
      <sz val="10"/>
      <color theme="1"/>
      <name val="Segoe UI"/>
      <family val="2"/>
    </font>
    <font>
      <sz val="26"/>
      <color theme="1"/>
      <name val="Segoe UI"/>
      <family val="2"/>
    </font>
    <font>
      <b/>
      <sz val="12"/>
      <color theme="1"/>
      <name val="Calibri"/>
      <family val="2"/>
      <scheme val="minor"/>
    </font>
    <font>
      <sz val="10"/>
      <color rgb="FF4D4F53"/>
      <name val="Segoe UI"/>
      <family val="2"/>
    </font>
    <font>
      <sz val="26"/>
      <color rgb="FF4D4F53"/>
      <name val="Segoe UI Semibold"/>
      <family val="2"/>
    </font>
    <font>
      <sz val="24"/>
      <color rgb="FF4D4F53"/>
      <name val="Segoe UI Semibold"/>
      <family val="2"/>
    </font>
    <font>
      <sz val="11"/>
      <color rgb="FF4D4F53"/>
      <name val="Segoe UI"/>
      <family val="2"/>
    </font>
    <font>
      <sz val="11"/>
      <color theme="0"/>
      <name val="Arial"/>
      <family val="2"/>
    </font>
    <font>
      <sz val="10"/>
      <color rgb="FF4D4F53"/>
      <name val="Arial"/>
      <family val="2"/>
    </font>
    <font>
      <sz val="10"/>
      <color theme="1"/>
      <name val="Arial"/>
      <family val="2"/>
    </font>
    <font>
      <b/>
      <sz val="11"/>
      <color rgb="FF4D4F53"/>
      <name val="Arial"/>
      <family val="2"/>
    </font>
    <font>
      <sz val="11"/>
      <color rgb="FF4D4F53"/>
      <name val="Arial"/>
      <family val="2"/>
    </font>
    <font>
      <sz val="11"/>
      <color theme="1"/>
      <name val="Arial"/>
      <family val="2"/>
    </font>
    <font>
      <b/>
      <sz val="11"/>
      <color theme="1"/>
      <name val="Arial"/>
      <family val="2"/>
    </font>
    <font>
      <sz val="11"/>
      <color rgb="FF4D4F53"/>
      <name val="Calibri"/>
      <family val="2"/>
    </font>
    <font>
      <sz val="13"/>
      <color rgb="FF4D4F53"/>
      <name val="Segoe UI Light"/>
      <family val="2"/>
    </font>
    <font>
      <sz val="12"/>
      <color theme="1"/>
      <name val="Segoe UI"/>
      <family val="2"/>
    </font>
    <font>
      <sz val="14"/>
      <color rgb="FF4D4F53"/>
      <name val="Segoe UI Light"/>
      <family val="2"/>
    </font>
    <font>
      <sz val="28"/>
      <color rgb="FF34B233"/>
      <name val="Wingdings"/>
      <charset val="2"/>
    </font>
    <font>
      <sz val="14"/>
      <color theme="0"/>
      <name val="Segoe UI"/>
      <family val="2"/>
    </font>
    <font>
      <sz val="12"/>
      <color rgb="FF009FDA"/>
      <name val="Segoe UI"/>
      <family val="2"/>
    </font>
    <font>
      <sz val="11"/>
      <color rgb="FF4D4F53"/>
      <name val="Calibri"/>
      <family val="2"/>
      <scheme val="minor"/>
    </font>
    <font>
      <sz val="24"/>
      <color rgb="FF4D4F53"/>
      <name val="Segoe UI"/>
      <family val="2"/>
    </font>
    <font>
      <sz val="14"/>
      <color rgb="FF4D4F53"/>
      <name val="Segoe UI"/>
      <family val="2"/>
    </font>
    <font>
      <sz val="12"/>
      <color rgb="FF4D4F53"/>
      <name val="Segoe UI"/>
      <family val="2"/>
    </font>
  </fonts>
  <fills count="7">
    <fill>
      <patternFill patternType="none"/>
    </fill>
    <fill>
      <patternFill patternType="gray125"/>
    </fill>
    <fill>
      <patternFill patternType="solid">
        <fgColor theme="0"/>
        <bgColor indexed="64"/>
      </patternFill>
    </fill>
    <fill>
      <patternFill patternType="solid">
        <fgColor rgb="FF34B233"/>
        <bgColor indexed="64"/>
      </patternFill>
    </fill>
    <fill>
      <patternFill patternType="solid">
        <fgColor rgb="FFCDCDCE"/>
        <bgColor indexed="64"/>
      </patternFill>
    </fill>
    <fill>
      <patternFill patternType="solid">
        <fgColor rgb="FFE6E6E6"/>
        <bgColor indexed="64"/>
      </patternFill>
    </fill>
    <fill>
      <patternFill patternType="solid">
        <fgColor rgb="FFBFBFBF"/>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s>
  <cellStyleXfs count="17">
    <xf numFmtId="0" fontId="0" fillId="0" borderId="0"/>
    <xf numFmtId="0" fontId="6" fillId="0" borderId="0"/>
    <xf numFmtId="0" fontId="7" fillId="0" borderId="0"/>
    <xf numFmtId="0" fontId="5" fillId="0" borderId="0"/>
    <xf numFmtId="43" fontId="7" fillId="0" borderId="0" applyFont="0" applyFill="0" applyBorder="0" applyAlignment="0" applyProtection="0"/>
    <xf numFmtId="9" fontId="7" fillId="0" borderId="0" applyFont="0" applyFill="0" applyBorder="0" applyAlignment="0" applyProtection="0"/>
    <xf numFmtId="0" fontId="4" fillId="0" borderId="0"/>
    <xf numFmtId="0" fontId="4" fillId="0" borderId="0"/>
    <xf numFmtId="0" fontId="24" fillId="0" borderId="0" applyNumberFormat="0" applyFill="0" applyBorder="0" applyAlignment="0" applyProtection="0"/>
    <xf numFmtId="0" fontId="12" fillId="0" borderId="0" applyNumberFormat="0" applyFill="0" applyBorder="0" applyAlignment="0" applyProtection="0"/>
    <xf numFmtId="0" fontId="3" fillId="0" borderId="0"/>
    <xf numFmtId="0" fontId="26" fillId="0" borderId="0" applyNumberFormat="0" applyFill="0" applyBorder="0" applyAlignment="0" applyProtection="0"/>
    <xf numFmtId="0" fontId="12" fillId="0" borderId="0" applyNumberFormat="0" applyFill="0" applyBorder="0" applyAlignment="0" applyProtection="0"/>
    <xf numFmtId="0" fontId="2" fillId="0" borderId="0"/>
    <xf numFmtId="0" fontId="1" fillId="0" borderId="0"/>
    <xf numFmtId="0" fontId="29" fillId="0" borderId="0" applyNumberFormat="0" applyFill="0" applyBorder="0" applyAlignment="0" applyProtection="0"/>
    <xf numFmtId="0" fontId="29" fillId="0" borderId="0" applyNumberFormat="0" applyFill="0" applyBorder="0" applyAlignment="0" applyProtection="0"/>
  </cellStyleXfs>
  <cellXfs count="111">
    <xf numFmtId="0" fontId="0" fillId="0" borderId="0" xfId="0"/>
    <xf numFmtId="0" fontId="0" fillId="0" borderId="1" xfId="0" applyBorder="1"/>
    <xf numFmtId="0" fontId="0" fillId="0" borderId="2" xfId="0" applyBorder="1"/>
    <xf numFmtId="0" fontId="0" fillId="0" borderId="3" xfId="0" applyBorder="1"/>
    <xf numFmtId="0" fontId="7" fillId="0" borderId="0" xfId="0" applyFont="1" applyAlignment="1">
      <alignment vertical="center"/>
    </xf>
    <xf numFmtId="0" fontId="0" fillId="0" borderId="0" xfId="0" applyFont="1"/>
    <xf numFmtId="0" fontId="0" fillId="0" borderId="0" xfId="0" applyFont="1" applyAlignment="1">
      <alignment horizontal="center"/>
    </xf>
    <xf numFmtId="0" fontId="10" fillId="0" borderId="0" xfId="0" applyFont="1"/>
    <xf numFmtId="0" fontId="0" fillId="0" borderId="0" xfId="0" applyFont="1" applyAlignment="1">
      <alignment horizontal="left"/>
    </xf>
    <xf numFmtId="0" fontId="11" fillId="0" borderId="0" xfId="0" applyFont="1" applyBorder="1"/>
    <xf numFmtId="0" fontId="11" fillId="0" borderId="0" xfId="0" applyFont="1" applyBorder="1" applyAlignment="1">
      <alignment horizontal="left"/>
    </xf>
    <xf numFmtId="0" fontId="0" fillId="0" borderId="0" xfId="0"/>
    <xf numFmtId="0" fontId="7" fillId="0" borderId="0" xfId="2"/>
    <xf numFmtId="0" fontId="7" fillId="0" borderId="0" xfId="2" applyBorder="1"/>
    <xf numFmtId="0" fontId="13" fillId="0" borderId="0" xfId="2" applyFont="1"/>
    <xf numFmtId="0" fontId="14" fillId="0" borderId="0" xfId="2" applyFont="1"/>
    <xf numFmtId="0" fontId="15" fillId="0" borderId="0" xfId="2" applyFont="1" applyAlignment="1">
      <alignment horizontal="left" vertical="center"/>
    </xf>
    <xf numFmtId="0" fontId="15" fillId="0" borderId="0" xfId="2" applyFont="1" applyAlignment="1">
      <alignment horizontal="center" vertical="center"/>
    </xf>
    <xf numFmtId="166" fontId="17" fillId="0" borderId="0" xfId="5" applyNumberFormat="1" applyFont="1"/>
    <xf numFmtId="166" fontId="17" fillId="4" borderId="0" xfId="5" applyNumberFormat="1" applyFont="1" applyFill="1"/>
    <xf numFmtId="166" fontId="19" fillId="4" borderId="0" xfId="5" applyNumberFormat="1" applyFont="1" applyFill="1"/>
    <xf numFmtId="0" fontId="15" fillId="0" borderId="0" xfId="2" applyFont="1"/>
    <xf numFmtId="0" fontId="18" fillId="0" borderId="0" xfId="2" applyFont="1"/>
    <xf numFmtId="0" fontId="21" fillId="0" borderId="0" xfId="2" applyFont="1"/>
    <xf numFmtId="0" fontId="21" fillId="0" borderId="0" xfId="2" applyFont="1" applyBorder="1"/>
    <xf numFmtId="165" fontId="17" fillId="0" borderId="0" xfId="2" applyNumberFormat="1" applyFont="1"/>
    <xf numFmtId="166" fontId="17" fillId="0" borderId="0" xfId="2" applyNumberFormat="1" applyFont="1"/>
    <xf numFmtId="0" fontId="22" fillId="0" borderId="0" xfId="2" applyFont="1"/>
    <xf numFmtId="0" fontId="12" fillId="0" borderId="0" xfId="2" applyFont="1"/>
    <xf numFmtId="0" fontId="9" fillId="0" borderId="0" xfId="2" applyFont="1"/>
    <xf numFmtId="49" fontId="23" fillId="0" borderId="0" xfId="2" applyNumberFormat="1" applyFont="1" applyAlignment="1">
      <alignment horizontal="center"/>
    </xf>
    <xf numFmtId="164" fontId="15" fillId="0" borderId="0" xfId="0" applyNumberFormat="1" applyFont="1" applyFill="1" applyAlignment="1">
      <alignment horizontal="center"/>
    </xf>
    <xf numFmtId="0" fontId="16" fillId="3" borderId="0" xfId="2" applyFont="1" applyFill="1" applyBorder="1" applyAlignment="1">
      <alignment horizontal="center" vertical="center"/>
    </xf>
    <xf numFmtId="0" fontId="19" fillId="0" borderId="0" xfId="2" applyFont="1"/>
    <xf numFmtId="0" fontId="17" fillId="0" borderId="0" xfId="2" applyFont="1" applyBorder="1" applyAlignment="1">
      <alignment horizontal="center"/>
    </xf>
    <xf numFmtId="0" fontId="17" fillId="0" borderId="0" xfId="2" applyFont="1" applyBorder="1"/>
    <xf numFmtId="165" fontId="17" fillId="0" borderId="0" xfId="2" applyNumberFormat="1" applyFont="1" applyBorder="1"/>
    <xf numFmtId="0" fontId="15" fillId="0" borderId="0" xfId="2" applyFont="1" applyBorder="1"/>
    <xf numFmtId="0" fontId="17" fillId="4" borderId="0" xfId="2" applyFont="1" applyFill="1" applyBorder="1"/>
    <xf numFmtId="165" fontId="17" fillId="4" borderId="0" xfId="2" applyNumberFormat="1" applyFont="1" applyFill="1" applyBorder="1"/>
    <xf numFmtId="0" fontId="20" fillId="0" borderId="0" xfId="2" applyFont="1" applyBorder="1" applyAlignment="1">
      <alignment horizontal="center"/>
    </xf>
    <xf numFmtId="0" fontId="20" fillId="0" borderId="0" xfId="2" applyFont="1" applyBorder="1"/>
    <xf numFmtId="165" fontId="20" fillId="0" borderId="0" xfId="2" applyNumberFormat="1" applyFont="1" applyBorder="1"/>
    <xf numFmtId="166" fontId="20" fillId="0" borderId="0" xfId="5" applyNumberFormat="1" applyFont="1"/>
    <xf numFmtId="0" fontId="19" fillId="4" borderId="0" xfId="2" applyFont="1" applyFill="1" applyBorder="1"/>
    <xf numFmtId="165" fontId="19" fillId="4" borderId="0" xfId="2" applyNumberFormat="1" applyFont="1" applyFill="1" applyBorder="1"/>
    <xf numFmtId="166" fontId="20" fillId="0" borderId="0" xfId="2" applyNumberFormat="1" applyFont="1"/>
    <xf numFmtId="166" fontId="15" fillId="0" borderId="0" xfId="2" applyNumberFormat="1" applyFont="1"/>
    <xf numFmtId="0" fontId="17" fillId="0" borderId="0" xfId="2" applyFont="1" applyFill="1" applyBorder="1"/>
    <xf numFmtId="165" fontId="17" fillId="0" borderId="0" xfId="2" applyNumberFormat="1" applyFont="1" applyFill="1" applyBorder="1"/>
    <xf numFmtId="166" fontId="17" fillId="0" borderId="0" xfId="5" applyNumberFormat="1" applyFont="1" applyFill="1"/>
    <xf numFmtId="0" fontId="12" fillId="0" borderId="0" xfId="2" applyFont="1" applyBorder="1" applyAlignment="1">
      <alignment horizontal="center"/>
    </xf>
    <xf numFmtId="0" fontId="12" fillId="0" borderId="0" xfId="2" applyFont="1" applyBorder="1"/>
    <xf numFmtId="165" fontId="12" fillId="0" borderId="0" xfId="2" applyNumberFormat="1" applyFont="1" applyBorder="1"/>
    <xf numFmtId="166" fontId="12" fillId="0" borderId="0" xfId="2" applyNumberFormat="1" applyFont="1"/>
    <xf numFmtId="0" fontId="15" fillId="0" borderId="0" xfId="2" applyFont="1" applyAlignment="1">
      <alignment horizontal="center"/>
    </xf>
    <xf numFmtId="0" fontId="7" fillId="0" borderId="0" xfId="2" applyAlignment="1">
      <alignment horizontal="center"/>
    </xf>
    <xf numFmtId="0" fontId="12" fillId="0" borderId="0" xfId="2" applyFont="1" applyAlignment="1">
      <alignment horizontal="left" vertical="center"/>
    </xf>
    <xf numFmtId="0" fontId="12" fillId="0" borderId="0" xfId="2" applyFont="1" applyAlignment="1">
      <alignment horizontal="center" vertical="center"/>
    </xf>
    <xf numFmtId="166" fontId="17" fillId="0" borderId="0" xfId="5" applyNumberFormat="1" applyFont="1" applyBorder="1"/>
    <xf numFmtId="166" fontId="17" fillId="4" borderId="0" xfId="2" applyNumberFormat="1" applyFont="1" applyFill="1" applyBorder="1"/>
    <xf numFmtId="166" fontId="17" fillId="0" borderId="0" xfId="2" applyNumberFormat="1" applyFont="1" applyFill="1" applyBorder="1"/>
    <xf numFmtId="165" fontId="17" fillId="0" borderId="0" xfId="2" applyNumberFormat="1" applyFont="1" applyFill="1"/>
    <xf numFmtId="165" fontId="19" fillId="0" borderId="0" xfId="2" applyNumberFormat="1" applyFont="1"/>
    <xf numFmtId="166" fontId="19" fillId="4" borderId="0" xfId="5" applyNumberFormat="1" applyFont="1" applyFill="1" applyBorder="1"/>
    <xf numFmtId="165" fontId="20" fillId="0" borderId="0" xfId="2" applyNumberFormat="1" applyFont="1"/>
    <xf numFmtId="166" fontId="17" fillId="4" borderId="0" xfId="5" applyNumberFormat="1" applyFont="1" applyFill="1" applyBorder="1"/>
    <xf numFmtId="0" fontId="18" fillId="0" borderId="0" xfId="2" applyFont="1" applyFill="1"/>
    <xf numFmtId="166" fontId="17" fillId="0" borderId="0" xfId="5" applyNumberFormat="1" applyFont="1" applyFill="1" applyBorder="1"/>
    <xf numFmtId="40" fontId="12" fillId="0" borderId="0" xfId="2" applyNumberFormat="1" applyFont="1" applyBorder="1"/>
    <xf numFmtId="166" fontId="12" fillId="0" borderId="0" xfId="5" applyNumberFormat="1" applyFont="1" applyBorder="1"/>
    <xf numFmtId="166" fontId="0" fillId="0" borderId="0" xfId="5" applyNumberFormat="1" applyFont="1"/>
    <xf numFmtId="10" fontId="0" fillId="0" borderId="0" xfId="5" applyNumberFormat="1" applyFont="1"/>
    <xf numFmtId="10" fontId="12" fillId="0" borderId="0" xfId="5" applyNumberFormat="1" applyFont="1" applyBorder="1"/>
    <xf numFmtId="0" fontId="12" fillId="0" borderId="0" xfId="2" applyFont="1" applyAlignment="1">
      <alignment horizontal="center"/>
    </xf>
    <xf numFmtId="164" fontId="16" fillId="3" borderId="0" xfId="2" applyNumberFormat="1" applyFont="1" applyFill="1" applyBorder="1" applyAlignment="1">
      <alignment horizontal="center" vertical="center"/>
    </xf>
    <xf numFmtId="164" fontId="16" fillId="3" borderId="0" xfId="0" applyNumberFormat="1" applyFont="1" applyFill="1" applyAlignment="1">
      <alignment horizontal="center" vertical="center"/>
    </xf>
    <xf numFmtId="0" fontId="17" fillId="0" borderId="0" xfId="2" quotePrefix="1" applyFont="1" applyBorder="1" applyAlignment="1">
      <alignment horizontal="center"/>
    </xf>
    <xf numFmtId="166" fontId="15" fillId="0" borderId="0" xfId="2" applyNumberFormat="1" applyFont="1" applyBorder="1"/>
    <xf numFmtId="0" fontId="19" fillId="0" borderId="0" xfId="2" applyFont="1" applyBorder="1"/>
    <xf numFmtId="0" fontId="15" fillId="0" borderId="0" xfId="2" applyFont="1" applyFill="1"/>
    <xf numFmtId="0" fontId="27" fillId="0" borderId="0" xfId="9" applyFont="1" applyAlignment="1">
      <alignment horizontal="center" vertical="center"/>
    </xf>
    <xf numFmtId="0" fontId="1" fillId="5" borderId="0" xfId="14" applyFill="1"/>
    <xf numFmtId="0" fontId="1" fillId="5" borderId="0" xfId="14" applyFill="1" applyBorder="1"/>
    <xf numFmtId="0" fontId="1" fillId="6" borderId="0" xfId="14" applyFill="1"/>
    <xf numFmtId="0" fontId="30" fillId="5" borderId="0" xfId="14" applyFont="1" applyFill="1" applyAlignment="1">
      <alignment horizontal="right" vertical="top"/>
    </xf>
    <xf numFmtId="0" fontId="30" fillId="5" borderId="0" xfId="14" applyFont="1" applyFill="1" applyAlignment="1">
      <alignment vertical="top"/>
    </xf>
    <xf numFmtId="0" fontId="1" fillId="5" borderId="0" xfId="14" applyFill="1" applyAlignment="1">
      <alignment vertical="top"/>
    </xf>
    <xf numFmtId="0" fontId="1" fillId="2" borderId="0" xfId="14" applyFill="1"/>
    <xf numFmtId="0" fontId="1" fillId="2" borderId="0" xfId="14" applyFill="1" applyBorder="1"/>
    <xf numFmtId="0" fontId="31" fillId="2" borderId="0" xfId="14" applyFont="1" applyFill="1" applyBorder="1" applyAlignment="1">
      <alignment horizontal="left"/>
    </xf>
    <xf numFmtId="0" fontId="7" fillId="2" borderId="0" xfId="14" applyFont="1" applyFill="1" applyBorder="1"/>
    <xf numFmtId="0" fontId="7" fillId="2" borderId="0" xfId="14" applyFont="1" applyFill="1"/>
    <xf numFmtId="0" fontId="15" fillId="2" borderId="0" xfId="14" applyFont="1" applyFill="1" applyBorder="1" applyAlignment="1">
      <alignment horizontal="left"/>
    </xf>
    <xf numFmtId="0" fontId="33" fillId="2" borderId="0" xfId="14" applyFont="1" applyFill="1" applyAlignment="1">
      <alignment horizontal="center" vertical="center"/>
    </xf>
    <xf numFmtId="0" fontId="25" fillId="2" borderId="0" xfId="14" applyFont="1" applyFill="1"/>
    <xf numFmtId="0" fontId="1" fillId="6" borderId="0" xfId="14" applyFill="1" applyBorder="1"/>
    <xf numFmtId="0" fontId="16" fillId="3" borderId="0" xfId="2" applyFont="1" applyFill="1" applyBorder="1" applyAlignment="1">
      <alignment horizontal="center" vertical="center"/>
    </xf>
    <xf numFmtId="0" fontId="17" fillId="0" borderId="0" xfId="2" applyNumberFormat="1" applyFont="1" applyBorder="1" applyAlignment="1">
      <alignment horizontal="center"/>
    </xf>
    <xf numFmtId="0" fontId="29" fillId="2" borderId="0" xfId="15" applyFill="1" applyBorder="1" applyAlignment="1">
      <alignment horizontal="center"/>
    </xf>
    <xf numFmtId="0" fontId="29" fillId="2" borderId="0" xfId="15" applyFill="1" applyAlignment="1">
      <alignment horizontal="center"/>
    </xf>
    <xf numFmtId="0" fontId="29" fillId="2" borderId="0" xfId="16" applyFill="1" applyAlignment="1">
      <alignment horizontal="center"/>
    </xf>
    <xf numFmtId="0" fontId="29" fillId="5" borderId="0" xfId="15" applyFill="1" applyAlignment="1">
      <alignment horizontal="center" vertical="top"/>
    </xf>
    <xf numFmtId="0" fontId="29" fillId="5" borderId="0" xfId="15" applyFill="1" applyAlignment="1">
      <alignment horizontal="left" vertical="top"/>
    </xf>
    <xf numFmtId="0" fontId="28" fillId="3" borderId="0" xfId="9" applyFont="1" applyFill="1" applyBorder="1" applyAlignment="1">
      <alignment horizontal="center" vertical="center" wrapText="1"/>
    </xf>
    <xf numFmtId="0" fontId="32" fillId="5" borderId="0" xfId="9" applyFont="1" applyFill="1" applyAlignment="1">
      <alignment horizontal="center" vertical="center" wrapText="1"/>
    </xf>
    <xf numFmtId="0" fontId="16" fillId="3" borderId="0" xfId="2" applyFont="1" applyFill="1" applyBorder="1" applyAlignment="1">
      <alignment horizontal="center" vertical="center"/>
    </xf>
    <xf numFmtId="0" fontId="8" fillId="3" borderId="0" xfId="2" applyFont="1" applyFill="1" applyAlignment="1">
      <alignment horizontal="left" vertical="top" wrapText="1"/>
    </xf>
    <xf numFmtId="0" fontId="16" fillId="3" borderId="0" xfId="2" applyFont="1" applyFill="1" applyBorder="1" applyAlignment="1">
      <alignment horizontal="center"/>
    </xf>
    <xf numFmtId="0" fontId="8" fillId="3" borderId="0" xfId="2" applyFont="1" applyFill="1" applyAlignment="1">
      <alignment horizontal="left" wrapText="1"/>
    </xf>
    <xf numFmtId="0" fontId="16" fillId="3" borderId="0" xfId="2" applyFont="1" applyFill="1" applyBorder="1" applyAlignment="1">
      <alignment horizontal="center" vertical="center" wrapText="1"/>
    </xf>
  </cellXfs>
  <cellStyles count="17">
    <cellStyle name="Comma 2" xfId="4"/>
    <cellStyle name="Followed Hyperlink" xfId="12" builtinId="9" customBuiltin="1"/>
    <cellStyle name="Followed Hyperlink 2" xfId="16"/>
    <cellStyle name="Hyperlink" xfId="9" builtinId="8" customBuiltin="1"/>
    <cellStyle name="Hyperlink 2" xfId="11"/>
    <cellStyle name="Hyperlink 3" xfId="8"/>
    <cellStyle name="Hyperlink 4" xfId="15"/>
    <cellStyle name="Normal" xfId="0" builtinId="0" customBuiltin="1"/>
    <cellStyle name="Normal 2" xfId="6"/>
    <cellStyle name="Normal 3" xfId="14"/>
    <cellStyle name="Normal 6" xfId="2"/>
    <cellStyle name="Normal 6 2 2" xfId="1"/>
    <cellStyle name="Normal 6 2 2 2" xfId="3"/>
    <cellStyle name="Normal 6 2 2 3" xfId="7"/>
    <cellStyle name="Normal 6 2 2 4" xfId="10"/>
    <cellStyle name="Normal 6 2 2 4 2" xfId="13"/>
    <cellStyle name="Percent 2" xfId="5"/>
  </cellStyles>
  <dxfs count="10">
    <dxf>
      <fill>
        <patternFill>
          <bgColor rgb="FFE7E6E6"/>
        </patternFill>
      </fill>
    </dxf>
    <dxf>
      <font>
        <color theme="0"/>
      </font>
      <fill>
        <patternFill>
          <bgColor rgb="FF4D4F53"/>
        </patternFill>
      </fill>
    </dxf>
    <dxf>
      <font>
        <sz val="10"/>
        <color theme="0"/>
        <name val="Segoe UI"/>
      </font>
      <fill>
        <patternFill>
          <bgColor rgb="FF4D4F53"/>
        </patternFill>
      </fill>
      <border>
        <vertical/>
        <horizontal/>
      </border>
    </dxf>
    <dxf>
      <border>
        <left style="thin">
          <color rgb="FF4D4F53"/>
        </left>
        <right style="thin">
          <color rgb="FF4D4F53"/>
        </right>
        <top style="thin">
          <color rgb="FF4D4F53"/>
        </top>
        <bottom style="thin">
          <color rgb="FF4D4F53"/>
        </bottom>
        <vertical/>
        <horizontal/>
      </border>
    </dxf>
    <dxf>
      <fill>
        <patternFill>
          <bgColor rgb="FF4D4F53"/>
        </patternFill>
      </fill>
    </dxf>
    <dxf>
      <font>
        <sz val="10"/>
        <color theme="0"/>
        <name val="Segoe UI"/>
        <scheme val="none"/>
      </font>
      <border>
        <left style="thin">
          <color rgb="FF4D4F53"/>
        </left>
        <right style="thin">
          <color rgb="FF4D4F53"/>
        </right>
        <top style="thin">
          <color rgb="FF4D4F53"/>
        </top>
        <bottom style="thin">
          <color rgb="FF4D4F53"/>
        </bottom>
      </border>
    </dxf>
    <dxf>
      <font>
        <b/>
        <i val="0"/>
      </font>
      <fill>
        <patternFill>
          <bgColor rgb="FFF2F2F2"/>
        </patternFill>
      </fill>
    </dxf>
    <dxf>
      <font>
        <b/>
        <i val="0"/>
      </font>
      <fill>
        <patternFill>
          <bgColor rgb="FFE7E6E6"/>
        </patternFill>
      </fill>
    </dxf>
    <dxf>
      <font>
        <b/>
        <i val="0"/>
      </font>
      <fill>
        <patternFill>
          <bgColor rgb="FFD9D9D9"/>
        </patternFill>
      </fill>
    </dxf>
    <dxf>
      <font>
        <color theme="0"/>
      </font>
      <fill>
        <patternFill>
          <bgColor rgb="FF4D4F53"/>
        </patternFill>
      </fill>
    </dxf>
  </dxfs>
  <tableStyles count="4" defaultTableStyle="TableStyleMedium4" defaultPivotStyle="Sage Pivot Style">
    <tableStyle name="Sage Pivot Style" table="0" count="4">
      <tableStyleElement type="headerRow" dxfId="9"/>
      <tableStyleElement type="totalRow" dxfId="8"/>
      <tableStyleElement type="firstRowSubheading" dxfId="7"/>
      <tableStyleElement type="thirdRowSubheading" dxfId="6"/>
    </tableStyle>
    <tableStyle name="Sage Slicer Style" pivot="0" table="0" count="10">
      <tableStyleElement type="wholeTable" dxfId="5"/>
      <tableStyleElement type="headerRow" dxfId="4"/>
    </tableStyle>
    <tableStyle name="Sage Style" pivot="0" table="0" count="9">
      <tableStyleElement type="wholeTable" dxfId="3"/>
      <tableStyleElement type="headerRow" dxfId="2"/>
    </tableStyle>
    <tableStyle name="Sage Table Style" pivot="0" count="2">
      <tableStyleElement type="headerRow" dxfId="1"/>
      <tableStyleElement type="secondRowStripe" dxfId="0"/>
    </tableStyle>
  </tableStyles>
  <colors>
    <mruColors>
      <color rgb="FF34B233"/>
      <color rgb="FF4D4F53"/>
      <color rgb="FFD9D9D9"/>
      <color rgb="FF6639B7"/>
      <color rgb="FFFF5800"/>
      <color rgb="FF0098D4"/>
      <color rgb="FF2AB428"/>
      <color rgb="FFE2AC00"/>
      <color rgb="FFBFBFBF"/>
      <color rgb="FF40B23F"/>
    </mruColors>
  </colors>
  <extLst>
    <ext xmlns:x14="http://schemas.microsoft.com/office/spreadsheetml/2009/9/main" uri="{46F421CA-312F-682f-3DD2-61675219B42D}">
      <x14:dxfs count="8">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93DD9F"/>
            </patternFill>
          </fill>
          <border diagonalUp="0" diagonalDown="0">
            <left/>
            <right/>
            <top/>
            <bottom/>
            <vertical/>
            <horizontal/>
          </border>
        </dxf>
        <dxf>
          <fill>
            <patternFill>
              <bgColor rgb="FF36B34A"/>
            </patternFill>
          </fill>
          <border>
            <left/>
            <right/>
            <top/>
            <bottom/>
          </border>
        </dxf>
        <dxf>
          <font>
            <color theme="0" tint="-0.499984740745262"/>
          </font>
          <border>
            <left style="thin">
              <color theme="0" tint="-0.24994659260841701"/>
            </left>
            <right style="thin">
              <color theme="0" tint="-0.24994659260841701"/>
            </right>
            <top style="thin">
              <color theme="0" tint="-0.24994659260841701"/>
            </top>
            <bottom style="thin">
              <color theme="0" tint="-0.24994659260841701"/>
            </bottom>
          </border>
        </dxf>
        <dxf>
          <font>
            <color theme="1" tint="0.24994659260841701"/>
          </font>
          <fill>
            <patternFill patternType="none">
              <bgColor auto="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x14:dxfs>
    </ext>
    <ext xmlns:x14="http://schemas.microsoft.com/office/spreadsheetml/2009/9/main" uri="{EB79DEF2-80B8-43e5-95BD-54CBDDF9020C}">
      <x14:slicerStyles defaultSlicerStyle="Sage Slicer Style">
        <x14:slicerStyle name="Sag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C2ECC9"/>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36B34A"/>
            </pattern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10"/>
            <color rgb="FF40B23F"/>
          </font>
          <border>
            <left/>
            <right/>
            <top/>
            <bottom/>
            <vertical/>
            <horizontal/>
          </border>
        </dxf>
      </x15:dxfs>
    </ext>
    <ext xmlns:x15="http://schemas.microsoft.com/office/spreadsheetml/2010/11/main" uri="{9260A510-F301-46a8-8635-F512D64BE5F5}">
      <x15:timelineStyles defaultTimelineStyle="Sage Style">
        <x15:timelineStyle name="Sag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2"/>
    </mc:Choice>
    <mc:Fallback>
      <c:style val="22"/>
    </mc:Fallback>
  </mc:AlternateContent>
  <c:clrMapOvr bg1="lt1" tx1="dk1" bg2="lt2" tx2="dk2" accent1="accent1" accent2="accent2" accent3="accent3" accent4="accent4" accent5="accent5" accent6="accent6" hlink="hlink" folHlink="folHlink"/>
  <c:chart>
    <c:autoTitleDeleted val="1"/>
    <c:pivotFmts>
      <c:pivotFmt>
        <c:idx val="0"/>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1"/>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5"/>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dLbl>
          <c:idx val="0"/>
          <c:delete val="1"/>
          <c:extLst>
            <c:ext xmlns:c15="http://schemas.microsoft.com/office/drawing/2012/chart" uri="{CE6537A1-D6FC-4f65-9D91-7224C49458BB}"/>
          </c:extLst>
        </c:dLbl>
      </c:pivotFmt>
      <c:pivotFmt>
        <c:idx val="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8"/>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9"/>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1"/>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2"/>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3"/>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4"/>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5"/>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6"/>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7"/>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18"/>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9"/>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1"/>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2"/>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3"/>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4"/>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5"/>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2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8"/>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9"/>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1"/>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2"/>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3"/>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4"/>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5"/>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3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8"/>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9"/>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1"/>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2"/>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3"/>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4"/>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5"/>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6"/>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7"/>
        <c:spPr>
          <a:solidFill>
            <a:srgbClr val="CDCDCE"/>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8"/>
        <c:spPr>
          <a:solidFill>
            <a:srgbClr val="FFAC8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9"/>
        <c:spPr>
          <a:solidFill>
            <a:srgbClr val="80CFED"/>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50"/>
        <c:spPr>
          <a:solidFill>
            <a:srgbClr val="B39CDB"/>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s>
    <c:plotArea>
      <c:layout>
        <c:manualLayout>
          <c:layoutTarget val="inner"/>
          <c:xMode val="edge"/>
          <c:yMode val="edge"/>
          <c:x val="0.1716940753516166"/>
          <c:y val="9.8430902759797767E-2"/>
          <c:w val="0.81789515874365404"/>
          <c:h val="0.63201111193908421"/>
        </c:manualLayout>
      </c:layout>
      <c:barChart>
        <c:barDir val="col"/>
        <c:grouping val="clustered"/>
        <c:varyColors val="0"/>
        <c:ser>
          <c:idx val="0"/>
          <c:order val="0"/>
          <c:spPr>
            <a:effectLst>
              <a:outerShdw blurRad="50800" dist="38100" dir="2700000" algn="tl" rotWithShape="0">
                <a:schemeClr val="tx1">
                  <a:lumMod val="75000"/>
                  <a:alpha val="40000"/>
                </a:schemeClr>
              </a:outerShdw>
            </a:effectLst>
            <a:scene3d>
              <a:camera prst="orthographicFront"/>
              <a:lightRig rig="threePt" dir="t"/>
            </a:scene3d>
            <a:sp3d>
              <a:bevelT w="0"/>
            </a:sp3d>
          </c:spPr>
          <c:invertIfNegative val="0"/>
          <c:dPt>
            <c:idx val="0"/>
            <c:invertIfNegative val="0"/>
            <c:bubble3D val="0"/>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
            <c:invertIfNegative val="0"/>
            <c:bubble3D val="0"/>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2"/>
            <c:invertIfNegative val="0"/>
            <c:bubble3D val="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3"/>
            <c:invertIfNegative val="0"/>
            <c:bubble3D val="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4"/>
            <c:invertIfNegative val="0"/>
            <c:bubble3D val="0"/>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5"/>
            <c:invertIfNegative val="0"/>
            <c:bubble3D val="0"/>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6"/>
            <c:invertIfNegative val="0"/>
            <c:bubble3D val="0"/>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7"/>
            <c:invertIfNegative val="0"/>
            <c:bubble3D val="0"/>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8"/>
            <c:invertIfNegative val="0"/>
            <c:bubble3D val="0"/>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9"/>
            <c:invertIfNegative val="0"/>
            <c:bubble3D val="0"/>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0"/>
            <c:invertIfNegative val="0"/>
            <c:bubble3D val="0"/>
            <c:spPr>
              <a:solidFill>
                <a:srgbClr val="CDCDCE"/>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1"/>
            <c:invertIfNegative val="0"/>
            <c:bubble3D val="0"/>
            <c:spPr>
              <a:solidFill>
                <a:srgbClr val="FFAC80"/>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2"/>
            <c:invertIfNegative val="0"/>
            <c:bubble3D val="0"/>
            <c:spPr>
              <a:solidFill>
                <a:srgbClr val="80CFED"/>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3"/>
            <c:invertIfNegative val="0"/>
            <c:bubble3D val="0"/>
            <c:spPr>
              <a:solidFill>
                <a:srgbClr val="B39CDB"/>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cat>
            <c:strRef>
              <c:f>('Actual YTD'!$D$32,'Actual YTD'!$D$33,'Actual YTD'!$D$36,'Actual YTD'!$D$37,'Actual YTD'!$D$42,'Actual YTD'!$D$43,'Actual YTD'!$D$44)</c:f>
              <c:strCache>
                <c:ptCount val="7"/>
                <c:pt idx="0">
                  <c:v>Accounts Payable</c:v>
                </c:pt>
                <c:pt idx="1">
                  <c:v>Other Current Liabilities</c:v>
                </c:pt>
                <c:pt idx="2">
                  <c:v>Long Term Liabilities</c:v>
                </c:pt>
                <c:pt idx="3">
                  <c:v>Other Liabilities</c:v>
                </c:pt>
                <c:pt idx="4">
                  <c:v>Share Capital</c:v>
                </c:pt>
                <c:pt idx="5">
                  <c:v>Shareholders Equity</c:v>
                </c:pt>
                <c:pt idx="6">
                  <c:v>Profit (Loss) for Period</c:v>
                </c:pt>
              </c:strCache>
            </c:strRef>
          </c:cat>
          <c:val>
            <c:numRef>
              <c:f>('Actual YTD'!$E$32,'Actual YTD'!$E$33,'Actual YTD'!$E$36,'Actual YTD'!$E$37,'Actual YTD'!$E$42,'Actual YTD'!$E$43,'Actual YTD'!$E$44)</c:f>
              <c:numCache>
                <c:formatCode>#,##0.00;\(#,##0.00\)</c:formatCode>
                <c:ptCount val="7"/>
                <c:pt idx="0">
                  <c:v>12993043</c:v>
                </c:pt>
                <c:pt idx="1">
                  <c:v>971872</c:v>
                </c:pt>
                <c:pt idx="2">
                  <c:v>288963</c:v>
                </c:pt>
                <c:pt idx="3">
                  <c:v>0</c:v>
                </c:pt>
                <c:pt idx="4">
                  <c:v>250000</c:v>
                </c:pt>
                <c:pt idx="5">
                  <c:v>-1482265</c:v>
                </c:pt>
                <c:pt idx="6">
                  <c:v>88110</c:v>
                </c:pt>
              </c:numCache>
            </c:numRef>
          </c:val>
        </c:ser>
        <c:dLbls>
          <c:showLegendKey val="0"/>
          <c:showVal val="0"/>
          <c:showCatName val="0"/>
          <c:showSerName val="0"/>
          <c:showPercent val="0"/>
          <c:showBubbleSize val="0"/>
        </c:dLbls>
        <c:gapWidth val="20"/>
        <c:axId val="380869816"/>
        <c:axId val="380870208"/>
      </c:barChart>
      <c:catAx>
        <c:axId val="380869816"/>
        <c:scaling>
          <c:orientation val="minMax"/>
        </c:scaling>
        <c:delete val="0"/>
        <c:axPos val="b"/>
        <c:numFmt formatCode="General" sourceLinked="1"/>
        <c:majorTickMark val="none"/>
        <c:minorTickMark val="none"/>
        <c:tickLblPos val="low"/>
        <c:txPr>
          <a:bodyPr rot="-1200000"/>
          <a:lstStyle/>
          <a:p>
            <a:pPr>
              <a:defRPr sz="800">
                <a:solidFill>
                  <a:srgbClr val="4D4F53"/>
                </a:solidFill>
                <a:latin typeface="Arial" pitchFamily="34" charset="0"/>
                <a:cs typeface="Arial" pitchFamily="34" charset="0"/>
              </a:defRPr>
            </a:pPr>
            <a:endParaRPr lang="en-US"/>
          </a:p>
        </c:txPr>
        <c:crossAx val="380870208"/>
        <c:crosses val="autoZero"/>
        <c:auto val="1"/>
        <c:lblAlgn val="ctr"/>
        <c:lblOffset val="100"/>
        <c:noMultiLvlLbl val="0"/>
      </c:catAx>
      <c:valAx>
        <c:axId val="380870208"/>
        <c:scaling>
          <c:orientation val="minMax"/>
        </c:scaling>
        <c:delete val="0"/>
        <c:axPos val="l"/>
        <c:numFmt formatCode="#,##0" sourceLinked="0"/>
        <c:majorTickMark val="none"/>
        <c:minorTickMark val="none"/>
        <c:tickLblPos val="nextTo"/>
        <c:txPr>
          <a:bodyPr/>
          <a:lstStyle/>
          <a:p>
            <a:pPr>
              <a:defRPr sz="800">
                <a:solidFill>
                  <a:srgbClr val="4D4F53"/>
                </a:solidFill>
                <a:latin typeface="Arial" pitchFamily="34" charset="0"/>
                <a:cs typeface="Arial" pitchFamily="34" charset="0"/>
              </a:defRPr>
            </a:pPr>
            <a:endParaRPr lang="en-US"/>
          </a:p>
        </c:txPr>
        <c:crossAx val="380869816"/>
        <c:crosses val="autoZero"/>
        <c:crossBetween val="between"/>
        <c:dispUnits>
          <c:builtInUnit val="thousands"/>
          <c:dispUnitsLbl>
            <c:layout>
              <c:manualLayout>
                <c:xMode val="edge"/>
                <c:yMode val="edge"/>
                <c:x val="1.7798337707786528E-2"/>
                <c:y val="0.25147447248193039"/>
              </c:manualLayout>
            </c:layout>
            <c:txPr>
              <a:bodyPr/>
              <a:lstStyle/>
              <a:p>
                <a:pPr>
                  <a:defRPr sz="800">
                    <a:latin typeface="Arial" pitchFamily="34" charset="0"/>
                    <a:cs typeface="Arial" pitchFamily="34" charset="0"/>
                  </a:defRPr>
                </a:pPr>
                <a:endParaRPr lang="en-US"/>
              </a:p>
            </c:txPr>
          </c:dispUnitsLbl>
        </c:dispUnits>
      </c:valAx>
    </c:plotArea>
    <c:plotVisOnly val="1"/>
    <c:dispBlanksAs val="gap"/>
    <c:showDLblsOverMax val="0"/>
  </c:chart>
  <c:spPr>
    <a:ln w="25400" cap="rnd">
      <a:solidFill>
        <a:srgbClr val="E1E1E1"/>
      </a:solidFill>
    </a:ln>
  </c:spPr>
  <c:printSettings>
    <c:headerFooter/>
    <c:pageMargins b="0.75000000000000588" l="0.70000000000000062" r="0.70000000000000062" t="0.75000000000000588" header="0.30000000000000032" footer="0.30000000000000032"/>
    <c:pageSetup paperSize="9"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2"/>
    </mc:Choice>
    <mc:Fallback>
      <c:style val="22"/>
    </mc:Fallback>
  </mc:AlternateContent>
  <c:clrMapOvr bg1="lt1" tx1="dk1" bg2="lt2" tx2="dk2" accent1="accent1" accent2="accent2" accent3="accent3" accent4="accent4" accent5="accent5" accent6="accent6" hlink="hlink" folHlink="folHlink"/>
  <c:chart>
    <c:autoTitleDeleted val="1"/>
    <c:pivotFmts>
      <c:pivotFmt>
        <c:idx val="0"/>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1"/>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5"/>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dLbl>
          <c:idx val="0"/>
          <c:delete val="1"/>
          <c:extLst>
            <c:ext xmlns:c15="http://schemas.microsoft.com/office/drawing/2012/chart" uri="{CE6537A1-D6FC-4f65-9D91-7224C49458BB}"/>
          </c:extLst>
        </c:dLbl>
      </c:pivotFmt>
      <c:pivotFmt>
        <c:idx val="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8"/>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9"/>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1"/>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2"/>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3"/>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4"/>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5"/>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6"/>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7"/>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18"/>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19"/>
        <c:spPr>
          <a:solidFill>
            <a:srgbClr val="34B23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1"/>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2"/>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3"/>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4"/>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5"/>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2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8"/>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29"/>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1"/>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2"/>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3"/>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4"/>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5"/>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6"/>
        <c:spPr>
          <a:effectLst>
            <a:outerShdw blurRad="50800" dist="38100" dir="2700000" algn="tl" rotWithShape="0">
              <a:schemeClr val="tx1">
                <a:lumMod val="75000"/>
                <a:alpha val="40000"/>
              </a:schemeClr>
            </a:outerShdw>
          </a:effectLst>
          <a:scene3d>
            <a:camera prst="orthographicFront"/>
            <a:lightRig rig="threePt" dir="t"/>
          </a:scene3d>
          <a:sp3d>
            <a:bevelT w="0"/>
          </a:sp3d>
        </c:spPr>
        <c:marker>
          <c:symbol val="none"/>
        </c:marker>
      </c:pivotFmt>
      <c:pivotFmt>
        <c:idx val="37"/>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8"/>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39"/>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1"/>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2"/>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3"/>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4"/>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5"/>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6"/>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7"/>
        <c:spPr>
          <a:solidFill>
            <a:srgbClr val="CDCDCE"/>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8"/>
        <c:spPr>
          <a:solidFill>
            <a:srgbClr val="FFAC80"/>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49"/>
        <c:spPr>
          <a:solidFill>
            <a:srgbClr val="80CFED"/>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
        <c:idx val="50"/>
        <c:spPr>
          <a:solidFill>
            <a:srgbClr val="B39CDB"/>
          </a:solidFill>
          <a:effectLst>
            <a:outerShdw blurRad="50800" dist="38100" dir="2700000" algn="tl" rotWithShape="0">
              <a:schemeClr val="tx1">
                <a:lumMod val="75000"/>
                <a:alpha val="40000"/>
              </a:schemeClr>
            </a:outerShdw>
          </a:effectLst>
          <a:scene3d>
            <a:camera prst="orthographicFront"/>
            <a:lightRig rig="threePt" dir="t"/>
          </a:scene3d>
          <a:sp3d>
            <a:bevelT w="0"/>
          </a:sp3d>
        </c:spPr>
      </c:pivotFmt>
    </c:pivotFmts>
    <c:plotArea>
      <c:layout>
        <c:manualLayout>
          <c:layoutTarget val="inner"/>
          <c:xMode val="edge"/>
          <c:yMode val="edge"/>
          <c:x val="0.1716940753516166"/>
          <c:y val="9.8430902759797767E-2"/>
          <c:w val="0.81789515874365404"/>
          <c:h val="0.63201111193908421"/>
        </c:manualLayout>
      </c:layout>
      <c:barChart>
        <c:barDir val="col"/>
        <c:grouping val="clustered"/>
        <c:varyColors val="0"/>
        <c:ser>
          <c:idx val="0"/>
          <c:order val="0"/>
          <c:spPr>
            <a:effectLst>
              <a:outerShdw blurRad="50800" dist="38100" dir="2700000" algn="tl" rotWithShape="0">
                <a:schemeClr val="tx1">
                  <a:lumMod val="75000"/>
                  <a:alpha val="40000"/>
                </a:schemeClr>
              </a:outerShdw>
            </a:effectLst>
            <a:scene3d>
              <a:camera prst="orthographicFront"/>
              <a:lightRig rig="threePt" dir="t"/>
            </a:scene3d>
            <a:sp3d>
              <a:bevelT w="0"/>
            </a:sp3d>
          </c:spPr>
          <c:invertIfNegative val="0"/>
          <c:dPt>
            <c:idx val="0"/>
            <c:invertIfNegative val="0"/>
            <c:bubble3D val="0"/>
            <c:spPr>
              <a:solidFill>
                <a:srgbClr val="007F64"/>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
            <c:invertIfNegative val="0"/>
            <c:bubble3D val="0"/>
            <c:spPr>
              <a:solidFill>
                <a:srgbClr val="34B234"/>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2"/>
            <c:invertIfNegative val="0"/>
            <c:bubble3D val="0"/>
            <c:spPr>
              <a:solidFill>
                <a:srgbClr val="4D4F53"/>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3"/>
            <c:invertIfNegative val="0"/>
            <c:bubble3D val="0"/>
            <c:spPr>
              <a:solidFill>
                <a:srgbClr val="9A9B9C"/>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4"/>
            <c:invertIfNegative val="0"/>
            <c:bubble3D val="0"/>
            <c:spPr>
              <a:solidFill>
                <a:srgbClr val="FF5800"/>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5"/>
            <c:invertIfNegative val="0"/>
            <c:bubble3D val="0"/>
            <c:spPr>
              <a:solidFill>
                <a:srgbClr val="009FDA"/>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6"/>
            <c:invertIfNegative val="0"/>
            <c:bubble3D val="0"/>
            <c:spPr>
              <a:solidFill>
                <a:srgbClr val="6639B7"/>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7"/>
            <c:invertIfNegative val="0"/>
            <c:bubble3D val="0"/>
            <c:spPr>
              <a:solidFill>
                <a:srgbClr val="80BFB2"/>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8"/>
            <c:invertIfNegative val="0"/>
            <c:bubble3D val="0"/>
            <c:spPr>
              <a:solidFill>
                <a:srgbClr val="9AD985"/>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9"/>
            <c:invertIfNegative val="0"/>
            <c:bubble3D val="0"/>
            <c:spPr>
              <a:solidFill>
                <a:srgbClr val="A6A7A9"/>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0"/>
            <c:invertIfNegative val="0"/>
            <c:bubble3D val="0"/>
            <c:spPr>
              <a:solidFill>
                <a:srgbClr val="CDCDCE"/>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1"/>
            <c:invertIfNegative val="0"/>
            <c:bubble3D val="0"/>
            <c:spPr>
              <a:solidFill>
                <a:srgbClr val="FFAC80"/>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2"/>
            <c:invertIfNegative val="0"/>
            <c:bubble3D val="0"/>
            <c:spPr>
              <a:solidFill>
                <a:srgbClr val="80CFED"/>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dPt>
            <c:idx val="13"/>
            <c:invertIfNegative val="0"/>
            <c:bubble3D val="0"/>
            <c:spPr>
              <a:solidFill>
                <a:srgbClr val="B39CDB"/>
              </a:solidFill>
              <a:effectLst>
                <a:outerShdw blurRad="50800" dist="38100" dir="2700000" algn="tl" rotWithShape="0">
                  <a:schemeClr val="tx1">
                    <a:lumMod val="75000"/>
                    <a:alpha val="40000"/>
                  </a:schemeClr>
                </a:outerShdw>
              </a:effectLst>
              <a:scene3d>
                <a:camera prst="orthographicFront"/>
                <a:lightRig rig="threePt" dir="t"/>
              </a:scene3d>
              <a:sp3d>
                <a:bevelT w="0"/>
              </a:sp3d>
            </c:spPr>
          </c:dPt>
          <c:cat>
            <c:strRef>
              <c:f>('Actual YTD'!$D$14,'Actual YTD'!$D$15,'Actual YTD'!$D$16,'Actual YTD'!$D$17,'Actual YTD'!$D$22,'Actual YTD'!$D$24)</c:f>
              <c:strCache>
                <c:ptCount val="6"/>
                <c:pt idx="0">
                  <c:v>Cash and Cash Equivalents</c:v>
                </c:pt>
                <c:pt idx="1">
                  <c:v>Accounts Receivable</c:v>
                </c:pt>
                <c:pt idx="2">
                  <c:v>Inventory</c:v>
                </c:pt>
                <c:pt idx="3">
                  <c:v>Other Current Assets</c:v>
                </c:pt>
                <c:pt idx="4">
                  <c:v>Fixed Assets, net</c:v>
                </c:pt>
                <c:pt idx="5">
                  <c:v>Other Assets</c:v>
                </c:pt>
              </c:strCache>
            </c:strRef>
          </c:cat>
          <c:val>
            <c:numRef>
              <c:f>('Actual YTD'!$E$14,'Actual YTD'!$E$15,'Actual YTD'!$E$16,'Actual YTD'!$E$17,'Actual YTD'!$E$22,'Actual YTD'!$E$24)</c:f>
              <c:numCache>
                <c:formatCode>#,##0.00;\(#,##0.00\)</c:formatCode>
                <c:ptCount val="6"/>
                <c:pt idx="0">
                  <c:v>7912363</c:v>
                </c:pt>
                <c:pt idx="1">
                  <c:v>2969264</c:v>
                </c:pt>
                <c:pt idx="2">
                  <c:v>1928978</c:v>
                </c:pt>
                <c:pt idx="3">
                  <c:v>38655</c:v>
                </c:pt>
                <c:pt idx="4">
                  <c:v>260462</c:v>
                </c:pt>
                <c:pt idx="5">
                  <c:v>0</c:v>
                </c:pt>
              </c:numCache>
            </c:numRef>
          </c:val>
        </c:ser>
        <c:dLbls>
          <c:showLegendKey val="0"/>
          <c:showVal val="0"/>
          <c:showCatName val="0"/>
          <c:showSerName val="0"/>
          <c:showPercent val="0"/>
          <c:showBubbleSize val="0"/>
        </c:dLbls>
        <c:gapWidth val="20"/>
        <c:axId val="380872560"/>
        <c:axId val="380599336"/>
      </c:barChart>
      <c:catAx>
        <c:axId val="380872560"/>
        <c:scaling>
          <c:orientation val="minMax"/>
        </c:scaling>
        <c:delete val="0"/>
        <c:axPos val="b"/>
        <c:numFmt formatCode="General" sourceLinked="1"/>
        <c:majorTickMark val="none"/>
        <c:minorTickMark val="none"/>
        <c:tickLblPos val="low"/>
        <c:txPr>
          <a:bodyPr rot="-1200000"/>
          <a:lstStyle/>
          <a:p>
            <a:pPr>
              <a:defRPr sz="800">
                <a:solidFill>
                  <a:srgbClr val="4D4F53"/>
                </a:solidFill>
                <a:latin typeface="Arial" pitchFamily="34" charset="0"/>
                <a:cs typeface="Arial" pitchFamily="34" charset="0"/>
              </a:defRPr>
            </a:pPr>
            <a:endParaRPr lang="en-US"/>
          </a:p>
        </c:txPr>
        <c:crossAx val="380599336"/>
        <c:crosses val="autoZero"/>
        <c:auto val="1"/>
        <c:lblAlgn val="ctr"/>
        <c:lblOffset val="100"/>
        <c:noMultiLvlLbl val="0"/>
      </c:catAx>
      <c:valAx>
        <c:axId val="380599336"/>
        <c:scaling>
          <c:orientation val="minMax"/>
        </c:scaling>
        <c:delete val="0"/>
        <c:axPos val="l"/>
        <c:numFmt formatCode="#,##0" sourceLinked="0"/>
        <c:majorTickMark val="none"/>
        <c:minorTickMark val="none"/>
        <c:tickLblPos val="nextTo"/>
        <c:txPr>
          <a:bodyPr/>
          <a:lstStyle/>
          <a:p>
            <a:pPr>
              <a:defRPr sz="800">
                <a:solidFill>
                  <a:srgbClr val="4D4F53"/>
                </a:solidFill>
                <a:latin typeface="Arial" pitchFamily="34" charset="0"/>
                <a:cs typeface="Arial" pitchFamily="34" charset="0"/>
              </a:defRPr>
            </a:pPr>
            <a:endParaRPr lang="en-US"/>
          </a:p>
        </c:txPr>
        <c:crossAx val="380872560"/>
        <c:crosses val="autoZero"/>
        <c:crossBetween val="between"/>
        <c:dispUnits>
          <c:builtInUnit val="thousands"/>
          <c:dispUnitsLbl>
            <c:layout>
              <c:manualLayout>
                <c:xMode val="edge"/>
                <c:yMode val="edge"/>
                <c:x val="1.7798337707786528E-2"/>
                <c:y val="0.25147447248193039"/>
              </c:manualLayout>
            </c:layout>
            <c:txPr>
              <a:bodyPr/>
              <a:lstStyle/>
              <a:p>
                <a:pPr>
                  <a:defRPr sz="800">
                    <a:latin typeface="Arial" pitchFamily="34" charset="0"/>
                    <a:cs typeface="Arial" pitchFamily="34" charset="0"/>
                  </a:defRPr>
                </a:pPr>
                <a:endParaRPr lang="en-US"/>
              </a:p>
            </c:txPr>
          </c:dispUnitsLbl>
        </c:dispUnits>
      </c:valAx>
    </c:plotArea>
    <c:plotVisOnly val="1"/>
    <c:dispBlanksAs val="gap"/>
    <c:showDLblsOverMax val="0"/>
  </c:chart>
  <c:spPr>
    <a:ln w="25400" cap="rnd">
      <a:solidFill>
        <a:srgbClr val="E1E1E1"/>
      </a:solidFill>
    </a:ln>
  </c:spPr>
  <c:printSettings>
    <c:headerFooter/>
    <c:pageMargins b="0.75000000000000588" l="0.70000000000000062" r="0.70000000000000062" t="0.75000000000000588" header="0.30000000000000032" footer="0.30000000000000032"/>
    <c:pageSetup paperSize="9" orientation="landscape" horizontalDpi="-3"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142875</xdr:rowOff>
    </xdr:from>
    <xdr:ext cx="964868" cy="33337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42875"/>
          <a:ext cx="964868" cy="333375"/>
        </a:xfrm>
        <a:prstGeom prst="rect">
          <a:avLst/>
        </a:prstGeom>
      </xdr:spPr>
    </xdr:pic>
    <xdr:clientData/>
  </xdr:oneCellAnchor>
  <xdr:twoCellAnchor editAs="oneCell">
    <xdr:from>
      <xdr:col>3</xdr:col>
      <xdr:colOff>11905</xdr:colOff>
      <xdr:row>5</xdr:row>
      <xdr:rowOff>71435</xdr:rowOff>
    </xdr:from>
    <xdr:to>
      <xdr:col>39</xdr:col>
      <xdr:colOff>3467</xdr:colOff>
      <xdr:row>18</xdr:row>
      <xdr:rowOff>97307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4905" y="1233485"/>
          <a:ext cx="10288087" cy="2502372"/>
        </a:xfrm>
        <a:prstGeom prst="rect">
          <a:avLst/>
        </a:prstGeom>
      </xdr:spPr>
    </xdr:pic>
    <xdr:clientData/>
  </xdr:twoCellAnchor>
  <xdr:twoCellAnchor editAs="oneCell">
    <xdr:from>
      <xdr:col>2</xdr:col>
      <xdr:colOff>345280</xdr:colOff>
      <xdr:row>19</xdr:row>
      <xdr:rowOff>142875</xdr:rowOff>
    </xdr:from>
    <xdr:to>
      <xdr:col>4</xdr:col>
      <xdr:colOff>190499</xdr:colOff>
      <xdr:row>22</xdr:row>
      <xdr:rowOff>47625</xdr:rowOff>
    </xdr:to>
    <xdr:pic>
      <xdr:nvPicPr>
        <xdr:cNvPr id="5" name="Picture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344" t="15000" r="16185" b="16810"/>
        <a:stretch/>
      </xdr:blipFill>
      <xdr:spPr>
        <a:xfrm>
          <a:off x="1107280" y="3971925"/>
          <a:ext cx="607219" cy="590550"/>
        </a:xfrm>
        <a:prstGeom prst="rect">
          <a:avLst/>
        </a:prstGeom>
      </xdr:spPr>
    </xdr:pic>
    <xdr:clientData/>
  </xdr:twoCellAnchor>
  <xdr:twoCellAnchor editAs="oneCell">
    <xdr:from>
      <xdr:col>3</xdr:col>
      <xdr:colOff>11905</xdr:colOff>
      <xdr:row>2</xdr:row>
      <xdr:rowOff>11907</xdr:rowOff>
    </xdr:from>
    <xdr:to>
      <xdr:col>15</xdr:col>
      <xdr:colOff>30512</xdr:colOff>
      <xdr:row>3</xdr:row>
      <xdr:rowOff>380947</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54905" y="583407"/>
          <a:ext cx="3542857" cy="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29633</xdr:colOff>
      <xdr:row>31</xdr:row>
      <xdr:rowOff>166573</xdr:rowOff>
    </xdr:from>
    <xdr:to>
      <xdr:col>14</xdr:col>
      <xdr:colOff>457050</xdr:colOff>
      <xdr:row>46</xdr:row>
      <xdr:rowOff>15573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xdr:colOff>
      <xdr:row>11</xdr:row>
      <xdr:rowOff>31750</xdr:rowOff>
    </xdr:from>
    <xdr:to>
      <xdr:col>14</xdr:col>
      <xdr:colOff>444499</xdr:colOff>
      <xdr:row>26</xdr:row>
      <xdr:rowOff>106536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age Business Intelligence Theme">
    <a:dk1>
      <a:srgbClr val="7F7F7F"/>
    </a:dk1>
    <a:lt1>
      <a:sysClr val="window" lastClr="FFFFFF"/>
    </a:lt1>
    <a:dk2>
      <a:srgbClr val="008469"/>
    </a:dk2>
    <a:lt2>
      <a:srgbClr val="F2F2F2"/>
    </a:lt2>
    <a:accent1>
      <a:srgbClr val="008469"/>
    </a:accent1>
    <a:accent2>
      <a:srgbClr val="A8B400"/>
    </a:accent2>
    <a:accent3>
      <a:srgbClr val="CDE6A0"/>
    </a:accent3>
    <a:accent4>
      <a:srgbClr val="69923A"/>
    </a:accent4>
    <a:accent5>
      <a:srgbClr val="4D4F53"/>
    </a:accent5>
    <a:accent6>
      <a:srgbClr val="024731"/>
    </a:accent6>
    <a:hlink>
      <a:srgbClr val="393B3E"/>
    </a:hlink>
    <a:folHlink>
      <a:srgbClr val="008469"/>
    </a:folHlink>
  </a:clrScheme>
  <a:fontScheme name="Sage Business Intelligence">
    <a:majorFont>
      <a:latin typeface="Segoe UI"/>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age Business Intelligence Theme">
    <a:dk1>
      <a:srgbClr val="7F7F7F"/>
    </a:dk1>
    <a:lt1>
      <a:sysClr val="window" lastClr="FFFFFF"/>
    </a:lt1>
    <a:dk2>
      <a:srgbClr val="008469"/>
    </a:dk2>
    <a:lt2>
      <a:srgbClr val="F2F2F2"/>
    </a:lt2>
    <a:accent1>
      <a:srgbClr val="008469"/>
    </a:accent1>
    <a:accent2>
      <a:srgbClr val="A8B400"/>
    </a:accent2>
    <a:accent3>
      <a:srgbClr val="CDE6A0"/>
    </a:accent3>
    <a:accent4>
      <a:srgbClr val="69923A"/>
    </a:accent4>
    <a:accent5>
      <a:srgbClr val="4D4F53"/>
    </a:accent5>
    <a:accent6>
      <a:srgbClr val="024731"/>
    </a:accent6>
    <a:hlink>
      <a:srgbClr val="393B3E"/>
    </a:hlink>
    <a:folHlink>
      <a:srgbClr val="008469"/>
    </a:folHlink>
  </a:clrScheme>
  <a:fontScheme name="Sage Business Intelligence">
    <a:majorFont>
      <a:latin typeface="Segoe UI"/>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FDFC5C9-75C6-4E0D-B988-FFFAB5930B77}">
  <we:reference id="wa104379397" version="1.0.0.2" store="en-US"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twitter.com/sagealchemex" TargetMode="External"/><Relationship Id="rId3" Type="http://schemas.openxmlformats.org/officeDocument/2006/relationships/hyperlink" Target="http://sageintelligence.com/blog" TargetMode="External"/><Relationship Id="rId7" Type="http://schemas.openxmlformats.org/officeDocument/2006/relationships/hyperlink" Target="http://www.youtube.com/user/sageintelligence" TargetMode="External"/><Relationship Id="rId2" Type="http://schemas.openxmlformats.org/officeDocument/2006/relationships/hyperlink" Target="http://kb.sageintelligence.com/index.php?title=Main_Page" TargetMode="External"/><Relationship Id="rId1" Type="http://schemas.openxmlformats.org/officeDocument/2006/relationships/hyperlink" Target="https://www.sageintelligence.com/support/" TargetMode="External"/><Relationship Id="rId6" Type="http://schemas.openxmlformats.org/officeDocument/2006/relationships/hyperlink" Target="http://www.linkedin.com/company/sage-alchemex" TargetMode="External"/><Relationship Id="rId5" Type="http://schemas.openxmlformats.org/officeDocument/2006/relationships/hyperlink" Target="https://www.facebook.com/SageIntelligence" TargetMode="External"/><Relationship Id="rId10" Type="http://schemas.openxmlformats.org/officeDocument/2006/relationships/drawing" Target="../drawings/drawing1.xml"/><Relationship Id="rId4" Type="http://schemas.openxmlformats.org/officeDocument/2006/relationships/hyperlink" Target="http://www.sageintelligencecommunity.com/"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heetViews>
  <sheetFormatPr defaultRowHeight="14.25" x14ac:dyDescent="0.25"/>
  <cols>
    <col min="1" max="1" width="10.5703125" customWidth="1"/>
  </cols>
  <sheetData>
    <row r="1" spans="1:1" x14ac:dyDescent="0.25">
      <c r="A1" s="1" t="s">
        <v>0</v>
      </c>
    </row>
    <row r="2" spans="1:1" ht="15" thickBot="1" x14ac:dyDescent="0.3">
      <c r="A2" s="2">
        <v>3</v>
      </c>
    </row>
    <row r="3" spans="1:1" x14ac:dyDescent="0.25">
      <c r="A3" s="1" t="s">
        <v>1</v>
      </c>
    </row>
    <row r="4" spans="1:1" ht="15" thickBot="1" x14ac:dyDescent="0.3">
      <c r="A4" s="2" t="str">
        <f ca="1">CHOOSE(1,MID(CellContents,10,1), 3)</f>
        <v>,</v>
      </c>
    </row>
    <row r="5" spans="1:1" x14ac:dyDescent="0.25">
      <c r="A5" s="1" t="s">
        <v>2</v>
      </c>
    </row>
    <row r="6" spans="1:1" ht="15" thickBot="1" x14ac:dyDescent="0.3">
      <c r="A6" s="3" t="str">
        <f ca="1">CHOOSE(1,MID(CellContents,36,1), 3.5)</f>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4.25" x14ac:dyDescent="0.25"/>
  <cols>
    <col min="1" max="1" width="22.42578125" customWidth="1"/>
    <col min="2" max="2" width="11" customWidth="1"/>
    <col min="4" max="4" width="15.42578125" customWidth="1"/>
    <col min="5" max="5" width="17.85546875" bestFit="1" customWidth="1"/>
    <col min="7" max="7" width="10" bestFit="1" customWidth="1"/>
  </cols>
  <sheetData>
    <row r="1" spans="1:7" x14ac:dyDescent="0.25">
      <c r="A1" t="s">
        <v>3</v>
      </c>
      <c r="B1" t="s">
        <v>4</v>
      </c>
      <c r="C1" t="s">
        <v>5</v>
      </c>
      <c r="D1" t="s">
        <v>6</v>
      </c>
      <c r="E1" t="s">
        <v>14</v>
      </c>
      <c r="F1" t="s">
        <v>15</v>
      </c>
      <c r="G1" t="s">
        <v>16</v>
      </c>
    </row>
    <row r="2" spans="1:7" x14ac:dyDescent="0.25">
      <c r="A2" t="s">
        <v>81</v>
      </c>
      <c r="B2">
        <v>2010</v>
      </c>
      <c r="C2">
        <v>1</v>
      </c>
      <c r="D2" t="s">
        <v>35</v>
      </c>
    </row>
    <row r="3" spans="1:7" x14ac:dyDescent="0.25">
      <c r="B3">
        <v>2011</v>
      </c>
      <c r="C3">
        <v>2</v>
      </c>
      <c r="D3" s="11" t="s">
        <v>36</v>
      </c>
    </row>
    <row r="4" spans="1:7" x14ac:dyDescent="0.25">
      <c r="B4">
        <v>2012</v>
      </c>
      <c r="C4">
        <v>3</v>
      </c>
      <c r="D4" s="11" t="s">
        <v>37</v>
      </c>
    </row>
    <row r="5" spans="1:7" x14ac:dyDescent="0.25">
      <c r="B5">
        <v>2013</v>
      </c>
      <c r="C5">
        <v>4</v>
      </c>
      <c r="D5" s="11" t="s">
        <v>76</v>
      </c>
    </row>
    <row r="6" spans="1:7" x14ac:dyDescent="0.25">
      <c r="B6">
        <v>2014</v>
      </c>
      <c r="C6">
        <v>5</v>
      </c>
      <c r="D6" s="11" t="s">
        <v>77</v>
      </c>
    </row>
    <row r="7" spans="1:7" x14ac:dyDescent="0.25">
      <c r="B7">
        <v>2015</v>
      </c>
      <c r="C7">
        <v>6</v>
      </c>
      <c r="D7" s="11" t="s">
        <v>78</v>
      </c>
    </row>
    <row r="8" spans="1:7" x14ac:dyDescent="0.25">
      <c r="B8">
        <v>2016</v>
      </c>
      <c r="C8">
        <v>7</v>
      </c>
      <c r="D8" s="11" t="s">
        <v>79</v>
      </c>
    </row>
    <row r="9" spans="1:7" x14ac:dyDescent="0.25">
      <c r="B9">
        <v>2017</v>
      </c>
      <c r="C9">
        <v>8</v>
      </c>
      <c r="D9" s="11" t="s">
        <v>80</v>
      </c>
    </row>
    <row r="10" spans="1:7" x14ac:dyDescent="0.25">
      <c r="B10">
        <v>2018</v>
      </c>
      <c r="C10">
        <v>9</v>
      </c>
    </row>
    <row r="11" spans="1:7" x14ac:dyDescent="0.25">
      <c r="B11">
        <v>2019</v>
      </c>
      <c r="C11">
        <v>10</v>
      </c>
    </row>
    <row r="12" spans="1:7" x14ac:dyDescent="0.25">
      <c r="B12">
        <v>2020</v>
      </c>
      <c r="C12">
        <v>11</v>
      </c>
    </row>
    <row r="13" spans="1:7" x14ac:dyDescent="0.25">
      <c r="C13">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P32"/>
  <sheetViews>
    <sheetView showGridLines="0" tabSelected="1" zoomScale="80" zoomScaleNormal="80" workbookViewId="0"/>
  </sheetViews>
  <sheetFormatPr defaultColWidth="5.7109375" defaultRowHeight="15" x14ac:dyDescent="0.25"/>
  <cols>
    <col min="1" max="3" width="5.7109375" style="84"/>
    <col min="4" max="4" width="5.7109375" style="96"/>
    <col min="5" max="5" width="5.7109375" style="84"/>
    <col min="6" max="6" width="1.7109375" style="84" customWidth="1"/>
    <col min="7" max="8" width="5.7109375" style="84"/>
    <col min="9" max="9" width="1.7109375" style="84" customWidth="1"/>
    <col min="10" max="11" width="5.7109375" style="84"/>
    <col min="12" max="12" width="1.7109375" style="84" customWidth="1"/>
    <col min="13" max="14" width="5.7109375" style="84"/>
    <col min="15" max="15" width="1.7109375" style="84" customWidth="1"/>
    <col min="16" max="17" width="5.7109375" style="84"/>
    <col min="18" max="18" width="1.7109375" style="84" customWidth="1"/>
    <col min="19" max="20" width="5.7109375" style="84"/>
    <col min="21" max="21" width="1.7109375" style="84" customWidth="1"/>
    <col min="22" max="23" width="5.7109375" style="84"/>
    <col min="24" max="24" width="1.7109375" style="84" customWidth="1"/>
    <col min="25" max="26" width="5.7109375" style="84"/>
    <col min="27" max="27" width="1.7109375" style="84" customWidth="1"/>
    <col min="28" max="28" width="6.42578125" style="84" customWidth="1"/>
    <col min="29" max="29" width="5.7109375" style="84"/>
    <col min="30" max="31" width="1.7109375" style="84" customWidth="1"/>
    <col min="32" max="32" width="5.7109375" style="84"/>
    <col min="33" max="33" width="1.7109375" style="84" customWidth="1"/>
    <col min="34" max="34" width="5.7109375" style="84"/>
    <col min="35" max="35" width="1.7109375" style="84" customWidth="1"/>
    <col min="36" max="37" width="5.7109375" style="84"/>
    <col min="38" max="38" width="1.7109375" style="84" customWidth="1"/>
    <col min="39" max="39" width="5.7109375" style="84"/>
    <col min="40" max="40" width="5.7109375" style="96"/>
    <col min="41" max="42" width="1.7109375" style="84" customWidth="1"/>
    <col min="43" max="16384" width="5.7109375" style="84"/>
  </cols>
  <sheetData>
    <row r="1" spans="3:42" ht="15" customHeight="1" x14ac:dyDescent="0.25">
      <c r="C1" s="82"/>
      <c r="D1" s="83"/>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3"/>
      <c r="AO1" s="82"/>
      <c r="AP1" s="82"/>
    </row>
    <row r="2" spans="3:42" ht="30" customHeight="1" x14ac:dyDescent="0.25">
      <c r="C2" s="82"/>
      <c r="D2" s="83"/>
      <c r="E2" s="82"/>
      <c r="F2" s="82"/>
      <c r="G2" s="82"/>
      <c r="H2" s="82"/>
      <c r="I2" s="82"/>
      <c r="J2" s="82"/>
      <c r="K2" s="82"/>
      <c r="L2" s="82"/>
      <c r="M2" s="82"/>
      <c r="N2" s="82"/>
      <c r="O2" s="82"/>
      <c r="P2" s="82"/>
      <c r="Q2" s="82"/>
      <c r="R2" s="82"/>
      <c r="S2" s="82"/>
      <c r="T2" s="82"/>
      <c r="U2" s="82"/>
      <c r="V2" s="82"/>
      <c r="W2" s="102" t="s">
        <v>58</v>
      </c>
      <c r="X2" s="102"/>
      <c r="Y2" s="102"/>
      <c r="Z2" s="102"/>
      <c r="AA2" s="102"/>
      <c r="AB2" s="102"/>
      <c r="AC2" s="102"/>
      <c r="AD2" s="85" t="s">
        <v>59</v>
      </c>
      <c r="AE2" s="102" t="s">
        <v>60</v>
      </c>
      <c r="AF2" s="102"/>
      <c r="AG2" s="85" t="s">
        <v>59</v>
      </c>
      <c r="AH2" s="102" t="s">
        <v>61</v>
      </c>
      <c r="AI2" s="102"/>
      <c r="AJ2" s="102"/>
      <c r="AK2" s="102"/>
      <c r="AL2" s="86" t="s">
        <v>59</v>
      </c>
      <c r="AM2" s="103" t="s">
        <v>62</v>
      </c>
      <c r="AN2" s="103"/>
      <c r="AO2" s="87"/>
      <c r="AP2" s="82"/>
    </row>
    <row r="3" spans="3:42" ht="5.0999999999999996" customHeight="1" x14ac:dyDescent="0.25">
      <c r="C3" s="88"/>
      <c r="D3" s="89"/>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9"/>
      <c r="AO3" s="88"/>
      <c r="AP3" s="88"/>
    </row>
    <row r="4" spans="3:42" ht="38.1" customHeight="1" x14ac:dyDescent="0.25">
      <c r="C4" s="88"/>
      <c r="D4" s="89"/>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9"/>
      <c r="AO4" s="88"/>
      <c r="AP4" s="88"/>
    </row>
    <row r="5" spans="3:42" ht="5.0999999999999996" customHeight="1" x14ac:dyDescent="0.25">
      <c r="C5" s="88"/>
      <c r="D5" s="89"/>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9"/>
      <c r="AO5" s="88"/>
      <c r="AP5" s="88"/>
    </row>
    <row r="6" spans="3:42" x14ac:dyDescent="0.25">
      <c r="C6" s="88"/>
      <c r="D6" s="89"/>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9"/>
      <c r="AO6" s="88"/>
      <c r="AP6" s="88"/>
    </row>
    <row r="7" spans="3:42" x14ac:dyDescent="0.25">
      <c r="C7" s="88"/>
      <c r="D7" s="89"/>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9"/>
      <c r="AO7" s="88"/>
      <c r="AP7" s="88"/>
    </row>
    <row r="8" spans="3:42" x14ac:dyDescent="0.25">
      <c r="C8" s="88"/>
      <c r="D8" s="89"/>
      <c r="E8" s="88"/>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9"/>
      <c r="AO8" s="88"/>
      <c r="AP8" s="88"/>
    </row>
    <row r="9" spans="3:42" x14ac:dyDescent="0.25">
      <c r="C9" s="88"/>
      <c r="D9" s="89"/>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9"/>
      <c r="AO9" s="88"/>
      <c r="AP9" s="88"/>
    </row>
    <row r="10" spans="3:42" x14ac:dyDescent="0.25">
      <c r="C10" s="88"/>
      <c r="D10" s="89"/>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9"/>
      <c r="AO10" s="88"/>
      <c r="AP10" s="88"/>
    </row>
    <row r="11" spans="3:42" x14ac:dyDescent="0.25">
      <c r="C11" s="88"/>
      <c r="D11" s="89"/>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9"/>
      <c r="AO11" s="88"/>
      <c r="AP11" s="88"/>
    </row>
    <row r="12" spans="3:42" x14ac:dyDescent="0.25">
      <c r="C12" s="88"/>
      <c r="D12" s="89"/>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9"/>
      <c r="AO12" s="88"/>
      <c r="AP12" s="88"/>
    </row>
    <row r="13" spans="3:42" x14ac:dyDescent="0.25">
      <c r="C13" s="88"/>
      <c r="D13" s="89"/>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9"/>
      <c r="AO13" s="88"/>
      <c r="AP13" s="88"/>
    </row>
    <row r="14" spans="3:42" x14ac:dyDescent="0.25">
      <c r="C14" s="88"/>
      <c r="D14" s="89"/>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9"/>
      <c r="AO14" s="88"/>
      <c r="AP14" s="88"/>
    </row>
    <row r="15" spans="3:42" x14ac:dyDescent="0.25">
      <c r="C15" s="88"/>
      <c r="D15" s="89"/>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9"/>
      <c r="AO15" s="88"/>
      <c r="AP15" s="88"/>
    </row>
    <row r="16" spans="3:42" x14ac:dyDescent="0.25">
      <c r="C16" s="88"/>
      <c r="D16" s="89"/>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9"/>
      <c r="AO16" s="88"/>
      <c r="AP16" s="88"/>
    </row>
    <row r="17" spans="3:42" x14ac:dyDescent="0.25">
      <c r="C17" s="88"/>
      <c r="D17" s="89"/>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9"/>
      <c r="AO17" s="88"/>
      <c r="AP17" s="88"/>
    </row>
    <row r="18" spans="3:42" x14ac:dyDescent="0.25">
      <c r="C18" s="88"/>
      <c r="D18" s="89"/>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9"/>
      <c r="AO18" s="88"/>
      <c r="AP18" s="88"/>
    </row>
    <row r="19" spans="3:42" x14ac:dyDescent="0.25">
      <c r="C19" s="88"/>
      <c r="D19" s="89"/>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9"/>
      <c r="AO19" s="88"/>
      <c r="AP19" s="88"/>
    </row>
    <row r="20" spans="3:42" x14ac:dyDescent="0.25">
      <c r="C20" s="88"/>
      <c r="D20" s="89"/>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9"/>
      <c r="AO20" s="88"/>
      <c r="AP20" s="88"/>
    </row>
    <row r="21" spans="3:42" ht="9.6" customHeight="1" x14ac:dyDescent="0.25">
      <c r="C21" s="88"/>
      <c r="D21" s="89"/>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9"/>
      <c r="AO21" s="88"/>
      <c r="AP21" s="88"/>
    </row>
    <row r="22" spans="3:42" ht="30" customHeight="1" x14ac:dyDescent="0.7">
      <c r="C22" s="88"/>
      <c r="D22" s="89"/>
      <c r="E22" s="90" t="s">
        <v>63</v>
      </c>
      <c r="F22" s="89"/>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9"/>
      <c r="AO22" s="88"/>
      <c r="AP22" s="88"/>
    </row>
    <row r="23" spans="3:42" ht="4.5" customHeight="1" x14ac:dyDescent="0.25">
      <c r="C23" s="88"/>
      <c r="D23" s="89"/>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9"/>
      <c r="AO23" s="88"/>
      <c r="AP23" s="88"/>
    </row>
    <row r="24" spans="3:42" ht="19.5" customHeight="1" x14ac:dyDescent="0.3">
      <c r="C24" s="88"/>
      <c r="D24" s="91"/>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9"/>
      <c r="AO24" s="88"/>
      <c r="AP24" s="88"/>
    </row>
    <row r="25" spans="3:42" ht="4.5" customHeight="1" x14ac:dyDescent="0.25">
      <c r="C25" s="88"/>
      <c r="D25" s="89"/>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9"/>
      <c r="AO25" s="88"/>
      <c r="AP25" s="88"/>
    </row>
    <row r="26" spans="3:42" ht="39.950000000000003" customHeight="1" x14ac:dyDescent="0.3">
      <c r="C26" s="88"/>
      <c r="D26" s="104" t="s">
        <v>32</v>
      </c>
      <c r="E26" s="104"/>
      <c r="F26" s="104"/>
      <c r="G26" s="104"/>
      <c r="H26" s="104"/>
      <c r="I26" s="88"/>
      <c r="J26" s="105" t="s">
        <v>33</v>
      </c>
      <c r="K26" s="105"/>
      <c r="L26" s="105"/>
      <c r="M26" s="105"/>
      <c r="N26" s="105"/>
      <c r="O26" s="92"/>
      <c r="P26" s="105" t="s">
        <v>34</v>
      </c>
      <c r="Q26" s="105"/>
      <c r="R26" s="105"/>
      <c r="S26" s="105"/>
      <c r="T26" s="105"/>
      <c r="U26" s="92"/>
      <c r="V26" s="105" t="s">
        <v>73</v>
      </c>
      <c r="W26" s="105"/>
      <c r="X26" s="105"/>
      <c r="Y26" s="105"/>
      <c r="Z26" s="105"/>
      <c r="AA26" s="92"/>
      <c r="AB26" s="105" t="s">
        <v>7</v>
      </c>
      <c r="AC26" s="105"/>
      <c r="AD26" s="105"/>
      <c r="AE26" s="105"/>
      <c r="AF26" s="105"/>
      <c r="AG26"/>
      <c r="AH26"/>
      <c r="AI26"/>
      <c r="AJ26"/>
      <c r="AK26"/>
      <c r="AL26"/>
      <c r="AM26"/>
      <c r="AN26" s="91"/>
      <c r="AO26" s="92"/>
      <c r="AP26" s="88"/>
    </row>
    <row r="27" spans="3:42" ht="4.5" customHeight="1" x14ac:dyDescent="0.3">
      <c r="C27" s="88"/>
      <c r="D27" s="89"/>
      <c r="E27" s="88"/>
      <c r="F27" s="88"/>
      <c r="G27" s="88"/>
      <c r="H27" s="88"/>
      <c r="I27" s="88"/>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1"/>
      <c r="AO27" s="92"/>
      <c r="AP27" s="88"/>
    </row>
    <row r="28" spans="3:42" ht="24.95" customHeight="1" x14ac:dyDescent="0.25">
      <c r="C28" s="88"/>
      <c r="D28" s="89"/>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9"/>
      <c r="AO28" s="88"/>
      <c r="AP28" s="88"/>
    </row>
    <row r="29" spans="3:42" ht="12.75" customHeight="1" x14ac:dyDescent="0.25">
      <c r="C29" s="88"/>
      <c r="D29" s="89"/>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9"/>
      <c r="AO29" s="88"/>
      <c r="AP29" s="88"/>
    </row>
    <row r="30" spans="3:42" ht="16.5" x14ac:dyDescent="0.3">
      <c r="C30" s="88"/>
      <c r="D30" s="93" t="s">
        <v>64</v>
      </c>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9"/>
      <c r="AO30" s="88"/>
      <c r="AP30" s="88"/>
    </row>
    <row r="31" spans="3:42" ht="20.100000000000001" customHeight="1" x14ac:dyDescent="0.3">
      <c r="C31" s="88"/>
      <c r="D31" s="99" t="s">
        <v>54</v>
      </c>
      <c r="E31" s="99"/>
      <c r="F31" s="94" t="s">
        <v>59</v>
      </c>
      <c r="G31" s="100" t="s">
        <v>56</v>
      </c>
      <c r="H31" s="100"/>
      <c r="I31" s="94" t="s">
        <v>59</v>
      </c>
      <c r="J31" s="100" t="s">
        <v>55</v>
      </c>
      <c r="K31" s="100"/>
      <c r="L31" s="94" t="s">
        <v>59</v>
      </c>
      <c r="M31" s="101" t="s">
        <v>53</v>
      </c>
      <c r="N31" s="101"/>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89"/>
      <c r="AO31" s="88"/>
      <c r="AP31" s="88"/>
    </row>
    <row r="32" spans="3:42" x14ac:dyDescent="0.25">
      <c r="C32" s="88"/>
      <c r="D32" s="89"/>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9"/>
      <c r="AO32" s="88"/>
      <c r="AP32" s="88"/>
    </row>
  </sheetData>
  <mergeCells count="13">
    <mergeCell ref="AE2:AF2"/>
    <mergeCell ref="AH2:AK2"/>
    <mergeCell ref="AM2:AN2"/>
    <mergeCell ref="D26:H26"/>
    <mergeCell ref="J26:N26"/>
    <mergeCell ref="P26:T26"/>
    <mergeCell ref="V26:Z26"/>
    <mergeCell ref="AB26:AF26"/>
    <mergeCell ref="D31:E31"/>
    <mergeCell ref="G31:H31"/>
    <mergeCell ref="J31:K31"/>
    <mergeCell ref="M31:N31"/>
    <mergeCell ref="W2:AC2"/>
  </mergeCells>
  <hyperlinks>
    <hyperlink ref="AM2:AN2" r:id="rId1" tooltip="Click here to navigate to Support" display="Support"/>
    <hyperlink ref="AH2:AK2" r:id="rId2" tooltip="Click here to navigate to the Knowledgebase" display="Knowledgebase"/>
    <hyperlink ref="AE2:AF2" r:id="rId3" tooltip="Click here to navigate to the Blog" display="Blog"/>
    <hyperlink ref="W2:AC2" r:id="rId4" tooltip="Click here to navigate to the Sage Intelligence Community" display="Sage Intelligence Community"/>
    <hyperlink ref="M31:N31" r:id="rId5" tooltip="Click here to navigate to our Facebook page" display="Facebook"/>
    <hyperlink ref="J31:K31" r:id="rId6" tooltip="Click here to navigate to our LinkedIn page" display="LinkedIn"/>
    <hyperlink ref="G31:H31" r:id="rId7" tooltip="Click here to navigate to YouTube page" display="YouTube"/>
    <hyperlink ref="D31:E31" r:id="rId8" tooltip="Click here to navigate to our Twitter page" display="Twitter"/>
    <hyperlink ref="D26:H26" location="'Actual YTD'!A1" tooltip="Actual YTD" display="Actual YTD"/>
    <hyperlink ref="J26:N26" location="'Actual vs Prior'!A1" tooltip="Actual vs Prior" display="Actual vs Prior"/>
    <hyperlink ref="P26:T26" location="'Actual vs Budget'!A1" tooltip="Actual vs Budget" display="Actual vs Budget"/>
    <hyperlink ref="V26:Z26" location="'Actual vs Prior Template'!A1" tooltip="Actual vs Prior Template" display="Actual vs Prior Template"/>
    <hyperlink ref="AB26:AF26" location="'Missing Accounts'!A1" tooltip="Missing Accounts" display="Missing Accounts"/>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4"/>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43.5703125" style="12" bestFit="1" customWidth="1"/>
    <col min="5" max="5" width="14.42578125" style="12" customWidth="1"/>
    <col min="6" max="6" width="9.140625" style="12"/>
    <col min="7" max="7" width="4.140625" style="13" customWidth="1"/>
    <col min="8" max="12" width="9.140625" style="12"/>
    <col min="13" max="13" width="9.140625" style="13"/>
    <col min="14" max="14" width="2" style="12" customWidth="1"/>
    <col min="15" max="16384" width="9.140625" style="12"/>
  </cols>
  <sheetData>
    <row r="1" spans="2:13" ht="15" customHeight="1" x14ac:dyDescent="0.3"/>
    <row r="2" spans="2:13" ht="33.75" customHeight="1" x14ac:dyDescent="0.7">
      <c r="B2" s="81" t="s">
        <v>52</v>
      </c>
      <c r="C2" s="14" t="str">
        <f>CONCATENATE(D4," - Balance Sheet")</f>
        <v>SAMLTD - Balance Sheet</v>
      </c>
      <c r="D2" s="15"/>
    </row>
    <row r="3" spans="2:13" ht="12" customHeight="1" x14ac:dyDescent="0.7">
      <c r="C3" s="15"/>
      <c r="D3" s="15"/>
      <c r="H3" s="107" t="s">
        <v>74</v>
      </c>
      <c r="I3" s="107"/>
      <c r="J3" s="107"/>
      <c r="K3" s="107"/>
    </row>
    <row r="4" spans="2:13" x14ac:dyDescent="0.3">
      <c r="C4" s="16" t="s">
        <v>18</v>
      </c>
      <c r="D4" s="31" t="str">
        <f>INDEX(Companies,1)</f>
        <v>SAMLTD</v>
      </c>
      <c r="H4" s="107"/>
      <c r="I4" s="107"/>
      <c r="J4" s="107"/>
      <c r="K4" s="107"/>
    </row>
    <row r="5" spans="2:13" x14ac:dyDescent="0.3">
      <c r="C5" s="16" t="s">
        <v>24</v>
      </c>
      <c r="D5" s="31">
        <f>CHOOSE(B, "GLCurrentYear(" &amp; $D$4 &amp; ")", CellContents, 2020)</f>
        <v>2020</v>
      </c>
      <c r="H5" s="107"/>
      <c r="I5" s="107"/>
      <c r="J5" s="107"/>
      <c r="K5" s="107"/>
    </row>
    <row r="6" spans="2:13" x14ac:dyDescent="0.3">
      <c r="C6" s="16" t="s">
        <v>17</v>
      </c>
      <c r="D6" s="58">
        <f>CHOOSE(B, "GLCurrentPeriod(" &amp; $D$4 &amp; ")", CellContents, 1)</f>
        <v>1</v>
      </c>
      <c r="H6" s="107"/>
      <c r="I6" s="107"/>
      <c r="J6" s="107"/>
      <c r="K6" s="107"/>
    </row>
    <row r="7" spans="2:13" x14ac:dyDescent="0.3">
      <c r="C7" s="16" t="s">
        <v>19</v>
      </c>
      <c r="D7" s="17" t="str">
        <f>CHOOSE(B, "GLHomeCurrency(" &amp; $D$4 &amp; ")", CellContents, "CAD")</f>
        <v>CAD</v>
      </c>
      <c r="H7" s="107"/>
      <c r="I7" s="107"/>
      <c r="J7" s="107"/>
      <c r="K7" s="107"/>
    </row>
    <row r="8" spans="2:13" x14ac:dyDescent="0.3">
      <c r="C8" s="16" t="s">
        <v>20</v>
      </c>
      <c r="D8" s="17" t="s">
        <v>21</v>
      </c>
    </row>
    <row r="9" spans="2:13" ht="12" customHeight="1" x14ac:dyDescent="0.3"/>
    <row r="10" spans="2:13" ht="33.75" customHeight="1" x14ac:dyDescent="0.3">
      <c r="C10" s="32" t="s">
        <v>25</v>
      </c>
      <c r="D10" s="32" t="s">
        <v>26</v>
      </c>
      <c r="E10" s="106" t="s">
        <v>27</v>
      </c>
      <c r="F10" s="106"/>
    </row>
    <row r="11" spans="2:13" ht="16.5" customHeight="1" x14ac:dyDescent="0.3"/>
    <row r="12" spans="2:13" ht="16.5" customHeight="1" x14ac:dyDescent="0.3">
      <c r="D12" s="33" t="s">
        <v>38</v>
      </c>
    </row>
    <row r="13" spans="2:13" ht="6.95" customHeight="1" x14ac:dyDescent="0.3"/>
    <row r="14" spans="2:13" s="21" customFormat="1" ht="16.5" customHeight="1" x14ac:dyDescent="0.3">
      <c r="C14" s="34">
        <v>10</v>
      </c>
      <c r="D14" s="35" t="str">
        <f>MID("Cash and Cash Equivalents", 1, 255)</f>
        <v>Cash and Cash Equivalents</v>
      </c>
      <c r="E14" s="36">
        <f>CHOOSE(B, "GLClosingBalance(" &amp; "Account" &amp; "," &amp; $D$4 &amp; "," &amp; $D$5 &amp; "," &amp; $D$6 &amp; "," &amp; "AccountGroupCode" &amp; "," &amp; $C14 &amp; "," &amp; "AccountStructureCode" &amp; "," &amp; "AccountType" &amp; "," &amp; "BalanceType" &amp; "," &amp; $D$7 &amp; "," &amp; $D$8 &amp; ")", CellContents, 7912363,97)</f>
        <v>7912363</v>
      </c>
      <c r="F14" s="18">
        <f>IFERROR(E14/$E$27,0)</f>
        <v>0.60354925909184043</v>
      </c>
      <c r="G14" s="37"/>
      <c r="M14" s="37"/>
    </row>
    <row r="15" spans="2:13" s="21" customFormat="1" ht="16.5" customHeight="1" x14ac:dyDescent="0.3">
      <c r="C15" s="34">
        <v>20</v>
      </c>
      <c r="D15" s="35" t="str">
        <f>MID("Accounts Receivable", 1, 255)</f>
        <v>Accounts Receivable</v>
      </c>
      <c r="E15" s="36">
        <f>CHOOSE(B, "GLClosingBalance(" &amp; "Account" &amp; "," &amp; $D$4 &amp; "," &amp; $D$5 &amp; "," &amp; $D$6 &amp; "," &amp; "AccountGroupCode" &amp; "," &amp; $C15 &amp; "," &amp; "AccountStructureCode" &amp; "," &amp; "AccountType" &amp; "," &amp; "BalanceType" &amp; "," &amp; $D$7 &amp; "," &amp; $D$8 &amp; ")", CellContents, 2969264,75)</f>
        <v>2969264</v>
      </c>
      <c r="F15" s="18">
        <f>IFERROR(E15/$E$27,0)</f>
        <v>0.22649328490718568</v>
      </c>
      <c r="G15" s="37"/>
      <c r="M15" s="37"/>
    </row>
    <row r="16" spans="2:13" s="21" customFormat="1" ht="16.5" customHeight="1" x14ac:dyDescent="0.3">
      <c r="C16" s="34">
        <v>30</v>
      </c>
      <c r="D16" s="35" t="str">
        <f>MID("Inventory", 1, 255)</f>
        <v>Inventory</v>
      </c>
      <c r="E16" s="36">
        <f>CHOOSE(B, "GLClosingBalance(" &amp; "Account" &amp; "," &amp; $D$4 &amp; "," &amp; $D$5 &amp; "," &amp; $D$6 &amp; "," &amp; "AccountGroupCode" &amp; "," &amp; $C16 &amp; "," &amp; "AccountStructureCode" &amp; "," &amp; "AccountType" &amp; "," &amp; "BalanceType" &amp; "," &amp; $D$7 &amp; "," &amp; $D$8 &amp; ")", CellContents, 1928978,6)</f>
        <v>1928978</v>
      </c>
      <c r="F16" s="18">
        <f>IFERROR(E16/$E$27,0)</f>
        <v>0.14714103014541421</v>
      </c>
      <c r="G16" s="37"/>
      <c r="M16" s="37"/>
    </row>
    <row r="17" spans="3:13" s="21" customFormat="1" ht="16.5" customHeight="1" x14ac:dyDescent="0.3">
      <c r="C17" s="34">
        <v>40</v>
      </c>
      <c r="D17" s="35" t="str">
        <f>MID("Other Current Assets", 1, 255)</f>
        <v>Other Current Assets</v>
      </c>
      <c r="E17" s="36">
        <f>CHOOSE(B, "GLClosingBalance(" &amp; "Account" &amp; "," &amp; $D$4 &amp; "," &amp; $D$5 &amp; "," &amp; $D$6 &amp; "," &amp; "AccountGroupCode" &amp; "," &amp; $C17 &amp; "," &amp; "AccountStructureCode" &amp; "," &amp; "AccountType" &amp; "," &amp; "BalanceType" &amp; "," &amp; $D$7 &amp; "," &amp; $D$8 &amp; ")", CellContents, 38655,49)</f>
        <v>38655</v>
      </c>
      <c r="F17" s="18">
        <f>IFERROR(E17/$E$27,0)</f>
        <v>2.9485751108986142E-3</v>
      </c>
      <c r="G17" s="37"/>
      <c r="M17" s="37"/>
    </row>
    <row r="18" spans="3:13" s="21" customFormat="1" ht="16.5" customHeight="1" x14ac:dyDescent="0.3">
      <c r="C18" s="34"/>
      <c r="D18" s="38" t="s">
        <v>39</v>
      </c>
      <c r="E18" s="39">
        <f>SUM(E14:E17)</f>
        <v>12849260</v>
      </c>
      <c r="F18" s="19">
        <f>IFERROR(E18/$E$27,0)</f>
        <v>0.98013214925533887</v>
      </c>
      <c r="G18" s="37"/>
      <c r="M18" s="37"/>
    </row>
    <row r="19" spans="3:13" s="21" customFormat="1" ht="16.5" customHeight="1" x14ac:dyDescent="0.3">
      <c r="C19" s="34"/>
      <c r="D19" s="35"/>
      <c r="E19" s="36"/>
      <c r="F19" s="26"/>
      <c r="G19" s="37"/>
      <c r="M19" s="37"/>
    </row>
    <row r="20" spans="3:13" s="21" customFormat="1" ht="16.5" customHeight="1" x14ac:dyDescent="0.3">
      <c r="C20" s="77">
        <v>50</v>
      </c>
      <c r="D20" s="35" t="str">
        <f>MID("Fixed Assets", 1, 255)</f>
        <v>Fixed Assets</v>
      </c>
      <c r="E20" s="36">
        <f>CHOOSE(B, "GLClosingBalance(" &amp; "Account" &amp; "," &amp; $D$4 &amp; "," &amp; $D$5 &amp; "," &amp; $D$6 &amp; "," &amp; "AccountGroupCode" &amp; "," &amp; $C20 &amp; "," &amp; "AccountStructureCode" &amp; "," &amp; "AccountType" &amp; "," &amp; "BalanceType" &amp; "," &amp; $D$7 &amp; "," &amp; $D$8 &amp; ")", CellContents, 1062888,79)</f>
        <v>1062888</v>
      </c>
      <c r="F20" s="18">
        <f>IFERROR(E20/$E$27,0)</f>
        <v>8.1076318780825413E-2</v>
      </c>
      <c r="G20" s="37"/>
      <c r="M20" s="37"/>
    </row>
    <row r="21" spans="3:13" s="21" customFormat="1" ht="16.5" customHeight="1" x14ac:dyDescent="0.3">
      <c r="C21" s="34">
        <v>60</v>
      </c>
      <c r="D21" s="35" t="str">
        <f>MID("Accumulated Depreciation", 1, 255)</f>
        <v>Accumulated Depreciation</v>
      </c>
      <c r="E21" s="36">
        <f>CHOOSE(B, "GLClosingBalance(" &amp; "Account" &amp; "," &amp; $D$4 &amp; "," &amp; $D$5 &amp; "," &amp; $D$6 &amp; "," &amp; "AccountGroupCode" &amp; "," &amp; $C21 &amp; "," &amp; "AccountStructureCode" &amp; "," &amp; "AccountType" &amp; "," &amp; "BalanceType" &amp; "," &amp; $D$7 &amp; "," &amp; $D$8 &amp; ")", CellContents, -802426,42)</f>
        <v>-802426</v>
      </c>
      <c r="F21" s="18">
        <f>IFERROR(E21/$E$27,0)</f>
        <v>-6.1208468036164303E-2</v>
      </c>
      <c r="G21" s="37"/>
      <c r="M21" s="37"/>
    </row>
    <row r="22" spans="3:13" s="21" customFormat="1" ht="16.5" customHeight="1" x14ac:dyDescent="0.3">
      <c r="C22" s="34"/>
      <c r="D22" s="38" t="s">
        <v>40</v>
      </c>
      <c r="E22" s="39">
        <f>SUM(E20:E21)</f>
        <v>260462</v>
      </c>
      <c r="F22" s="19">
        <f>IFERROR(E22/$E$27,0)</f>
        <v>1.98678507446611E-2</v>
      </c>
      <c r="G22" s="37"/>
      <c r="M22" s="37"/>
    </row>
    <row r="23" spans="3:13" s="21" customFormat="1" ht="16.5" customHeight="1" x14ac:dyDescent="0.3">
      <c r="C23" s="34"/>
      <c r="D23" s="35"/>
      <c r="E23" s="36"/>
      <c r="F23" s="26"/>
      <c r="G23" s="37"/>
      <c r="M23" s="37"/>
    </row>
    <row r="24" spans="3:13" s="21" customFormat="1" ht="16.5" customHeight="1" x14ac:dyDescent="0.3">
      <c r="C24" s="34">
        <v>70</v>
      </c>
      <c r="D24" s="35" t="str">
        <f>MID("Other Assets", 1, 255)</f>
        <v>Other Assets</v>
      </c>
      <c r="E24" s="36">
        <f>CHOOSE(B, "GLClosingBalance(" &amp; "Account" &amp; "," &amp; $D$4 &amp; "," &amp; $D$5 &amp; "," &amp; $D$6 &amp; "," &amp; "AccountGroupCode" &amp; "," &amp; $C24 &amp; "," &amp; "AccountStructureCode" &amp; "," &amp; "AccountType" &amp; "," &amp; "BalanceType" &amp; "," &amp; $D$7 &amp; "," &amp; $D$8 &amp; ")", CellContents, 0)</f>
        <v>0</v>
      </c>
      <c r="F24" s="18">
        <f>IFERROR(E24/$E$27,0)</f>
        <v>0</v>
      </c>
      <c r="G24" s="37"/>
      <c r="M24" s="37"/>
    </row>
    <row r="25" spans="3:13" s="21" customFormat="1" ht="16.5" customHeight="1" x14ac:dyDescent="0.3">
      <c r="C25" s="34"/>
      <c r="D25" s="35"/>
      <c r="E25" s="36"/>
      <c r="F25" s="18"/>
      <c r="G25" s="37"/>
      <c r="M25" s="37"/>
    </row>
    <row r="26" spans="3:13" s="21" customFormat="1" ht="7.5" customHeight="1" x14ac:dyDescent="0.3">
      <c r="C26" s="40"/>
      <c r="D26" s="41"/>
      <c r="E26" s="42"/>
      <c r="F26" s="43"/>
      <c r="G26" s="37"/>
      <c r="M26" s="37"/>
    </row>
    <row r="27" spans="3:13" s="21" customFormat="1" ht="16.5" customHeight="1" x14ac:dyDescent="0.3">
      <c r="C27" s="40"/>
      <c r="D27" s="44" t="s">
        <v>41</v>
      </c>
      <c r="E27" s="45">
        <f>E18+E22+E24</f>
        <v>13109722</v>
      </c>
      <c r="F27" s="20">
        <f>IFERROR(E27/$E$27,0)</f>
        <v>1</v>
      </c>
      <c r="G27" s="37"/>
      <c r="M27" s="37"/>
    </row>
    <row r="28" spans="3:13" s="21" customFormat="1" ht="16.5" customHeight="1" x14ac:dyDescent="0.3">
      <c r="C28" s="34"/>
      <c r="D28" s="35"/>
      <c r="E28" s="36"/>
      <c r="F28" s="46"/>
      <c r="G28" s="37"/>
      <c r="M28" s="37"/>
    </row>
    <row r="29" spans="3:13" s="37" customFormat="1" ht="16.5" customHeight="1" x14ac:dyDescent="0.3">
      <c r="C29" s="34"/>
      <c r="D29" s="35"/>
      <c r="E29" s="36"/>
      <c r="F29" s="78"/>
    </row>
    <row r="30" spans="3:13" s="37" customFormat="1" ht="16.5" customHeight="1" x14ac:dyDescent="0.3">
      <c r="C30" s="34"/>
      <c r="D30" s="79" t="s">
        <v>42</v>
      </c>
      <c r="E30" s="36"/>
      <c r="F30" s="78"/>
    </row>
    <row r="31" spans="3:13" s="21" customFormat="1" ht="6.95" customHeight="1" x14ac:dyDescent="0.3">
      <c r="C31" s="34"/>
      <c r="D31" s="33"/>
      <c r="E31" s="36"/>
      <c r="F31" s="47"/>
      <c r="G31" s="37"/>
      <c r="M31" s="37"/>
    </row>
    <row r="32" spans="3:13" s="21" customFormat="1" ht="16.5" customHeight="1" x14ac:dyDescent="0.3">
      <c r="C32" s="34">
        <v>80</v>
      </c>
      <c r="D32" s="35" t="str">
        <f>MID("Accounts Payable", 1, 255)</f>
        <v>Accounts Payable</v>
      </c>
      <c r="E32" s="36">
        <f>CHOOSE(B, "-GLClosingBalance(" &amp; "Account" &amp; "," &amp; $D$4 &amp; "," &amp; $D$5 &amp; "," &amp; $D$6 &amp; "," &amp; "AccountGroupCode" &amp; "," &amp; $C32 &amp; "," &amp; "AccountStructureCode" &amp; "," &amp; "AccountType" &amp; "," &amp; "BalanceType" &amp; "," &amp; $D$7 &amp; "," &amp; $D$8 &amp; ")", CellContents, 12993043,12)</f>
        <v>12993043</v>
      </c>
      <c r="F32" s="18">
        <f>IFERROR(E32/$E$48,0)</f>
        <v>0.99109973566947218</v>
      </c>
      <c r="G32" s="37"/>
      <c r="M32" s="37"/>
    </row>
    <row r="33" spans="3:13" s="21" customFormat="1" ht="16.5" customHeight="1" x14ac:dyDescent="0.3">
      <c r="C33" s="34">
        <v>90</v>
      </c>
      <c r="D33" s="35" t="str">
        <f>MID("Other Current Liabilities", 1, 255)</f>
        <v>Other Current Liabilities</v>
      </c>
      <c r="E33" s="36">
        <f>CHOOSE(B, "-GLClosingBalance(" &amp; "Account" &amp; "," &amp; $D$4 &amp; "," &amp; $D$5 &amp; "," &amp; $D$6 &amp; "," &amp; "AccountGroupCode" &amp; "," &amp; $C33 &amp; "," &amp; "AccountStructureCode" &amp; "," &amp; "AccountType" &amp; "," &amp; "BalanceType" &amp; "," &amp; $D$7 &amp; "," &amp; $D$8 &amp; ")", CellContents, 971872,89)</f>
        <v>971872</v>
      </c>
      <c r="F33" s="18">
        <f>IFERROR(E33/$E$48,0)</f>
        <v>7.4133679254702795E-2</v>
      </c>
      <c r="G33" s="37"/>
      <c r="M33" s="37"/>
    </row>
    <row r="34" spans="3:13" s="21" customFormat="1" ht="16.5" customHeight="1" x14ac:dyDescent="0.3">
      <c r="C34" s="34"/>
      <c r="D34" s="38" t="s">
        <v>43</v>
      </c>
      <c r="E34" s="39">
        <f>SUM(E32:E33)</f>
        <v>13964915</v>
      </c>
      <c r="F34" s="19">
        <f>IFERROR(E34/$E$48,0)</f>
        <v>1.0652334149241749</v>
      </c>
      <c r="G34" s="37"/>
      <c r="M34" s="37"/>
    </row>
    <row r="35" spans="3:13" s="21" customFormat="1" ht="16.5" customHeight="1" x14ac:dyDescent="0.3">
      <c r="C35" s="34"/>
      <c r="D35" s="35"/>
      <c r="E35" s="36"/>
      <c r="F35" s="26"/>
      <c r="G35" s="37"/>
      <c r="M35" s="37"/>
    </row>
    <row r="36" spans="3:13" s="21" customFormat="1" ht="16.5" customHeight="1" x14ac:dyDescent="0.3">
      <c r="C36" s="34">
        <v>100</v>
      </c>
      <c r="D36" s="35" t="str">
        <f>MID("Long Term Liabilities", 1, 255)</f>
        <v>Long Term Liabilities</v>
      </c>
      <c r="E36" s="36">
        <f>CHOOSE(B, "-GLClosingBalance(" &amp; "Account" &amp; "," &amp; $D$4 &amp; "," &amp; $D$5 &amp; "," &amp; $D$6 &amp; "," &amp; "AccountGroupCode" &amp; "," &amp; $C36 &amp; "," &amp; "AccountStructureCode" &amp; "," &amp; "AccountType" &amp; "," &amp; "BalanceType" &amp; "," &amp; $D$7 &amp; "," &amp; $D$8 &amp; ")", CellContents, 288963,54)</f>
        <v>288963</v>
      </c>
      <c r="F36" s="18">
        <f>IFERROR(E36/$E$48,0)</f>
        <v>2.20418844852786E-2</v>
      </c>
      <c r="G36" s="37"/>
      <c r="M36" s="37"/>
    </row>
    <row r="37" spans="3:13" s="21" customFormat="1" ht="16.5" customHeight="1" x14ac:dyDescent="0.3">
      <c r="C37" s="34">
        <v>110</v>
      </c>
      <c r="D37" s="35" t="str">
        <f>MID("Other Liabilities", 1, 255)</f>
        <v>Other Liabilities</v>
      </c>
      <c r="E37" s="36">
        <f>CHOOSE(B, "-GLClosingBalance(" &amp; "Account" &amp; "," &amp; $D$4 &amp; "," &amp; $D$5 &amp; "," &amp; $D$6 &amp; "," &amp; "AccountGroupCode" &amp; "," &amp; $C37 &amp; "," &amp; "AccountStructureCode" &amp; "," &amp; "AccountType" &amp; "," &amp; "BalanceType" &amp; "," &amp; $D$7 &amp; "," &amp; $D$8 &amp; ")", CellContents, 0)</f>
        <v>0</v>
      </c>
      <c r="F37" s="18">
        <f>IFERROR(E37/$E$48,0)</f>
        <v>0</v>
      </c>
      <c r="G37" s="37"/>
      <c r="M37" s="37"/>
    </row>
    <row r="38" spans="3:13" s="21" customFormat="1" ht="16.5" customHeight="1" x14ac:dyDescent="0.3">
      <c r="C38" s="34"/>
      <c r="D38" s="38" t="s">
        <v>44</v>
      </c>
      <c r="E38" s="39">
        <f>SUM(E36:E37)</f>
        <v>288963</v>
      </c>
      <c r="F38" s="19">
        <f>IFERROR(E38/$E$48,0)</f>
        <v>2.20418844852786E-2</v>
      </c>
      <c r="G38" s="37"/>
      <c r="M38" s="37"/>
    </row>
    <row r="39" spans="3:13" s="21" customFormat="1" ht="16.5" customHeight="1" x14ac:dyDescent="0.3">
      <c r="C39" s="34"/>
      <c r="D39" s="48"/>
      <c r="E39" s="49"/>
      <c r="F39" s="50"/>
      <c r="G39" s="37"/>
      <c r="M39" s="37"/>
    </row>
    <row r="40" spans="3:13" s="21" customFormat="1" ht="16.5" customHeight="1" x14ac:dyDescent="0.3">
      <c r="C40" s="34"/>
      <c r="D40" s="38" t="s">
        <v>45</v>
      </c>
      <c r="E40" s="39">
        <f>E34+E38</f>
        <v>14253878</v>
      </c>
      <c r="F40" s="19">
        <f>IFERROR(E40/$E$48,0)</f>
        <v>1.0872752994094537</v>
      </c>
      <c r="G40" s="37"/>
      <c r="M40" s="37"/>
    </row>
    <row r="41" spans="3:13" s="21" customFormat="1" ht="16.5" customHeight="1" x14ac:dyDescent="0.3">
      <c r="C41" s="34"/>
      <c r="D41" s="35"/>
      <c r="E41" s="36"/>
      <c r="F41" s="26"/>
      <c r="G41" s="37"/>
      <c r="M41" s="37"/>
    </row>
    <row r="42" spans="3:13" s="21" customFormat="1" ht="16.5" customHeight="1" x14ac:dyDescent="0.3">
      <c r="C42" s="34">
        <v>120</v>
      </c>
      <c r="D42" s="35" t="str">
        <f>MID("Share Capital", 1, 255)</f>
        <v>Share Capital</v>
      </c>
      <c r="E42" s="36">
        <f>CHOOSE(B, "-GLClosingBalance(" &amp; "Account" &amp; "," &amp; $D$4 &amp; "," &amp; $D$5 &amp; "," &amp; $D$6 &amp; "," &amp; "AccountGroupCode" &amp; "," &amp; $C42 &amp; "," &amp; "AccountStructureCode" &amp; "," &amp; "AccountType" &amp; "," &amp; "BalanceType" &amp; "," &amp; $D$7 &amp; "," &amp; $D$8 &amp; ")", CellContents, 250000)</f>
        <v>250000</v>
      </c>
      <c r="F42" s="18">
        <f>IFERROR(E42/$E$48,0)</f>
        <v>1.906981558649256E-2</v>
      </c>
      <c r="G42" s="37"/>
      <c r="M42" s="37"/>
    </row>
    <row r="43" spans="3:13" s="21" customFormat="1" ht="16.5" customHeight="1" x14ac:dyDescent="0.3">
      <c r="C43" s="34">
        <v>130</v>
      </c>
      <c r="D43" s="35" t="str">
        <f>MID("Shareholders Equity", 1, 255)</f>
        <v>Shareholders Equity</v>
      </c>
      <c r="E43" s="36">
        <f>CHOOSE(B, "-GLClosingBalance(" &amp; "Account" &amp; "," &amp; $D$4 &amp; "," &amp; $D$5 &amp; "," &amp; $D$6 &amp; "," &amp; "AccountGroupCode" &amp; "," &amp; $C43 &amp; "," &amp; "AccountStructureCode" &amp; "," &amp; "AccountType" &amp; "," &amp; "BalanceType" &amp; "," &amp; $D$7 &amp; "," &amp; $D$8 &amp; ")", CellContents, -1482265,39)</f>
        <v>-1482265</v>
      </c>
      <c r="F43" s="18">
        <f>IFERROR(E43/$E$48,0)</f>
        <v>-0.11306608080124958</v>
      </c>
      <c r="G43" s="37"/>
      <c r="M43" s="37"/>
    </row>
    <row r="44" spans="3:13" s="21" customFormat="1" ht="16.5" customHeight="1" x14ac:dyDescent="0.3">
      <c r="C44" s="34" t="s">
        <v>51</v>
      </c>
      <c r="D44" s="35" t="s">
        <v>46</v>
      </c>
      <c r="E44" s="36">
        <f>CHOOSE(B, "-GLClosingBalance(" &amp; "Account" &amp; "," &amp; $D$4 &amp; "," &amp; $D$5 &amp; "," &amp; $D$6 &amp; "," &amp; "AccountGroupCode" &amp; "," &amp; "AccountCategoryCode" &amp; "," &amp; "AccountStructureCode" &amp; "," &amp; $C44 &amp; "," &amp; "BalanceType" &amp; "," &amp; $D$7 &amp; "," &amp; $D$8 &amp; ")", CellContents, 88110,4800000002)</f>
        <v>88110</v>
      </c>
      <c r="F44" s="18">
        <f>IFERROR(E44/$E$48,0)</f>
        <v>6.7209658053034374E-3</v>
      </c>
      <c r="G44" s="37"/>
      <c r="M44" s="37"/>
    </row>
    <row r="45" spans="3:13" s="21" customFormat="1" ht="16.5" customHeight="1" x14ac:dyDescent="0.3">
      <c r="C45" s="34"/>
      <c r="D45" s="38" t="s">
        <v>47</v>
      </c>
      <c r="E45" s="39">
        <f>SUM(E42:E44)</f>
        <v>-1144155</v>
      </c>
      <c r="F45" s="19">
        <f>IFERROR(E45/$E$48,0)</f>
        <v>-8.7275299409453583E-2</v>
      </c>
      <c r="G45" s="37"/>
      <c r="M45" s="37"/>
    </row>
    <row r="46" spans="3:13" s="21" customFormat="1" ht="16.5" customHeight="1" x14ac:dyDescent="0.3">
      <c r="C46" s="34"/>
      <c r="D46" s="35"/>
      <c r="E46" s="36"/>
      <c r="F46" s="18"/>
      <c r="G46" s="37"/>
      <c r="M46" s="37"/>
    </row>
    <row r="47" spans="3:13" s="21" customFormat="1" ht="7.5" customHeight="1" x14ac:dyDescent="0.3">
      <c r="C47" s="34"/>
      <c r="D47" s="35"/>
      <c r="E47" s="36"/>
      <c r="F47" s="18"/>
      <c r="G47" s="37"/>
      <c r="M47" s="37"/>
    </row>
    <row r="48" spans="3:13" s="21" customFormat="1" ht="16.5" customHeight="1" x14ac:dyDescent="0.3">
      <c r="C48" s="40"/>
      <c r="D48" s="44" t="s">
        <v>48</v>
      </c>
      <c r="E48" s="45">
        <f>E40+E45</f>
        <v>13109723</v>
      </c>
      <c r="F48" s="20">
        <f>IFERROR(E48/$E$48,0)</f>
        <v>1</v>
      </c>
      <c r="G48" s="37"/>
      <c r="M48" s="37"/>
    </row>
    <row r="49" spans="3:13" s="21" customFormat="1" ht="16.5" customHeight="1" x14ac:dyDescent="0.3">
      <c r="C49" s="51"/>
      <c r="D49" s="52"/>
      <c r="E49" s="53"/>
      <c r="F49" s="54"/>
      <c r="G49" s="37"/>
      <c r="M49" s="37"/>
    </row>
    <row r="50" spans="3:13" s="21" customFormat="1" ht="16.5" customHeight="1" x14ac:dyDescent="0.3">
      <c r="C50" s="55"/>
      <c r="G50" s="37"/>
      <c r="M50" s="37"/>
    </row>
    <row r="51" spans="3:13" ht="16.5" customHeight="1" x14ac:dyDescent="0.3">
      <c r="C51" s="55"/>
      <c r="D51" s="21"/>
      <c r="E51" s="21"/>
      <c r="F51" s="21"/>
    </row>
    <row r="52" spans="3:13" ht="16.5" customHeight="1" x14ac:dyDescent="0.3">
      <c r="C52" s="55"/>
      <c r="D52" s="21"/>
      <c r="E52" s="21"/>
      <c r="F52" s="21"/>
    </row>
    <row r="53" spans="3:13" ht="16.5" customHeight="1" x14ac:dyDescent="0.3">
      <c r="C53" s="56"/>
    </row>
    <row r="54" spans="3:13" ht="16.5" customHeight="1" x14ac:dyDescent="0.3">
      <c r="C54" s="56"/>
    </row>
  </sheetData>
  <mergeCells count="2">
    <mergeCell ref="E10:F10"/>
    <mergeCell ref="H3:K7"/>
  </mergeCells>
  <dataValidations count="3">
    <dataValidation type="list" allowBlank="1" showInputMessage="1" sqref="D5">
      <formula1>FiscalYearsTemplate</formula1>
    </dataValidation>
    <dataValidation type="list" allowBlank="1" showInputMessage="1" showErrorMessage="1" sqref="D6">
      <formula1>Periods</formula1>
    </dataValidation>
    <dataValidation type="list" allowBlank="1" showInputMessage="1" showErrorMessage="1" sqref="D4">
      <formula1>CompaniesTemplate</formula1>
    </dataValidation>
  </dataValidations>
  <hyperlinks>
    <hyperlink ref="B2" location="Home!A1" tooltip="Click to navigate to the Home sheet." display="ß"/>
  </hyperlinks>
  <printOptions horizontalCentered="1"/>
  <pageMargins left="0.25" right="0.25" top="0.75" bottom="0.75" header="0.3" footer="0.3"/>
  <pageSetup paperSize="9" scale="85" orientation="landscape" r:id="rId1"/>
  <headerFooter>
    <oddFooter>&amp;L&amp;D  &amp;T&amp;RPage : &amp;P  of  &amp;N</oddFooter>
  </headerFooter>
  <rowBreaks count="1" manualBreakCount="1">
    <brk id="2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5"/>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43.5703125" style="12" bestFit="1" customWidth="1"/>
    <col min="5" max="5" width="1.85546875" style="12" customWidth="1"/>
    <col min="6" max="7" width="14.42578125" style="12" customWidth="1"/>
    <col min="8" max="8" width="1.85546875" style="12" customWidth="1"/>
    <col min="9" max="10" width="14.42578125" style="12" customWidth="1"/>
    <col min="11" max="16384" width="9.140625" style="12"/>
  </cols>
  <sheetData>
    <row r="1" spans="2:10" ht="15" customHeight="1" x14ac:dyDescent="0.3"/>
    <row r="2" spans="2:10" ht="33.75" customHeight="1" x14ac:dyDescent="0.7">
      <c r="B2" s="81" t="s">
        <v>52</v>
      </c>
      <c r="C2" s="14" t="str">
        <f>CONCATENATE(D4," - Balance Sheet")</f>
        <v>SAMLTD - Balance Sheet</v>
      </c>
      <c r="D2" s="15"/>
    </row>
    <row r="3" spans="2:10" ht="12" customHeight="1" x14ac:dyDescent="0.7">
      <c r="C3" s="14"/>
      <c r="D3" s="15"/>
    </row>
    <row r="4" spans="2:10" ht="17.25" customHeight="1" x14ac:dyDescent="0.3">
      <c r="C4" s="16" t="s">
        <v>18</v>
      </c>
      <c r="D4" s="31" t="str">
        <f>INDEX(Companies,1)</f>
        <v>SAMLTD</v>
      </c>
      <c r="F4" s="109" t="s">
        <v>57</v>
      </c>
      <c r="G4" s="109"/>
      <c r="H4" s="109"/>
      <c r="I4" s="109"/>
    </row>
    <row r="5" spans="2:10" x14ac:dyDescent="0.3">
      <c r="C5" s="16" t="s">
        <v>24</v>
      </c>
      <c r="D5" s="31">
        <f>CHOOSE(B, "GLCurrentYear(" &amp; $D$4 &amp; ")", CellContents, 2020)</f>
        <v>2020</v>
      </c>
      <c r="F5" s="109"/>
      <c r="G5" s="109"/>
      <c r="H5" s="109"/>
      <c r="I5" s="109"/>
    </row>
    <row r="6" spans="2:10" x14ac:dyDescent="0.3">
      <c r="C6" s="16" t="s">
        <v>17</v>
      </c>
      <c r="D6" s="58">
        <f>CHOOSE(B, "GLCurrentPeriod(" &amp; $D$4 &amp; ")", CellContents, 1)</f>
        <v>1</v>
      </c>
      <c r="F6" s="109"/>
      <c r="G6" s="109"/>
      <c r="H6" s="109"/>
      <c r="I6" s="109"/>
    </row>
    <row r="7" spans="2:10" x14ac:dyDescent="0.3">
      <c r="C7" s="16" t="s">
        <v>19</v>
      </c>
      <c r="D7" s="17" t="str">
        <f>CHOOSE(B, "GLHomeCurrency(" &amp; $D$4 &amp; ")", CellContents, "CAD")</f>
        <v>CAD</v>
      </c>
      <c r="F7" s="109"/>
      <c r="G7" s="109"/>
      <c r="H7" s="109"/>
      <c r="I7" s="109"/>
    </row>
    <row r="8" spans="2:10" x14ac:dyDescent="0.3">
      <c r="C8" s="16" t="s">
        <v>20</v>
      </c>
      <c r="D8" s="17" t="s">
        <v>21</v>
      </c>
      <c r="G8"/>
    </row>
    <row r="9" spans="2:10" ht="12" customHeight="1" x14ac:dyDescent="0.3">
      <c r="C9" s="57"/>
      <c r="D9" s="58"/>
    </row>
    <row r="10" spans="2:10" x14ac:dyDescent="0.3">
      <c r="C10" s="106" t="s">
        <v>25</v>
      </c>
      <c r="D10" s="106" t="s">
        <v>26</v>
      </c>
      <c r="E10" s="24"/>
      <c r="F10" s="108" t="s">
        <v>27</v>
      </c>
      <c r="G10" s="108"/>
      <c r="H10" s="24"/>
      <c r="I10" s="108" t="s">
        <v>28</v>
      </c>
      <c r="J10" s="108"/>
    </row>
    <row r="11" spans="2:10" ht="33.75" customHeight="1" x14ac:dyDescent="0.3">
      <c r="C11" s="106"/>
      <c r="D11" s="106"/>
      <c r="E11" s="24"/>
      <c r="F11" s="75">
        <f>D5</f>
        <v>2020</v>
      </c>
      <c r="G11" s="76">
        <v>2019</v>
      </c>
      <c r="H11" s="24"/>
      <c r="I11" s="32" t="s">
        <v>49</v>
      </c>
      <c r="J11" s="32" t="s">
        <v>29</v>
      </c>
    </row>
    <row r="12" spans="2:10" ht="16.5" customHeight="1" x14ac:dyDescent="0.3"/>
    <row r="13" spans="2:10" ht="16.5" customHeight="1" x14ac:dyDescent="0.3">
      <c r="D13" s="33" t="s">
        <v>38</v>
      </c>
    </row>
    <row r="14" spans="2:10" ht="6.95" customHeight="1" x14ac:dyDescent="0.3">
      <c r="D14" s="33"/>
    </row>
    <row r="15" spans="2:10" s="21" customFormat="1" ht="16.5" customHeight="1" x14ac:dyDescent="0.3">
      <c r="C15" s="34">
        <v>10</v>
      </c>
      <c r="D15" s="35" t="str">
        <f>MID("Cash and Cash Equivalents", 1, 255)</f>
        <v>Cash and Cash Equivalents</v>
      </c>
      <c r="E15" s="22"/>
      <c r="F15" s="36">
        <f>CHOOSE(B, "GLClosingBalance(" &amp; "Account" &amp; "," &amp; $D$4 &amp; "," &amp; $D$5 &amp; "," &amp; $D$6 &amp; "," &amp; "AccountGroupCode" &amp; "," &amp; $C15 &amp; "," &amp; "AccountStructureCode" &amp; "," &amp; "AccountType" &amp; "," &amp; "BalanceType" &amp; "," &amp; $D$7 &amp; "," &amp; $D$8 &amp; ")", CellContents, 7912363,97)</f>
        <v>7912363</v>
      </c>
      <c r="G15" s="36">
        <f>CHOOSE(B, "GLClosingBalance(" &amp; "Account" &amp; "," &amp; $D$4 &amp; "," &amp; $G$11 &amp; "," &amp; $D$6 &amp; "," &amp; "AccountGroupCode" &amp; "," &amp; $C15 &amp; "," &amp; "AccountStructureCode" &amp; "," &amp; "AccountType" &amp; "," &amp; "BalanceType" &amp; "," &amp; $D$7 &amp; "," &amp; $D$8 &amp; ")", CellContents, 2748523,6)</f>
        <v>2748523</v>
      </c>
      <c r="H15" s="25"/>
      <c r="I15" s="36">
        <f>F15-G15</f>
        <v>5163840</v>
      </c>
      <c r="J15" s="59">
        <f>IFERROR(I15/G15,0)</f>
        <v>1.8787690697876642</v>
      </c>
    </row>
    <row r="16" spans="2:10" s="21" customFormat="1" ht="16.5" customHeight="1" x14ac:dyDescent="0.3">
      <c r="C16" s="34">
        <v>20</v>
      </c>
      <c r="D16" s="35" t="str">
        <f>MID("Accounts Receivable", 1, 255)</f>
        <v>Accounts Receivable</v>
      </c>
      <c r="E16" s="22"/>
      <c r="F16" s="36">
        <f>CHOOSE(B, "GLClosingBalance(" &amp; "Account" &amp; "," &amp; $D$4 &amp; "," &amp; $D$5 &amp; "," &amp; $D$6 &amp; "," &amp; "AccountGroupCode" &amp; "," &amp; $C16 &amp; "," &amp; "AccountStructureCode" &amp; "," &amp; "AccountType" &amp; "," &amp; "BalanceType" &amp; "," &amp; $D$7 &amp; "," &amp; $D$8 &amp; ")", CellContents, 2969264,75)</f>
        <v>2969264</v>
      </c>
      <c r="G16" s="36">
        <f>CHOOSE(B, "GLClosingBalance(" &amp; "Account" &amp; "," &amp; $D$4 &amp; "," &amp; $G$11 &amp; "," &amp; $D$6 &amp; "," &amp; "AccountGroupCode" &amp; "," &amp; $C16 &amp; "," &amp; "AccountStructureCode" &amp; "," &amp; "AccountType" &amp; "," &amp; "BalanceType" &amp; "," &amp; $D$7 &amp; "," &amp; $D$8 &amp; ")", CellContents, 1930170,59)</f>
        <v>1930170</v>
      </c>
      <c r="H16" s="25"/>
      <c r="I16" s="36">
        <f>F16-G16</f>
        <v>1039094</v>
      </c>
      <c r="J16" s="59">
        <f>IFERROR(I16/G16,0)</f>
        <v>0.53834325473921985</v>
      </c>
    </row>
    <row r="17" spans="3:10" s="21" customFormat="1" ht="16.5" customHeight="1" x14ac:dyDescent="0.3">
      <c r="C17" s="34">
        <v>30</v>
      </c>
      <c r="D17" s="35" t="str">
        <f>MID("Inventory", 1, 255)</f>
        <v>Inventory</v>
      </c>
      <c r="E17" s="22"/>
      <c r="F17" s="36">
        <f>CHOOSE(B, "GLClosingBalance(" &amp; "Account" &amp; "," &amp; $D$4 &amp; "," &amp; $D$5 &amp; "," &amp; $D$6 &amp; "," &amp; "AccountGroupCode" &amp; "," &amp; $C17 &amp; "," &amp; "AccountStructureCode" &amp; "," &amp; "AccountType" &amp; "," &amp; "BalanceType" &amp; "," &amp; $D$7 &amp; "," &amp; $D$8 &amp; ")", CellContents, 1928978,6)</f>
        <v>1928978</v>
      </c>
      <c r="G17" s="36">
        <f>CHOOSE(B, "GLClosingBalance(" &amp; "Account" &amp; "," &amp; $D$4 &amp; "," &amp; $G$11 &amp; "," &amp; $D$6 &amp; "," &amp; "AccountGroupCode" &amp; "," &amp; $C17 &amp; "," &amp; "AccountStructureCode" &amp; "," &amp; "AccountType" &amp; "," &amp; "BalanceType" &amp; "," &amp; $D$7 &amp; "," &amp; $D$8 &amp; ")", CellContents, 1873135,81)</f>
        <v>1873135</v>
      </c>
      <c r="H17" s="25"/>
      <c r="I17" s="36">
        <f>F17-G17</f>
        <v>55843</v>
      </c>
      <c r="J17" s="59">
        <f>IFERROR(I17/G17,0)</f>
        <v>2.9812586919789552E-2</v>
      </c>
    </row>
    <row r="18" spans="3:10" s="21" customFormat="1" ht="16.5" customHeight="1" x14ac:dyDescent="0.3">
      <c r="C18" s="34">
        <v>40</v>
      </c>
      <c r="D18" s="35" t="str">
        <f>MID("Other Current Assets", 1, 255)</f>
        <v>Other Current Assets</v>
      </c>
      <c r="E18" s="22"/>
      <c r="F18" s="36">
        <f>CHOOSE(B, "GLClosingBalance(" &amp; "Account" &amp; "," &amp; $D$4 &amp; "," &amp; $D$5 &amp; "," &amp; $D$6 &amp; "," &amp; "AccountGroupCode" &amp; "," &amp; $C18 &amp; "," &amp; "AccountStructureCode" &amp; "," &amp; "AccountType" &amp; "," &amp; "BalanceType" &amp; "," &amp; $D$7 &amp; "," &amp; $D$8 &amp; ")", CellContents, 38655,49)</f>
        <v>38655</v>
      </c>
      <c r="G18" s="36">
        <f>CHOOSE(B, "GLClosingBalance(" &amp; "Account" &amp; "," &amp; $D$4 &amp; "," &amp; $G$11 &amp; "," &amp; $D$6 &amp; "," &amp; "AccountGroupCode" &amp; "," &amp; $C18 &amp; "," &amp; "AccountStructureCode" &amp; "," &amp; "AccountType" &amp; "," &amp; "BalanceType" &amp; "," &amp; $D$7 &amp; "," &amp; $D$8 &amp; ")", CellContents, 38655,49)</f>
        <v>38655</v>
      </c>
      <c r="H18" s="25"/>
      <c r="I18" s="36">
        <f>F18-G18</f>
        <v>0</v>
      </c>
      <c r="J18" s="59">
        <f t="shared" ref="J18:J27" si="0">IFERROR(I18/G18,0)</f>
        <v>0</v>
      </c>
    </row>
    <row r="19" spans="3:10" s="21" customFormat="1" ht="16.5" customHeight="1" x14ac:dyDescent="0.3">
      <c r="C19" s="34"/>
      <c r="D19" s="38" t="s">
        <v>39</v>
      </c>
      <c r="E19" s="22"/>
      <c r="F19" s="39">
        <f>SUM(F15:F18)</f>
        <v>12849260</v>
      </c>
      <c r="G19" s="39">
        <f>SUM(G15:G18)</f>
        <v>6590483</v>
      </c>
      <c r="H19" s="25"/>
      <c r="I19" s="39">
        <f>SUM(I15:I18)</f>
        <v>6258777</v>
      </c>
      <c r="J19" s="60">
        <f t="shared" si="0"/>
        <v>0.9496689392871509</v>
      </c>
    </row>
    <row r="20" spans="3:10" s="21" customFormat="1" ht="16.5" customHeight="1" x14ac:dyDescent="0.3">
      <c r="C20" s="34"/>
      <c r="D20" s="35"/>
      <c r="E20" s="22"/>
      <c r="F20" s="36"/>
      <c r="G20" s="36"/>
      <c r="H20" s="25"/>
      <c r="I20" s="49"/>
      <c r="J20" s="61"/>
    </row>
    <row r="21" spans="3:10" s="21" customFormat="1" ht="16.5" customHeight="1" x14ac:dyDescent="0.3">
      <c r="C21" s="34">
        <v>50</v>
      </c>
      <c r="D21" s="35" t="str">
        <f>MID("Fixed Assets", 1, 255)</f>
        <v>Fixed Assets</v>
      </c>
      <c r="E21" s="22"/>
      <c r="F21" s="36">
        <f>CHOOSE(B, "GLClosingBalance(" &amp; "Account" &amp; "," &amp; $D$4 &amp; "," &amp; $D$5 &amp; "," &amp; $D$6 &amp; "," &amp; "AccountGroupCode" &amp; "," &amp; $C21 &amp; "," &amp; "AccountStructureCode" &amp; "," &amp; "AccountType" &amp; "," &amp; "BalanceType" &amp; "," &amp; $D$7 &amp; "," &amp; $D$8 &amp; ")", CellContents, 1062888,79)</f>
        <v>1062888</v>
      </c>
      <c r="G21" s="36">
        <f>CHOOSE(B, "GLClosingBalance(" &amp; "Account" &amp; "," &amp; $D$4 &amp; "," &amp; $G$11 &amp; "," &amp; $D$6 &amp; "," &amp; "AccountGroupCode" &amp; "," &amp; $C21 &amp; "," &amp; "AccountStructureCode" &amp; "," &amp; "AccountType" &amp; "," &amp; "BalanceType" &amp; "," &amp; $D$7 &amp; "," &amp; $D$8 &amp; ")", CellContents, 762888,79)</f>
        <v>762888</v>
      </c>
      <c r="H21" s="25"/>
      <c r="I21" s="36">
        <f>F21-G21</f>
        <v>300000</v>
      </c>
      <c r="J21" s="59">
        <f t="shared" si="0"/>
        <v>0.39324252052725955</v>
      </c>
    </row>
    <row r="22" spans="3:10" s="21" customFormat="1" ht="16.5" customHeight="1" x14ac:dyDescent="0.3">
      <c r="C22" s="34">
        <v>60</v>
      </c>
      <c r="D22" s="35" t="str">
        <f>MID("Accumulated Depreciation", 1, 255)</f>
        <v>Accumulated Depreciation</v>
      </c>
      <c r="E22" s="22"/>
      <c r="F22" s="36">
        <f>CHOOSE(B, "GLClosingBalance(" &amp; "Account" &amp; "," &amp; $D$4 &amp; "," &amp; $D$5 &amp; "," &amp; $D$6 &amp; "," &amp; "AccountGroupCode" &amp; "," &amp; $C22 &amp; "," &amp; "AccountStructureCode" &amp; "," &amp; "AccountType" &amp; "," &amp; "BalanceType" &amp; "," &amp; $D$7 &amp; "," &amp; $D$8 &amp; ")", CellContents, -802426,42)</f>
        <v>-802426</v>
      </c>
      <c r="G22" s="36">
        <f>CHOOSE(B, "GLClosingBalance(" &amp; "Account" &amp; "," &amp; $D$4 &amp; "," &amp; $G$11 &amp; "," &amp; $D$6 &amp; "," &amp; "AccountGroupCode" &amp; "," &amp; $C22 &amp; "," &amp; "AccountStructureCode" &amp; "," &amp; "AccountType" &amp; "," &amp; "BalanceType" &amp; "," &amp; $D$7 &amp; "," &amp; $D$8 &amp; ")", CellContents, -327426,42)</f>
        <v>-327426</v>
      </c>
      <c r="H22" s="25"/>
      <c r="I22" s="36">
        <f>F22-G22</f>
        <v>-475000</v>
      </c>
      <c r="J22" s="59">
        <f t="shared" si="0"/>
        <v>1.4507094732855668</v>
      </c>
    </row>
    <row r="23" spans="3:10" s="21" customFormat="1" ht="16.5" customHeight="1" x14ac:dyDescent="0.3">
      <c r="C23" s="34"/>
      <c r="D23" s="38" t="s">
        <v>40</v>
      </c>
      <c r="E23" s="22"/>
      <c r="F23" s="39">
        <f>SUM(F21:F22)</f>
        <v>260462</v>
      </c>
      <c r="G23" s="39">
        <f>SUM(G21:G22)</f>
        <v>435462</v>
      </c>
      <c r="H23" s="25"/>
      <c r="I23" s="39">
        <f>SUM(I21:I22)</f>
        <v>-175000</v>
      </c>
      <c r="J23" s="60">
        <f t="shared" si="0"/>
        <v>-0.40187203475848637</v>
      </c>
    </row>
    <row r="24" spans="3:10" s="21" customFormat="1" ht="16.5" customHeight="1" x14ac:dyDescent="0.3">
      <c r="C24" s="34"/>
      <c r="D24" s="35"/>
      <c r="E24" s="22"/>
      <c r="F24" s="36"/>
      <c r="G24" s="36"/>
      <c r="H24" s="62"/>
      <c r="I24" s="49"/>
      <c r="J24" s="61"/>
    </row>
    <row r="25" spans="3:10" s="21" customFormat="1" ht="16.5" customHeight="1" x14ac:dyDescent="0.3">
      <c r="C25" s="34">
        <v>70</v>
      </c>
      <c r="D25" s="35" t="str">
        <f>MID("Other Assets", 1, 255)</f>
        <v>Other Assets</v>
      </c>
      <c r="E25" s="22"/>
      <c r="F25" s="36">
        <f>CHOOSE(B, "GLClosingBalance(" &amp; "Account" &amp; "," &amp; $D$4 &amp; "," &amp; $D$5 &amp; "," &amp; $D$6 &amp; "," &amp; "AccountGroupCode" &amp; "," &amp; $C25 &amp; "," &amp; "AccountStructureCode" &amp; "," &amp; "AccountType" &amp; "," &amp; "BalanceType" &amp; "," &amp; $D$7 &amp; "," &amp; $D$8 &amp; ")", CellContents, 0)</f>
        <v>0</v>
      </c>
      <c r="G25" s="36">
        <f>CHOOSE(B, "GLClosingBalance(" &amp; "Account" &amp; "," &amp; $D$4 &amp; "," &amp; $G$11 &amp; "," &amp; $D$6 &amp; "," &amp; "AccountGroupCode" &amp; "," &amp; $C25 &amp; "," &amp; "AccountStructureCode" &amp; "," &amp; "AccountType" &amp; "," &amp; "BalanceType" &amp; "," &amp; $D$7 &amp; "," &amp; $D$8 &amp; ")", CellContents, 0)</f>
        <v>0</v>
      </c>
      <c r="H25" s="25"/>
      <c r="I25" s="36">
        <f>F25-G25</f>
        <v>0</v>
      </c>
      <c r="J25" s="59">
        <f t="shared" si="0"/>
        <v>0</v>
      </c>
    </row>
    <row r="26" spans="3:10" s="21" customFormat="1" ht="16.5" customHeight="1" x14ac:dyDescent="0.3">
      <c r="C26" s="34"/>
      <c r="D26" s="35"/>
      <c r="E26" s="22"/>
      <c r="F26" s="36"/>
      <c r="G26" s="36"/>
      <c r="H26" s="25"/>
      <c r="I26" s="36"/>
      <c r="J26" s="59"/>
    </row>
    <row r="27" spans="3:10" s="21" customFormat="1" ht="16.5" customHeight="1" x14ac:dyDescent="0.3">
      <c r="C27" s="34"/>
      <c r="D27" s="44" t="s">
        <v>41</v>
      </c>
      <c r="E27" s="27"/>
      <c r="F27" s="45">
        <f>F19+F23+F25</f>
        <v>13109722</v>
      </c>
      <c r="G27" s="45">
        <f>G19+G23+G25</f>
        <v>7025945</v>
      </c>
      <c r="H27" s="63"/>
      <c r="I27" s="45">
        <f>I19+I23+I25</f>
        <v>6083777</v>
      </c>
      <c r="J27" s="64">
        <f t="shared" si="0"/>
        <v>0.86590159757868868</v>
      </c>
    </row>
    <row r="28" spans="3:10" s="21" customFormat="1" ht="16.5" customHeight="1" x14ac:dyDescent="0.3">
      <c r="C28" s="34"/>
      <c r="D28" s="35"/>
      <c r="E28" s="22"/>
      <c r="F28" s="36"/>
      <c r="G28" s="36"/>
      <c r="H28" s="25"/>
      <c r="I28" s="36"/>
      <c r="J28" s="59"/>
    </row>
    <row r="29" spans="3:10" s="21" customFormat="1" ht="16.5" customHeight="1" x14ac:dyDescent="0.3">
      <c r="C29" s="34"/>
      <c r="D29" s="35"/>
      <c r="E29" s="23"/>
      <c r="F29" s="36"/>
      <c r="G29" s="36"/>
      <c r="H29" s="65"/>
      <c r="I29" s="36"/>
      <c r="J29" s="59"/>
    </row>
    <row r="30" spans="3:10" s="21" customFormat="1" ht="16.5" customHeight="1" x14ac:dyDescent="0.3">
      <c r="C30" s="34"/>
      <c r="D30" s="33" t="s">
        <v>42</v>
      </c>
      <c r="E30" s="23"/>
      <c r="F30" s="36"/>
      <c r="G30" s="36"/>
      <c r="H30" s="65"/>
      <c r="I30" s="36"/>
      <c r="J30" s="59"/>
    </row>
    <row r="31" spans="3:10" s="21" customFormat="1" ht="6.95" customHeight="1" x14ac:dyDescent="0.3">
      <c r="C31" s="34"/>
      <c r="D31" s="33"/>
      <c r="E31" s="23"/>
      <c r="F31" s="36"/>
      <c r="G31" s="36"/>
      <c r="H31" s="65"/>
      <c r="I31" s="36"/>
      <c r="J31" s="59"/>
    </row>
    <row r="32" spans="3:10" s="21" customFormat="1" ht="16.5" customHeight="1" x14ac:dyDescent="0.3">
      <c r="C32" s="34">
        <v>80</v>
      </c>
      <c r="D32" s="35" t="str">
        <f>MID("Accounts Payable", 1, 255)</f>
        <v>Accounts Payable</v>
      </c>
      <c r="E32" s="22"/>
      <c r="F32" s="36">
        <f>CHOOSE(B, "-GLClosingBalance(" &amp; "Account" &amp; "," &amp; $D$4 &amp; "," &amp; $D$5 &amp; "," &amp; $D$6 &amp; "," &amp; "AccountGroupCode" &amp; "," &amp; $C32 &amp; "," &amp; "AccountStructureCode" &amp; "," &amp; "AccountType" &amp; "," &amp; "BalanceType" &amp; "," &amp; $D$7 &amp; "," &amp; $D$8 &amp; ")", CellContents, 12993043,12)</f>
        <v>12993043</v>
      </c>
      <c r="G32" s="36">
        <f>CHOOSE(B, "-GLClosingBalance(" &amp; "Account" &amp; "," &amp; $D$4 &amp; "," &amp; $G$11 &amp; "," &amp; $D$6 &amp; "," &amp; "AccountGroupCode" &amp; "," &amp; $C32 &amp; "," &amp; "AccountStructureCode" &amp; "," &amp; "AccountType" &amp; "," &amp; "BalanceType" &amp; "," &amp; $D$7 &amp; "," &amp; $D$8 &amp; ")", CellContents, 11240492,98)</f>
        <v>11240492</v>
      </c>
      <c r="H32" s="25"/>
      <c r="I32" s="36">
        <f>F32-G32</f>
        <v>1752551</v>
      </c>
      <c r="J32" s="59">
        <f t="shared" ref="J32:J34" si="1">IFERROR(I32/G32,0)</f>
        <v>0.15591408276434876</v>
      </c>
    </row>
    <row r="33" spans="3:10" s="21" customFormat="1" ht="16.5" customHeight="1" x14ac:dyDescent="0.3">
      <c r="C33" s="34">
        <v>90</v>
      </c>
      <c r="D33" s="35" t="str">
        <f>MID("Other Current Liabilities", 1, 255)</f>
        <v>Other Current Liabilities</v>
      </c>
      <c r="E33" s="22"/>
      <c r="F33" s="36">
        <f>CHOOSE(B, "-GLClosingBalance(" &amp; "Account" &amp; "," &amp; $D$4 &amp; "," &amp; $D$5 &amp; "," &amp; $D$6 &amp; "," &amp; "AccountGroupCode" &amp; "," &amp; $C33 &amp; "," &amp; "AccountStructureCode" &amp; "," &amp; "AccountType" &amp; "," &amp; "BalanceType" &amp; "," &amp; $D$7 &amp; "," &amp; $D$8 &amp; ")", CellContents, 971872,89)</f>
        <v>971872</v>
      </c>
      <c r="G33" s="36">
        <f>CHOOSE(B, "-GLClosingBalance(" &amp; "Account" &amp; "," &amp; $D$4 &amp; "," &amp; $G$11 &amp; "," &amp; $D$6 &amp; "," &amp; "AccountGroupCode" &amp; "," &amp; $C33 &amp; "," &amp; "AccountStructureCode" &amp; "," &amp; "AccountType" &amp; "," &amp; "BalanceType" &amp; "," &amp; $D$7 &amp; "," &amp; $D$8 &amp; ")", CellContents, 981168,82)</f>
        <v>981168</v>
      </c>
      <c r="H33" s="25"/>
      <c r="I33" s="36">
        <f>F33-G33</f>
        <v>-9296</v>
      </c>
      <c r="J33" s="59">
        <f t="shared" si="1"/>
        <v>-9.4744223211519329E-3</v>
      </c>
    </row>
    <row r="34" spans="3:10" s="21" customFormat="1" ht="16.5" customHeight="1" x14ac:dyDescent="0.3">
      <c r="C34" s="34"/>
      <c r="D34" s="38" t="s">
        <v>43</v>
      </c>
      <c r="E34" s="22"/>
      <c r="F34" s="39">
        <f>SUM(F32:F33)</f>
        <v>13964915</v>
      </c>
      <c r="G34" s="39">
        <f>SUM(G32:G33)</f>
        <v>12221660</v>
      </c>
      <c r="H34" s="25"/>
      <c r="I34" s="39">
        <f>SUM(I32:I33)</f>
        <v>1743255</v>
      </c>
      <c r="J34" s="66">
        <f t="shared" si="1"/>
        <v>0.1426365158251825</v>
      </c>
    </row>
    <row r="35" spans="3:10" s="21" customFormat="1" ht="16.5" customHeight="1" x14ac:dyDescent="0.3">
      <c r="C35" s="34"/>
      <c r="D35" s="35"/>
      <c r="E35" s="22"/>
      <c r="F35" s="36"/>
      <c r="G35" s="36"/>
      <c r="H35" s="25"/>
      <c r="I35" s="36"/>
      <c r="J35" s="59"/>
    </row>
    <row r="36" spans="3:10" s="21" customFormat="1" ht="16.5" customHeight="1" x14ac:dyDescent="0.3">
      <c r="C36" s="34">
        <v>100</v>
      </c>
      <c r="D36" s="35" t="str">
        <f>MID("Long Term Liabilities", 1, 255)</f>
        <v>Long Term Liabilities</v>
      </c>
      <c r="E36" s="22"/>
      <c r="F36" s="36">
        <f>CHOOSE(B, "-GLClosingBalance(" &amp; "Account" &amp; "," &amp; $D$4 &amp; "," &amp; $D$5 &amp; "," &amp; $D$6 &amp; "," &amp; "AccountGroupCode" &amp; "," &amp; $C36 &amp; "," &amp; "AccountStructureCode" &amp; "," &amp; "AccountType" &amp; "," &amp; "BalanceType" &amp; "," &amp; $D$7 &amp; "," &amp; $D$8 &amp; ")", CellContents, 288963,54)</f>
        <v>288963</v>
      </c>
      <c r="G36" s="36">
        <f>CHOOSE(B, "-GLClosingBalance(" &amp; "Account" &amp; "," &amp; $D$4 &amp; "," &amp; $G$11 &amp; "," &amp; $D$6 &amp; "," &amp; "AccountGroupCode" &amp; "," &amp; $C36 &amp; "," &amp; "AccountStructureCode" &amp; "," &amp; "AccountType" &amp; "," &amp; "BalanceType" &amp; "," &amp; $D$7 &amp; "," &amp; $D$8 &amp; ")", CellContents, 432963,54)</f>
        <v>432963</v>
      </c>
      <c r="H36" s="25"/>
      <c r="I36" s="36">
        <f>F36-G36</f>
        <v>-144000</v>
      </c>
      <c r="J36" s="59">
        <f t="shared" ref="J36:J40" si="2">IFERROR(I36/G36,0)</f>
        <v>-0.3325919304882865</v>
      </c>
    </row>
    <row r="37" spans="3:10" s="21" customFormat="1" ht="16.5" customHeight="1" x14ac:dyDescent="0.3">
      <c r="C37" s="34">
        <v>110</v>
      </c>
      <c r="D37" s="35" t="str">
        <f>MID("Other Liabilities", 1, 255)</f>
        <v>Other Liabilities</v>
      </c>
      <c r="E37" s="22"/>
      <c r="F37" s="36">
        <f>CHOOSE(B, "-GLClosingBalance(" &amp; "Account" &amp; "," &amp; $D$4 &amp; "," &amp; $D$5 &amp; "," &amp; $D$6 &amp; "," &amp; "AccountGroupCode" &amp; "," &amp; $C37 &amp; "," &amp; "AccountStructureCode" &amp; "," &amp; "AccountType" &amp; "," &amp; "BalanceType" &amp; "," &amp; $D$7 &amp; "," &amp; $D$8 &amp; ")", CellContents, 0)</f>
        <v>0</v>
      </c>
      <c r="G37" s="36">
        <f>CHOOSE(B, "-GLClosingBalance(" &amp; "Account" &amp; "," &amp; $D$4 &amp; "," &amp; $G$11 &amp; "," &amp; $D$6 &amp; "," &amp; "AccountGroupCode" &amp; "," &amp; $C37 &amp; "," &amp; "AccountStructureCode" &amp; "," &amp; "AccountType" &amp; "," &amp; "BalanceType" &amp; "," &amp; $D$7 &amp; "," &amp; $D$8 &amp; ")", CellContents, 0)</f>
        <v>0</v>
      </c>
      <c r="H37" s="25"/>
      <c r="I37" s="36">
        <f>F37-G37</f>
        <v>0</v>
      </c>
      <c r="J37" s="59">
        <f t="shared" si="2"/>
        <v>0</v>
      </c>
    </row>
    <row r="38" spans="3:10" s="21" customFormat="1" ht="16.5" customHeight="1" x14ac:dyDescent="0.3">
      <c r="C38" s="34"/>
      <c r="D38" s="38" t="s">
        <v>44</v>
      </c>
      <c r="E38" s="22"/>
      <c r="F38" s="39">
        <f>SUM(F36:F37)</f>
        <v>288963</v>
      </c>
      <c r="G38" s="39">
        <f>SUM(G36:G37)</f>
        <v>432963</v>
      </c>
      <c r="H38" s="25"/>
      <c r="I38" s="39">
        <f>SUM(I36:I37)</f>
        <v>-144000</v>
      </c>
      <c r="J38" s="66">
        <f t="shared" si="2"/>
        <v>-0.3325919304882865</v>
      </c>
    </row>
    <row r="39" spans="3:10" s="21" customFormat="1" ht="16.5" customHeight="1" x14ac:dyDescent="0.3">
      <c r="C39" s="34"/>
      <c r="D39" s="48"/>
      <c r="E39" s="67"/>
      <c r="F39" s="49"/>
      <c r="G39" s="49"/>
      <c r="H39" s="62"/>
      <c r="I39" s="49"/>
      <c r="J39" s="68"/>
    </row>
    <row r="40" spans="3:10" s="21" customFormat="1" ht="16.5" customHeight="1" x14ac:dyDescent="0.3">
      <c r="C40" s="34"/>
      <c r="D40" s="38" t="s">
        <v>45</v>
      </c>
      <c r="E40" s="22"/>
      <c r="F40" s="39">
        <f>F34+F38</f>
        <v>14253878</v>
      </c>
      <c r="G40" s="39">
        <f>G34+G38</f>
        <v>12654623</v>
      </c>
      <c r="H40" s="25"/>
      <c r="I40" s="39">
        <f>I34+I38</f>
        <v>1599255</v>
      </c>
      <c r="J40" s="66">
        <f t="shared" si="2"/>
        <v>0.1263771350596537</v>
      </c>
    </row>
    <row r="41" spans="3:10" s="21" customFormat="1" ht="16.5" customHeight="1" x14ac:dyDescent="0.3">
      <c r="C41" s="34"/>
      <c r="D41" s="35"/>
      <c r="E41" s="22"/>
      <c r="F41" s="36"/>
      <c r="G41" s="36"/>
      <c r="H41" s="25"/>
      <c r="I41" s="36"/>
      <c r="J41" s="59"/>
    </row>
    <row r="42" spans="3:10" s="21" customFormat="1" ht="16.5" customHeight="1" x14ac:dyDescent="0.3">
      <c r="C42" s="34">
        <v>120</v>
      </c>
      <c r="D42" s="35" t="str">
        <f>MID("Share Capital", 1, 255)</f>
        <v>Share Capital</v>
      </c>
      <c r="E42" s="22"/>
      <c r="F42" s="36">
        <f>CHOOSE(B, "-GLClosingBalance(" &amp; "Account" &amp; "," &amp; $D$4 &amp; "," &amp; $D$5 &amp; "," &amp; $D$6 &amp; "," &amp; "AccountGroupCode" &amp; "," &amp; $C42 &amp; "," &amp; "AccountStructureCode" &amp; "," &amp; "AccountType" &amp; "," &amp; "BalanceType" &amp; "," &amp; $D$7 &amp; "," &amp; $D$8 &amp; ")", CellContents, 250000)</f>
        <v>250000</v>
      </c>
      <c r="G42" s="36">
        <f>CHOOSE(B, "-GLClosingBalance(" &amp; "Account" &amp; "," &amp; $D$4 &amp; "," &amp; $G$11 &amp; "," &amp; $D$6 &amp; "," &amp; "AccountGroupCode" &amp; "," &amp; $C42 &amp; "," &amp; "AccountStructureCode" &amp; "," &amp; "AccountType" &amp; "," &amp; "BalanceType" &amp; "," &amp; $D$7 &amp; "," &amp; $D$8 &amp; ")", CellContents, 250000)</f>
        <v>250000</v>
      </c>
      <c r="H42" s="25"/>
      <c r="I42" s="36">
        <f>F42-G42</f>
        <v>0</v>
      </c>
      <c r="J42" s="59">
        <f t="shared" ref="J42:J47" si="3">IFERROR(I42/G42,0)</f>
        <v>0</v>
      </c>
    </row>
    <row r="43" spans="3:10" s="21" customFormat="1" ht="16.5" customHeight="1" x14ac:dyDescent="0.3">
      <c r="C43" s="34">
        <v>130</v>
      </c>
      <c r="D43" s="35" t="str">
        <f>MID("Shareholders Equity", 1, 255)</f>
        <v>Shareholders Equity</v>
      </c>
      <c r="E43" s="22"/>
      <c r="F43" s="36">
        <f>CHOOSE(B, "-GLClosingBalance(" &amp; "Account" &amp; "," &amp; $D$4 &amp; "," &amp; $D$5 &amp; "," &amp; $D$6 &amp; "," &amp; "AccountGroupCode" &amp; "," &amp; $C43 &amp; "," &amp; "AccountStructureCode" &amp; "," &amp; "AccountType" &amp; "," &amp; "BalanceType" &amp; "," &amp; $D$7 &amp; "," &amp; $D$8 &amp; ")", CellContents, -1482265,39)</f>
        <v>-1482265</v>
      </c>
      <c r="G43" s="36">
        <f>CHOOSE(B, "-GLClosingBalance(" &amp; "Account" &amp; "," &amp; $D$4 &amp; "," &amp; $G$11 &amp; "," &amp; $D$6 &amp; "," &amp; "AccountGroupCode" &amp; "," &amp; $C43 &amp; "," &amp; "AccountStructureCode" &amp; "," &amp; "AccountType" &amp; "," &amp; "BalanceType" &amp; "," &amp; $D$7 &amp; "," &amp; $D$8 &amp; ")", CellContents, 1740155,66)</f>
        <v>1740155</v>
      </c>
      <c r="H43" s="25"/>
      <c r="I43" s="36">
        <f>F43-G43</f>
        <v>-3222420</v>
      </c>
      <c r="J43" s="59">
        <f t="shared" si="3"/>
        <v>-1.8518005579962704</v>
      </c>
    </row>
    <row r="44" spans="3:10" s="21" customFormat="1" ht="16.5" customHeight="1" x14ac:dyDescent="0.3">
      <c r="C44" s="34" t="s">
        <v>51</v>
      </c>
      <c r="D44" s="35" t="s">
        <v>46</v>
      </c>
      <c r="E44" s="22"/>
      <c r="F44" s="36">
        <f>CHOOSE(B, "-GLClosingBalance(" &amp; "Account" &amp; "," &amp; $D$4 &amp; "," &amp; $D$5 &amp; "," &amp; $D$6 &amp; "," &amp; "AccountGroupCode" &amp; "," &amp; "AccountCategoryCode" &amp; "," &amp; "AccountStructureCode" &amp; "," &amp; $C44 &amp; "," &amp; "BalanceType" &amp; "," &amp; $D$7 &amp; "," &amp; $D$8 &amp; ")", CellContents, 88110,4800000002)</f>
        <v>88110</v>
      </c>
      <c r="G44" s="36">
        <f>CHOOSE(B, "-GLClosingBalance(" &amp; "Account" &amp; "," &amp; $D$4 &amp; "," &amp; $G$11 &amp; "," &amp; $D$6 &amp; "," &amp; "AccountGroupCode" &amp; "," &amp; "AccountCategoryCode" &amp; "," &amp; "AccountStructureCode" &amp; "," &amp; $C44 &amp; "," &amp; "BalanceType" &amp; "," &amp; $D$7 &amp; "," &amp; $D$8 &amp; ")", CellContents, -7618833,14)</f>
        <v>-7618833</v>
      </c>
      <c r="H44" s="25"/>
      <c r="I44" s="36">
        <f>F44-G44</f>
        <v>7706943</v>
      </c>
      <c r="J44" s="59">
        <f t="shared" si="3"/>
        <v>-1.0115647632649252</v>
      </c>
    </row>
    <row r="45" spans="3:10" s="21" customFormat="1" ht="16.5" customHeight="1" x14ac:dyDescent="0.3">
      <c r="C45" s="34"/>
      <c r="D45" s="38" t="s">
        <v>47</v>
      </c>
      <c r="E45" s="22"/>
      <c r="F45" s="39">
        <f>SUM(F42:F44)</f>
        <v>-1144155</v>
      </c>
      <c r="G45" s="39">
        <f>SUM(G42:G44)</f>
        <v>-5628678</v>
      </c>
      <c r="H45" s="25"/>
      <c r="I45" s="39">
        <f>SUM(I42:I44)</f>
        <v>4484523</v>
      </c>
      <c r="J45" s="66">
        <f t="shared" si="3"/>
        <v>-0.79672757972653618</v>
      </c>
    </row>
    <row r="46" spans="3:10" s="21" customFormat="1" ht="16.5" customHeight="1" x14ac:dyDescent="0.3">
      <c r="C46" s="34"/>
      <c r="D46" s="35"/>
      <c r="E46" s="22"/>
      <c r="F46" s="36"/>
      <c r="G46" s="36"/>
      <c r="H46" s="25"/>
      <c r="I46" s="36"/>
      <c r="J46" s="59"/>
    </row>
    <row r="47" spans="3:10" s="21" customFormat="1" ht="16.5" customHeight="1" x14ac:dyDescent="0.3">
      <c r="C47" s="34"/>
      <c r="D47" s="44" t="s">
        <v>48</v>
      </c>
      <c r="E47" s="27"/>
      <c r="F47" s="45">
        <f>F40+F45</f>
        <v>13109723</v>
      </c>
      <c r="G47" s="45">
        <f>G40+G45</f>
        <v>7025945</v>
      </c>
      <c r="H47" s="63"/>
      <c r="I47" s="45">
        <f>I40+I45</f>
        <v>6083778</v>
      </c>
      <c r="J47" s="64">
        <f t="shared" si="3"/>
        <v>0.865901739908297</v>
      </c>
    </row>
    <row r="48" spans="3:10" s="21" customFormat="1" ht="16.5" customHeight="1" x14ac:dyDescent="0.3">
      <c r="C48" s="34"/>
      <c r="D48" s="35"/>
      <c r="E48" s="22"/>
      <c r="F48" s="36"/>
      <c r="G48" s="25"/>
      <c r="H48" s="25"/>
      <c r="I48" s="36"/>
      <c r="J48" s="59"/>
    </row>
    <row r="49" spans="3:10" s="21" customFormat="1" ht="16.5" customHeight="1" x14ac:dyDescent="0.3">
      <c r="C49" s="55"/>
      <c r="E49" s="12"/>
      <c r="I49" s="69"/>
      <c r="J49" s="70"/>
    </row>
    <row r="50" spans="3:10" s="21" customFormat="1" ht="16.5" customHeight="1" x14ac:dyDescent="0.3">
      <c r="C50" s="55"/>
      <c r="E50" s="12"/>
      <c r="I50" s="69"/>
      <c r="J50" s="70"/>
    </row>
    <row r="51" spans="3:10" s="21" customFormat="1" ht="16.5" customHeight="1" x14ac:dyDescent="0.3">
      <c r="C51" s="55"/>
      <c r="E51" s="12"/>
      <c r="I51" s="69"/>
      <c r="J51" s="70"/>
    </row>
    <row r="52" spans="3:10" ht="16.5" customHeight="1" x14ac:dyDescent="0.3">
      <c r="C52" s="56"/>
      <c r="J52" s="71"/>
    </row>
    <row r="53" spans="3:10" ht="16.5" customHeight="1" x14ac:dyDescent="0.3">
      <c r="C53" s="56"/>
      <c r="J53" s="71"/>
    </row>
    <row r="54" spans="3:10" ht="16.5" customHeight="1" x14ac:dyDescent="0.3">
      <c r="J54" s="71"/>
    </row>
    <row r="55" spans="3:10" ht="16.5" customHeight="1" x14ac:dyDescent="0.3">
      <c r="J55" s="72"/>
    </row>
  </sheetData>
  <mergeCells count="5">
    <mergeCell ref="C10:C11"/>
    <mergeCell ref="D10:D11"/>
    <mergeCell ref="F10:G10"/>
    <mergeCell ref="I10:J10"/>
    <mergeCell ref="F4:I7"/>
  </mergeCells>
  <dataValidations count="3">
    <dataValidation type="list" allowBlank="1" showInputMessage="1" sqref="D5 G11">
      <formula1>FiscalYearsTemplate</formula1>
    </dataValidation>
    <dataValidation type="list" allowBlank="1" showInputMessage="1" showErrorMessage="1" sqref="D6">
      <formula1>Periods</formula1>
    </dataValidation>
    <dataValidation type="list" allowBlank="1" showInputMessage="1" showErrorMessage="1" sqref="D4">
      <formula1>CompaniesTemplate</formula1>
    </dataValidation>
  </dataValidations>
  <hyperlinks>
    <hyperlink ref="B2" location="Home!A1" tooltip="Click to navigate to the Home sheet." display="ß"/>
  </hyperlinks>
  <pageMargins left="0.31496062992125984" right="0.31496062992125984" top="0.74803149606299213" bottom="0.74803149606299213" header="0.31496062992125984" footer="0.31496062992125984"/>
  <pageSetup paperSize="9" scale="80" orientation="portrait" r:id="rId1"/>
  <headerFooter>
    <oddFooter>&amp;L&amp;D  &amp;T&amp;RPage :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7"/>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43.5703125" style="12" bestFit="1" customWidth="1"/>
    <col min="5" max="5" width="1.85546875" style="12" customWidth="1"/>
    <col min="6" max="7" width="14.42578125" style="12" customWidth="1"/>
    <col min="8" max="8" width="1.85546875" style="12" customWidth="1"/>
    <col min="9" max="10" width="14.42578125" style="12" customWidth="1"/>
    <col min="11" max="16384" width="9.140625" style="12"/>
  </cols>
  <sheetData>
    <row r="1" spans="2:11" ht="15" customHeight="1" x14ac:dyDescent="0.3"/>
    <row r="2" spans="2:11" ht="33.75" customHeight="1" x14ac:dyDescent="0.7">
      <c r="B2" s="81" t="s">
        <v>52</v>
      </c>
      <c r="C2" s="14" t="str">
        <f>CONCATENATE(D4," - Balance Sheet")</f>
        <v>SAMLTD - Balance Sheet</v>
      </c>
      <c r="D2" s="15"/>
    </row>
    <row r="3" spans="2:11" ht="12" customHeight="1" x14ac:dyDescent="0.7">
      <c r="C3" s="15"/>
      <c r="D3" s="15"/>
    </row>
    <row r="4" spans="2:11" ht="16.5" customHeight="1" x14ac:dyDescent="0.3">
      <c r="C4" s="16" t="s">
        <v>18</v>
      </c>
      <c r="D4" s="31" t="str">
        <f>INDEX(Companies,1)</f>
        <v>SAMLTD</v>
      </c>
      <c r="F4" s="107" t="s">
        <v>74</v>
      </c>
      <c r="G4" s="107"/>
      <c r="H4" s="107"/>
      <c r="I4" s="107"/>
    </row>
    <row r="5" spans="2:11" x14ac:dyDescent="0.3">
      <c r="C5" s="16" t="s">
        <v>24</v>
      </c>
      <c r="D5" s="31">
        <f>CHOOSE(B, "GLCurrentYear(" &amp; $D$4 &amp; ")", CellContents, 2020)</f>
        <v>2020</v>
      </c>
      <c r="F5" s="107"/>
      <c r="G5" s="107"/>
      <c r="H5" s="107"/>
      <c r="I5" s="107"/>
    </row>
    <row r="6" spans="2:11" x14ac:dyDescent="0.3">
      <c r="C6" s="16" t="s">
        <v>17</v>
      </c>
      <c r="D6" s="58">
        <f>CHOOSE(B, "GLCurrentPeriod(" &amp; $D$4 &amp; ")", CellContents, 1)</f>
        <v>1</v>
      </c>
      <c r="F6" s="107"/>
      <c r="G6" s="107"/>
      <c r="H6" s="107"/>
      <c r="I6" s="107"/>
    </row>
    <row r="7" spans="2:11" x14ac:dyDescent="0.3">
      <c r="C7" s="16" t="s">
        <v>19</v>
      </c>
      <c r="D7" s="17" t="str">
        <f>CHOOSE(B, "GLHomeCurrency(" &amp; $D$4 &amp; ")", CellContents, "CAD")</f>
        <v>CAD</v>
      </c>
      <c r="F7" s="107"/>
      <c r="G7" s="107"/>
      <c r="H7" s="107"/>
      <c r="I7" s="107"/>
    </row>
    <row r="8" spans="2:11" x14ac:dyDescent="0.3">
      <c r="C8" s="16" t="s">
        <v>20</v>
      </c>
      <c r="D8" s="17" t="s">
        <v>21</v>
      </c>
    </row>
    <row r="9" spans="2:11" x14ac:dyDescent="0.3">
      <c r="C9" s="16" t="s">
        <v>30</v>
      </c>
      <c r="D9" s="30" t="s">
        <v>31</v>
      </c>
    </row>
    <row r="10" spans="2:11" ht="12" customHeight="1" x14ac:dyDescent="0.3">
      <c r="C10" s="57"/>
      <c r="D10" s="58"/>
    </row>
    <row r="11" spans="2:11" x14ac:dyDescent="0.3">
      <c r="C11" s="106" t="s">
        <v>25</v>
      </c>
      <c r="D11" s="106" t="s">
        <v>26</v>
      </c>
      <c r="E11" s="13"/>
      <c r="F11" s="106" t="s">
        <v>8</v>
      </c>
      <c r="G11" s="106"/>
      <c r="H11" s="13"/>
      <c r="I11" s="108" t="s">
        <v>28</v>
      </c>
      <c r="J11" s="108"/>
    </row>
    <row r="12" spans="2:11" ht="33.75" customHeight="1" x14ac:dyDescent="0.3">
      <c r="C12" s="106"/>
      <c r="D12" s="106"/>
      <c r="E12" s="13"/>
      <c r="F12" s="32" t="s">
        <v>22</v>
      </c>
      <c r="G12" s="32" t="s">
        <v>23</v>
      </c>
      <c r="H12" s="13"/>
      <c r="I12" s="32" t="s">
        <v>49</v>
      </c>
      <c r="J12" s="32" t="s">
        <v>29</v>
      </c>
    </row>
    <row r="13" spans="2:11" ht="16.5" customHeight="1" x14ac:dyDescent="0.3"/>
    <row r="14" spans="2:11" ht="16.5" customHeight="1" x14ac:dyDescent="0.3">
      <c r="D14" s="33" t="s">
        <v>38</v>
      </c>
    </row>
    <row r="15" spans="2:11" ht="6.95" customHeight="1" x14ac:dyDescent="0.3">
      <c r="D15" s="33"/>
    </row>
    <row r="16" spans="2:11" s="21" customFormat="1" ht="16.5" customHeight="1" x14ac:dyDescent="0.3">
      <c r="C16" s="34">
        <v>10</v>
      </c>
      <c r="D16" s="35" t="str">
        <f>MID("Cash and Cash Equivalents", 1, 255)</f>
        <v>Cash and Cash Equivalents</v>
      </c>
      <c r="E16" s="22"/>
      <c r="F16" s="36">
        <f>CHOOSE(B, "GLClosingBalance(" &amp; "Account" &amp; "," &amp; $D$4 &amp; "," &amp; $D$5 &amp; "," &amp; $D$6 &amp; "," &amp; "AccountGroupCode" &amp; "," &amp; $C16 &amp; "," &amp; "AccountStructureCode" &amp; "," &amp; "AccountType" &amp; "," &amp; "BalanceType" &amp; "," &amp; $D$7 &amp; "," &amp; $D$8 &amp; ")", CellContents, 7912363,97)</f>
        <v>7912363</v>
      </c>
      <c r="G16" s="36">
        <f>CHOOSE(B, "GLBudgetYTD(" &amp; "Account" &amp; "," &amp; $D$4 &amp; "," &amp; $D$5 &amp; "," &amp; $D$6 &amp; "," &amp; $D$9 &amp; "," &amp; "AccountGroupCode" &amp; "," &amp; $C16 &amp; "," &amp; "AccountStructureCode" &amp; "," &amp; "AccountType" &amp; "," &amp; "BalanceType" &amp; "," &amp; $D$7 &amp; "," &amp; $D$8 &amp; ")", CellContents, 0)</f>
        <v>0</v>
      </c>
      <c r="H16" s="25"/>
      <c r="I16" s="36">
        <f>F16-G16</f>
        <v>7912363</v>
      </c>
      <c r="J16" s="59">
        <f>IFERROR(I16/G16,0)</f>
        <v>0</v>
      </c>
      <c r="K16" s="28"/>
    </row>
    <row r="17" spans="3:11" s="21" customFormat="1" ht="16.5" customHeight="1" x14ac:dyDescent="0.3">
      <c r="C17" s="34">
        <v>20</v>
      </c>
      <c r="D17" s="35" t="str">
        <f>MID("Accounts Receivable", 1, 255)</f>
        <v>Accounts Receivable</v>
      </c>
      <c r="E17" s="22"/>
      <c r="F17" s="36">
        <f>CHOOSE(B, "GLClosingBalance(" &amp; "Account" &amp; "," &amp; $D$4 &amp; "," &amp; $D$5 &amp; "," &amp; $D$6 &amp; "," &amp; "AccountGroupCode" &amp; "," &amp; $C17 &amp; "," &amp; "AccountStructureCode" &amp; "," &amp; "AccountType" &amp; "," &amp; "BalanceType" &amp; "," &amp; $D$7 &amp; "," &amp; $D$8 &amp; ")", CellContents, 2969264,75)</f>
        <v>2969264</v>
      </c>
      <c r="G17" s="36">
        <f>CHOOSE(B, "GLBudgetYTD(" &amp; "Account" &amp; "," &amp; $D$4 &amp; "," &amp; $D$5 &amp; "," &amp; $D$6 &amp; "," &amp; $D$9 &amp; "," &amp; "AccountGroupCode" &amp; "," &amp; $C17 &amp; "," &amp; "AccountStructureCode" &amp; "," &amp; "AccountType" &amp; "," &amp; "BalanceType" &amp; "," &amp; $D$7 &amp; "," &amp; $D$8 &amp; ")", CellContents, 0)</f>
        <v>0</v>
      </c>
      <c r="H17" s="25"/>
      <c r="I17" s="36">
        <f t="shared" ref="I17:I19" si="0">F17-G17</f>
        <v>2969264</v>
      </c>
      <c r="J17" s="59">
        <f t="shared" ref="J17:J28" si="1">IFERROR(I17/G17,0)</f>
        <v>0</v>
      </c>
      <c r="K17" s="28"/>
    </row>
    <row r="18" spans="3:11" s="21" customFormat="1" ht="16.5" customHeight="1" x14ac:dyDescent="0.3">
      <c r="C18" s="34">
        <v>30</v>
      </c>
      <c r="D18" s="35" t="str">
        <f>MID("Inventory", 1, 255)</f>
        <v>Inventory</v>
      </c>
      <c r="E18" s="22"/>
      <c r="F18" s="36">
        <f>CHOOSE(B, "GLClosingBalance(" &amp; "Account" &amp; "," &amp; $D$4 &amp; "," &amp; $D$5 &amp; "," &amp; $D$6 &amp; "," &amp; "AccountGroupCode" &amp; "," &amp; $C18 &amp; "," &amp; "AccountStructureCode" &amp; "," &amp; "AccountType" &amp; "," &amp; "BalanceType" &amp; "," &amp; $D$7 &amp; "," &amp; $D$8 &amp; ")", CellContents, 1928978,6)</f>
        <v>1928978</v>
      </c>
      <c r="G18" s="36">
        <f>CHOOSE(B, "GLBudgetYTD(" &amp; "Account" &amp; "," &amp; $D$4 &amp; "," &amp; $D$5 &amp; "," &amp; $D$6 &amp; "," &amp; $D$9 &amp; "," &amp; "AccountGroupCode" &amp; "," &amp; $C18 &amp; "," &amp; "AccountStructureCode" &amp; "," &amp; "AccountType" &amp; "," &amp; "BalanceType" &amp; "," &amp; $D$7 &amp; "," &amp; $D$8 &amp; ")", CellContents, 0)</f>
        <v>0</v>
      </c>
      <c r="H18" s="25"/>
      <c r="I18" s="36">
        <f t="shared" si="0"/>
        <v>1928978</v>
      </c>
      <c r="J18" s="59">
        <f t="shared" si="1"/>
        <v>0</v>
      </c>
      <c r="K18" s="28"/>
    </row>
    <row r="19" spans="3:11" s="21" customFormat="1" ht="16.5" customHeight="1" x14ac:dyDescent="0.3">
      <c r="C19" s="34">
        <v>40</v>
      </c>
      <c r="D19" s="35" t="str">
        <f>MID("Other Current Assets", 1, 255)</f>
        <v>Other Current Assets</v>
      </c>
      <c r="E19" s="22"/>
      <c r="F19" s="36">
        <f>CHOOSE(B, "GLClosingBalance(" &amp; "Account" &amp; "," &amp; $D$4 &amp; "," &amp; $D$5 &amp; "," &amp; $D$6 &amp; "," &amp; "AccountGroupCode" &amp; "," &amp; $C19 &amp; "," &amp; "AccountStructureCode" &amp; "," &amp; "AccountType" &amp; "," &amp; "BalanceType" &amp; "," &amp; $D$7 &amp; "," &amp; $D$8 &amp; ")", CellContents, 38655,49)</f>
        <v>38655</v>
      </c>
      <c r="G19" s="36">
        <f>CHOOSE(B, "GLBudgetYTD(" &amp; "Account" &amp; "," &amp; $D$4 &amp; "," &amp; $D$5 &amp; "," &amp; $D$6 &amp; "," &amp; $D$9 &amp; "," &amp; "AccountGroupCode" &amp; "," &amp; $C19 &amp; "," &amp; "AccountStructureCode" &amp; "," &amp; "AccountType" &amp; "," &amp; "BalanceType" &amp; "," &amp; $D$7 &amp; "," &amp; $D$8 &amp; ")", CellContents, 0)</f>
        <v>0</v>
      </c>
      <c r="H19" s="25"/>
      <c r="I19" s="36">
        <f t="shared" si="0"/>
        <v>38655</v>
      </c>
      <c r="J19" s="59">
        <f t="shared" si="1"/>
        <v>0</v>
      </c>
      <c r="K19" s="28"/>
    </row>
    <row r="20" spans="3:11" s="21" customFormat="1" ht="16.5" customHeight="1" x14ac:dyDescent="0.3">
      <c r="C20" s="34"/>
      <c r="D20" s="38" t="s">
        <v>39</v>
      </c>
      <c r="E20" s="22"/>
      <c r="F20" s="39">
        <f>SUM(F16:F19)</f>
        <v>12849260</v>
      </c>
      <c r="G20" s="39">
        <f>SUM(G16:G19)</f>
        <v>0</v>
      </c>
      <c r="H20" s="25"/>
      <c r="I20" s="39">
        <f>SUM(I16:I19)</f>
        <v>12849260</v>
      </c>
      <c r="J20" s="60">
        <f t="shared" si="1"/>
        <v>0</v>
      </c>
      <c r="K20" s="28"/>
    </row>
    <row r="21" spans="3:11" s="21" customFormat="1" ht="16.5" customHeight="1" x14ac:dyDescent="0.3">
      <c r="C21" s="34"/>
      <c r="D21" s="35"/>
      <c r="E21" s="22"/>
      <c r="F21" s="36"/>
      <c r="G21" s="36"/>
      <c r="H21" s="25"/>
      <c r="I21" s="49"/>
      <c r="J21" s="61"/>
      <c r="K21" s="28"/>
    </row>
    <row r="22" spans="3:11" s="21" customFormat="1" ht="16.5" customHeight="1" x14ac:dyDescent="0.3">
      <c r="C22" s="34">
        <v>50</v>
      </c>
      <c r="D22" s="35" t="str">
        <f>MID("Fixed Assets", 1, 255)</f>
        <v>Fixed Assets</v>
      </c>
      <c r="E22" s="22"/>
      <c r="F22" s="36">
        <f>CHOOSE(B, "GLClosingBalance(" &amp; "Account" &amp; "," &amp; $D$4 &amp; "," &amp; $D$5 &amp; "," &amp; $D$6 &amp; "," &amp; "AccountGroupCode" &amp; "," &amp; $C22 &amp; "," &amp; "AccountStructureCode" &amp; "," &amp; "AccountType" &amp; "," &amp; "BalanceType" &amp; "," &amp; $D$7 &amp; "," &amp; $D$8 &amp; ")", CellContents, 1062888,79)</f>
        <v>1062888</v>
      </c>
      <c r="G22" s="36">
        <f>CHOOSE(B, "GLBudgetYTD(" &amp; "Account" &amp; "," &amp; $D$4 &amp; "," &amp; $D$5 &amp; "," &amp; $D$6 &amp; "," &amp; $D$9 &amp; "," &amp; "AccountGroupCode" &amp; "," &amp; $C22 &amp; "," &amp; "AccountStructureCode" &amp; "," &amp; "AccountType" &amp; "," &amp; "BalanceType" &amp; "," &amp; $D$7 &amp; "," &amp; $D$8 &amp; ")", CellContents, 0)</f>
        <v>0</v>
      </c>
      <c r="H22" s="25"/>
      <c r="I22" s="36">
        <f t="shared" ref="I22:I23" si="2">F22-G22</f>
        <v>1062888</v>
      </c>
      <c r="J22" s="59">
        <f t="shared" si="1"/>
        <v>0</v>
      </c>
      <c r="K22" s="28"/>
    </row>
    <row r="23" spans="3:11" s="21" customFormat="1" ht="16.5" customHeight="1" x14ac:dyDescent="0.3">
      <c r="C23" s="34">
        <v>60</v>
      </c>
      <c r="D23" s="35" t="str">
        <f>MID("Accumulated Depreciation", 1, 255)</f>
        <v>Accumulated Depreciation</v>
      </c>
      <c r="E23" s="22"/>
      <c r="F23" s="36">
        <f>CHOOSE(B, "GLClosingBalance(" &amp; "Account" &amp; "," &amp; $D$4 &amp; "," &amp; $D$5 &amp; "," &amp; $D$6 &amp; "," &amp; "AccountGroupCode" &amp; "," &amp; $C23 &amp; "," &amp; "AccountStructureCode" &amp; "," &amp; "AccountType" &amp; "," &amp; "BalanceType" &amp; "," &amp; $D$7 &amp; "," &amp; $D$8 &amp; ")", CellContents, -802426,42)</f>
        <v>-802426</v>
      </c>
      <c r="G23" s="36">
        <f>CHOOSE(B, "GLBudgetYTD(" &amp; "Account" &amp; "," &amp; $D$4 &amp; "," &amp; $D$5 &amp; "," &amp; $D$6 &amp; "," &amp; $D$9 &amp; "," &amp; "AccountGroupCode" &amp; "," &amp; $C23 &amp; "," &amp; "AccountStructureCode" &amp; "," &amp; "AccountType" &amp; "," &amp; "BalanceType" &amp; "," &amp; $D$7 &amp; "," &amp; $D$8 &amp; ")", CellContents, 0)</f>
        <v>0</v>
      </c>
      <c r="H23" s="25"/>
      <c r="I23" s="36">
        <f t="shared" si="2"/>
        <v>-802426</v>
      </c>
      <c r="J23" s="59">
        <f t="shared" si="1"/>
        <v>0</v>
      </c>
      <c r="K23" s="28"/>
    </row>
    <row r="24" spans="3:11" s="21" customFormat="1" ht="16.5" customHeight="1" x14ac:dyDescent="0.3">
      <c r="C24" s="34"/>
      <c r="D24" s="38" t="s">
        <v>40</v>
      </c>
      <c r="E24" s="22"/>
      <c r="F24" s="39">
        <f>SUM(F22:F23)</f>
        <v>260462</v>
      </c>
      <c r="G24" s="39">
        <f>SUM(G22:G23)</f>
        <v>0</v>
      </c>
      <c r="H24" s="25"/>
      <c r="I24" s="39">
        <f>SUM(I22:I23)</f>
        <v>260462</v>
      </c>
      <c r="J24" s="60">
        <f t="shared" si="1"/>
        <v>0</v>
      </c>
      <c r="K24" s="28"/>
    </row>
    <row r="25" spans="3:11" s="21" customFormat="1" ht="16.5" customHeight="1" x14ac:dyDescent="0.3">
      <c r="C25" s="34"/>
      <c r="D25" s="35"/>
      <c r="E25" s="22"/>
      <c r="F25" s="36"/>
      <c r="G25" s="36"/>
      <c r="H25" s="62"/>
      <c r="I25" s="49"/>
      <c r="J25" s="61"/>
      <c r="K25" s="28"/>
    </row>
    <row r="26" spans="3:11" s="21" customFormat="1" ht="16.5" customHeight="1" x14ac:dyDescent="0.3">
      <c r="C26" s="34">
        <v>70</v>
      </c>
      <c r="D26" s="35" t="str">
        <f>MID("Other Assets", 1, 255)</f>
        <v>Other Assets</v>
      </c>
      <c r="E26" s="22"/>
      <c r="F26" s="36">
        <f>CHOOSE(B, "GLClosingBalance(" &amp; "Account" &amp; "," &amp; $D$4 &amp; "," &amp; $D$5 &amp; "," &amp; $D$6 &amp; "," &amp; "AccountGroupCode" &amp; "," &amp; $C26 &amp; "," &amp; "AccountStructureCode" &amp; "," &amp; "AccountType" &amp; "," &amp; "BalanceType" &amp; "," &amp; $D$7 &amp; "," &amp; $D$8 &amp; ")", CellContents, 0)</f>
        <v>0</v>
      </c>
      <c r="G26" s="36">
        <f>CHOOSE(B, "GLBudgetYTD(" &amp; "Account" &amp; "," &amp; $D$4 &amp; "," &amp; $D$5 &amp; "," &amp; $D$6 &amp; "," &amp; $D$9 &amp; "," &amp; "AccountGroupCode" &amp; "," &amp; $C26 &amp; "," &amp; "AccountStructureCode" &amp; "," &amp; "AccountType" &amp; "," &amp; "BalanceType" &amp; "," &amp; $D$7 &amp; "," &amp; $D$8 &amp; ")", CellContents, 0)</f>
        <v>0</v>
      </c>
      <c r="H26" s="25"/>
      <c r="I26" s="36">
        <f t="shared" ref="I26" si="3">F26-G26</f>
        <v>0</v>
      </c>
      <c r="J26" s="59">
        <f t="shared" si="1"/>
        <v>0</v>
      </c>
      <c r="K26" s="28"/>
    </row>
    <row r="27" spans="3:11" s="21" customFormat="1" ht="16.5" customHeight="1" x14ac:dyDescent="0.3">
      <c r="C27" s="34"/>
      <c r="D27" s="35"/>
      <c r="E27" s="22"/>
      <c r="F27" s="36"/>
      <c r="G27" s="36"/>
      <c r="H27" s="25"/>
      <c r="I27" s="36"/>
      <c r="J27" s="59"/>
      <c r="K27" s="28"/>
    </row>
    <row r="28" spans="3:11" s="21" customFormat="1" ht="16.5" customHeight="1" x14ac:dyDescent="0.3">
      <c r="C28" s="34"/>
      <c r="D28" s="44" t="s">
        <v>41</v>
      </c>
      <c r="E28" s="27"/>
      <c r="F28" s="45">
        <f>F20+F24+F26</f>
        <v>13109722</v>
      </c>
      <c r="G28" s="45">
        <f>G20+G24+G26</f>
        <v>0</v>
      </c>
      <c r="H28" s="63"/>
      <c r="I28" s="45">
        <f>I20+I24+I26</f>
        <v>13109722</v>
      </c>
      <c r="J28" s="64">
        <f t="shared" si="1"/>
        <v>0</v>
      </c>
      <c r="K28" s="28"/>
    </row>
    <row r="29" spans="3:11" s="21" customFormat="1" ht="16.5" customHeight="1" x14ac:dyDescent="0.3">
      <c r="C29" s="34"/>
      <c r="D29" s="35"/>
      <c r="E29" s="22"/>
      <c r="F29" s="36"/>
      <c r="G29" s="36"/>
      <c r="H29" s="25"/>
      <c r="I29" s="36"/>
      <c r="J29" s="59"/>
      <c r="K29" s="28"/>
    </row>
    <row r="30" spans="3:11" s="21" customFormat="1" ht="16.5" customHeight="1" x14ac:dyDescent="0.3">
      <c r="C30" s="34"/>
      <c r="D30" s="35"/>
      <c r="E30" s="22"/>
      <c r="F30" s="36"/>
      <c r="G30" s="36"/>
      <c r="H30" s="25"/>
      <c r="I30" s="36"/>
      <c r="J30" s="59"/>
      <c r="K30" s="28"/>
    </row>
    <row r="31" spans="3:11" s="21" customFormat="1" ht="16.5" customHeight="1" x14ac:dyDescent="0.3">
      <c r="C31" s="34"/>
      <c r="D31" s="33" t="s">
        <v>42</v>
      </c>
      <c r="E31" s="23"/>
      <c r="F31" s="36"/>
      <c r="G31" s="36"/>
      <c r="H31" s="65"/>
      <c r="I31" s="36"/>
      <c r="J31" s="59"/>
    </row>
    <row r="32" spans="3:11" s="21" customFormat="1" ht="6.95" customHeight="1" x14ac:dyDescent="0.3">
      <c r="C32" s="34"/>
      <c r="D32" s="33"/>
      <c r="E32" s="23"/>
      <c r="F32" s="36"/>
      <c r="G32" s="36"/>
      <c r="H32" s="65"/>
      <c r="I32" s="36"/>
      <c r="J32" s="59"/>
    </row>
    <row r="33" spans="3:12" s="21" customFormat="1" ht="16.5" customHeight="1" x14ac:dyDescent="0.3">
      <c r="C33" s="34">
        <v>80</v>
      </c>
      <c r="D33" s="35" t="str">
        <f>MID("Accounts Payable", 1, 255)</f>
        <v>Accounts Payable</v>
      </c>
      <c r="E33" s="22"/>
      <c r="F33" s="36">
        <f>CHOOSE(B, "-GLClosingBalance(" &amp; "Account" &amp; "," &amp; $D$4 &amp; "," &amp; $D$5 &amp; "," &amp; $D$6 &amp; "," &amp; "AccountGroupCode" &amp; "," &amp; $C33 &amp; "," &amp; "AccountStructureCode" &amp; "," &amp; "AccountType" &amp; "," &amp; "BalanceType" &amp; "," &amp; $D$7 &amp; "," &amp; $D$8 &amp; ")", CellContents, 12993043,12)</f>
        <v>12993043</v>
      </c>
      <c r="G33" s="36">
        <f>CHOOSE(B, "-GLBudgetYTD(" &amp; "Account" &amp; "," &amp; $D$4 &amp; "," &amp; $D$5 &amp; "," &amp; $D$6 &amp; "," &amp; $D$9 &amp; "," &amp; "AccountGroupCode" &amp; "," &amp; $C33 &amp; "," &amp; "AccountStructureCode" &amp; "," &amp; "AccountType" &amp; "," &amp; "BalanceType" &amp; "," &amp; $D$7 &amp; "," &amp; $D$8 &amp; ")", CellContents, 0)</f>
        <v>0</v>
      </c>
      <c r="H33" s="25"/>
      <c r="I33" s="36">
        <f t="shared" ref="I33:I34" si="4">F33-G33</f>
        <v>12993043</v>
      </c>
      <c r="J33" s="59">
        <f t="shared" ref="J33:J35" si="5">IFERROR(I33/G33,0)</f>
        <v>0</v>
      </c>
    </row>
    <row r="34" spans="3:12" s="21" customFormat="1" ht="16.5" customHeight="1" x14ac:dyDescent="0.3">
      <c r="C34" s="34">
        <v>90</v>
      </c>
      <c r="D34" s="35" t="str">
        <f>MID("Other Current Liabilities", 1, 255)</f>
        <v>Other Current Liabilities</v>
      </c>
      <c r="E34" s="22"/>
      <c r="F34" s="36">
        <f>CHOOSE(B, "-GLClosingBalance(" &amp; "Account" &amp; "," &amp; $D$4 &amp; "," &amp; $D$5 &amp; "," &amp; $D$6 &amp; "," &amp; "AccountGroupCode" &amp; "," &amp; $C34 &amp; "," &amp; "AccountStructureCode" &amp; "," &amp; "AccountType" &amp; "," &amp; "BalanceType" &amp; "," &amp; $D$7 &amp; "," &amp; $D$8 &amp; ")", CellContents, 971872,89)</f>
        <v>971872</v>
      </c>
      <c r="G34" s="36">
        <f>CHOOSE(B, "-GLBudgetYTD(" &amp; "Account" &amp; "," &amp; $D$4 &amp; "," &amp; $D$5 &amp; "," &amp; $D$6 &amp; "," &amp; $D$9 &amp; "," &amp; "AccountGroupCode" &amp; "," &amp; $C34 &amp; "," &amp; "AccountStructureCode" &amp; "," &amp; "AccountType" &amp; "," &amp; "BalanceType" &amp; "," &amp; $D$7 &amp; "," &amp; $D$8 &amp; ")", CellContents, 0)</f>
        <v>0</v>
      </c>
      <c r="H34" s="25"/>
      <c r="I34" s="36">
        <f t="shared" si="4"/>
        <v>971872</v>
      </c>
      <c r="J34" s="59">
        <f t="shared" si="5"/>
        <v>0</v>
      </c>
    </row>
    <row r="35" spans="3:12" s="21" customFormat="1" ht="16.5" customHeight="1" x14ac:dyDescent="0.3">
      <c r="C35" s="34"/>
      <c r="D35" s="38" t="s">
        <v>43</v>
      </c>
      <c r="E35" s="22"/>
      <c r="F35" s="39">
        <f>SUM(F33:F34)</f>
        <v>13964915</v>
      </c>
      <c r="G35" s="39">
        <f>SUM(G33:G34)</f>
        <v>0</v>
      </c>
      <c r="H35" s="25"/>
      <c r="I35" s="39">
        <f>SUM(I33:I34)</f>
        <v>13964915</v>
      </c>
      <c r="J35" s="66">
        <f t="shared" si="5"/>
        <v>0</v>
      </c>
    </row>
    <row r="36" spans="3:12" s="21" customFormat="1" ht="16.5" customHeight="1" x14ac:dyDescent="0.3">
      <c r="C36" s="34"/>
      <c r="D36" s="35"/>
      <c r="E36" s="22"/>
      <c r="F36" s="36"/>
      <c r="G36" s="36"/>
      <c r="H36" s="25"/>
      <c r="I36" s="36"/>
      <c r="J36" s="59"/>
    </row>
    <row r="37" spans="3:12" s="21" customFormat="1" ht="16.5" customHeight="1" x14ac:dyDescent="0.3">
      <c r="C37" s="34">
        <v>100</v>
      </c>
      <c r="D37" s="35" t="str">
        <f>MID("Long Term Liabilities", 1, 255)</f>
        <v>Long Term Liabilities</v>
      </c>
      <c r="E37" s="22"/>
      <c r="F37" s="36">
        <f>CHOOSE(B, "-GLClosingBalance(" &amp; "Account" &amp; "," &amp; $D$4 &amp; "," &amp; $D$5 &amp; "," &amp; $D$6 &amp; "," &amp; "AccountGroupCode" &amp; "," &amp; $C37 &amp; "," &amp; "AccountStructureCode" &amp; "," &amp; "AccountType" &amp; "," &amp; "BalanceType" &amp; "," &amp; $D$7 &amp; "," &amp; $D$8 &amp; ")", CellContents, 288963,54)</f>
        <v>288963</v>
      </c>
      <c r="G37" s="36">
        <f>CHOOSE(B, "-GLBudgetYTD(" &amp; "Account" &amp; "," &amp; $D$4 &amp; "," &amp; $D$5 &amp; "," &amp; $D$6 &amp; "," &amp; $D$9 &amp; "," &amp; "AccountGroupCode" &amp; "," &amp; $C37 &amp; "," &amp; "AccountStructureCode" &amp; "," &amp; "AccountType" &amp; "," &amp; "BalanceType" &amp; "," &amp; $D$7 &amp; "," &amp; $D$8 &amp; ")", CellContents, 0)</f>
        <v>0</v>
      </c>
      <c r="H37" s="25"/>
      <c r="I37" s="36">
        <f t="shared" ref="I37:I38" si="6">F37-G37</f>
        <v>288963</v>
      </c>
      <c r="J37" s="59">
        <f t="shared" ref="J37:J41" si="7">IFERROR(I37/G37,0)</f>
        <v>0</v>
      </c>
    </row>
    <row r="38" spans="3:12" s="21" customFormat="1" ht="16.5" customHeight="1" x14ac:dyDescent="0.3">
      <c r="C38" s="34">
        <v>110</v>
      </c>
      <c r="D38" s="35" t="str">
        <f>MID("Other Liabilities", 1, 255)</f>
        <v>Other Liabilities</v>
      </c>
      <c r="E38" s="22"/>
      <c r="F38" s="36">
        <f>CHOOSE(B, "-GLClosingBalance(" &amp; "Account" &amp; "," &amp; $D$4 &amp; "," &amp; $D$5 &amp; "," &amp; $D$6 &amp; "," &amp; "AccountGroupCode" &amp; "," &amp; $C38 &amp; "," &amp; "AccountStructureCode" &amp; "," &amp; "AccountType" &amp; "," &amp; "BalanceType" &amp; "," &amp; $D$7 &amp; "," &amp; $D$8 &amp; ")", CellContents, 0)</f>
        <v>0</v>
      </c>
      <c r="G38" s="36">
        <f>CHOOSE(B, "-GLBudgetYTD(" &amp; "Account" &amp; "," &amp; $D$4 &amp; "," &amp; $D$5 &amp; "," &amp; $D$6 &amp; "," &amp; $D$9 &amp; "," &amp; "AccountGroupCode" &amp; "," &amp; $C38 &amp; "," &amp; "AccountStructureCode" &amp; "," &amp; "AccountType" &amp; "," &amp; "BalanceType" &amp; "," &amp; $D$7 &amp; "," &amp; $D$8 &amp; ")", CellContents, 0)</f>
        <v>0</v>
      </c>
      <c r="H38" s="25"/>
      <c r="I38" s="36">
        <f t="shared" si="6"/>
        <v>0</v>
      </c>
      <c r="J38" s="59">
        <f t="shared" si="7"/>
        <v>0</v>
      </c>
    </row>
    <row r="39" spans="3:12" s="21" customFormat="1" ht="16.5" customHeight="1" x14ac:dyDescent="0.3">
      <c r="C39" s="34"/>
      <c r="D39" s="38" t="s">
        <v>44</v>
      </c>
      <c r="E39" s="22"/>
      <c r="F39" s="39">
        <f>SUM(F37:F38)</f>
        <v>288963</v>
      </c>
      <c r="G39" s="39">
        <f>SUM(G37:G38)</f>
        <v>0</v>
      </c>
      <c r="H39" s="25"/>
      <c r="I39" s="39">
        <f>SUM(I37:I38)</f>
        <v>288963</v>
      </c>
      <c r="J39" s="66">
        <f t="shared" si="7"/>
        <v>0</v>
      </c>
    </row>
    <row r="40" spans="3:12" s="21" customFormat="1" ht="16.5" customHeight="1" x14ac:dyDescent="0.3">
      <c r="C40" s="34"/>
      <c r="D40" s="48"/>
      <c r="E40" s="67"/>
      <c r="F40" s="49"/>
      <c r="G40" s="49"/>
      <c r="H40" s="62"/>
      <c r="I40" s="49"/>
      <c r="J40" s="68"/>
    </row>
    <row r="41" spans="3:12" s="21" customFormat="1" ht="16.5" customHeight="1" x14ac:dyDescent="0.3">
      <c r="C41" s="34"/>
      <c r="D41" s="38" t="s">
        <v>45</v>
      </c>
      <c r="E41" s="22"/>
      <c r="F41" s="39">
        <f>F35+F39</f>
        <v>14253878</v>
      </c>
      <c r="G41" s="39">
        <f>G35+G39</f>
        <v>0</v>
      </c>
      <c r="H41" s="25"/>
      <c r="I41" s="39">
        <f>I35+I39</f>
        <v>14253878</v>
      </c>
      <c r="J41" s="66">
        <f t="shared" si="7"/>
        <v>0</v>
      </c>
    </row>
    <row r="42" spans="3:12" s="21" customFormat="1" ht="16.5" customHeight="1" x14ac:dyDescent="0.3">
      <c r="C42" s="34"/>
      <c r="D42" s="35"/>
      <c r="E42" s="22"/>
      <c r="F42" s="36"/>
      <c r="G42" s="36"/>
      <c r="H42" s="25"/>
      <c r="I42" s="36"/>
      <c r="J42" s="59"/>
    </row>
    <row r="43" spans="3:12" s="21" customFormat="1" ht="16.5" customHeight="1" x14ac:dyDescent="0.3">
      <c r="C43" s="34">
        <v>120</v>
      </c>
      <c r="D43" s="35" t="str">
        <f>MID("Share Capital", 1, 255)</f>
        <v>Share Capital</v>
      </c>
      <c r="E43" s="22"/>
      <c r="F43" s="36">
        <f>CHOOSE(B, "-GLClosingBalance(" &amp; "Account" &amp; "," &amp; $D$4 &amp; "," &amp; $D$5 &amp; "," &amp; $D$6 &amp; "," &amp; "AccountGroupCode" &amp; "," &amp; $C43 &amp; "," &amp; "AccountStructureCode" &amp; "," &amp; "AccountType" &amp; "," &amp; "BalanceType" &amp; "," &amp; $D$7 &amp; "," &amp; $D$8 &amp; ")", CellContents, 250000)</f>
        <v>250000</v>
      </c>
      <c r="G43" s="36">
        <f>CHOOSE(B, "-GLBudgetYTD(" &amp; "Account" &amp; "," &amp; $D$4 &amp; "," &amp; $D$5 &amp; "," &amp; $D$6 &amp; "," &amp; $D$9 &amp; "," &amp; "AccountGroupCode" &amp; "," &amp; $C43 &amp; "," &amp; "AccountStructureCode" &amp; "," &amp; "AccountType" &amp; "," &amp; "BalanceType" &amp; "," &amp; $D$7 &amp; "," &amp; $D$8 &amp; ")", CellContents, 0)</f>
        <v>0</v>
      </c>
      <c r="H43" s="25"/>
      <c r="I43" s="36">
        <f t="shared" ref="I43:I45" si="8">F43-G43</f>
        <v>250000</v>
      </c>
      <c r="J43" s="59">
        <f t="shared" ref="J43:J49" si="9">IFERROR(I43/G43,0)</f>
        <v>0</v>
      </c>
    </row>
    <row r="44" spans="3:12" s="21" customFormat="1" ht="16.5" customHeight="1" x14ac:dyDescent="0.3">
      <c r="C44" s="34">
        <v>130</v>
      </c>
      <c r="D44" s="35" t="str">
        <f>MID("Shareholders Equity", 1, 255)</f>
        <v>Shareholders Equity</v>
      </c>
      <c r="E44" s="22"/>
      <c r="F44" s="36">
        <f>CHOOSE(B, "-GLClosingBalance(" &amp; "Account" &amp; "," &amp; $D$4 &amp; "," &amp; $D$5 &amp; "," &amp; $D$6 &amp; "," &amp; "AccountGroupCode" &amp; "," &amp; $C44 &amp; "," &amp; "AccountStructureCode" &amp; "," &amp; "AccountType" &amp; "," &amp; "BalanceType" &amp; "," &amp; $D$7 &amp; "," &amp; $D$8 &amp; ")", CellContents, -1482265,39)</f>
        <v>-1482265</v>
      </c>
      <c r="G44" s="36">
        <f>CHOOSE(B, "-GLBudgetYTD(" &amp; "Account" &amp; "," &amp; $D$4 &amp; "," &amp; $D$5 &amp; "," &amp; $D$6 &amp; "," &amp; $D$9 &amp; "," &amp; "AccountGroupCode" &amp; "," &amp; $C44 &amp; "," &amp; "AccountStructureCode" &amp; "," &amp; "AccountType" &amp; "," &amp; "BalanceType" &amp; "," &amp; $D$7 &amp; "," &amp; $D$8 &amp; ")", CellContents, 0)</f>
        <v>0</v>
      </c>
      <c r="H44" s="25"/>
      <c r="I44" s="36">
        <f t="shared" si="8"/>
        <v>-1482265</v>
      </c>
      <c r="J44" s="59">
        <f t="shared" si="9"/>
        <v>0</v>
      </c>
    </row>
    <row r="45" spans="3:12" s="21" customFormat="1" ht="16.5" customHeight="1" x14ac:dyDescent="0.3">
      <c r="C45" s="34" t="s">
        <v>51</v>
      </c>
      <c r="D45" s="35" t="s">
        <v>46</v>
      </c>
      <c r="E45" s="22"/>
      <c r="F45" s="36">
        <f>CHOOSE(B, "-GLActualYTD(" &amp; "Account" &amp; "," &amp; $D$4 &amp; "," &amp; D$5 &amp; "," &amp; $D$6 &amp; "," &amp; "AccountGroupCode" &amp; "," &amp; "AccountCategoryCode" &amp; "," &amp; "AccountStructureCode" &amp; "," &amp; $C45 &amp; "," &amp; "BalanceType" &amp; "," &amp; $D$7 &amp; "," &amp; $D$8 &amp; ")", CellContents, 88110,4800000002)</f>
        <v>88110</v>
      </c>
      <c r="G45" s="36">
        <f>CHOOSE(B, "-GLBudgetYTD(" &amp; "Account" &amp; "," &amp; $D$4 &amp; "," &amp; $D$5 &amp; "," &amp; $D$6 &amp; "," &amp; $D$9 &amp; "," &amp; "AccountGroupCode" &amp; "," &amp; "AccountCategoryCode" &amp; "," &amp; "AccountStructureCode" &amp; "," &amp; $C45 &amp; "," &amp; "BalanceType" &amp; "," &amp; $D$7 &amp; "," &amp; $D$8 &amp; ")", CellContents, -135000)</f>
        <v>-135000</v>
      </c>
      <c r="H45" s="25"/>
      <c r="I45" s="36">
        <f t="shared" si="8"/>
        <v>223110</v>
      </c>
      <c r="J45" s="59">
        <f t="shared" si="9"/>
        <v>-1.6526666666666667</v>
      </c>
      <c r="L45" s="80"/>
    </row>
    <row r="46" spans="3:12" s="21" customFormat="1" ht="16.5" customHeight="1" x14ac:dyDescent="0.3">
      <c r="C46" s="34"/>
      <c r="D46" s="38" t="s">
        <v>50</v>
      </c>
      <c r="E46" s="22"/>
      <c r="F46" s="39">
        <f>SUM(F43:F45)</f>
        <v>-1144155</v>
      </c>
      <c r="G46" s="39">
        <f>SUM(G43:G45)</f>
        <v>-135000</v>
      </c>
      <c r="H46" s="25"/>
      <c r="I46" s="39">
        <f>SUM(I43:I45)</f>
        <v>-1009155</v>
      </c>
      <c r="J46" s="66">
        <f t="shared" si="9"/>
        <v>7.4752222222222224</v>
      </c>
    </row>
    <row r="47" spans="3:12" s="21" customFormat="1" ht="16.5" customHeight="1" x14ac:dyDescent="0.3">
      <c r="C47" s="34"/>
      <c r="D47" s="35"/>
      <c r="E47" s="22"/>
      <c r="F47" s="36"/>
      <c r="G47" s="36"/>
      <c r="H47" s="25"/>
      <c r="I47" s="36"/>
      <c r="J47" s="59"/>
    </row>
    <row r="48" spans="3:12" s="21" customFormat="1" ht="16.5" customHeight="1" x14ac:dyDescent="0.3">
      <c r="C48" s="34"/>
      <c r="D48" s="35"/>
      <c r="E48" s="22"/>
      <c r="F48" s="36"/>
      <c r="G48" s="36"/>
      <c r="H48" s="25"/>
      <c r="I48" s="36"/>
      <c r="J48" s="59"/>
    </row>
    <row r="49" spans="3:10" s="21" customFormat="1" ht="16.5" customHeight="1" x14ac:dyDescent="0.3">
      <c r="C49" s="34"/>
      <c r="D49" s="44" t="s">
        <v>48</v>
      </c>
      <c r="E49" s="27"/>
      <c r="F49" s="45">
        <f>F41+F46</f>
        <v>13109723</v>
      </c>
      <c r="G49" s="45">
        <f>G41+G46</f>
        <v>-135000</v>
      </c>
      <c r="H49" s="63"/>
      <c r="I49" s="45">
        <f>I41+I46</f>
        <v>13244723</v>
      </c>
      <c r="J49" s="64">
        <f t="shared" si="9"/>
        <v>-98.109059259259254</v>
      </c>
    </row>
    <row r="50" spans="3:10" s="21" customFormat="1" ht="16.5" customHeight="1" x14ac:dyDescent="0.3">
      <c r="C50" s="51"/>
      <c r="D50" s="52"/>
      <c r="E50" s="29"/>
      <c r="F50" s="52"/>
      <c r="G50" s="28"/>
      <c r="H50" s="28"/>
      <c r="I50" s="69"/>
      <c r="J50" s="73"/>
    </row>
    <row r="51" spans="3:10" s="21" customFormat="1" ht="16.5" customHeight="1" x14ac:dyDescent="0.3">
      <c r="C51" s="74"/>
      <c r="D51" s="28"/>
      <c r="E51" s="29"/>
      <c r="F51" s="28"/>
      <c r="G51" s="28"/>
      <c r="H51" s="28"/>
      <c r="I51" s="69"/>
      <c r="J51" s="73"/>
    </row>
    <row r="52" spans="3:10" s="21" customFormat="1" ht="16.5" customHeight="1" x14ac:dyDescent="0.3">
      <c r="C52" s="55"/>
      <c r="E52" s="12"/>
      <c r="I52" s="69"/>
      <c r="J52" s="73"/>
    </row>
    <row r="53" spans="3:10" s="21" customFormat="1" ht="16.5" customHeight="1" x14ac:dyDescent="0.3">
      <c r="C53" s="55"/>
      <c r="E53" s="12"/>
      <c r="G53"/>
      <c r="I53" s="69"/>
      <c r="J53" s="73"/>
    </row>
    <row r="54" spans="3:10" ht="16.5" customHeight="1" x14ac:dyDescent="0.3">
      <c r="C54" s="56"/>
      <c r="J54" s="72"/>
    </row>
    <row r="55" spans="3:10" ht="16.5" customHeight="1" x14ac:dyDescent="0.3">
      <c r="C55" s="56"/>
      <c r="J55" s="72"/>
    </row>
    <row r="56" spans="3:10" ht="16.5" customHeight="1" x14ac:dyDescent="0.3">
      <c r="J56" s="72"/>
    </row>
    <row r="57" spans="3:10" ht="16.5" customHeight="1" x14ac:dyDescent="0.3">
      <c r="J57" s="72"/>
    </row>
  </sheetData>
  <mergeCells count="5">
    <mergeCell ref="C11:C12"/>
    <mergeCell ref="D11:D12"/>
    <mergeCell ref="F11:G11"/>
    <mergeCell ref="I11:J11"/>
    <mergeCell ref="F4:I7"/>
  </mergeCells>
  <dataValidations disablePrompts="1" count="3">
    <dataValidation type="list" allowBlank="1" showInputMessage="1" sqref="D5">
      <formula1>FiscalYearsTemplate</formula1>
    </dataValidation>
    <dataValidation type="list" allowBlank="1" showInputMessage="1" showErrorMessage="1" sqref="D6">
      <formula1>Periods</formula1>
    </dataValidation>
    <dataValidation type="list" allowBlank="1" showInputMessage="1" showErrorMessage="1" sqref="D4">
      <formula1>CompaniesTemplate</formula1>
    </dataValidation>
  </dataValidations>
  <hyperlinks>
    <hyperlink ref="B2" location="Home!A1" tooltip="Click to navigate to the Home sheet." display="ß"/>
  </hyperlinks>
  <pageMargins left="0.31496062992125984" right="0.31496062992125984" top="0.74803149606299213" bottom="0.74803149606299213" header="0.31496062992125984" footer="0.31496062992125984"/>
  <pageSetup paperSize="9" scale="80" orientation="portrait" r:id="rId1"/>
  <headerFooter>
    <oddFooter>&amp;L&amp;D  &amp;T&amp;RPage :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43.5703125" style="12" bestFit="1" customWidth="1"/>
    <col min="5" max="5" width="11.42578125" style="12" customWidth="1"/>
    <col min="6" max="6" width="1.85546875" style="12" customWidth="1"/>
    <col min="7" max="8" width="14.42578125" style="12" customWidth="1"/>
    <col min="9" max="9" width="1.85546875" style="12" customWidth="1"/>
    <col min="10" max="11" width="14.42578125" style="12" customWidth="1"/>
    <col min="12" max="16384" width="9.140625" style="12"/>
  </cols>
  <sheetData>
    <row r="1" spans="2:11" ht="15" customHeight="1" x14ac:dyDescent="0.3"/>
    <row r="2" spans="2:11" ht="33.75" customHeight="1" x14ac:dyDescent="0.7">
      <c r="B2" s="81" t="s">
        <v>52</v>
      </c>
      <c r="C2" s="14" t="str">
        <f>CONCATENATE(D4," - Balance Sheet")</f>
        <v>SAMLTD - Balance Sheet</v>
      </c>
      <c r="D2" s="15"/>
      <c r="E2" s="15"/>
    </row>
    <row r="3" spans="2:11" ht="12" customHeight="1" x14ac:dyDescent="0.7">
      <c r="C3" s="14"/>
      <c r="D3" s="15"/>
      <c r="E3" s="15"/>
    </row>
    <row r="4" spans="2:11" ht="17.25" customHeight="1" x14ac:dyDescent="0.3">
      <c r="C4" s="16" t="s">
        <v>18</v>
      </c>
      <c r="D4" s="31" t="str">
        <f>INDEX(Companies,1)</f>
        <v>SAMLTD</v>
      </c>
      <c r="E4" s="31"/>
      <c r="G4" s="107" t="s">
        <v>75</v>
      </c>
      <c r="H4" s="107"/>
      <c r="I4" s="107"/>
      <c r="J4" s="107"/>
      <c r="K4" s="107"/>
    </row>
    <row r="5" spans="2:11" x14ac:dyDescent="0.3">
      <c r="C5" s="16" t="s">
        <v>24</v>
      </c>
      <c r="D5" s="31">
        <f>CHOOSE(B, "GLCurrentYear(" &amp; $D$4 &amp; ")", CellContents, 2020)</f>
        <v>2020</v>
      </c>
      <c r="E5" s="31"/>
      <c r="G5" s="107"/>
      <c r="H5" s="107"/>
      <c r="I5" s="107"/>
      <c r="J5" s="107"/>
      <c r="K5" s="107"/>
    </row>
    <row r="6" spans="2:11" x14ac:dyDescent="0.3">
      <c r="C6" s="16" t="s">
        <v>17</v>
      </c>
      <c r="D6" s="58">
        <f>CHOOSE(B, "GLCurrentPeriod(" &amp; $D$4 &amp; ")", CellContents, 1)</f>
        <v>1</v>
      </c>
      <c r="E6" s="58"/>
      <c r="G6" s="107"/>
      <c r="H6" s="107"/>
      <c r="I6" s="107"/>
      <c r="J6" s="107"/>
      <c r="K6" s="107"/>
    </row>
    <row r="7" spans="2:11" x14ac:dyDescent="0.3">
      <c r="C7" s="16" t="s">
        <v>19</v>
      </c>
      <c r="D7" s="17" t="str">
        <f>CHOOSE(B, "GLHomeCurrency(" &amp; $D$4 &amp; ")", CellContents, "CAD")</f>
        <v>CAD</v>
      </c>
      <c r="E7" s="17"/>
      <c r="G7" s="107"/>
      <c r="H7" s="107"/>
      <c r="I7" s="107"/>
      <c r="J7" s="107"/>
      <c r="K7" s="107"/>
    </row>
    <row r="8" spans="2:11" x14ac:dyDescent="0.3">
      <c r="C8" s="16" t="s">
        <v>20</v>
      </c>
      <c r="D8" s="17" t="s">
        <v>21</v>
      </c>
      <c r="E8" s="17"/>
      <c r="G8" s="107"/>
      <c r="H8" s="107"/>
      <c r="I8" s="107"/>
      <c r="J8" s="107"/>
      <c r="K8" s="107"/>
    </row>
    <row r="9" spans="2:11" ht="12" customHeight="1" x14ac:dyDescent="0.3">
      <c r="C9" s="57"/>
      <c r="D9" s="58"/>
      <c r="E9" s="58"/>
    </row>
    <row r="10" spans="2:11" x14ac:dyDescent="0.3">
      <c r="C10" s="106" t="s">
        <v>65</v>
      </c>
      <c r="D10" s="106" t="s">
        <v>66</v>
      </c>
      <c r="E10" s="110" t="s">
        <v>67</v>
      </c>
      <c r="F10" s="24"/>
      <c r="G10" s="108" t="s">
        <v>27</v>
      </c>
      <c r="H10" s="108"/>
      <c r="I10" s="24"/>
      <c r="J10" s="108" t="s">
        <v>28</v>
      </c>
      <c r="K10" s="108"/>
    </row>
    <row r="11" spans="2:11" ht="33.75" customHeight="1" x14ac:dyDescent="0.3">
      <c r="C11" s="106"/>
      <c r="D11" s="106"/>
      <c r="E11" s="110"/>
      <c r="F11" s="24"/>
      <c r="G11" s="75">
        <f>D5</f>
        <v>2020</v>
      </c>
      <c r="H11" s="76">
        <v>2019</v>
      </c>
      <c r="I11" s="24"/>
      <c r="J11" s="97" t="s">
        <v>49</v>
      </c>
      <c r="K11" s="97" t="s">
        <v>29</v>
      </c>
    </row>
    <row r="12" spans="2:11" ht="8.25" customHeight="1" x14ac:dyDescent="0.3">
      <c r="E12"/>
    </row>
    <row r="13" spans="2:11" ht="16.5" customHeight="1" x14ac:dyDescent="0.3">
      <c r="C13" s="98">
        <v>1000</v>
      </c>
      <c r="D13" s="36" t="s">
        <v>69</v>
      </c>
      <c r="E13" s="36" t="s">
        <v>68</v>
      </c>
      <c r="G13" s="36">
        <f>CHOOSE(B, "GLClosingBalance(" &amp; $C13 &amp; "," &amp; $D$4 &amp; "," &amp; $D$5 &amp; "," &amp; $D$6 &amp; "," &amp; "AccountGroupCode" &amp; "," &amp;  "AccountCategoryCode"  &amp; "," &amp; $E13 &amp; "," &amp; "AccountType" &amp; "," &amp; "BalanceType" &amp; "," &amp; $D$7 &amp; "," &amp; $D$8 &amp; ")", CellContents, 10000)</f>
        <v>10000</v>
      </c>
      <c r="H13" s="36">
        <f>CHOOSE(B, "GLClosingBalance(" &amp; $C13 &amp; "," &amp; $D$4 &amp; "," &amp; $H$11 &amp; "," &amp; $D$6 &amp; "," &amp; "AccountGroupCode" &amp; "," &amp;  "AccountCategoryCode"  &amp; "," &amp; $E13 &amp; "," &amp; "AccountType" &amp; "," &amp; "BalanceType" &amp; "," &amp; $D$7 &amp; "," &amp; $D$8 &amp; ")", CellContents, 10000)</f>
        <v>10000</v>
      </c>
      <c r="J13" s="36">
        <f>G13-H13</f>
        <v>0</v>
      </c>
      <c r="K13" s="59">
        <f>IFERROR(J13/H13,0)</f>
        <v>0</v>
      </c>
    </row>
    <row r="14" spans="2:11" s="21" customFormat="1" ht="16.5" customHeight="1" x14ac:dyDescent="0.3">
      <c r="C14"/>
      <c r="D14"/>
      <c r="E14"/>
      <c r="F14" s="22"/>
      <c r="G14"/>
      <c r="H14"/>
      <c r="I14"/>
      <c r="J14"/>
      <c r="K14"/>
    </row>
    <row r="15" spans="2:11" s="21" customFormat="1" ht="16.5" customHeight="1" x14ac:dyDescent="0.3">
      <c r="C15"/>
      <c r="D15"/>
      <c r="E15"/>
      <c r="F15" s="22"/>
      <c r="G15"/>
      <c r="H15"/>
      <c r="I15"/>
      <c r="J15"/>
      <c r="K15"/>
    </row>
    <row r="16" spans="2:11" s="21" customFormat="1" ht="16.5" customHeight="1" x14ac:dyDescent="0.3">
      <c r="C16"/>
      <c r="D16"/>
      <c r="E16"/>
      <c r="F16" s="22"/>
      <c r="G16"/>
      <c r="H16"/>
      <c r="I16"/>
      <c r="J16"/>
      <c r="K16"/>
    </row>
    <row r="17" spans="3:11" s="21" customFormat="1" ht="16.5" customHeight="1" x14ac:dyDescent="0.3">
      <c r="C17"/>
      <c r="D17"/>
      <c r="E17"/>
      <c r="F17" s="22"/>
      <c r="G17"/>
      <c r="H17"/>
      <c r="I17"/>
      <c r="J17"/>
      <c r="K17"/>
    </row>
    <row r="18" spans="3:11" s="21" customFormat="1" ht="16.5" customHeight="1" x14ac:dyDescent="0.3">
      <c r="C18"/>
      <c r="D18"/>
      <c r="E18"/>
      <c r="F18" s="22"/>
      <c r="G18"/>
      <c r="H18"/>
      <c r="I18"/>
      <c r="J18"/>
      <c r="K18"/>
    </row>
    <row r="19" spans="3:11" s="21" customFormat="1" ht="16.5" customHeight="1" x14ac:dyDescent="0.3">
      <c r="C19"/>
      <c r="D19"/>
      <c r="E19"/>
      <c r="F19" s="22"/>
      <c r="G19"/>
      <c r="H19"/>
      <c r="I19"/>
      <c r="J19"/>
      <c r="K19"/>
    </row>
    <row r="20" spans="3:11" s="21" customFormat="1" ht="16.5" customHeight="1" x14ac:dyDescent="0.3">
      <c r="C20"/>
      <c r="D20"/>
      <c r="E20"/>
      <c r="F20" s="22"/>
      <c r="G20"/>
      <c r="H20"/>
      <c r="I20"/>
      <c r="J20"/>
      <c r="K20"/>
    </row>
    <row r="21" spans="3:11" s="21" customFormat="1" ht="16.5" customHeight="1" x14ac:dyDescent="0.3">
      <c r="C21"/>
      <c r="D21"/>
      <c r="E21"/>
      <c r="F21" s="22"/>
      <c r="G21"/>
      <c r="H21"/>
      <c r="I21"/>
      <c r="J21"/>
      <c r="K21"/>
    </row>
    <row r="22" spans="3:11" s="21" customFormat="1" ht="16.5" customHeight="1" x14ac:dyDescent="0.3">
      <c r="C22"/>
      <c r="D22"/>
      <c r="E22"/>
      <c r="F22" s="22"/>
      <c r="G22"/>
      <c r="H22"/>
      <c r="I22"/>
      <c r="J22"/>
      <c r="K22"/>
    </row>
    <row r="23" spans="3:11" s="21" customFormat="1" ht="16.5" customHeight="1" x14ac:dyDescent="0.3">
      <c r="C23"/>
      <c r="D23"/>
      <c r="E23"/>
      <c r="F23" s="22"/>
      <c r="G23"/>
      <c r="H23"/>
      <c r="I23"/>
      <c r="J23"/>
      <c r="K23"/>
    </row>
    <row r="24" spans="3:11" s="21" customFormat="1" ht="16.5" customHeight="1" x14ac:dyDescent="0.3">
      <c r="C24"/>
      <c r="D24"/>
      <c r="E24"/>
      <c r="F24" s="22"/>
      <c r="G24"/>
      <c r="H24"/>
      <c r="I24"/>
      <c r="J24"/>
      <c r="K24"/>
    </row>
    <row r="25" spans="3:11" s="21" customFormat="1" ht="16.5" customHeight="1" x14ac:dyDescent="0.3">
      <c r="C25"/>
      <c r="D25"/>
      <c r="E25"/>
      <c r="F25" s="22"/>
      <c r="G25"/>
      <c r="H25"/>
      <c r="I25"/>
      <c r="J25"/>
      <c r="K25"/>
    </row>
    <row r="26" spans="3:11" s="21" customFormat="1" ht="16.5" customHeight="1" x14ac:dyDescent="0.3">
      <c r="C26"/>
      <c r="D26"/>
      <c r="E26"/>
      <c r="F26" s="27"/>
      <c r="G26"/>
      <c r="H26"/>
      <c r="I26"/>
      <c r="J26"/>
      <c r="K26"/>
    </row>
    <row r="27" spans="3:11" s="21" customFormat="1" ht="16.5" customHeight="1" x14ac:dyDescent="0.3">
      <c r="C27"/>
      <c r="D27"/>
      <c r="E27"/>
      <c r="F27" s="22"/>
      <c r="G27"/>
      <c r="H27"/>
      <c r="I27"/>
      <c r="J27"/>
      <c r="K27"/>
    </row>
    <row r="28" spans="3:11" s="21" customFormat="1" ht="16.5" customHeight="1" x14ac:dyDescent="0.3">
      <c r="C28"/>
      <c r="D28"/>
      <c r="E28"/>
      <c r="F28" s="23"/>
      <c r="G28"/>
      <c r="H28"/>
      <c r="I28"/>
      <c r="J28"/>
      <c r="K28"/>
    </row>
    <row r="29" spans="3:11" s="21" customFormat="1" ht="16.5" customHeight="1" x14ac:dyDescent="0.3">
      <c r="C29"/>
      <c r="D29"/>
      <c r="E29"/>
      <c r="F29" s="23"/>
      <c r="G29"/>
      <c r="H29"/>
      <c r="I29"/>
      <c r="J29"/>
      <c r="K29"/>
    </row>
    <row r="30" spans="3:11" s="21" customFormat="1" ht="6.95" customHeight="1" x14ac:dyDescent="0.3">
      <c r="C30"/>
      <c r="D30"/>
      <c r="E30"/>
      <c r="F30" s="23"/>
      <c r="G30"/>
      <c r="H30"/>
      <c r="I30"/>
      <c r="J30"/>
      <c r="K30"/>
    </row>
    <row r="31" spans="3:11" s="21" customFormat="1" ht="16.5" customHeight="1" x14ac:dyDescent="0.3">
      <c r="C31"/>
      <c r="D31"/>
      <c r="E31"/>
      <c r="F31" s="22"/>
      <c r="G31"/>
      <c r="H31"/>
      <c r="I31"/>
      <c r="J31"/>
      <c r="K31"/>
    </row>
    <row r="32" spans="3:11" s="21" customFormat="1" ht="16.5" customHeight="1" x14ac:dyDescent="0.3">
      <c r="C32"/>
      <c r="D32"/>
      <c r="E32"/>
      <c r="F32" s="22"/>
      <c r="G32"/>
      <c r="H32"/>
      <c r="I32"/>
      <c r="J32"/>
      <c r="K32"/>
    </row>
    <row r="33" spans="3:11" s="21" customFormat="1" ht="16.5" customHeight="1" x14ac:dyDescent="0.3">
      <c r="C33"/>
      <c r="D33"/>
      <c r="E33"/>
      <c r="F33" s="22"/>
      <c r="G33"/>
      <c r="H33"/>
      <c r="I33"/>
      <c r="J33"/>
      <c r="K33"/>
    </row>
    <row r="34" spans="3:11" s="21" customFormat="1" ht="16.5" customHeight="1" x14ac:dyDescent="0.3">
      <c r="C34"/>
      <c r="D34"/>
      <c r="E34"/>
      <c r="F34" s="22"/>
      <c r="G34"/>
      <c r="H34"/>
      <c r="I34"/>
      <c r="J34"/>
      <c r="K34"/>
    </row>
    <row r="35" spans="3:11" s="21" customFormat="1" ht="16.5" customHeight="1" x14ac:dyDescent="0.3">
      <c r="C35"/>
      <c r="D35"/>
      <c r="E35"/>
      <c r="F35" s="22"/>
      <c r="G35"/>
      <c r="H35"/>
      <c r="I35"/>
      <c r="J35"/>
      <c r="K35"/>
    </row>
    <row r="36" spans="3:11" s="21" customFormat="1" ht="16.5" customHeight="1" x14ac:dyDescent="0.3">
      <c r="C36"/>
      <c r="D36"/>
      <c r="E36"/>
      <c r="F36" s="22"/>
      <c r="G36"/>
      <c r="H36"/>
      <c r="I36"/>
      <c r="J36"/>
      <c r="K36"/>
    </row>
    <row r="37" spans="3:11" s="21" customFormat="1" ht="16.5" customHeight="1" x14ac:dyDescent="0.3">
      <c r="C37"/>
      <c r="D37"/>
      <c r="E37"/>
      <c r="F37" s="22"/>
      <c r="G37"/>
      <c r="H37"/>
      <c r="I37"/>
      <c r="J37"/>
      <c r="K37"/>
    </row>
    <row r="38" spans="3:11" s="21" customFormat="1" ht="16.5" customHeight="1" x14ac:dyDescent="0.3">
      <c r="C38"/>
      <c r="D38"/>
      <c r="E38"/>
      <c r="F38" s="67"/>
      <c r="G38"/>
      <c r="H38"/>
      <c r="I38"/>
      <c r="J38"/>
      <c r="K38"/>
    </row>
    <row r="39" spans="3:11" s="21" customFormat="1" ht="16.5" customHeight="1" x14ac:dyDescent="0.3">
      <c r="C39"/>
      <c r="D39"/>
      <c r="E39"/>
      <c r="F39" s="22"/>
      <c r="G39"/>
      <c r="H39"/>
      <c r="I39"/>
      <c r="J39"/>
      <c r="K39"/>
    </row>
    <row r="40" spans="3:11" s="21" customFormat="1" ht="16.5" customHeight="1" x14ac:dyDescent="0.3">
      <c r="C40"/>
      <c r="D40"/>
      <c r="E40"/>
      <c r="F40" s="22"/>
      <c r="G40"/>
      <c r="H40"/>
      <c r="I40"/>
      <c r="J40"/>
      <c r="K40"/>
    </row>
    <row r="41" spans="3:11" s="21" customFormat="1" ht="16.5" customHeight="1" x14ac:dyDescent="0.3">
      <c r="C41"/>
      <c r="D41"/>
      <c r="E41"/>
      <c r="F41" s="22"/>
      <c r="G41"/>
      <c r="H41"/>
      <c r="I41"/>
      <c r="J41"/>
      <c r="K41"/>
    </row>
    <row r="42" spans="3:11" s="21" customFormat="1" ht="16.5" customHeight="1" x14ac:dyDescent="0.3">
      <c r="C42"/>
      <c r="D42"/>
      <c r="E42"/>
      <c r="F42" s="22"/>
      <c r="G42"/>
      <c r="H42"/>
      <c r="I42"/>
      <c r="J42"/>
      <c r="K42"/>
    </row>
    <row r="43" spans="3:11" s="21" customFormat="1" ht="16.5" customHeight="1" x14ac:dyDescent="0.3">
      <c r="C43"/>
      <c r="D43"/>
      <c r="E43"/>
      <c r="F43" s="22"/>
      <c r="G43"/>
      <c r="H43"/>
      <c r="I43"/>
      <c r="J43"/>
      <c r="K43"/>
    </row>
    <row r="44" spans="3:11" s="21" customFormat="1" ht="16.5" customHeight="1" x14ac:dyDescent="0.3">
      <c r="C44"/>
      <c r="D44"/>
      <c r="E44"/>
      <c r="F44" s="22"/>
      <c r="G44"/>
      <c r="H44"/>
      <c r="I44"/>
      <c r="J44"/>
      <c r="K44"/>
    </row>
    <row r="45" spans="3:11" s="21" customFormat="1" ht="16.5" customHeight="1" x14ac:dyDescent="0.3">
      <c r="C45"/>
      <c r="D45"/>
      <c r="E45"/>
      <c r="F45" s="22"/>
      <c r="G45"/>
      <c r="H45"/>
      <c r="I45"/>
      <c r="J45"/>
      <c r="K45"/>
    </row>
    <row r="46" spans="3:11" s="21" customFormat="1" ht="16.5" customHeight="1" x14ac:dyDescent="0.3">
      <c r="C46"/>
      <c r="D46"/>
      <c r="E46"/>
      <c r="F46" s="27"/>
      <c r="G46"/>
      <c r="H46"/>
      <c r="I46"/>
      <c r="J46"/>
      <c r="K46"/>
    </row>
    <row r="47" spans="3:11" s="21" customFormat="1" ht="16.5" customHeight="1" x14ac:dyDescent="0.3">
      <c r="C47"/>
      <c r="D47"/>
      <c r="E47"/>
      <c r="F47" s="22"/>
      <c r="G47"/>
      <c r="H47"/>
      <c r="I47"/>
      <c r="J47"/>
      <c r="K47"/>
    </row>
    <row r="48" spans="3:11" s="21" customFormat="1" ht="16.5" customHeight="1" x14ac:dyDescent="0.3">
      <c r="C48"/>
      <c r="D48"/>
      <c r="E48"/>
      <c r="F48" s="12"/>
      <c r="G48"/>
      <c r="H48"/>
      <c r="I48"/>
      <c r="J48"/>
      <c r="K48"/>
    </row>
    <row r="49" spans="3:11" s="21" customFormat="1" ht="16.5" customHeight="1" x14ac:dyDescent="0.3">
      <c r="C49"/>
      <c r="D49"/>
      <c r="E49"/>
      <c r="F49" s="12"/>
      <c r="G49"/>
      <c r="H49"/>
      <c r="I49"/>
      <c r="J49"/>
      <c r="K49"/>
    </row>
    <row r="50" spans="3:11" s="21" customFormat="1" ht="16.5" customHeight="1" x14ac:dyDescent="0.3">
      <c r="C50"/>
      <c r="D50"/>
      <c r="E50"/>
      <c r="F50" s="12"/>
      <c r="G50"/>
      <c r="H50"/>
      <c r="I50"/>
      <c r="J50"/>
      <c r="K50"/>
    </row>
    <row r="51" spans="3:11" ht="16.5" customHeight="1" x14ac:dyDescent="0.3">
      <c r="C51"/>
      <c r="D51"/>
      <c r="E51"/>
      <c r="G51"/>
      <c r="H51"/>
      <c r="I51"/>
      <c r="J51"/>
      <c r="K51"/>
    </row>
    <row r="52" spans="3:11" ht="16.5" customHeight="1" x14ac:dyDescent="0.3">
      <c r="C52"/>
      <c r="D52"/>
      <c r="E52"/>
      <c r="G52"/>
      <c r="H52"/>
      <c r="I52"/>
      <c r="J52"/>
      <c r="K52"/>
    </row>
    <row r="53" spans="3:11" ht="16.5" customHeight="1" x14ac:dyDescent="0.3">
      <c r="E53"/>
      <c r="G53"/>
      <c r="H53"/>
      <c r="I53"/>
      <c r="J53"/>
      <c r="K53"/>
    </row>
    <row r="54" spans="3:11" ht="16.5" customHeight="1" x14ac:dyDescent="0.3">
      <c r="G54"/>
      <c r="H54"/>
      <c r="I54"/>
      <c r="J54"/>
      <c r="K54"/>
    </row>
  </sheetData>
  <mergeCells count="6">
    <mergeCell ref="G4:K8"/>
    <mergeCell ref="C10:C11"/>
    <mergeCell ref="D10:D11"/>
    <mergeCell ref="G10:H10"/>
    <mergeCell ref="J10:K10"/>
    <mergeCell ref="E10:E11"/>
  </mergeCells>
  <dataValidations count="3">
    <dataValidation type="list" allowBlank="1" showInputMessage="1" showErrorMessage="1" sqref="D4:E4">
      <formula1>CompaniesTemplate</formula1>
    </dataValidation>
    <dataValidation type="list" allowBlank="1" showInputMessage="1" showErrorMessage="1" sqref="D6:E6">
      <formula1>Periods</formula1>
    </dataValidation>
    <dataValidation type="list" allowBlank="1" showInputMessage="1" sqref="D5:E5 H11">
      <formula1>FiscalYearsTemplate</formula1>
    </dataValidation>
  </dataValidations>
  <hyperlinks>
    <hyperlink ref="B2" location="Home!A1" tooltip="Click to navigate to the Home sheet." display="ß"/>
  </hyperlinks>
  <pageMargins left="0.31496062992125984" right="0.31496062992125984" top="0.74803149606299213" bottom="0.74803149606299213" header="0.31496062992125984" footer="0.31496062992125984"/>
  <pageSetup paperSize="9" scale="80" orientation="portrait" r:id="rId1"/>
  <headerFooter>
    <oddFooter>&amp;L&amp;D  &amp;T&amp;RPage :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B4" sqref="B4"/>
    </sheetView>
  </sheetViews>
  <sheetFormatPr defaultRowHeight="14.25" x14ac:dyDescent="0.25"/>
  <cols>
    <col min="1" max="1" width="7" style="5" customWidth="1"/>
    <col min="2" max="2" width="28.5703125" style="5" customWidth="1"/>
    <col min="3" max="3" width="20.85546875" style="5" customWidth="1"/>
    <col min="4" max="4" width="21.140625" style="5" bestFit="1" customWidth="1"/>
    <col min="5" max="5" width="15.28515625" style="5" bestFit="1" customWidth="1"/>
    <col min="6" max="6" width="14.5703125" style="5" bestFit="1" customWidth="1"/>
    <col min="7" max="7" width="21.42578125" style="5" bestFit="1" customWidth="1"/>
    <col min="8" max="8" width="27.5703125" style="5" bestFit="1" customWidth="1"/>
    <col min="9" max="16384" width="9.140625" style="5"/>
  </cols>
  <sheetData>
    <row r="1" spans="1:8" ht="38.25" x14ac:dyDescent="0.65">
      <c r="A1" s="81" t="s">
        <v>52</v>
      </c>
      <c r="B1" s="7" t="s">
        <v>7</v>
      </c>
      <c r="C1" s="8"/>
      <c r="D1" s="6"/>
      <c r="E1" s="6"/>
    </row>
    <row r="2" spans="1:8" ht="17.25" customHeight="1" x14ac:dyDescent="0.25">
      <c r="B2" s="4" t="s">
        <v>10</v>
      </c>
      <c r="C2" s="8"/>
      <c r="D2" s="6"/>
      <c r="E2" s="6"/>
    </row>
    <row r="3" spans="1:8" ht="15.75" x14ac:dyDescent="0.25">
      <c r="B3" s="9" t="s">
        <v>11</v>
      </c>
      <c r="C3" s="10" t="s">
        <v>12</v>
      </c>
      <c r="D3" s="9" t="s">
        <v>9</v>
      </c>
      <c r="E3" s="9" t="s">
        <v>70</v>
      </c>
      <c r="F3" s="9" t="s">
        <v>13</v>
      </c>
      <c r="G3" s="9" t="s">
        <v>71</v>
      </c>
      <c r="H3" s="9" t="s">
        <v>72</v>
      </c>
    </row>
    <row r="4" spans="1:8" x14ac:dyDescent="0.25">
      <c r="C4" s="6"/>
    </row>
    <row r="5" spans="1:8" x14ac:dyDescent="0.25">
      <c r="C5" s="6"/>
    </row>
    <row r="6" spans="1:8" x14ac:dyDescent="0.25">
      <c r="C6" s="6"/>
    </row>
    <row r="7" spans="1:8" x14ac:dyDescent="0.25">
      <c r="C7" s="6"/>
    </row>
    <row r="8" spans="1:8" x14ac:dyDescent="0.25">
      <c r="C8" s="6"/>
    </row>
    <row r="9" spans="1:8" x14ac:dyDescent="0.25">
      <c r="C9" s="6"/>
    </row>
    <row r="10" spans="1:8" x14ac:dyDescent="0.25">
      <c r="C10" s="6"/>
    </row>
    <row r="11" spans="1:8" x14ac:dyDescent="0.25">
      <c r="C11" s="6"/>
    </row>
    <row r="12" spans="1:8" x14ac:dyDescent="0.25">
      <c r="C12" s="6"/>
    </row>
    <row r="13" spans="1:8" x14ac:dyDescent="0.25">
      <c r="C13" s="6"/>
    </row>
    <row r="14" spans="1:8" x14ac:dyDescent="0.25">
      <c r="C14" s="6"/>
    </row>
    <row r="15" spans="1:8" x14ac:dyDescent="0.25">
      <c r="C15" s="6"/>
    </row>
    <row r="16" spans="1:8" x14ac:dyDescent="0.25">
      <c r="C16" s="6"/>
    </row>
    <row r="17" spans="3:3" x14ac:dyDescent="0.25">
      <c r="C17" s="6"/>
    </row>
    <row r="18" spans="3:3" x14ac:dyDescent="0.25">
      <c r="C18" s="6"/>
    </row>
    <row r="19" spans="3:3" x14ac:dyDescent="0.25">
      <c r="C19" s="6"/>
    </row>
    <row r="20" spans="3:3" x14ac:dyDescent="0.25">
      <c r="C20" s="6"/>
    </row>
    <row r="21" spans="3:3" x14ac:dyDescent="0.25">
      <c r="C21" s="6"/>
    </row>
    <row r="22" spans="3:3" x14ac:dyDescent="0.25">
      <c r="C22" s="6"/>
    </row>
    <row r="23" spans="3:3" x14ac:dyDescent="0.25">
      <c r="C23" s="6"/>
    </row>
    <row r="24" spans="3:3" x14ac:dyDescent="0.25">
      <c r="C24" s="6"/>
    </row>
    <row r="25" spans="3:3" x14ac:dyDescent="0.25">
      <c r="C25" s="6"/>
    </row>
    <row r="26" spans="3:3" x14ac:dyDescent="0.25">
      <c r="C26" s="6"/>
    </row>
    <row r="27" spans="3:3" x14ac:dyDescent="0.25">
      <c r="C27" s="6"/>
    </row>
    <row r="28" spans="3:3" x14ac:dyDescent="0.25">
      <c r="C28" s="6"/>
    </row>
    <row r="29" spans="3:3" x14ac:dyDescent="0.25">
      <c r="C29" s="6"/>
    </row>
    <row r="30" spans="3:3" x14ac:dyDescent="0.25">
      <c r="C30" s="6"/>
    </row>
    <row r="31" spans="3:3" x14ac:dyDescent="0.25">
      <c r="C31" s="6"/>
    </row>
    <row r="32" spans="3:3" x14ac:dyDescent="0.25">
      <c r="C32" s="6"/>
    </row>
    <row r="33" spans="3:3" x14ac:dyDescent="0.25">
      <c r="C33" s="6"/>
    </row>
    <row r="34" spans="3:3" x14ac:dyDescent="0.25">
      <c r="C34" s="6"/>
    </row>
    <row r="35" spans="3:3" x14ac:dyDescent="0.25">
      <c r="C35" s="6"/>
    </row>
    <row r="36" spans="3:3" x14ac:dyDescent="0.25">
      <c r="C36" s="6"/>
    </row>
    <row r="37" spans="3:3" x14ac:dyDescent="0.25">
      <c r="C37" s="6"/>
    </row>
    <row r="38" spans="3:3" x14ac:dyDescent="0.25">
      <c r="C38" s="6"/>
    </row>
    <row r="39" spans="3:3" x14ac:dyDescent="0.25">
      <c r="C39" s="6"/>
    </row>
    <row r="40" spans="3:3" x14ac:dyDescent="0.25">
      <c r="C40" s="6"/>
    </row>
    <row r="41" spans="3:3" x14ac:dyDescent="0.25">
      <c r="C41" s="6"/>
    </row>
    <row r="42" spans="3:3" x14ac:dyDescent="0.25">
      <c r="C42" s="6"/>
    </row>
    <row r="43" spans="3:3" x14ac:dyDescent="0.25">
      <c r="C43" s="6"/>
    </row>
    <row r="44" spans="3:3" x14ac:dyDescent="0.25">
      <c r="C44" s="6"/>
    </row>
    <row r="45" spans="3:3" x14ac:dyDescent="0.25">
      <c r="C45" s="6"/>
    </row>
    <row r="46" spans="3:3" x14ac:dyDescent="0.25">
      <c r="C46" s="6"/>
    </row>
    <row r="47" spans="3:3" x14ac:dyDescent="0.25">
      <c r="C47"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62" spans="3:3" x14ac:dyDescent="0.25">
      <c r="C62" s="6"/>
    </row>
    <row r="63" spans="3:3" x14ac:dyDescent="0.25">
      <c r="C63" s="6"/>
    </row>
    <row r="64" spans="3:3" x14ac:dyDescent="0.25">
      <c r="C64" s="6"/>
    </row>
    <row r="65" spans="3:3" x14ac:dyDescent="0.25">
      <c r="C65" s="6"/>
    </row>
    <row r="66" spans="3:3" x14ac:dyDescent="0.25">
      <c r="C66" s="6"/>
    </row>
    <row r="67" spans="3:3" x14ac:dyDescent="0.25">
      <c r="C67" s="6"/>
    </row>
    <row r="68" spans="3:3" x14ac:dyDescent="0.25">
      <c r="C68" s="6"/>
    </row>
    <row r="69" spans="3:3" x14ac:dyDescent="0.25">
      <c r="C69" s="6"/>
    </row>
    <row r="70" spans="3:3" x14ac:dyDescent="0.25">
      <c r="C70" s="6"/>
    </row>
    <row r="71" spans="3:3" x14ac:dyDescent="0.25">
      <c r="C71" s="6"/>
    </row>
    <row r="72" spans="3:3" x14ac:dyDescent="0.25">
      <c r="C72" s="6"/>
    </row>
    <row r="73" spans="3:3" x14ac:dyDescent="0.25">
      <c r="C73" s="6"/>
    </row>
    <row r="74" spans="3:3" x14ac:dyDescent="0.25">
      <c r="C74" s="6"/>
    </row>
    <row r="75" spans="3:3" x14ac:dyDescent="0.25">
      <c r="C75" s="6"/>
    </row>
    <row r="76" spans="3:3" x14ac:dyDescent="0.25">
      <c r="C76" s="6"/>
    </row>
    <row r="77" spans="3:3" x14ac:dyDescent="0.25">
      <c r="C77" s="6"/>
    </row>
    <row r="78" spans="3:3" x14ac:dyDescent="0.25">
      <c r="C78" s="6"/>
    </row>
    <row r="79" spans="3:3" x14ac:dyDescent="0.25">
      <c r="C79" s="6"/>
    </row>
    <row r="80" spans="3:3" x14ac:dyDescent="0.25">
      <c r="C80" s="6"/>
    </row>
    <row r="81" spans="3:3" x14ac:dyDescent="0.25">
      <c r="C81" s="6"/>
    </row>
    <row r="82" spans="3:3" x14ac:dyDescent="0.25">
      <c r="C82" s="6"/>
    </row>
  </sheetData>
  <hyperlinks>
    <hyperlink ref="A1" location="Home!A1" tooltip="Click to navigate to the Home sheet." display="ß"/>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B5D92A31364E4EB82BB0A43C17A7C9" ma:contentTypeVersion="0" ma:contentTypeDescription="Create a new document." ma:contentTypeScope="" ma:versionID="802809ef1e66a142c2a2780d2c3e68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9138EA9B-D33A-4B47-84CC-343E12032F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7A87D1F-041A-4E03-9555-23EEB3F80FA7}">
  <ds:schemaRefs>
    <ds:schemaRef ds:uri="http://schemas.microsoft.com/sharepoint/v3/contenttype/forms"/>
  </ds:schemaRefs>
</ds:datastoreItem>
</file>

<file path=customXml/itemProps3.xml><?xml version="1.0" encoding="utf-8"?>
<ds:datastoreItem xmlns:ds="http://schemas.openxmlformats.org/officeDocument/2006/customXml" ds:itemID="{0B8B332B-B0AC-47C5-BCB8-074A3C2716B8}">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Go! Internal</vt:lpstr>
      <vt:lpstr>Lookup Data</vt:lpstr>
      <vt:lpstr>Home</vt:lpstr>
      <vt:lpstr>Actual YTD</vt:lpstr>
      <vt:lpstr>Actual vs Prior</vt:lpstr>
      <vt:lpstr>Actual vs Budget</vt:lpstr>
      <vt:lpstr>Actual vs Prior Template</vt:lpstr>
      <vt:lpstr>Missing Accounts</vt:lpstr>
      <vt:lpstr>AutoRefresh</vt:lpstr>
      <vt:lpstr>AutoRefresh1</vt:lpstr>
      <vt:lpstr>AutoRefresh2</vt:lpstr>
      <vt:lpstr>AutoRefresh3</vt:lpstr>
      <vt:lpstr>AutoRefresh4</vt:lpstr>
      <vt:lpstr>AutoRefresh5</vt:lpstr>
      <vt:lpstr>AutoRefresh6</vt:lpstr>
      <vt:lpstr>AutoRefresh7</vt:lpstr>
      <vt:lpstr>AutoRefresh8</vt:lpstr>
      <vt:lpstr>B</vt:lpstr>
      <vt:lpstr>Companies</vt:lpstr>
      <vt:lpstr>CompaniesBudgets</vt:lpstr>
      <vt:lpstr>Decimal</vt:lpstr>
      <vt:lpstr>Delimiter</vt:lpstr>
      <vt:lpstr>FiscalYears</vt:lpstr>
      <vt:lpstr>MissingAccounts</vt:lpstr>
      <vt:lpstr>Periods</vt:lpstr>
      <vt:lpstr>'Actual vs Budget'!Print_Area</vt:lpstr>
      <vt:lpstr>'Actual vs Prior'!Print_Area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Michael</dc:creator>
  <cp:lastModifiedBy>Greaves, Jessica</cp:lastModifiedBy>
  <cp:lastPrinted>2015-01-17T13:36:19Z</cp:lastPrinted>
  <dcterms:created xsi:type="dcterms:W3CDTF">2014-03-14T08:42:55Z</dcterms:created>
  <dcterms:modified xsi:type="dcterms:W3CDTF">2015-04-21T11:55:55Z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0x0101004FB5D92A31364E4EB82BB0A43C17A7C9</vt:lpwstr>
  </property>
</Properties>
</file>