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essica.greaves\Desktop\Integration\Columbus NA\Final Templates\"/>
    </mc:Choice>
  </mc:AlternateContent>
  <bookViews>
    <workbookView xWindow="0" yWindow="0" windowWidth="28800" windowHeight="12435" tabRatio="763" firstSheet="2" activeTab="2"/>
  </bookViews>
  <sheets>
    <sheet name="Go! Internal" sheetId="1" state="hidden" r:id="rId1"/>
    <sheet name="Lookup Data" sheetId="2" state="hidden" r:id="rId2"/>
    <sheet name="Home" sheetId="42" r:id="rId3"/>
    <sheet name="Cash Flow" sheetId="36" r:id="rId4"/>
    <sheet name="Cash Flow Detail" sheetId="37" r:id="rId5"/>
    <sheet name="Cash Flow Template" sheetId="44" r:id="rId6"/>
    <sheet name="Cash Flow Detail Template" sheetId="43" r:id="rId7"/>
    <sheet name="Missing Accounts" sheetId="13" r:id="rId8"/>
  </sheets>
  <definedNames>
    <definedName name="AutoRefresh">'Lookup Data'!$D$2:$D$32</definedName>
    <definedName name="AutoRefresh1">'Cash Flow'!$D$4:$E$8</definedName>
    <definedName name="AutoRefresh2">'Cash Flow Detail'!$D$4:$E$8</definedName>
    <definedName name="AutoRefresh3">'Cash Flow Template'!$D$4:$G$8</definedName>
    <definedName name="AutoRefresh4">'Cash Flow Detail Template'!$D$4:$G$8</definedName>
    <definedName name="AutoRefresh5">'Cash Flow'!$D$15:$AF$30</definedName>
    <definedName name="AutoRefresh6">'Cash Flow Detail'!$D$14:$AF$24</definedName>
    <definedName name="AutoRefresh7">'Cash Flow Template'!$F$13:$AH$13</definedName>
    <definedName name="AutoRefresh8">'Cash Flow Detail Template'!$F$14:$AH$18</definedName>
    <definedName name="AutoRefresh9">'Cash Flow'!$D$55:$Q$57</definedName>
    <definedName name="B">'Go! Internal'!$A$2</definedName>
    <definedName name="CellContents">_xlfn.FORMULATEXT(INDIRECT(ADDRESS(ROW(), COLUMN())))</definedName>
    <definedName name="Companies">'Lookup Data'!$A$2:$A$39</definedName>
    <definedName name="CompaniesBudgets">'Lookup Data'!$E$2:$G$39</definedName>
    <definedName name="CompaniesTemplate">'Lookup Data'!$A$2:INDEX('Lookup Data'!$A$2:$A$40,COUNTA('Lookup Data'!$A$2:$A$40))</definedName>
    <definedName name="Decimal">'Go! Internal'!$A$6</definedName>
    <definedName name="Delimiter">'Go! Internal'!$A$4</definedName>
    <definedName name="ENG_BI_CORE_LOCATION">"C:\Program Files (x86)\Sage\Sage 300 ERP\BX62A\"</definedName>
    <definedName name="ENG_BI_EXE_FULL_PATH">"C:\Program Files (x86)\Sage\Sage 300 ERP\BX62A\BICORE.EXE"</definedName>
    <definedName name="ENG_BI_EXE_NAME" hidden="1">"BICORE.EXE"</definedName>
    <definedName name="ENG_BI_EXEC_CMD_ARGS" hidden="1">"03304607806507208207308704104507303704607512708407308306508709109606708806907006608306908207609307712512707306708509308007306605313413009611212310611910211610507306609207808209007408306211905105205310511805612612310411311511011810112110107707506706908"</definedName>
    <definedName name="ENG_BI_EXEC_CMD_ARGS_2" hidden="1">"90660770830710651200971181151171001341240961171141091230971251100680700900840700860611191021251321021131141141190981211010720710800740920830910840830690650830710870650860650510500620600510570590530590490680590530590640510490540590540540490680560570530"</definedName>
    <definedName name="ENG_BI_EXEC_CMD_ARGS_3" hidden="1">"68050058061059053058050068059051053064051049057059053059059059062060054059060051056057063054052059068050060064051049058059059060059063058060051063060050057053063055052064068052058130124096116117102113105108083066078080068080073069065106110134132095116"</definedName>
    <definedName name="ENG_BI_EXEC_CMD_ARGS_4" hidden="1">"122099109109099069072067089072068068075085090085069065058125132104112121103109106103065071072080074074077079080080079090083073087061074077077077083126124083082072074082078075081065091066078088061053130"</definedName>
    <definedName name="ENG_BI_GEN_LIC" hidden="1">"0"</definedName>
    <definedName name="ENG_BI_GEN_LIC_WS" hidden="1">"True"</definedName>
    <definedName name="ENG_BI_LANG_CODE" hidden="1">"en"</definedName>
    <definedName name="ENG_BI_LBI" hidden="1">"P3XQ07VVMD"</definedName>
    <definedName name="ENG_BI_PROFILE_PATH" localSheetId="3" hidden="1">"C:\ProgramData\Alchemex\AlchemexSmartReporting\MetaData\ReportDesignerAdd-In S300SQL DEMO (C50-0-1)\BICORE_profiler_20130603_135617.csv"</definedName>
    <definedName name="ENG_BI_PROFILE_PATH" localSheetId="4" hidden="1">"C:\ProgramData\Alchemex\AlchemexSmartReporting\MetaData\ReportDesignerAdd-In S300SQL DEMO (C50-0-1)\BICORE_profiler_20130603_135617.csv"</definedName>
    <definedName name="ENG_BI_PROFILE_PATH" localSheetId="6" hidden="1">"C:\ProgramData\Alchemex\AlchemexSmartReporting\MetaData\ReportDesignerAdd-In S300SQL DEMO (C50-0-1)\BICORE_profiler_20130603_135617.csv"</definedName>
    <definedName name="ENG_BI_PROFILE_PATH" localSheetId="5" hidden="1">"C:\ProgramData\Alchemex\AlchemexSmartReporting\MetaData\ReportDesignerAdd-In S300SQL DEMO (C50-0-1)\BICORE_profiler_20130603_135617.csv"</definedName>
    <definedName name="ENG_BI_PROFILE_PATH" hidden="1">"C:\ProgramData\Alchemex\AlchemexSmartReporting\MetaData\Demonstration Report Designer S300SQL 1-0\BICORE_profiler_20130710_190246.csv"</definedName>
    <definedName name="ENG_BI_REPOS_FILE" hidden="1">"C:\Program Files (x86)\Sage\Sage 300 ERP\BXDATA\SQL\alchemex.svd"</definedName>
    <definedName name="ENG_BI_REPOS_PATH" hidden="1">"C:\Program Files (x86)\Sage\Sage 300 ERP\BXDATA\SQL\"</definedName>
    <definedName name="ENG_BI_TLA" hidden="1">"227;241;58;49;65;47;93;28;26;51;124;105;259;265;71;217;63;55;151;175;32;266;235;265;248;176;61;254;196;102;162;98"</definedName>
    <definedName name="ENG_BI_TLA2" hidden="1">"82;200;242;12;137;124;174;234;212;216;95;134;67;140;171;241;85;162;24;210;222;68;119;239;150;31;255;41;230;3;24;14"</definedName>
    <definedName name="FiscalYears">'Lookup Data'!$B$2:$B$39</definedName>
    <definedName name="FiscalYearsTemplate">'Lookup Data'!$B$2:INDEX('Lookup Data'!$B$2:$B$40,COUNTA('Lookup Data'!$B$2:$B$40))</definedName>
    <definedName name="INFO_BI_EXE_NAME" hidden="1">"BICORE.EXE"</definedName>
    <definedName name="INFO_EXE_SERVER_PATH" hidden="1">"C:\Program Files (x86)\Sage\Sage 300 ERP\BX62A\BICORE.EXE"</definedName>
    <definedName name="INFO_INSTANCE_ID" hidden="1">"0"</definedName>
    <definedName name="INFO_INSTANCE_NAME" hidden="1">"Demonstration Report Designer S300SQL 1-0_20140227_11_31_36_3131.xls"</definedName>
    <definedName name="INFO_REPORT_CODE" hidden="1">"S300-SQL-AI29-1-0"</definedName>
    <definedName name="INFO_REPORT_ID" hidden="1">"12"</definedName>
    <definedName name="INFO_REPORT_NAME" hidden="1">"Demonstration Report Designer S300SQL 1-0"</definedName>
    <definedName name="INFO_RUN_USER" hidden="1">""</definedName>
    <definedName name="INFO_RUN_WORKSTATION" hidden="1">"S300IM1"</definedName>
    <definedName name="MissingAccounts">'Missing Accounts'!$B$4:$H$600</definedName>
    <definedName name="Periods">'Lookup Data'!$C$2:$C$13</definedName>
    <definedName name="SV_AUTO_CONN_CATALOG" hidden="1">"samltd"</definedName>
    <definedName name="SV_AUTO_CONN_SERVER" hidden="1">"s300im1"</definedName>
    <definedName name="SV_DBTYPE">"5"</definedName>
    <definedName name="SV_ENCPT_AUTO_CONN_PASSWORD" hidden="1">"083096084083070086065116117119052116100"</definedName>
    <definedName name="SV_ENCPT_AUTO_CONN_USER" hidden="1">"095094088070084121098"</definedName>
    <definedName name="SV_ENCPT_LOGON_PWD" hidden="1">"078104085088070"</definedName>
    <definedName name="SV_ENCPT_LOGON_USER" hidden="1">"095094088070084071069078075078"</definedName>
    <definedName name="SV_REPORT_CODE">"S300-SQL-AI29-1-0"</definedName>
    <definedName name="SV_REPORT_ID">"12"</definedName>
    <definedName name="SV_REPORT_NAME">"Demonstration Report Designer S300SQL 1-0"</definedName>
    <definedName name="SV_REPOSCODE">""</definedName>
    <definedName name="SV_SOLUTION_ID">"33"</definedName>
    <definedName name="SV_TENANT_CODE">"SAMLTD"</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6" i="36" l="1"/>
  <c r="E56" i="36"/>
  <c r="F56" i="36"/>
  <c r="G56" i="36"/>
  <c r="H56" i="36"/>
  <c r="I56" i="36"/>
  <c r="J56" i="36"/>
  <c r="K56" i="36"/>
  <c r="L56" i="36"/>
  <c r="M56" i="36"/>
  <c r="N56" i="36"/>
  <c r="O56" i="36"/>
  <c r="P56" i="36"/>
  <c r="Q56" i="36"/>
  <c r="F18" i="43"/>
  <c r="G18" i="43"/>
  <c r="H18" i="43"/>
  <c r="I18" i="43"/>
  <c r="J18" i="43"/>
  <c r="K18" i="43"/>
  <c r="L18" i="43"/>
  <c r="M18" i="43"/>
  <c r="N18" i="43"/>
  <c r="O18" i="43"/>
  <c r="P18" i="43"/>
  <c r="Q18" i="43"/>
  <c r="R18" i="43"/>
  <c r="S18" i="43"/>
  <c r="U18" i="43"/>
  <c r="V18" i="43"/>
  <c r="W18" i="43"/>
  <c r="X18" i="43"/>
  <c r="Y18" i="43"/>
  <c r="Z18" i="43"/>
  <c r="AA18" i="43"/>
  <c r="AB18" i="43"/>
  <c r="AC18" i="43"/>
  <c r="AD18" i="43"/>
  <c r="AE18" i="43"/>
  <c r="AF18" i="43"/>
  <c r="AG18" i="43"/>
  <c r="AH18" i="43"/>
  <c r="F14" i="43"/>
  <c r="G14" i="43"/>
  <c r="H14" i="43"/>
  <c r="I14" i="43"/>
  <c r="J14" i="43"/>
  <c r="K14" i="43"/>
  <c r="L14" i="43"/>
  <c r="M14" i="43"/>
  <c r="N14" i="43"/>
  <c r="O14" i="43"/>
  <c r="P14" i="43"/>
  <c r="Q14" i="43"/>
  <c r="R14" i="43"/>
  <c r="S14" i="43"/>
  <c r="U14" i="43"/>
  <c r="V14" i="43"/>
  <c r="W14" i="43"/>
  <c r="X14" i="43"/>
  <c r="Y14" i="43"/>
  <c r="Z14" i="43"/>
  <c r="AA14" i="43"/>
  <c r="AB14" i="43"/>
  <c r="AC14" i="43"/>
  <c r="AD14" i="43"/>
  <c r="AE14" i="43"/>
  <c r="AF14" i="43"/>
  <c r="AG14" i="43"/>
  <c r="AH14" i="43"/>
  <c r="F13" i="44"/>
  <c r="G13" i="44"/>
  <c r="H13" i="44"/>
  <c r="I13" i="44"/>
  <c r="J13" i="44"/>
  <c r="K13" i="44"/>
  <c r="L13" i="44"/>
  <c r="M13" i="44"/>
  <c r="N13" i="44"/>
  <c r="O13" i="44"/>
  <c r="P13" i="44"/>
  <c r="Q13" i="44"/>
  <c r="R13" i="44"/>
  <c r="S13" i="44"/>
  <c r="U13" i="44"/>
  <c r="V13" i="44"/>
  <c r="W13" i="44"/>
  <c r="X13" i="44"/>
  <c r="Y13" i="44"/>
  <c r="Z13" i="44"/>
  <c r="AA13" i="44"/>
  <c r="AB13" i="44"/>
  <c r="AC13" i="44"/>
  <c r="AD13" i="44"/>
  <c r="AE13" i="44"/>
  <c r="AF13" i="44"/>
  <c r="AG13" i="44"/>
  <c r="AH13" i="44"/>
  <c r="D18" i="37"/>
  <c r="E18" i="37"/>
  <c r="F18" i="37"/>
  <c r="G18" i="37"/>
  <c r="H18" i="37"/>
  <c r="I18" i="37"/>
  <c r="J18" i="37"/>
  <c r="K18" i="37"/>
  <c r="L18" i="37"/>
  <c r="M18" i="37"/>
  <c r="N18" i="37"/>
  <c r="O18" i="37"/>
  <c r="P18" i="37"/>
  <c r="Q18" i="37"/>
  <c r="S18" i="37"/>
  <c r="T18" i="37"/>
  <c r="U18" i="37"/>
  <c r="V18" i="37"/>
  <c r="W18" i="37"/>
  <c r="X18" i="37"/>
  <c r="Y18" i="37"/>
  <c r="Z18" i="37"/>
  <c r="AA18" i="37"/>
  <c r="AB18" i="37"/>
  <c r="AC18" i="37"/>
  <c r="AD18" i="37"/>
  <c r="AE18" i="37"/>
  <c r="AF18" i="37"/>
  <c r="D19" i="37"/>
  <c r="E19" i="37"/>
  <c r="F19" i="37"/>
  <c r="G19" i="37"/>
  <c r="H19" i="37"/>
  <c r="I19" i="37"/>
  <c r="J19" i="37"/>
  <c r="K19" i="37"/>
  <c r="L19" i="37"/>
  <c r="M19" i="37"/>
  <c r="N19" i="37"/>
  <c r="O19" i="37"/>
  <c r="P19" i="37"/>
  <c r="Q19" i="37"/>
  <c r="S19" i="37"/>
  <c r="T19" i="37"/>
  <c r="U19" i="37"/>
  <c r="V19" i="37"/>
  <c r="W19" i="37"/>
  <c r="X19" i="37"/>
  <c r="Y19" i="37"/>
  <c r="Z19" i="37"/>
  <c r="AA19" i="37"/>
  <c r="AB19" i="37"/>
  <c r="AC19" i="37"/>
  <c r="AD19" i="37"/>
  <c r="AE19" i="37"/>
  <c r="AF19" i="37"/>
  <c r="D20" i="37"/>
  <c r="E20" i="37"/>
  <c r="F20" i="37"/>
  <c r="G20" i="37"/>
  <c r="H20" i="37"/>
  <c r="I20" i="37"/>
  <c r="J20" i="37"/>
  <c r="K20" i="37"/>
  <c r="L20" i="37"/>
  <c r="M20" i="37"/>
  <c r="N20" i="37"/>
  <c r="O20" i="37"/>
  <c r="P20" i="37"/>
  <c r="Q20" i="37"/>
  <c r="S20" i="37"/>
  <c r="T20" i="37"/>
  <c r="U20" i="37"/>
  <c r="V20" i="37"/>
  <c r="W20" i="37"/>
  <c r="X20" i="37"/>
  <c r="Y20" i="37"/>
  <c r="Z20" i="37"/>
  <c r="AA20" i="37"/>
  <c r="AB20" i="37"/>
  <c r="AC20" i="37"/>
  <c r="AD20" i="37"/>
  <c r="AE20" i="37"/>
  <c r="AF20" i="37"/>
  <c r="D21" i="37"/>
  <c r="E21" i="37"/>
  <c r="F21" i="37"/>
  <c r="G21" i="37"/>
  <c r="H21" i="37"/>
  <c r="I21" i="37"/>
  <c r="J21" i="37"/>
  <c r="K21" i="37"/>
  <c r="L21" i="37"/>
  <c r="M21" i="37"/>
  <c r="N21" i="37"/>
  <c r="O21" i="37"/>
  <c r="P21" i="37"/>
  <c r="Q21" i="37"/>
  <c r="S21" i="37"/>
  <c r="T21" i="37"/>
  <c r="U21" i="37"/>
  <c r="V21" i="37"/>
  <c r="W21" i="37"/>
  <c r="X21" i="37"/>
  <c r="Y21" i="37"/>
  <c r="Z21" i="37"/>
  <c r="AA21" i="37"/>
  <c r="AB21" i="37"/>
  <c r="AC21" i="37"/>
  <c r="AD21" i="37"/>
  <c r="AE21" i="37"/>
  <c r="AF21" i="37"/>
  <c r="D22" i="37"/>
  <c r="E22" i="37"/>
  <c r="F22" i="37"/>
  <c r="G22" i="37"/>
  <c r="H22" i="37"/>
  <c r="I22" i="37"/>
  <c r="J22" i="37"/>
  <c r="K22" i="37"/>
  <c r="L22" i="37"/>
  <c r="M22" i="37"/>
  <c r="N22" i="37"/>
  <c r="O22" i="37"/>
  <c r="P22" i="37"/>
  <c r="Q22" i="37"/>
  <c r="S22" i="37"/>
  <c r="T22" i="37"/>
  <c r="U22" i="37"/>
  <c r="V22" i="37"/>
  <c r="W22" i="37"/>
  <c r="X22" i="37"/>
  <c r="Y22" i="37"/>
  <c r="Z22" i="37"/>
  <c r="AA22" i="37"/>
  <c r="AB22" i="37"/>
  <c r="AC22" i="37"/>
  <c r="AD22" i="37"/>
  <c r="AE22" i="37"/>
  <c r="AF22" i="37"/>
  <c r="D14" i="37"/>
  <c r="E14" i="37"/>
  <c r="F14" i="37"/>
  <c r="G14" i="37"/>
  <c r="H14" i="37"/>
  <c r="I14" i="37"/>
  <c r="J14" i="37"/>
  <c r="K14" i="37"/>
  <c r="L14" i="37"/>
  <c r="M14" i="37"/>
  <c r="N14" i="37"/>
  <c r="O14" i="37"/>
  <c r="P14" i="37"/>
  <c r="Q14" i="37"/>
  <c r="S14" i="37"/>
  <c r="T14" i="37"/>
  <c r="U14" i="37"/>
  <c r="V14" i="37"/>
  <c r="W14" i="37"/>
  <c r="X14" i="37"/>
  <c r="Y14" i="37"/>
  <c r="Z14" i="37"/>
  <c r="AA14" i="37"/>
  <c r="AB14" i="37"/>
  <c r="AC14" i="37"/>
  <c r="AD14" i="37"/>
  <c r="AE14" i="37"/>
  <c r="AF14" i="37"/>
  <c r="D28" i="36"/>
  <c r="E28" i="36"/>
  <c r="F28" i="36"/>
  <c r="G28" i="36"/>
  <c r="H28" i="36"/>
  <c r="I28" i="36"/>
  <c r="J28" i="36"/>
  <c r="K28" i="36"/>
  <c r="L28" i="36"/>
  <c r="M28" i="36"/>
  <c r="N28" i="36"/>
  <c r="O28" i="36"/>
  <c r="P28" i="36"/>
  <c r="Q28" i="36"/>
  <c r="S28" i="36"/>
  <c r="T28" i="36"/>
  <c r="U28" i="36"/>
  <c r="V28" i="36"/>
  <c r="W28" i="36"/>
  <c r="X28" i="36"/>
  <c r="Y28" i="36"/>
  <c r="Z28" i="36"/>
  <c r="AA28" i="36"/>
  <c r="AB28" i="36"/>
  <c r="AC28" i="36"/>
  <c r="AD28" i="36"/>
  <c r="AE28" i="36"/>
  <c r="AF28" i="36"/>
  <c r="D23" i="36"/>
  <c r="E23" i="36"/>
  <c r="F23" i="36"/>
  <c r="G23" i="36"/>
  <c r="H23" i="36"/>
  <c r="I23" i="36"/>
  <c r="J23" i="36"/>
  <c r="K23" i="36"/>
  <c r="L23" i="36"/>
  <c r="M23" i="36"/>
  <c r="N23" i="36"/>
  <c r="O23" i="36"/>
  <c r="P23" i="36"/>
  <c r="Q23" i="36"/>
  <c r="S23" i="36"/>
  <c r="T23" i="36"/>
  <c r="U23" i="36"/>
  <c r="V23" i="36"/>
  <c r="W23" i="36"/>
  <c r="X23" i="36"/>
  <c r="Y23" i="36"/>
  <c r="Z23" i="36"/>
  <c r="AA23" i="36"/>
  <c r="AB23" i="36"/>
  <c r="AC23" i="36"/>
  <c r="AD23" i="36"/>
  <c r="AE23" i="36"/>
  <c r="AF23" i="36"/>
  <c r="D24" i="36"/>
  <c r="E24" i="36"/>
  <c r="F24" i="36"/>
  <c r="G24" i="36"/>
  <c r="H24" i="36"/>
  <c r="I24" i="36"/>
  <c r="J24" i="36"/>
  <c r="K24" i="36"/>
  <c r="L24" i="36"/>
  <c r="M24" i="36"/>
  <c r="N24" i="36"/>
  <c r="O24" i="36"/>
  <c r="P24" i="36"/>
  <c r="Q24" i="36"/>
  <c r="S24" i="36"/>
  <c r="T24" i="36"/>
  <c r="U24" i="36"/>
  <c r="V24" i="36"/>
  <c r="W24" i="36"/>
  <c r="X24" i="36"/>
  <c r="Y24" i="36"/>
  <c r="Z24" i="36"/>
  <c r="AA24" i="36"/>
  <c r="AB24" i="36"/>
  <c r="AC24" i="36"/>
  <c r="AD24" i="36"/>
  <c r="AE24" i="36"/>
  <c r="AF24" i="36"/>
  <c r="D16" i="36"/>
  <c r="E16" i="36"/>
  <c r="F16" i="36"/>
  <c r="G16" i="36"/>
  <c r="H16" i="36"/>
  <c r="I16" i="36"/>
  <c r="J16" i="36"/>
  <c r="K16" i="36"/>
  <c r="L16" i="36"/>
  <c r="M16" i="36"/>
  <c r="N16" i="36"/>
  <c r="O16" i="36"/>
  <c r="P16" i="36"/>
  <c r="Q16" i="36"/>
  <c r="S16" i="36"/>
  <c r="T16" i="36"/>
  <c r="U16" i="36"/>
  <c r="V16" i="36"/>
  <c r="W16" i="36"/>
  <c r="X16" i="36"/>
  <c r="Y16" i="36"/>
  <c r="Z16" i="36"/>
  <c r="AA16" i="36"/>
  <c r="AB16" i="36"/>
  <c r="AC16" i="36"/>
  <c r="AD16" i="36"/>
  <c r="AE16" i="36"/>
  <c r="AF16" i="36"/>
  <c r="D17" i="36"/>
  <c r="E17" i="36"/>
  <c r="F17" i="36"/>
  <c r="G17" i="36"/>
  <c r="H17" i="36"/>
  <c r="I17" i="36"/>
  <c r="J17" i="36"/>
  <c r="K17" i="36"/>
  <c r="L17" i="36"/>
  <c r="M17" i="36"/>
  <c r="N17" i="36"/>
  <c r="O17" i="36"/>
  <c r="P17" i="36"/>
  <c r="Q17" i="36"/>
  <c r="S17" i="36"/>
  <c r="T17" i="36"/>
  <c r="U17" i="36"/>
  <c r="V17" i="36"/>
  <c r="W17" i="36"/>
  <c r="X17" i="36"/>
  <c r="Y17" i="36"/>
  <c r="Z17" i="36"/>
  <c r="AA17" i="36"/>
  <c r="AB17" i="36"/>
  <c r="AC17" i="36"/>
  <c r="AD17" i="36"/>
  <c r="AE17" i="36"/>
  <c r="AF17" i="36"/>
  <c r="D18" i="36"/>
  <c r="E18" i="36"/>
  <c r="F18" i="36"/>
  <c r="G18" i="36"/>
  <c r="H18" i="36"/>
  <c r="I18" i="36"/>
  <c r="J18" i="36"/>
  <c r="K18" i="36"/>
  <c r="L18" i="36"/>
  <c r="M18" i="36"/>
  <c r="N18" i="36"/>
  <c r="O18" i="36"/>
  <c r="P18" i="36"/>
  <c r="Q18" i="36"/>
  <c r="S18" i="36"/>
  <c r="T18" i="36"/>
  <c r="U18" i="36"/>
  <c r="V18" i="36"/>
  <c r="W18" i="36"/>
  <c r="X18" i="36"/>
  <c r="Y18" i="36"/>
  <c r="Z18" i="36"/>
  <c r="AA18" i="36"/>
  <c r="AB18" i="36"/>
  <c r="AC18" i="36"/>
  <c r="AD18" i="36"/>
  <c r="AE18" i="36"/>
  <c r="AF18" i="36"/>
  <c r="D19" i="36"/>
  <c r="E19" i="36"/>
  <c r="F19" i="36"/>
  <c r="G19" i="36"/>
  <c r="H19" i="36"/>
  <c r="I19" i="36"/>
  <c r="J19" i="36"/>
  <c r="K19" i="36"/>
  <c r="L19" i="36"/>
  <c r="M19" i="36"/>
  <c r="N19" i="36"/>
  <c r="O19" i="36"/>
  <c r="P19" i="36"/>
  <c r="Q19" i="36"/>
  <c r="S19" i="36"/>
  <c r="T19" i="36"/>
  <c r="U19" i="36"/>
  <c r="V19" i="36"/>
  <c r="W19" i="36"/>
  <c r="X19" i="36"/>
  <c r="Y19" i="36"/>
  <c r="Z19" i="36"/>
  <c r="AA19" i="36"/>
  <c r="AB19" i="36"/>
  <c r="AC19" i="36"/>
  <c r="AD19" i="36"/>
  <c r="AE19" i="36"/>
  <c r="AF19" i="36"/>
  <c r="D20" i="36"/>
  <c r="E20" i="36"/>
  <c r="F20" i="36"/>
  <c r="G20" i="36"/>
  <c r="H20" i="36"/>
  <c r="I20" i="36"/>
  <c r="J20" i="36"/>
  <c r="K20" i="36"/>
  <c r="L20" i="36"/>
  <c r="M20" i="36"/>
  <c r="N20" i="36"/>
  <c r="O20" i="36"/>
  <c r="P20" i="36"/>
  <c r="Q20" i="36"/>
  <c r="S20" i="36"/>
  <c r="T20" i="36"/>
  <c r="U20" i="36"/>
  <c r="V20" i="36"/>
  <c r="W20" i="36"/>
  <c r="X20" i="36"/>
  <c r="Y20" i="36"/>
  <c r="Z20" i="36"/>
  <c r="AA20" i="36"/>
  <c r="AB20" i="36"/>
  <c r="AC20" i="36"/>
  <c r="AD20" i="36"/>
  <c r="AE20" i="36"/>
  <c r="AF20" i="36"/>
  <c r="G8" i="43"/>
  <c r="D5" i="43"/>
  <c r="G8" i="44"/>
  <c r="D5" i="44"/>
  <c r="E8" i="37"/>
  <c r="D5" i="37"/>
  <c r="E8" i="36"/>
  <c r="D5" i="36"/>
  <c r="D4" i="44" l="1"/>
  <c r="D4" i="43"/>
  <c r="C2" i="43" s="1"/>
  <c r="C2" i="44" l="1"/>
  <c r="D4" i="36" l="1"/>
  <c r="D4" i="37" l="1"/>
  <c r="C2" i="37" s="1"/>
  <c r="C2" i="36" l="1"/>
  <c r="A4" i="1"/>
  <c r="A6" i="1"/>
  <c r="AB16" i="43" l="1"/>
  <c r="X16" i="43"/>
  <c r="V16" i="43"/>
  <c r="Y16" i="43"/>
  <c r="AA16" i="43"/>
  <c r="AD16" i="43"/>
  <c r="AG16" i="43"/>
  <c r="W16" i="43"/>
  <c r="Z16" i="43"/>
  <c r="AC16" i="43"/>
  <c r="AE16" i="43"/>
  <c r="AF16" i="43"/>
  <c r="AH16" i="43"/>
  <c r="U16" i="43"/>
  <c r="O16" i="43"/>
  <c r="P16" i="43"/>
  <c r="H16" i="43"/>
  <c r="N16" i="43"/>
  <c r="Q16" i="43"/>
  <c r="J16" i="43"/>
  <c r="L16" i="43"/>
  <c r="I16" i="43"/>
  <c r="S16" i="43"/>
  <c r="R16" i="43"/>
  <c r="M16" i="43"/>
  <c r="G16" i="43"/>
  <c r="K16" i="43"/>
  <c r="F16" i="43"/>
  <c r="G22" i="36"/>
  <c r="L22" i="36"/>
  <c r="I22" i="36"/>
  <c r="Q22" i="36"/>
  <c r="P22" i="36"/>
  <c r="J22" i="36"/>
  <c r="H22" i="36"/>
  <c r="F22" i="36"/>
  <c r="N22" i="36"/>
  <c r="K22" i="36"/>
  <c r="E22" i="36"/>
  <c r="M22" i="36"/>
  <c r="O22" i="36"/>
  <c r="I16" i="37"/>
  <c r="E16" i="37"/>
  <c r="L16" i="37"/>
  <c r="G16" i="37"/>
  <c r="O16" i="37"/>
  <c r="L15" i="36"/>
  <c r="N16" i="37"/>
  <c r="M16" i="37"/>
  <c r="F16" i="37"/>
  <c r="G15" i="36"/>
  <c r="H16" i="37"/>
  <c r="D15" i="36"/>
  <c r="P16" i="37"/>
  <c r="J16" i="37"/>
  <c r="D22" i="36"/>
  <c r="K15" i="36"/>
  <c r="H15" i="36"/>
  <c r="O15" i="36"/>
  <c r="E15" i="36"/>
  <c r="P15" i="36"/>
  <c r="M15" i="36"/>
  <c r="Q15" i="36"/>
  <c r="F15" i="36"/>
  <c r="J15" i="36"/>
  <c r="K16" i="37"/>
  <c r="I15" i="36"/>
  <c r="Q16" i="37"/>
  <c r="N15" i="36"/>
  <c r="J24" i="37" l="1"/>
  <c r="J13" i="36" s="1"/>
  <c r="J26" i="36" s="1"/>
  <c r="E24" i="37"/>
  <c r="E13" i="36" s="1"/>
  <c r="E26" i="36" s="1"/>
  <c r="K24" i="37"/>
  <c r="K13" i="36" s="1"/>
  <c r="K26" i="36" s="1"/>
  <c r="P24" i="37"/>
  <c r="P13" i="36" s="1"/>
  <c r="P26" i="36" s="1"/>
  <c r="F24" i="37"/>
  <c r="F13" i="36" s="1"/>
  <c r="F26" i="36" s="1"/>
  <c r="O24" i="37"/>
  <c r="O13" i="36" s="1"/>
  <c r="O26" i="36" s="1"/>
  <c r="I24" i="37"/>
  <c r="I13" i="36" s="1"/>
  <c r="I26" i="36" s="1"/>
  <c r="I55" i="36" s="1"/>
  <c r="I57" i="36" s="1"/>
  <c r="M24" i="37"/>
  <c r="M13" i="36" s="1"/>
  <c r="M26" i="36" s="1"/>
  <c r="G24" i="37"/>
  <c r="G13" i="36" s="1"/>
  <c r="G26" i="36" s="1"/>
  <c r="Q24" i="37"/>
  <c r="Q13" i="36" s="1"/>
  <c r="Q26" i="36" s="1"/>
  <c r="H24" i="37"/>
  <c r="H13" i="36" s="1"/>
  <c r="H26" i="36" s="1"/>
  <c r="N24" i="37"/>
  <c r="N13" i="36" s="1"/>
  <c r="N26" i="36" s="1"/>
  <c r="L24" i="37"/>
  <c r="L13" i="36" s="1"/>
  <c r="L26" i="36" s="1"/>
  <c r="Z15" i="36"/>
  <c r="X15" i="36"/>
  <c r="AE22" i="36"/>
  <c r="AD15" i="36"/>
  <c r="AB22" i="36"/>
  <c r="AC15" i="36"/>
  <c r="AD22" i="36"/>
  <c r="AF22" i="36"/>
  <c r="AE15" i="36"/>
  <c r="AF15" i="36"/>
  <c r="V22" i="36"/>
  <c r="AC22" i="36"/>
  <c r="T22" i="36"/>
  <c r="Y22" i="36"/>
  <c r="AA15" i="36"/>
  <c r="AA22" i="36"/>
  <c r="Z22" i="36"/>
  <c r="U15" i="36"/>
  <c r="T15" i="36"/>
  <c r="S22" i="36"/>
  <c r="Y15" i="36"/>
  <c r="V15" i="36"/>
  <c r="W22" i="36"/>
  <c r="W15" i="36"/>
  <c r="AB15" i="36"/>
  <c r="X22" i="36"/>
  <c r="U22" i="36"/>
  <c r="S15" i="36"/>
  <c r="D16" i="37"/>
  <c r="D24" i="37" l="1"/>
  <c r="D13" i="36" s="1"/>
  <c r="I30" i="36"/>
  <c r="K30" i="36"/>
  <c r="K55" i="36"/>
  <c r="K57" i="36" s="1"/>
  <c r="H30" i="36"/>
  <c r="H55" i="36"/>
  <c r="H57" i="36" s="1"/>
  <c r="N30" i="36"/>
  <c r="N55" i="36"/>
  <c r="N57" i="36" s="1"/>
  <c r="Q30" i="36"/>
  <c r="Q55" i="36"/>
  <c r="Q57" i="36" s="1"/>
  <c r="J30" i="36"/>
  <c r="J55" i="36"/>
  <c r="J57" i="36" s="1"/>
  <c r="F30" i="36"/>
  <c r="F55" i="36"/>
  <c r="F57" i="36" s="1"/>
  <c r="O30" i="36"/>
  <c r="O55" i="36"/>
  <c r="O57" i="36" s="1"/>
  <c r="P30" i="36"/>
  <c r="P55" i="36"/>
  <c r="P57" i="36" s="1"/>
  <c r="L30" i="36"/>
  <c r="L55" i="36"/>
  <c r="L57" i="36" s="1"/>
  <c r="E30" i="36"/>
  <c r="E55" i="36"/>
  <c r="E57" i="36" s="1"/>
  <c r="G30" i="36"/>
  <c r="G55" i="36"/>
  <c r="G57" i="36" s="1"/>
  <c r="M30" i="36"/>
  <c r="M55" i="36"/>
  <c r="M57" i="36" s="1"/>
  <c r="V16" i="37"/>
  <c r="AE16" i="37"/>
  <c r="AE24" i="37" s="1"/>
  <c r="Z16" i="37"/>
  <c r="AB16" i="37"/>
  <c r="AF16" i="37"/>
  <c r="S16" i="37"/>
  <c r="S24" i="37" s="1"/>
  <c r="AC16" i="37"/>
  <c r="W16" i="37"/>
  <c r="AA16" i="37"/>
  <c r="AD16" i="37"/>
  <c r="AD24" i="37" s="1"/>
  <c r="T16" i="37"/>
  <c r="U16" i="37"/>
  <c r="X16" i="37"/>
  <c r="Y16" i="37"/>
  <c r="Y24" i="37" s="1"/>
  <c r="X24" i="37" l="1"/>
  <c r="X13" i="36" s="1"/>
  <c r="X26" i="36" s="1"/>
  <c r="AA24" i="37"/>
  <c r="AA13" i="36" s="1"/>
  <c r="AA26" i="36" s="1"/>
  <c r="AF24" i="37"/>
  <c r="AF13" i="36" s="1"/>
  <c r="AF26" i="36" s="1"/>
  <c r="V24" i="37"/>
  <c r="V13" i="36" s="1"/>
  <c r="V26" i="36" s="1"/>
  <c r="U24" i="37"/>
  <c r="U13" i="36" s="1"/>
  <c r="U26" i="36" s="1"/>
  <c r="W24" i="37"/>
  <c r="W13" i="36" s="1"/>
  <c r="W26" i="36" s="1"/>
  <c r="AB24" i="37"/>
  <c r="AB13" i="36" s="1"/>
  <c r="AB26" i="36" s="1"/>
  <c r="T24" i="37"/>
  <c r="T13" i="36" s="1"/>
  <c r="T26" i="36" s="1"/>
  <c r="AC24" i="37"/>
  <c r="AC13" i="36" s="1"/>
  <c r="AC26" i="36" s="1"/>
  <c r="Z24" i="37"/>
  <c r="Z13" i="36" s="1"/>
  <c r="Z26" i="36" s="1"/>
  <c r="D26" i="36"/>
  <c r="D55" i="36" s="1"/>
  <c r="D57" i="36" s="1"/>
  <c r="AB30" i="36" l="1"/>
  <c r="W30" i="36"/>
  <c r="T30" i="36"/>
  <c r="V30" i="36"/>
  <c r="AF30" i="36"/>
  <c r="Z30" i="36"/>
  <c r="AA30" i="36"/>
  <c r="AC30" i="36"/>
  <c r="U30" i="36"/>
  <c r="X30" i="36"/>
  <c r="D30" i="36"/>
  <c r="Y13" i="36"/>
  <c r="AE13" i="36"/>
  <c r="S13" i="36"/>
  <c r="AD13" i="36"/>
  <c r="AE26" i="36" l="1"/>
  <c r="Y26" i="36"/>
  <c r="AD26" i="36"/>
  <c r="S26" i="36"/>
  <c r="AE30" i="36" l="1"/>
  <c r="S30" i="36"/>
  <c r="AD30" i="36"/>
  <c r="Y30" i="36"/>
</calcChain>
</file>

<file path=xl/sharedStrings.xml><?xml version="1.0" encoding="utf-8"?>
<sst xmlns="http://schemas.openxmlformats.org/spreadsheetml/2006/main" count="135" uniqueCount="89">
  <si>
    <t>Bound Cell</t>
  </si>
  <si>
    <t>Delimiter</t>
  </si>
  <si>
    <t>Decimal</t>
  </si>
  <si>
    <t>Companies</t>
  </si>
  <si>
    <t>Fiscal Years</t>
  </si>
  <si>
    <t>Periods</t>
  </si>
  <si>
    <t>Formulas Ranges</t>
  </si>
  <si>
    <t>Missing Accounts</t>
  </si>
  <si>
    <t>Account Description</t>
  </si>
  <si>
    <t>If you ever need to check if there are accounts missing from your financial reports, use the Missing Accounts feature and look here.</t>
  </si>
  <si>
    <t>Company Name</t>
  </si>
  <si>
    <t>Account Number</t>
  </si>
  <si>
    <t>Account Type</t>
  </si>
  <si>
    <t>Period</t>
  </si>
  <si>
    <t>Companies Budgets</t>
  </si>
  <si>
    <t>Budgets</t>
  </si>
  <si>
    <t>Budgets ID</t>
  </si>
  <si>
    <t>Company:</t>
  </si>
  <si>
    <t>Currency:</t>
  </si>
  <si>
    <t>Currency Type:</t>
  </si>
  <si>
    <t>F</t>
  </si>
  <si>
    <t>Accounts Receivable</t>
  </si>
  <si>
    <t>Current Year:</t>
  </si>
  <si>
    <t>Prior Year:</t>
  </si>
  <si>
    <t xml:space="preserve">Period </t>
  </si>
  <si>
    <t>Net Increase in Cash</t>
  </si>
  <si>
    <t>Total Cash &amp; Equivalent at Beginning of Year</t>
  </si>
  <si>
    <t>Cash &amp; Equivalent at End of Year</t>
  </si>
  <si>
    <t>Operating Activities</t>
  </si>
  <si>
    <t>Net Income/(Loss)</t>
  </si>
  <si>
    <t>Adjustments</t>
  </si>
  <si>
    <t>Net Cash Provided - Operating Activities</t>
  </si>
  <si>
    <t>AutoRefresh1</t>
  </si>
  <si>
    <t>AutoRefresh2</t>
  </si>
  <si>
    <t>I</t>
  </si>
  <si>
    <t>Cash Flow</t>
  </si>
  <si>
    <t>Cash Flow Detail</t>
  </si>
  <si>
    <t>ç</t>
  </si>
  <si>
    <t>Facebook</t>
  </si>
  <si>
    <t>Twitter</t>
  </si>
  <si>
    <t>LinkedIn</t>
  </si>
  <si>
    <t>YouTube</t>
  </si>
  <si>
    <t>AutoRefresh3</t>
  </si>
  <si>
    <t>Sage Intelligence Community</t>
  </si>
  <si>
    <t>|</t>
  </si>
  <si>
    <t>Blog</t>
  </si>
  <si>
    <t>Knowledgebase</t>
  </si>
  <si>
    <t>Support</t>
  </si>
  <si>
    <t xml:space="preserve"> View Standard Reports:</t>
  </si>
  <si>
    <t>Follow us</t>
  </si>
  <si>
    <t>Structure Code</t>
  </si>
  <si>
    <t>Account</t>
  </si>
  <si>
    <t>2000</t>
  </si>
  <si>
    <t>Acc</t>
  </si>
  <si>
    <t>5000</t>
  </si>
  <si>
    <t>Fixed Assets - Office Furniture &amp; Fittings</t>
  </si>
  <si>
    <t>Cash Flow Template</t>
  </si>
  <si>
    <t>Cash Flow Detail Template</t>
  </si>
  <si>
    <t>StructureCode</t>
  </si>
  <si>
    <t>AccountGroupName</t>
  </si>
  <si>
    <t>GroupCategoryDescription</t>
  </si>
  <si>
    <t>Please select values from the drop down lists for both current year and prior year. Your values will be updated once you have refreshed.</t>
  </si>
  <si>
    <t>AutoRefresh4</t>
  </si>
  <si>
    <t>Please select values from the drop down lists for all required cells. Row 18 has been entered as an example.  The Account Number, Account Description and Structure Code should therefore be updated with your account details.  Your values will be updated once you have refreshed.</t>
  </si>
  <si>
    <t>Please select values from the drop down lists for all required cells. Row 13 has been entered as an example.  The Account Number, Account Description and Structure Code should therefore be updated with your account details.  Your values will be updated once you have refreshed.</t>
  </si>
  <si>
    <t>AutoRefresh5</t>
  </si>
  <si>
    <t>AutoRefresh6</t>
  </si>
  <si>
    <t>AutoRefresh7</t>
  </si>
  <si>
    <t>AutoRefresh8</t>
  </si>
  <si>
    <t>Investing Activities</t>
  </si>
  <si>
    <t>Financing Activities</t>
  </si>
  <si>
    <t>Cash &amp; Equivalent as per Balance Sheet</t>
  </si>
  <si>
    <t>Cash &amp; Equivalent as per Cash Flow</t>
  </si>
  <si>
    <t>Reconciliation</t>
  </si>
  <si>
    <t>AutoRefresh9</t>
  </si>
  <si>
    <t>(Increase)\Decrease in Accounts Receivable</t>
  </si>
  <si>
    <t>(Increase)\Decrease in Inventory</t>
  </si>
  <si>
    <t>(Increase)\Decrease in Other Current Assets</t>
  </si>
  <si>
    <t>Increase\(Decrease) in Accounts Payable</t>
  </si>
  <si>
    <t>Increase\(Decrease) in Other Current Liabilities</t>
  </si>
  <si>
    <t>Increase\(Decrease) in Long Term Liabilities</t>
  </si>
  <si>
    <t>Increase\(Decrease) in Other Liabilities</t>
  </si>
  <si>
    <t>Increase\(Decrease) in Share Capital</t>
  </si>
  <si>
    <t>Increase\(Decrease) in Shareholders Equity</t>
  </si>
  <si>
    <t>(Increase)\Decrease in Fixed Assets</t>
  </si>
  <si>
    <t>(Increase)\Decrease in Accumulated Depreciation</t>
  </si>
  <si>
    <t>(Increase)\Decrease in Other Assets</t>
  </si>
  <si>
    <t>Variance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</si>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</sst>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 #,##0.00_ ;_ * \-#,##0.00_ ;_ * &quot;-&quot;??_ ;_ @_ "/>
    <numFmt numFmtId="165" formatCode="0.00_);[Red]\(0.00\)"/>
    <numFmt numFmtId="166" formatCode="#,##0.00;\(#,##0.00\)"/>
    <numFmt numFmtId="167" formatCode="#,##0.00_ ;[Red]\-#,##0.00\ "/>
    <numFmt numFmtId="168" formatCode="0;\-0;;@"/>
  </numFmts>
  <fonts count="28" x14ac:knownFonts="1">
    <font>
      <sz val="10"/>
      <color theme="1"/>
      <name val="Segoe U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Segoe UI"/>
      <family val="2"/>
    </font>
    <font>
      <sz val="11"/>
      <color theme="0"/>
      <name val="Segoe UI"/>
      <family val="2"/>
    </font>
    <font>
      <sz val="26"/>
      <color theme="1"/>
      <name val="Segoe UI"/>
      <family val="2"/>
    </font>
    <font>
      <b/>
      <sz val="12"/>
      <color theme="1"/>
      <name val="Calibri"/>
      <family val="2"/>
      <scheme val="minor"/>
    </font>
    <font>
      <sz val="10"/>
      <color rgb="FF4D4F53"/>
      <name val="Segoe UI"/>
      <family val="2"/>
    </font>
    <font>
      <sz val="24"/>
      <color rgb="FF4D4F53"/>
      <name val="Segoe UI Semibold"/>
      <family val="2"/>
    </font>
    <font>
      <sz val="11"/>
      <color rgb="FF4D4F53"/>
      <name val="Segoe UI"/>
      <family val="2"/>
    </font>
    <font>
      <sz val="11"/>
      <color theme="0"/>
      <name val="Segoe UI Semibold"/>
      <family val="2"/>
    </font>
    <font>
      <sz val="10"/>
      <color rgb="FF4D4F53"/>
      <name val="Arial"/>
      <family val="2"/>
    </font>
    <font>
      <b/>
      <sz val="10"/>
      <color rgb="FF4D4F53"/>
      <name val="Arial"/>
      <family val="2"/>
    </font>
    <font>
      <sz val="12"/>
      <color theme="1"/>
      <name val="Segoe UI"/>
      <family val="2"/>
    </font>
    <font>
      <sz val="14"/>
      <color rgb="FF4D4F53"/>
      <name val="Segoe UI Light"/>
      <family val="2"/>
    </font>
    <font>
      <sz val="28"/>
      <color rgb="FF34B233"/>
      <name val="Wingdings"/>
      <charset val="2"/>
    </font>
    <font>
      <sz val="14"/>
      <color theme="0"/>
      <name val="Segoe UI"/>
      <family val="2"/>
    </font>
    <font>
      <sz val="12"/>
      <color rgb="FF009FDA"/>
      <name val="Segoe UI"/>
      <family val="2"/>
    </font>
    <font>
      <sz val="11"/>
      <color rgb="FF4D4F53"/>
      <name val="Calibri"/>
      <family val="2"/>
      <scheme val="minor"/>
    </font>
    <font>
      <sz val="24"/>
      <color rgb="FF4D4F53"/>
      <name val="Segoe UI"/>
      <family val="2"/>
    </font>
    <font>
      <sz val="14"/>
      <color rgb="FF4D4F53"/>
      <name val="Segoe UI"/>
      <family val="2"/>
    </font>
    <font>
      <sz val="12"/>
      <color rgb="FF4D4F53"/>
      <name val="Segoe UI"/>
      <family val="2"/>
    </font>
    <font>
      <sz val="10"/>
      <color theme="1"/>
      <name val="Segoe UI"/>
      <family val="2"/>
    </font>
    <font>
      <b/>
      <u/>
      <sz val="11"/>
      <color theme="1"/>
      <name val="Segoe UI"/>
      <family val="2"/>
    </font>
  </fonts>
  <fills count="7">
    <fill>
      <patternFill patternType="none"/>
    </fill>
    <fill>
      <patternFill patternType="gray125"/>
    </fill>
    <fill>
      <patternFill patternType="solid">
        <fgColor theme="0"/>
        <bgColor indexed="64"/>
      </patternFill>
    </fill>
    <fill>
      <patternFill patternType="solid">
        <fgColor rgb="FF34B233"/>
        <bgColor indexed="64"/>
      </patternFill>
    </fill>
    <fill>
      <patternFill patternType="solid">
        <fgColor rgb="FFCDCDCE"/>
        <bgColor indexed="64"/>
      </patternFill>
    </fill>
    <fill>
      <patternFill patternType="solid">
        <fgColor rgb="FFE6E6E6"/>
        <bgColor indexed="64"/>
      </patternFill>
    </fill>
    <fill>
      <patternFill patternType="solid">
        <fgColor rgb="FFBFBFBF"/>
        <bgColor indexed="64"/>
      </patternFill>
    </fill>
  </fills>
  <borders count="5">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theme="0"/>
      </left>
      <right style="thin">
        <color theme="0"/>
      </right>
      <top/>
      <bottom/>
      <diagonal/>
    </border>
  </borders>
  <cellStyleXfs count="14">
    <xf numFmtId="0" fontId="0" fillId="0" borderId="0"/>
    <xf numFmtId="0" fontId="6" fillId="0" borderId="0"/>
    <xf numFmtId="0" fontId="7" fillId="0" borderId="0"/>
    <xf numFmtId="0" fontId="5" fillId="0" borderId="0"/>
    <xf numFmtId="0" fontId="4" fillId="0" borderId="0"/>
    <xf numFmtId="43" fontId="7" fillId="0" borderId="0" applyFont="0" applyFill="0" applyBorder="0" applyAlignment="0" applyProtection="0"/>
    <xf numFmtId="0" fontId="3" fillId="0" borderId="0"/>
    <xf numFmtId="0" fontId="18" fillId="0" borderId="0" applyNumberFormat="0" applyFill="0" applyBorder="0" applyAlignment="0" applyProtection="0"/>
    <xf numFmtId="0" fontId="11" fillId="0" borderId="0" applyNumberFormat="0" applyFill="0" applyBorder="0" applyAlignment="0" applyProtection="0"/>
    <xf numFmtId="0" fontId="2" fillId="0" borderId="0"/>
    <xf numFmtId="0" fontId="1" fillId="0" borderId="0"/>
    <xf numFmtId="0" fontId="21" fillId="0" borderId="0" applyNumberFormat="0" applyFill="0" applyBorder="0" applyAlignment="0" applyProtection="0"/>
    <xf numFmtId="0" fontId="21" fillId="0" borderId="0" applyNumberFormat="0" applyFill="0" applyBorder="0" applyAlignment="0" applyProtection="0"/>
    <xf numFmtId="164" fontId="26" fillId="0" borderId="0" applyFont="0" applyFill="0" applyBorder="0" applyAlignment="0" applyProtection="0"/>
  </cellStyleXfs>
  <cellXfs count="64">
    <xf numFmtId="0" fontId="0" fillId="0" borderId="0" xfId="0"/>
    <xf numFmtId="0" fontId="0" fillId="0" borderId="1" xfId="0" applyBorder="1"/>
    <xf numFmtId="0" fontId="0" fillId="0" borderId="2" xfId="0" applyBorder="1"/>
    <xf numFmtId="0" fontId="0" fillId="0" borderId="3" xfId="0" applyBorder="1"/>
    <xf numFmtId="0" fontId="7" fillId="0" borderId="0" xfId="0" applyFont="1" applyAlignment="1">
      <alignment vertical="center"/>
    </xf>
    <xf numFmtId="0" fontId="0" fillId="0" borderId="0" xfId="0" applyFont="1"/>
    <xf numFmtId="0" fontId="0" fillId="0" borderId="0" xfId="0" applyFont="1" applyAlignment="1">
      <alignment horizontal="center"/>
    </xf>
    <xf numFmtId="0" fontId="9" fillId="0" borderId="0" xfId="0" applyFont="1"/>
    <xf numFmtId="0" fontId="0" fillId="0" borderId="0" xfId="0" applyFont="1" applyAlignment="1">
      <alignment horizontal="left"/>
    </xf>
    <xf numFmtId="0" fontId="10" fillId="0" borderId="0" xfId="0" applyFont="1" applyBorder="1"/>
    <xf numFmtId="0" fontId="10" fillId="0" borderId="0" xfId="0" applyFont="1" applyBorder="1" applyAlignment="1">
      <alignment horizontal="left"/>
    </xf>
    <xf numFmtId="49" fontId="7" fillId="0" borderId="0" xfId="2" applyNumberFormat="1"/>
    <xf numFmtId="0" fontId="7" fillId="0" borderId="0" xfId="2"/>
    <xf numFmtId="0" fontId="12" fillId="0" borderId="0" xfId="2" applyFont="1"/>
    <xf numFmtId="0" fontId="11" fillId="0" borderId="0" xfId="2" applyFont="1" applyAlignment="1">
      <alignment horizontal="left" vertical="center"/>
    </xf>
    <xf numFmtId="0" fontId="11" fillId="0" borderId="0" xfId="2" applyFont="1" applyAlignment="1">
      <alignment horizontal="center" vertical="center"/>
    </xf>
    <xf numFmtId="0" fontId="13" fillId="0" borderId="0" xfId="2" applyFont="1" applyAlignment="1">
      <alignment vertical="center"/>
    </xf>
    <xf numFmtId="0" fontId="13" fillId="0" borderId="0" xfId="2" applyFont="1" applyAlignment="1">
      <alignment horizontal="center"/>
    </xf>
    <xf numFmtId="49" fontId="4" fillId="0" borderId="0" xfId="4" applyNumberFormat="1"/>
    <xf numFmtId="0" fontId="4" fillId="0" borderId="0" xfId="4"/>
    <xf numFmtId="49" fontId="15" fillId="0" borderId="0" xfId="2" applyNumberFormat="1" applyFont="1"/>
    <xf numFmtId="0" fontId="15" fillId="0" borderId="0" xfId="2" applyFont="1"/>
    <xf numFmtId="166" fontId="15" fillId="0" borderId="0" xfId="2" applyNumberFormat="1" applyFont="1" applyBorder="1"/>
    <xf numFmtId="0" fontId="16" fillId="0" borderId="0" xfId="2" applyFont="1"/>
    <xf numFmtId="166" fontId="15" fillId="4" borderId="0" xfId="2" applyNumberFormat="1" applyFont="1" applyFill="1" applyBorder="1"/>
    <xf numFmtId="0" fontId="7" fillId="0" borderId="0" xfId="2" applyBorder="1"/>
    <xf numFmtId="166" fontId="7" fillId="0" borderId="0" xfId="2" applyNumberFormat="1" applyBorder="1"/>
    <xf numFmtId="40" fontId="15" fillId="0" borderId="0" xfId="2" applyNumberFormat="1" applyFont="1"/>
    <xf numFmtId="0" fontId="14" fillId="3" borderId="0" xfId="4" applyNumberFormat="1" applyFont="1" applyFill="1" applyBorder="1" applyAlignment="1">
      <alignment horizontal="center" vertical="center"/>
    </xf>
    <xf numFmtId="167" fontId="7" fillId="0" borderId="0" xfId="2" applyNumberFormat="1"/>
    <xf numFmtId="0" fontId="8" fillId="3" borderId="0" xfId="2" applyFont="1" applyFill="1" applyBorder="1" applyAlignment="1">
      <alignment horizontal="center"/>
    </xf>
    <xf numFmtId="168" fontId="13" fillId="0" borderId="0" xfId="0" applyNumberFormat="1" applyFont="1" applyFill="1" applyAlignment="1">
      <alignment horizontal="center"/>
    </xf>
    <xf numFmtId="0" fontId="19" fillId="0" borderId="0" xfId="8" applyFont="1" applyAlignment="1">
      <alignment horizontal="center" vertical="center"/>
    </xf>
    <xf numFmtId="0" fontId="0" fillId="0" borderId="0" xfId="0"/>
    <xf numFmtId="0" fontId="1" fillId="5" borderId="0" xfId="10" applyFill="1"/>
    <xf numFmtId="0" fontId="1" fillId="5" borderId="0" xfId="10" applyFill="1" applyBorder="1"/>
    <xf numFmtId="0" fontId="1" fillId="6" borderId="0" xfId="10" applyFill="1"/>
    <xf numFmtId="0" fontId="22" fillId="5" borderId="0" xfId="10" applyFont="1" applyFill="1" applyAlignment="1">
      <alignment horizontal="right" vertical="top"/>
    </xf>
    <xf numFmtId="0" fontId="22" fillId="5" borderId="0" xfId="10" applyFont="1" applyFill="1" applyAlignment="1">
      <alignment vertical="top"/>
    </xf>
    <xf numFmtId="0" fontId="1" fillId="5" borderId="0" xfId="10" applyFill="1" applyAlignment="1">
      <alignment vertical="top"/>
    </xf>
    <xf numFmtId="0" fontId="1" fillId="2" borderId="0" xfId="10" applyFill="1"/>
    <xf numFmtId="0" fontId="1" fillId="2" borderId="0" xfId="10" applyFill="1" applyBorder="1"/>
    <xf numFmtId="0" fontId="23" fillId="2" borderId="0" xfId="10" applyFont="1" applyFill="1" applyBorder="1" applyAlignment="1">
      <alignment horizontal="left"/>
    </xf>
    <xf numFmtId="0" fontId="7" fillId="2" borderId="0" xfId="10" applyFont="1" applyFill="1" applyBorder="1"/>
    <xf numFmtId="0" fontId="7" fillId="2" borderId="0" xfId="10" applyFont="1" applyFill="1"/>
    <xf numFmtId="0" fontId="13" fillId="2" borderId="0" xfId="10" applyFont="1" applyFill="1" applyBorder="1" applyAlignment="1">
      <alignment horizontal="left"/>
    </xf>
    <xf numFmtId="0" fontId="25" fillId="2" borderId="0" xfId="10" applyFont="1" applyFill="1" applyAlignment="1">
      <alignment horizontal="center" vertical="center"/>
    </xf>
    <xf numFmtId="0" fontId="17" fillId="2" borderId="0" xfId="10" applyFont="1" applyFill="1"/>
    <xf numFmtId="0" fontId="1" fillId="6" borderId="0" xfId="10" applyFill="1" applyBorder="1"/>
    <xf numFmtId="164" fontId="7" fillId="0" borderId="0" xfId="13" applyFont="1"/>
    <xf numFmtId="164" fontId="7" fillId="0" borderId="0" xfId="2" applyNumberFormat="1"/>
    <xf numFmtId="0" fontId="27" fillId="0" borderId="0" xfId="2" applyFont="1"/>
    <xf numFmtId="0" fontId="21" fillId="5" borderId="0" xfId="11" applyFill="1" applyAlignment="1">
      <alignment horizontal="center" vertical="top"/>
    </xf>
    <xf numFmtId="0" fontId="21" fillId="5" borderId="0" xfId="11" applyFill="1" applyAlignment="1">
      <alignment horizontal="left" vertical="top"/>
    </xf>
    <xf numFmtId="0" fontId="20" fillId="3" borderId="0" xfId="8" applyFont="1" applyFill="1" applyBorder="1" applyAlignment="1">
      <alignment horizontal="center" vertical="center" wrapText="1"/>
    </xf>
    <xf numFmtId="0" fontId="24" fillId="5" borderId="0" xfId="8" applyFont="1" applyFill="1" applyAlignment="1">
      <alignment horizontal="center" vertical="center" wrapText="1"/>
    </xf>
    <xf numFmtId="0" fontId="21" fillId="2" borderId="0" xfId="11" applyFill="1" applyBorder="1" applyAlignment="1">
      <alignment horizontal="center"/>
    </xf>
    <xf numFmtId="0" fontId="21" fillId="2" borderId="0" xfId="11" applyFill="1" applyAlignment="1">
      <alignment horizontal="center"/>
    </xf>
    <xf numFmtId="0" fontId="21" fillId="2" borderId="0" xfId="12" applyFill="1" applyAlignment="1">
      <alignment horizontal="center"/>
    </xf>
    <xf numFmtId="165" fontId="14" fillId="3" borderId="0" xfId="4" applyNumberFormat="1" applyFont="1" applyFill="1" applyBorder="1" applyAlignment="1">
      <alignment horizontal="center" vertical="center"/>
    </xf>
    <xf numFmtId="0" fontId="8" fillId="3" borderId="0" xfId="2" applyFont="1" applyFill="1" applyAlignment="1">
      <alignment horizontal="left" vertical="top" wrapText="1"/>
    </xf>
    <xf numFmtId="0" fontId="8" fillId="3" borderId="0" xfId="2" applyFont="1" applyFill="1" applyBorder="1" applyAlignment="1">
      <alignment horizontal="center" vertical="center" wrapText="1"/>
    </xf>
    <xf numFmtId="0" fontId="8" fillId="3" borderId="4" xfId="2" applyFont="1" applyFill="1" applyBorder="1" applyAlignment="1">
      <alignment horizontal="center" vertical="center" wrapText="1"/>
    </xf>
    <xf numFmtId="0" fontId="8" fillId="3" borderId="0" xfId="2" applyFont="1" applyFill="1" applyBorder="1" applyAlignment="1">
      <alignment horizontal="center" wrapText="1"/>
    </xf>
  </cellXfs>
  <cellStyles count="14">
    <cellStyle name="Comma" xfId="13" builtinId="3"/>
    <cellStyle name="Comma 2" xfId="5"/>
    <cellStyle name="Followed Hyperlink" xfId="12" builtinId="9"/>
    <cellStyle name="Hyperlink" xfId="8" builtinId="8" customBuiltin="1"/>
    <cellStyle name="Hyperlink 2" xfId="7"/>
    <cellStyle name="Hyperlink 3" xfId="11"/>
    <cellStyle name="Normal" xfId="0" builtinId="0" customBuiltin="1"/>
    <cellStyle name="Normal 2" xfId="10"/>
    <cellStyle name="Normal 2 5" xfId="4"/>
    <cellStyle name="Normal 6" xfId="2"/>
    <cellStyle name="Normal 6 2 2" xfId="1"/>
    <cellStyle name="Normal 6 2 2 2" xfId="3"/>
    <cellStyle name="Normal 6 2 2 4" xfId="6"/>
    <cellStyle name="Normal 6 2 2 4 2" xfId="9"/>
  </cellStyles>
  <dxfs count="10">
    <dxf>
      <fill>
        <patternFill>
          <bgColor rgb="FFE7E6E6"/>
        </patternFill>
      </fill>
    </dxf>
    <dxf>
      <font>
        <color theme="0"/>
      </font>
      <fill>
        <patternFill>
          <bgColor rgb="FF4D4F53"/>
        </patternFill>
      </fill>
    </dxf>
    <dxf>
      <font>
        <sz val="10"/>
        <color theme="0"/>
        <name val="Segoe UI"/>
      </font>
      <fill>
        <patternFill>
          <bgColor rgb="FF4D4F53"/>
        </patternFill>
      </fill>
      <border>
        <vertical/>
        <horizontal/>
      </border>
    </dxf>
    <dxf>
      <border>
        <left style="thin">
          <color rgb="FF4D4F53"/>
        </left>
        <right style="thin">
          <color rgb="FF4D4F53"/>
        </right>
        <top style="thin">
          <color rgb="FF4D4F53"/>
        </top>
        <bottom style="thin">
          <color rgb="FF4D4F53"/>
        </bottom>
        <vertical/>
        <horizontal/>
      </border>
    </dxf>
    <dxf>
      <fill>
        <patternFill>
          <bgColor rgb="FF4D4F53"/>
        </patternFill>
      </fill>
    </dxf>
    <dxf>
      <font>
        <sz val="10"/>
        <color theme="0"/>
        <name val="Segoe UI"/>
        <scheme val="none"/>
      </font>
      <border>
        <left style="thin">
          <color rgb="FF4D4F53"/>
        </left>
        <right style="thin">
          <color rgb="FF4D4F53"/>
        </right>
        <top style="thin">
          <color rgb="FF4D4F53"/>
        </top>
        <bottom style="thin">
          <color rgb="FF4D4F53"/>
        </bottom>
      </border>
    </dxf>
    <dxf>
      <font>
        <b/>
        <i val="0"/>
      </font>
      <fill>
        <patternFill>
          <bgColor rgb="FFF2F2F2"/>
        </patternFill>
      </fill>
    </dxf>
    <dxf>
      <font>
        <b/>
        <i val="0"/>
      </font>
      <fill>
        <patternFill>
          <bgColor rgb="FFE7E6E6"/>
        </patternFill>
      </fill>
    </dxf>
    <dxf>
      <font>
        <b/>
        <i val="0"/>
      </font>
      <fill>
        <patternFill>
          <bgColor rgb="FFD9D9D9"/>
        </patternFill>
      </fill>
    </dxf>
    <dxf>
      <font>
        <color theme="0"/>
      </font>
      <fill>
        <patternFill>
          <bgColor rgb="FF4D4F53"/>
        </patternFill>
      </fill>
    </dxf>
  </dxfs>
  <tableStyles count="4" defaultTableStyle="TableStyleMedium4" defaultPivotStyle="Sage Pivot Style">
    <tableStyle name="Sage Pivot Style" table="0" count="4">
      <tableStyleElement type="headerRow" dxfId="9"/>
      <tableStyleElement type="totalRow" dxfId="8"/>
      <tableStyleElement type="firstRowSubheading" dxfId="7"/>
      <tableStyleElement type="thirdRowSubheading" dxfId="6"/>
    </tableStyle>
    <tableStyle name="Sage Slicer Style" pivot="0" table="0" count="10">
      <tableStyleElement type="wholeTable" dxfId="5"/>
      <tableStyleElement type="headerRow" dxfId="4"/>
    </tableStyle>
    <tableStyle name="Sage Style" pivot="0" table="0" count="9">
      <tableStyleElement type="wholeTable" dxfId="3"/>
      <tableStyleElement type="headerRow" dxfId="2"/>
    </tableStyle>
    <tableStyle name="Sage Table Style" pivot="0" count="2">
      <tableStyleElement type="headerRow" dxfId="1"/>
      <tableStyleElement type="secondRowStripe" dxfId="0"/>
    </tableStyle>
  </tableStyles>
  <colors>
    <mruColors>
      <color rgb="FF34B233"/>
      <color rgb="FF4D4F53"/>
      <color rgb="FF6639B7"/>
      <color rgb="FFFF5800"/>
      <color rgb="FF0098D4"/>
      <color rgb="FF2AB428"/>
      <color rgb="FFE2AC00"/>
      <color rgb="FFBFBFBF"/>
      <color rgb="FF40B23F"/>
      <color rgb="FFD9D9D9"/>
    </mruColors>
  </colors>
  <extLst>
    <ext xmlns:x14="http://schemas.microsoft.com/office/spreadsheetml/2009/9/main" uri="{46F421CA-312F-682f-3DD2-61675219B42D}">
      <x14:dxfs count="8">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93DD9F"/>
            </patternFill>
          </fill>
          <border diagonalUp="0" diagonalDown="0">
            <left/>
            <right/>
            <top/>
            <bottom/>
            <vertical/>
            <horizontal/>
          </border>
        </dxf>
        <dxf>
          <fill>
            <patternFill>
              <bgColor rgb="FF36B34A"/>
            </patternFill>
          </fill>
          <border>
            <left/>
            <right/>
            <top/>
            <bottom/>
          </border>
        </dxf>
        <dxf>
          <font>
            <color theme="0" tint="-0.499984740745262"/>
          </font>
          <border>
            <left style="thin">
              <color theme="0" tint="-0.24994659260841701"/>
            </left>
            <right style="thin">
              <color theme="0" tint="-0.24994659260841701"/>
            </right>
            <top style="thin">
              <color theme="0" tint="-0.24994659260841701"/>
            </top>
            <bottom style="thin">
              <color theme="0" tint="-0.24994659260841701"/>
            </bottom>
          </border>
        </dxf>
        <dxf>
          <font>
            <color theme="1" tint="0.24994659260841701"/>
          </font>
          <fill>
            <patternFill patternType="none">
              <bgColor auto="1"/>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x14:dxfs>
    </ext>
    <ext xmlns:x14="http://schemas.microsoft.com/office/spreadsheetml/2009/9/main" uri="{EB79DEF2-80B8-43e5-95BD-54CBDDF9020C}">
      <x14:slicerStyles defaultSlicerStyle="Sage Slicer Style">
        <x14:slicerStyle name="Sag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rgb="FFC2ECC9"/>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36B34A"/>
            </patternFill>
          </fill>
          <border>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10"/>
            <color rgb="FF40B23F"/>
          </font>
          <border>
            <left/>
            <right/>
            <top/>
            <bottom/>
            <vertical/>
            <horizontal/>
          </border>
        </dxf>
      </x15:dxfs>
    </ext>
    <ext xmlns:x15="http://schemas.microsoft.com/office/spreadsheetml/2010/11/main" uri="{9260A510-F301-46a8-8635-F512D64BE5F5}">
      <x15:timelineStyles defaultTimelineStyle="Sage Style">
        <x15:timelineStyle name="Sag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sz="1800" b="1" i="0" baseline="0">
                <a:solidFill>
                  <a:srgbClr val="4D4F53"/>
                </a:solidFill>
                <a:effectLst/>
              </a:rPr>
              <a:t>Cash Flow Current vs Prior</a:t>
            </a:r>
            <a:endParaRPr lang="en-ZA">
              <a:solidFill>
                <a:srgbClr val="4D4F53"/>
              </a:solidFill>
              <a:effectLst/>
            </a:endParaRPr>
          </a:p>
        </c:rich>
      </c:tx>
      <c:layout>
        <c:manualLayout>
          <c:xMode val="edge"/>
          <c:yMode val="edge"/>
          <c:x val="0.39130510327759083"/>
          <c:y val="2.0572415306848914E-2"/>
        </c:manualLayout>
      </c:layout>
      <c:overlay val="0"/>
    </c:title>
    <c:autoTitleDeleted val="0"/>
    <c:plotArea>
      <c:layout>
        <c:manualLayout>
          <c:layoutTarget val="inner"/>
          <c:xMode val="edge"/>
          <c:yMode val="edge"/>
          <c:x val="8.4085080053906067E-2"/>
          <c:y val="0.11726627697868433"/>
          <c:w val="0.90475309307797713"/>
          <c:h val="0.66546606914869344"/>
        </c:manualLayout>
      </c:layout>
      <c:lineChart>
        <c:grouping val="standard"/>
        <c:varyColors val="0"/>
        <c:ser>
          <c:idx val="0"/>
          <c:order val="0"/>
          <c:tx>
            <c:v>2020</c:v>
          </c:tx>
          <c:spPr>
            <a:ln>
              <a:solidFill>
                <a:srgbClr val="007F64"/>
              </a:solidFill>
            </a:ln>
          </c:spPr>
          <c:marker>
            <c:symbol val="none"/>
          </c:marker>
          <c:cat>
            <c:multiLvlStrRef>
              <c:f>'Cash Flow'!$D$10:$Q$11</c:f>
              <c:multiLvlStrCache>
                <c:ptCount val="14"/>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lvl>
                  <c:pt idx="0">
                    <c:v>Period </c:v>
                  </c:pt>
                </c:lvl>
              </c:multiLvlStrCache>
            </c:multiLvlStrRef>
          </c:cat>
          <c:val>
            <c:numRef>
              <c:f>'Cash Flow'!$D$30:$Q$30</c:f>
              <c:numCache>
                <c:formatCode>#,##0.00;\(#,##0.00\)</c:formatCode>
                <c:ptCount val="14"/>
                <c:pt idx="0">
                  <c:v>7912362</c:v>
                </c:pt>
                <c:pt idx="1">
                  <c:v>8321266</c:v>
                </c:pt>
                <c:pt idx="2">
                  <c:v>9637689</c:v>
                </c:pt>
                <c:pt idx="3">
                  <c:v>10645514</c:v>
                </c:pt>
                <c:pt idx="4">
                  <c:v>11999636</c:v>
                </c:pt>
                <c:pt idx="5">
                  <c:v>11996813</c:v>
                </c:pt>
                <c:pt idx="6">
                  <c:v>11959972</c:v>
                </c:pt>
                <c:pt idx="7">
                  <c:v>11960372</c:v>
                </c:pt>
                <c:pt idx="8">
                  <c:v>11960372</c:v>
                </c:pt>
                <c:pt idx="9">
                  <c:v>11960372</c:v>
                </c:pt>
                <c:pt idx="10">
                  <c:v>11960372</c:v>
                </c:pt>
                <c:pt idx="11">
                  <c:v>11960372</c:v>
                </c:pt>
                <c:pt idx="12">
                  <c:v>11960372</c:v>
                </c:pt>
                <c:pt idx="13">
                  <c:v>11960372</c:v>
                </c:pt>
              </c:numCache>
            </c:numRef>
          </c:val>
          <c:smooth val="0"/>
        </c:ser>
        <c:ser>
          <c:idx val="1"/>
          <c:order val="1"/>
          <c:tx>
            <c:strRef>
              <c:f>'Cash Flow'!$T$8</c:f>
              <c:strCache>
                <c:ptCount val="1"/>
                <c:pt idx="0">
                  <c:v>2019</c:v>
                </c:pt>
              </c:strCache>
            </c:strRef>
          </c:tx>
          <c:spPr>
            <a:ln>
              <a:solidFill>
                <a:srgbClr val="34B233"/>
              </a:solidFill>
            </a:ln>
          </c:spPr>
          <c:marker>
            <c:symbol val="none"/>
          </c:marker>
          <c:cat>
            <c:multiLvlStrRef>
              <c:f>'Cash Flow'!$D$10:$Q$11</c:f>
              <c:multiLvlStrCache>
                <c:ptCount val="14"/>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lvl>
                  <c:pt idx="0">
                    <c:v>Period </c:v>
                  </c:pt>
                </c:lvl>
              </c:multiLvlStrCache>
            </c:multiLvlStrRef>
          </c:cat>
          <c:val>
            <c:numRef>
              <c:f>'Cash Flow'!$S$30:$AF$30</c:f>
              <c:numCache>
                <c:formatCode>#,##0.00;\(#,##0.00\)</c:formatCode>
                <c:ptCount val="14"/>
                <c:pt idx="0">
                  <c:v>2748524</c:v>
                </c:pt>
                <c:pt idx="1">
                  <c:v>3148164</c:v>
                </c:pt>
                <c:pt idx="2">
                  <c:v>3305644</c:v>
                </c:pt>
                <c:pt idx="3">
                  <c:v>3863704</c:v>
                </c:pt>
                <c:pt idx="4">
                  <c:v>4056025</c:v>
                </c:pt>
                <c:pt idx="5">
                  <c:v>4424910</c:v>
                </c:pt>
                <c:pt idx="6">
                  <c:v>5136062</c:v>
                </c:pt>
                <c:pt idx="7">
                  <c:v>6189399</c:v>
                </c:pt>
                <c:pt idx="8">
                  <c:v>6308522</c:v>
                </c:pt>
                <c:pt idx="9">
                  <c:v>6734617</c:v>
                </c:pt>
                <c:pt idx="10">
                  <c:v>6656428</c:v>
                </c:pt>
                <c:pt idx="11">
                  <c:v>6840728</c:v>
                </c:pt>
                <c:pt idx="12">
                  <c:v>6840728</c:v>
                </c:pt>
                <c:pt idx="13">
                  <c:v>6840728</c:v>
                </c:pt>
              </c:numCache>
            </c:numRef>
          </c:val>
          <c:smooth val="0"/>
        </c:ser>
        <c:dLbls>
          <c:showLegendKey val="0"/>
          <c:showVal val="0"/>
          <c:showCatName val="0"/>
          <c:showSerName val="0"/>
          <c:showPercent val="0"/>
          <c:showBubbleSize val="0"/>
        </c:dLbls>
        <c:smooth val="0"/>
        <c:axId val="379972072"/>
        <c:axId val="379968152"/>
      </c:lineChart>
      <c:catAx>
        <c:axId val="379972072"/>
        <c:scaling>
          <c:orientation val="minMax"/>
        </c:scaling>
        <c:delete val="0"/>
        <c:axPos val="b"/>
        <c:numFmt formatCode="General" sourceLinked="0"/>
        <c:majorTickMark val="none"/>
        <c:minorTickMark val="none"/>
        <c:tickLblPos val="nextTo"/>
        <c:crossAx val="379968152"/>
        <c:crosses val="autoZero"/>
        <c:auto val="1"/>
        <c:lblAlgn val="ctr"/>
        <c:lblOffset val="100"/>
        <c:noMultiLvlLbl val="0"/>
      </c:catAx>
      <c:valAx>
        <c:axId val="379968152"/>
        <c:scaling>
          <c:orientation val="minMax"/>
        </c:scaling>
        <c:delete val="0"/>
        <c:axPos val="l"/>
        <c:numFmt formatCode="#,##0.00;\(#,##0.00\)" sourceLinked="1"/>
        <c:majorTickMark val="none"/>
        <c:minorTickMark val="none"/>
        <c:tickLblPos val="nextTo"/>
        <c:spPr>
          <a:ln w="9525">
            <a:noFill/>
          </a:ln>
        </c:spPr>
        <c:txPr>
          <a:bodyPr/>
          <a:lstStyle/>
          <a:p>
            <a:pPr>
              <a:defRPr>
                <a:solidFill>
                  <a:srgbClr val="4D4F53"/>
                </a:solidFill>
                <a:latin typeface="Arial" pitchFamily="34" charset="0"/>
                <a:cs typeface="Arial" pitchFamily="34" charset="0"/>
              </a:defRPr>
            </a:pPr>
            <a:endParaRPr lang="en-US"/>
          </a:p>
        </c:txPr>
        <c:crossAx val="379972072"/>
        <c:crosses val="autoZero"/>
        <c:crossBetween val="between"/>
        <c:dispUnits>
          <c:builtInUnit val="thousands"/>
          <c:dispUnitsLbl>
            <c:txPr>
              <a:bodyPr/>
              <a:lstStyle/>
              <a:p>
                <a:pPr>
                  <a:defRPr>
                    <a:solidFill>
                      <a:srgbClr val="4D4F53"/>
                    </a:solidFill>
                    <a:latin typeface="Arial" pitchFamily="34" charset="0"/>
                    <a:cs typeface="Arial" pitchFamily="34" charset="0"/>
                  </a:defRPr>
                </a:pPr>
                <a:endParaRPr lang="en-US"/>
              </a:p>
            </c:txPr>
          </c:dispUnitsLbl>
        </c:dispUnits>
      </c:valAx>
    </c:plotArea>
    <c:legend>
      <c:legendPos val="b"/>
      <c:overlay val="0"/>
    </c:legend>
    <c:plotVisOnly val="1"/>
    <c:dispBlanksAs val="gap"/>
    <c:showDLblsOverMax val="0"/>
  </c:chart>
  <c:spPr>
    <a:ln w="25400" cap="rnd">
      <a:solidFill>
        <a:srgbClr val="A6A6A6"/>
      </a:solidFill>
    </a:ln>
    <a:effectLst>
      <a:outerShdw blurRad="50800" dist="50800" dir="5400000" algn="ctr" rotWithShape="0">
        <a:srgbClr val="000000">
          <a:alpha val="75000"/>
        </a:srgbClr>
      </a:outerShdw>
    </a:effectLst>
  </c:spPr>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142875</xdr:rowOff>
    </xdr:from>
    <xdr:ext cx="964868" cy="33337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142875"/>
          <a:ext cx="964868" cy="333375"/>
        </a:xfrm>
        <a:prstGeom prst="rect">
          <a:avLst/>
        </a:prstGeom>
      </xdr:spPr>
    </xdr:pic>
    <xdr:clientData/>
  </xdr:oneCellAnchor>
  <xdr:twoCellAnchor editAs="oneCell">
    <xdr:from>
      <xdr:col>3</xdr:col>
      <xdr:colOff>11905</xdr:colOff>
      <xdr:row>5</xdr:row>
      <xdr:rowOff>71435</xdr:rowOff>
    </xdr:from>
    <xdr:to>
      <xdr:col>39</xdr:col>
      <xdr:colOff>3467</xdr:colOff>
      <xdr:row>18</xdr:row>
      <xdr:rowOff>97307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54905" y="1233485"/>
          <a:ext cx="10288087" cy="2502372"/>
        </a:xfrm>
        <a:prstGeom prst="rect">
          <a:avLst/>
        </a:prstGeom>
      </xdr:spPr>
    </xdr:pic>
    <xdr:clientData/>
  </xdr:twoCellAnchor>
  <xdr:twoCellAnchor editAs="oneCell">
    <xdr:from>
      <xdr:col>2</xdr:col>
      <xdr:colOff>345280</xdr:colOff>
      <xdr:row>19</xdr:row>
      <xdr:rowOff>142875</xdr:rowOff>
    </xdr:from>
    <xdr:to>
      <xdr:col>4</xdr:col>
      <xdr:colOff>190499</xdr:colOff>
      <xdr:row>22</xdr:row>
      <xdr:rowOff>47625</xdr:rowOff>
    </xdr:to>
    <xdr:pic>
      <xdr:nvPicPr>
        <xdr:cNvPr id="5" name="Picture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344" t="15000" r="16185" b="16810"/>
        <a:stretch/>
      </xdr:blipFill>
      <xdr:spPr>
        <a:xfrm>
          <a:off x="1107280" y="3971925"/>
          <a:ext cx="607219" cy="590550"/>
        </a:xfrm>
        <a:prstGeom prst="rect">
          <a:avLst/>
        </a:prstGeom>
      </xdr:spPr>
    </xdr:pic>
    <xdr:clientData/>
  </xdr:twoCellAnchor>
  <xdr:twoCellAnchor editAs="oneCell">
    <xdr:from>
      <xdr:col>3</xdr:col>
      <xdr:colOff>0</xdr:colOff>
      <xdr:row>2</xdr:row>
      <xdr:rowOff>0</xdr:rowOff>
    </xdr:from>
    <xdr:to>
      <xdr:col>15</xdr:col>
      <xdr:colOff>18607</xdr:colOff>
      <xdr:row>3</xdr:row>
      <xdr:rowOff>369040</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571500"/>
          <a:ext cx="3542857" cy="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31</xdr:row>
      <xdr:rowOff>210787</xdr:rowOff>
    </xdr:from>
    <xdr:to>
      <xdr:col>16</xdr:col>
      <xdr:colOff>389467</xdr:colOff>
      <xdr:row>49</xdr:row>
      <xdr:rowOff>104776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B4CD26D-2030-4FB8-BC67-BEA866733D38}">
  <we:reference id="wa104379397" version="1.0.0.2" store="en-US" storeType="OMEX"/>
  <we:alternateReferences/>
  <we:properties/>
  <we:bindings>
    <we:binding id="ShowFormulae" type="text" appref="{2FB10DBC-D948-432C-95A4-8D992666B3ED}"/>
    <we:binding id="MissingAccounts" type="matrix" appref="{E3246385-DE71-4EF6-A078-B1F177221E31}"/>
    <we:binding id="AutoRefresh" type="matrix" appref="{AD4EFCFD-1E76-41D1-8B71-3A5747376D16}"/>
    <we:binding id="CompaniesList" type="matrix" appref="{73685DA9-5DCA-4BB3-946E-2146C6868B62}"/>
    <we:binding id="YearsList" type="matrix" appref="{853A1A88-25CA-416C-A090-27D4BE8E89D2}"/>
    <we:binding id="Delimiter" type="text" appref="{D94530BE-FE56-45A8-B887-60FCF932EDA6}"/>
    <we:binding id="Decimal" type="text" appref="{667F9751-4FB6-407D-8C54-18C7D35AD545}"/>
  </we:bindings>
  <we:snapshot xmlns:r="http://schemas.openxmlformats.org/officeDocument/2006/relationships"/>
</we:webextension>
</file>

<file path=xl/worksheets/_rels/sheet3.xml.rels><?xml version="1.0" encoding="UTF-8" standalone="yes"?>
<Relationships xmlns="http://schemas.openxmlformats.org/package/2006/relationships"><Relationship Id="rId8" Type="http://schemas.openxmlformats.org/officeDocument/2006/relationships/hyperlink" Target="https://twitter.com/sagealchemex" TargetMode="External"/><Relationship Id="rId3" Type="http://schemas.openxmlformats.org/officeDocument/2006/relationships/hyperlink" Target="http://blog.sageintelligence.com/" TargetMode="External"/><Relationship Id="rId7" Type="http://schemas.openxmlformats.org/officeDocument/2006/relationships/hyperlink" Target="http://www.youtube.com/user/sageintelligence" TargetMode="External"/><Relationship Id="rId2" Type="http://schemas.openxmlformats.org/officeDocument/2006/relationships/hyperlink" Target="http://kb.sageintelligence.com/index.php?title=Main_Page" TargetMode="External"/><Relationship Id="rId1" Type="http://schemas.openxmlformats.org/officeDocument/2006/relationships/hyperlink" Target="https://www.sageintelligence.com/support/" TargetMode="External"/><Relationship Id="rId6" Type="http://schemas.openxmlformats.org/officeDocument/2006/relationships/hyperlink" Target="http://www.linkedin.com/company/sage-alchemex" TargetMode="External"/><Relationship Id="rId5" Type="http://schemas.openxmlformats.org/officeDocument/2006/relationships/hyperlink" Target="https://www.facebook.com/SageIntelligence" TargetMode="External"/><Relationship Id="rId10" Type="http://schemas.openxmlformats.org/officeDocument/2006/relationships/drawing" Target="../drawings/drawing1.xml"/><Relationship Id="rId4" Type="http://schemas.openxmlformats.org/officeDocument/2006/relationships/hyperlink" Target="http://www.sageintelligencecommunity.com/"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heetViews>
  <sheetFormatPr defaultRowHeight="14.25" x14ac:dyDescent="0.25"/>
  <cols>
    <col min="1" max="1" width="10.5703125" customWidth="1"/>
  </cols>
  <sheetData>
    <row r="1" spans="1:1" x14ac:dyDescent="0.25">
      <c r="A1" s="1" t="s">
        <v>0</v>
      </c>
    </row>
    <row r="2" spans="1:1" ht="15" thickBot="1" x14ac:dyDescent="0.3">
      <c r="A2" s="2">
        <v>3</v>
      </c>
    </row>
    <row r="3" spans="1:1" x14ac:dyDescent="0.25">
      <c r="A3" s="1" t="s">
        <v>1</v>
      </c>
    </row>
    <row r="4" spans="1:1" ht="15" thickBot="1" x14ac:dyDescent="0.3">
      <c r="A4" s="2" t="str">
        <f ca="1">CHOOSE(1,MID(CellContents,10,1), 3)</f>
        <v>,</v>
      </c>
    </row>
    <row r="5" spans="1:1" x14ac:dyDescent="0.25">
      <c r="A5" s="1" t="s">
        <v>2</v>
      </c>
    </row>
    <row r="6" spans="1:1" ht="15" thickBot="1" x14ac:dyDescent="0.3">
      <c r="A6" s="3" t="str">
        <f ca="1">CHOOSE(1,MID(CellContents,36,1), 3.5)</f>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A3"/>
    </sheetView>
  </sheetViews>
  <sheetFormatPr defaultRowHeight="14.25" x14ac:dyDescent="0.25"/>
  <cols>
    <col min="1" max="1" width="22.42578125" customWidth="1"/>
    <col min="2" max="2" width="11" customWidth="1"/>
    <col min="4" max="4" width="15.42578125" customWidth="1"/>
    <col min="5" max="5" width="17.85546875" bestFit="1" customWidth="1"/>
    <col min="7" max="7" width="10" bestFit="1" customWidth="1"/>
  </cols>
  <sheetData>
    <row r="1" spans="1:7" x14ac:dyDescent="0.25">
      <c r="A1" t="s">
        <v>3</v>
      </c>
      <c r="B1" t="s">
        <v>4</v>
      </c>
      <c r="C1" t="s">
        <v>5</v>
      </c>
      <c r="D1" t="s">
        <v>6</v>
      </c>
      <c r="E1" t="s">
        <v>14</v>
      </c>
      <c r="F1" t="s">
        <v>15</v>
      </c>
      <c r="G1" t="s">
        <v>16</v>
      </c>
    </row>
    <row r="2" spans="1:7" x14ac:dyDescent="0.25">
      <c r="C2">
        <v>1</v>
      </c>
      <c r="D2" t="s">
        <v>32</v>
      </c>
    </row>
    <row r="3" spans="1:7" x14ac:dyDescent="0.25">
      <c r="C3">
        <v>2</v>
      </c>
      <c r="D3" t="s">
        <v>33</v>
      </c>
    </row>
    <row r="4" spans="1:7" x14ac:dyDescent="0.25">
      <c r="C4">
        <v>3</v>
      </c>
      <c r="D4" s="33" t="s">
        <v>42</v>
      </c>
    </row>
    <row r="5" spans="1:7" x14ac:dyDescent="0.25">
      <c r="C5">
        <v>4</v>
      </c>
      <c r="D5" s="33" t="s">
        <v>62</v>
      </c>
    </row>
    <row r="6" spans="1:7" x14ac:dyDescent="0.25">
      <c r="C6">
        <v>5</v>
      </c>
      <c r="D6" s="33" t="s">
        <v>65</v>
      </c>
    </row>
    <row r="7" spans="1:7" x14ac:dyDescent="0.25">
      <c r="C7">
        <v>6</v>
      </c>
      <c r="D7" s="33" t="s">
        <v>66</v>
      </c>
    </row>
    <row r="8" spans="1:7" x14ac:dyDescent="0.25">
      <c r="C8">
        <v>7</v>
      </c>
      <c r="D8" s="33" t="s">
        <v>67</v>
      </c>
    </row>
    <row r="9" spans="1:7" x14ac:dyDescent="0.25">
      <c r="C9">
        <v>8</v>
      </c>
      <c r="D9" s="33" t="s">
        <v>68</v>
      </c>
    </row>
    <row r="10" spans="1:7" x14ac:dyDescent="0.25">
      <c r="C10">
        <v>9</v>
      </c>
      <c r="D10" s="33" t="s">
        <v>74</v>
      </c>
    </row>
    <row r="11" spans="1:7" x14ac:dyDescent="0.25">
      <c r="C11">
        <v>10</v>
      </c>
      <c r="D11" s="33"/>
    </row>
    <row r="12" spans="1:7" x14ac:dyDescent="0.25">
      <c r="C12">
        <v>11</v>
      </c>
      <c r="D12" s="33"/>
    </row>
    <row r="13" spans="1:7" x14ac:dyDescent="0.25">
      <c r="C13">
        <v>12</v>
      </c>
      <c r="D13" s="33"/>
    </row>
    <row r="14" spans="1:7" x14ac:dyDescent="0.25">
      <c r="D14"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P32"/>
  <sheetViews>
    <sheetView showGridLines="0" tabSelected="1" zoomScale="80" zoomScaleNormal="80" workbookViewId="0"/>
  </sheetViews>
  <sheetFormatPr defaultColWidth="5.7109375" defaultRowHeight="15" x14ac:dyDescent="0.25"/>
  <cols>
    <col min="1" max="3" width="5.7109375" style="36"/>
    <col min="4" max="4" width="5.7109375" style="48"/>
    <col min="5" max="5" width="5.7109375" style="36"/>
    <col min="6" max="6" width="1.7109375" style="36" customWidth="1"/>
    <col min="7" max="8" width="5.7109375" style="36"/>
    <col min="9" max="9" width="1.7109375" style="36" customWidth="1"/>
    <col min="10" max="11" width="5.7109375" style="36"/>
    <col min="12" max="12" width="1.7109375" style="36" customWidth="1"/>
    <col min="13" max="14" width="5.7109375" style="36"/>
    <col min="15" max="15" width="1.7109375" style="36" customWidth="1"/>
    <col min="16" max="17" width="5.7109375" style="36"/>
    <col min="18" max="18" width="1.7109375" style="36" customWidth="1"/>
    <col min="19" max="20" width="5.7109375" style="36"/>
    <col min="21" max="21" width="1.7109375" style="36" customWidth="1"/>
    <col min="22" max="23" width="5.7109375" style="36"/>
    <col min="24" max="24" width="1.7109375" style="36" customWidth="1"/>
    <col min="25" max="26" width="5.7109375" style="36"/>
    <col min="27" max="27" width="1.7109375" style="36" customWidth="1"/>
    <col min="28" max="28" width="6.42578125" style="36" customWidth="1"/>
    <col min="29" max="29" width="5.7109375" style="36"/>
    <col min="30" max="31" width="1.7109375" style="36" customWidth="1"/>
    <col min="32" max="32" width="5.7109375" style="36"/>
    <col min="33" max="33" width="1.7109375" style="36" customWidth="1"/>
    <col min="34" max="34" width="5.7109375" style="36"/>
    <col min="35" max="35" width="1.7109375" style="36" customWidth="1"/>
    <col min="36" max="37" width="5.7109375" style="36"/>
    <col min="38" max="38" width="1.7109375" style="36" customWidth="1"/>
    <col min="39" max="39" width="5.7109375" style="36"/>
    <col min="40" max="40" width="5.7109375" style="48"/>
    <col min="41" max="42" width="1.7109375" style="36" customWidth="1"/>
    <col min="43" max="16384" width="5.7109375" style="36"/>
  </cols>
  <sheetData>
    <row r="1" spans="3:42" ht="15" customHeight="1" x14ac:dyDescent="0.25">
      <c r="C1" s="34"/>
      <c r="D1" s="35"/>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5"/>
      <c r="AO1" s="34"/>
      <c r="AP1" s="34"/>
    </row>
    <row r="2" spans="3:42" ht="30" customHeight="1" x14ac:dyDescent="0.25">
      <c r="C2" s="34"/>
      <c r="D2" s="35"/>
      <c r="E2" s="34"/>
      <c r="F2" s="34"/>
      <c r="G2" s="34"/>
      <c r="H2" s="34"/>
      <c r="I2" s="34"/>
      <c r="J2" s="34"/>
      <c r="K2" s="34"/>
      <c r="L2" s="34"/>
      <c r="M2" s="34"/>
      <c r="N2" s="34"/>
      <c r="O2" s="34"/>
      <c r="P2" s="34"/>
      <c r="Q2" s="34"/>
      <c r="R2" s="34"/>
      <c r="S2" s="34"/>
      <c r="T2" s="34"/>
      <c r="U2" s="34"/>
      <c r="V2" s="34"/>
      <c r="W2" s="52" t="s">
        <v>43</v>
      </c>
      <c r="X2" s="52"/>
      <c r="Y2" s="52"/>
      <c r="Z2" s="52"/>
      <c r="AA2" s="52"/>
      <c r="AB2" s="52"/>
      <c r="AC2" s="52"/>
      <c r="AD2" s="37" t="s">
        <v>44</v>
      </c>
      <c r="AE2" s="52" t="s">
        <v>45</v>
      </c>
      <c r="AF2" s="52"/>
      <c r="AG2" s="37" t="s">
        <v>44</v>
      </c>
      <c r="AH2" s="52" t="s">
        <v>46</v>
      </c>
      <c r="AI2" s="52"/>
      <c r="AJ2" s="52"/>
      <c r="AK2" s="52"/>
      <c r="AL2" s="38" t="s">
        <v>44</v>
      </c>
      <c r="AM2" s="53" t="s">
        <v>47</v>
      </c>
      <c r="AN2" s="53"/>
      <c r="AO2" s="39"/>
      <c r="AP2" s="34"/>
    </row>
    <row r="3" spans="3:42" ht="5.0999999999999996" customHeight="1" x14ac:dyDescent="0.25">
      <c r="C3" s="40"/>
      <c r="D3" s="41"/>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1"/>
      <c r="AO3" s="40"/>
      <c r="AP3" s="40"/>
    </row>
    <row r="4" spans="3:42" ht="38.1" customHeight="1" x14ac:dyDescent="0.25">
      <c r="C4" s="40"/>
      <c r="D4" s="41"/>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1"/>
      <c r="AO4" s="40"/>
      <c r="AP4" s="40"/>
    </row>
    <row r="5" spans="3:42" ht="5.0999999999999996" customHeight="1" x14ac:dyDescent="0.25">
      <c r="C5" s="40"/>
      <c r="D5" s="41"/>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1"/>
      <c r="AO5" s="40"/>
      <c r="AP5" s="40"/>
    </row>
    <row r="6" spans="3:42" x14ac:dyDescent="0.25">
      <c r="C6" s="40"/>
      <c r="D6" s="41"/>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1"/>
      <c r="AO6" s="40"/>
      <c r="AP6" s="40"/>
    </row>
    <row r="7" spans="3:42" x14ac:dyDescent="0.25">
      <c r="C7" s="40"/>
      <c r="D7" s="41"/>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1"/>
      <c r="AO7" s="40"/>
      <c r="AP7" s="40"/>
    </row>
    <row r="8" spans="3:42" x14ac:dyDescent="0.25">
      <c r="C8" s="40"/>
      <c r="D8" s="41"/>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1"/>
      <c r="AO8" s="40"/>
      <c r="AP8" s="40"/>
    </row>
    <row r="9" spans="3:42" x14ac:dyDescent="0.25">
      <c r="C9" s="40"/>
      <c r="D9" s="41"/>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1"/>
      <c r="AO9" s="40"/>
      <c r="AP9" s="40"/>
    </row>
    <row r="10" spans="3:42" x14ac:dyDescent="0.25">
      <c r="C10" s="40"/>
      <c r="D10" s="41"/>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1"/>
      <c r="AO10" s="40"/>
      <c r="AP10" s="40"/>
    </row>
    <row r="11" spans="3:42" x14ac:dyDescent="0.25">
      <c r="C11" s="40"/>
      <c r="D11" s="41"/>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1"/>
      <c r="AO11" s="40"/>
      <c r="AP11" s="40"/>
    </row>
    <row r="12" spans="3:42" x14ac:dyDescent="0.25">
      <c r="C12" s="40"/>
      <c r="D12" s="41"/>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1"/>
      <c r="AO12" s="40"/>
      <c r="AP12" s="40"/>
    </row>
    <row r="13" spans="3:42" x14ac:dyDescent="0.25">
      <c r="C13" s="40"/>
      <c r="D13" s="41"/>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1"/>
      <c r="AO13" s="40"/>
      <c r="AP13" s="40"/>
    </row>
    <row r="14" spans="3:42" x14ac:dyDescent="0.25">
      <c r="C14" s="40"/>
      <c r="D14" s="41"/>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1"/>
      <c r="AO14" s="40"/>
      <c r="AP14" s="40"/>
    </row>
    <row r="15" spans="3:42" x14ac:dyDescent="0.25">
      <c r="C15" s="40"/>
      <c r="D15" s="41"/>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1"/>
      <c r="AO15" s="40"/>
      <c r="AP15" s="40"/>
    </row>
    <row r="16" spans="3:42" x14ac:dyDescent="0.25">
      <c r="C16" s="40"/>
      <c r="D16" s="41"/>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1"/>
      <c r="AO16" s="40"/>
      <c r="AP16" s="40"/>
    </row>
    <row r="17" spans="3:42" x14ac:dyDescent="0.25">
      <c r="C17" s="40"/>
      <c r="D17" s="41"/>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1"/>
      <c r="AO17" s="40"/>
      <c r="AP17" s="40"/>
    </row>
    <row r="18" spans="3:42" x14ac:dyDescent="0.25">
      <c r="C18" s="40"/>
      <c r="D18" s="41"/>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1"/>
      <c r="AO18" s="40"/>
      <c r="AP18" s="40"/>
    </row>
    <row r="19" spans="3:42" x14ac:dyDescent="0.25">
      <c r="C19" s="40"/>
      <c r="D19" s="41"/>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1"/>
      <c r="AO19" s="40"/>
      <c r="AP19" s="40"/>
    </row>
    <row r="20" spans="3:42" x14ac:dyDescent="0.25">
      <c r="C20" s="40"/>
      <c r="D20" s="41"/>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1"/>
      <c r="AO20" s="40"/>
      <c r="AP20" s="40"/>
    </row>
    <row r="21" spans="3:42" ht="9.6" customHeight="1" x14ac:dyDescent="0.25">
      <c r="C21" s="40"/>
      <c r="D21" s="41"/>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1"/>
      <c r="AO21" s="40"/>
      <c r="AP21" s="40"/>
    </row>
    <row r="22" spans="3:42" ht="30" customHeight="1" x14ac:dyDescent="0.7">
      <c r="C22" s="40"/>
      <c r="D22" s="41"/>
      <c r="E22" s="42" t="s">
        <v>48</v>
      </c>
      <c r="F22" s="41"/>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1"/>
      <c r="AO22" s="40"/>
      <c r="AP22" s="40"/>
    </row>
    <row r="23" spans="3:42" ht="4.5" customHeight="1" x14ac:dyDescent="0.25">
      <c r="C23" s="40"/>
      <c r="D23" s="41"/>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1"/>
      <c r="AO23" s="40"/>
      <c r="AP23" s="40"/>
    </row>
    <row r="24" spans="3:42" ht="19.5" customHeight="1" x14ac:dyDescent="0.3">
      <c r="C24" s="40"/>
      <c r="D24" s="43"/>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1"/>
      <c r="AO24" s="40"/>
      <c r="AP24" s="40"/>
    </row>
    <row r="25" spans="3:42" ht="4.5" customHeight="1" x14ac:dyDescent="0.25">
      <c r="C25" s="40"/>
      <c r="D25" s="41"/>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1"/>
      <c r="AO25" s="40"/>
      <c r="AP25" s="40"/>
    </row>
    <row r="26" spans="3:42" ht="39.950000000000003" customHeight="1" x14ac:dyDescent="0.3">
      <c r="C26" s="40"/>
      <c r="D26" s="54" t="s">
        <v>35</v>
      </c>
      <c r="E26" s="54"/>
      <c r="F26" s="54"/>
      <c r="G26" s="54"/>
      <c r="H26" s="54"/>
      <c r="I26" s="40"/>
      <c r="J26" s="55" t="s">
        <v>36</v>
      </c>
      <c r="K26" s="55"/>
      <c r="L26" s="55"/>
      <c r="M26" s="55"/>
      <c r="N26" s="55"/>
      <c r="O26" s="44"/>
      <c r="P26" s="55" t="s">
        <v>56</v>
      </c>
      <c r="Q26" s="55"/>
      <c r="R26" s="55"/>
      <c r="S26" s="55"/>
      <c r="T26" s="55"/>
      <c r="U26" s="44"/>
      <c r="V26" s="55" t="s">
        <v>57</v>
      </c>
      <c r="W26" s="55"/>
      <c r="X26" s="55"/>
      <c r="Y26" s="55"/>
      <c r="Z26" s="55"/>
      <c r="AA26"/>
      <c r="AB26" s="55" t="s">
        <v>7</v>
      </c>
      <c r="AC26" s="55"/>
      <c r="AD26" s="55"/>
      <c r="AE26" s="55"/>
      <c r="AF26" s="55"/>
      <c r="AG26"/>
      <c r="AH26"/>
      <c r="AI26"/>
      <c r="AJ26"/>
      <c r="AK26"/>
      <c r="AL26"/>
      <c r="AM26"/>
      <c r="AN26" s="43"/>
      <c r="AO26" s="44"/>
      <c r="AP26" s="40"/>
    </row>
    <row r="27" spans="3:42" ht="4.5" customHeight="1" x14ac:dyDescent="0.3">
      <c r="C27" s="40"/>
      <c r="D27" s="41"/>
      <c r="E27" s="40"/>
      <c r="F27" s="40"/>
      <c r="G27" s="40"/>
      <c r="H27" s="40"/>
      <c r="I27" s="40"/>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3"/>
      <c r="AO27" s="44"/>
      <c r="AP27" s="40"/>
    </row>
    <row r="28" spans="3:42" ht="24.95" customHeight="1" x14ac:dyDescent="0.25">
      <c r="C28" s="40"/>
      <c r="D28" s="41"/>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1"/>
      <c r="AO28" s="40"/>
      <c r="AP28" s="40"/>
    </row>
    <row r="29" spans="3:42" ht="12.75" customHeight="1" x14ac:dyDescent="0.25">
      <c r="C29" s="40"/>
      <c r="D29" s="41"/>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1"/>
      <c r="AO29" s="40"/>
      <c r="AP29" s="40"/>
    </row>
    <row r="30" spans="3:42" ht="16.5" x14ac:dyDescent="0.3">
      <c r="C30" s="40"/>
      <c r="D30" s="45" t="s">
        <v>49</v>
      </c>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1"/>
      <c r="AO30" s="40"/>
      <c r="AP30" s="40"/>
    </row>
    <row r="31" spans="3:42" ht="20.100000000000001" customHeight="1" x14ac:dyDescent="0.3">
      <c r="C31" s="40"/>
      <c r="D31" s="56" t="s">
        <v>39</v>
      </c>
      <c r="E31" s="56"/>
      <c r="F31" s="46" t="s">
        <v>44</v>
      </c>
      <c r="G31" s="57" t="s">
        <v>41</v>
      </c>
      <c r="H31" s="57"/>
      <c r="I31" s="46" t="s">
        <v>44</v>
      </c>
      <c r="J31" s="57" t="s">
        <v>40</v>
      </c>
      <c r="K31" s="57"/>
      <c r="L31" s="46" t="s">
        <v>44</v>
      </c>
      <c r="M31" s="58" t="s">
        <v>38</v>
      </c>
      <c r="N31" s="58"/>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1"/>
      <c r="AO31" s="40"/>
      <c r="AP31" s="40"/>
    </row>
    <row r="32" spans="3:42" x14ac:dyDescent="0.25">
      <c r="C32" s="40"/>
      <c r="D32" s="41"/>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1"/>
      <c r="AO32" s="40"/>
      <c r="AP32" s="40"/>
    </row>
  </sheetData>
  <mergeCells count="13">
    <mergeCell ref="D31:E31"/>
    <mergeCell ref="G31:H31"/>
    <mergeCell ref="J31:K31"/>
    <mergeCell ref="M31:N31"/>
    <mergeCell ref="W2:AC2"/>
    <mergeCell ref="V26:Z26"/>
    <mergeCell ref="AB26:AF26"/>
    <mergeCell ref="AE2:AF2"/>
    <mergeCell ref="AH2:AK2"/>
    <mergeCell ref="AM2:AN2"/>
    <mergeCell ref="D26:H26"/>
    <mergeCell ref="J26:N26"/>
    <mergeCell ref="P26:T26"/>
  </mergeCells>
  <hyperlinks>
    <hyperlink ref="AM2:AN2" r:id="rId1" tooltip="Click here to navigate to Support" display="Support"/>
    <hyperlink ref="AH2:AK2" r:id="rId2" tooltip="Click here to navigate to the Knowledgebase" display="Knowledgebase"/>
    <hyperlink ref="AE2:AF2" r:id="rId3" tooltip="Click here to navigate to the Blog" display="Blog"/>
    <hyperlink ref="W2:AC2" r:id="rId4" tooltip="Click here to navigate to the Sage Intelligence Community" display="Sage Intelligence Community"/>
    <hyperlink ref="M31:N31" r:id="rId5" tooltip="Click here to navigate to our Facebook page" display="Facebook"/>
    <hyperlink ref="J31:K31" r:id="rId6" tooltip="Click here to navigate to our LinkedIn page" display="LinkedIn"/>
    <hyperlink ref="G31:H31" r:id="rId7" tooltip="Click here to navigate to YouTube page" display="YouTube"/>
    <hyperlink ref="D31:E31" r:id="rId8" tooltip="Click here to navigate to our Twitter page" display="Twitter"/>
    <hyperlink ref="D26:H26" location="'Cash Flow'!A1" tooltip="Cash Flow" display="Cash Flow"/>
    <hyperlink ref="J26:N26" location="'Cash Flow Detail'!A1" tooltip="Cash Flow Detail" display="Cash Flow Detail"/>
    <hyperlink ref="P26:T26" location="'Cash Flow Template'!A1" tooltip="Cash Flow Template" display="Cash Flow Template"/>
    <hyperlink ref="V26:Z26" location="'Cash Flow Detail Template'!A1" tooltip="Cash Flow Detail Template" display="Cash Flow Detail Template"/>
    <hyperlink ref="AB26:AF26" location="'Missing Accounts'!A1" tooltip="Missing Accounts" display="Missing Accounts"/>
  </hyperlinks>
  <pageMargins left="0.7" right="0.7" top="0.75" bottom="0.75" header="0.3" footer="0.3"/>
  <pageSetup paperSize="9" orientation="portrait" r:id="rId9"/>
  <drawing r:id="rId10"/>
  <extLst>
    <ext xmlns:x15="http://schemas.microsoft.com/office/spreadsheetml/2010/11/main" uri="{F7C9EE02-42E1-4005-9D12-6889AFFD525C}">
      <x15:webExtensions xmlns:xm="http://schemas.microsoft.com/office/excel/2006/main">
        <x15:webExtension appRef="{2FB10DBC-D948-432C-95A4-8D992666B3ED}">
          <xm:f>B</xm:f>
        </x15:webExtension>
        <x15:webExtension appRef="{E3246385-DE71-4EF6-A078-B1F177221E31}">
          <xm:f>MissingAccounts</xm:f>
        </x15:webExtension>
        <x15:webExtension appRef="{AD4EFCFD-1E76-41D1-8B71-3A5747376D16}">
          <xm:f>AutoRefresh</xm:f>
        </x15:webExtension>
        <x15:webExtension appRef="{73685DA9-5DCA-4BB3-946E-2146C6868B62}">
          <xm:f>Companies</xm:f>
        </x15:webExtension>
        <x15:webExtension appRef="{853A1A88-25CA-416C-A090-27D4BE8E89D2}">
          <xm:f>FiscalYears</xm:f>
        </x15:webExtension>
        <x15:webExtension appRef="{D94530BE-FE56-45A8-B887-60FCF932EDA6}">
          <xm:f>Delimiter</xm:f>
        </x15:webExtension>
        <x15:webExtension appRef="{667F9751-4FB6-407D-8C54-18C7D35AD545}">
          <xm:f>Decimal</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AF73"/>
  <sheetViews>
    <sheetView showGridLines="0" zoomScale="90" zoomScaleNormal="90" workbookViewId="0"/>
  </sheetViews>
  <sheetFormatPr defaultRowHeight="16.5" outlineLevelRow="1" x14ac:dyDescent="0.3"/>
  <cols>
    <col min="1" max="1" width="2.85546875" style="12" customWidth="1"/>
    <col min="2" max="2" width="5.5703125" style="11" customWidth="1"/>
    <col min="3" max="3" width="44.7109375" style="12" customWidth="1"/>
    <col min="4" max="4" width="15.85546875" style="12" customWidth="1"/>
    <col min="5" max="5" width="14.7109375" style="12" customWidth="1"/>
    <col min="6" max="17" width="14" style="12" bestFit="1" customWidth="1"/>
    <col min="18" max="18" width="3" style="12" customWidth="1"/>
    <col min="19" max="32" width="13.85546875" style="12" bestFit="1" customWidth="1"/>
    <col min="33" max="16384" width="9.140625" style="12"/>
  </cols>
  <sheetData>
    <row r="1" spans="2:32" ht="15" customHeight="1" x14ac:dyDescent="0.3"/>
    <row r="2" spans="2:32" ht="33.75" customHeight="1" x14ac:dyDescent="0.7">
      <c r="B2" s="32" t="s">
        <v>37</v>
      </c>
      <c r="C2" s="13" t="str">
        <f>CONCATENATE(D4," Statement of Cash Flows")</f>
        <v>0 Statement of Cash Flows</v>
      </c>
      <c r="F2"/>
    </row>
    <row r="3" spans="2:32" ht="16.5" customHeight="1" x14ac:dyDescent="0.3">
      <c r="G3" s="60" t="s">
        <v>61</v>
      </c>
      <c r="H3" s="60"/>
      <c r="I3" s="60"/>
      <c r="J3" s="60"/>
    </row>
    <row r="4" spans="2:32" ht="16.5" customHeight="1" x14ac:dyDescent="0.3">
      <c r="C4" s="14" t="s">
        <v>17</v>
      </c>
      <c r="D4" s="31">
        <f>INDEX(Companies,1)</f>
        <v>0</v>
      </c>
      <c r="G4" s="60"/>
      <c r="H4" s="60"/>
      <c r="I4" s="60"/>
      <c r="J4" s="60"/>
    </row>
    <row r="5" spans="2:32" x14ac:dyDescent="0.3">
      <c r="C5" s="14" t="s">
        <v>18</v>
      </c>
      <c r="D5" s="15" t="str">
        <f>CHOOSE(B, "GLHomeCurrency(" &amp; $D$4 &amp; ")", CellContents, "CAD")</f>
        <v>CAD</v>
      </c>
      <c r="G5" s="60"/>
      <c r="H5" s="60"/>
      <c r="I5" s="60"/>
      <c r="J5" s="60"/>
    </row>
    <row r="6" spans="2:32" x14ac:dyDescent="0.3">
      <c r="C6" s="14" t="s">
        <v>19</v>
      </c>
      <c r="D6" s="15" t="s">
        <v>20</v>
      </c>
      <c r="G6" s="60"/>
      <c r="H6" s="60"/>
      <c r="I6" s="60"/>
      <c r="J6" s="60"/>
    </row>
    <row r="7" spans="2:32" ht="7.5" customHeight="1" x14ac:dyDescent="0.3"/>
    <row r="8" spans="2:32" x14ac:dyDescent="0.3">
      <c r="C8" s="14"/>
      <c r="D8" s="14" t="s">
        <v>22</v>
      </c>
      <c r="E8" s="31">
        <f>CHOOSE(B, "GLCurrentYear(" &amp; $D$4 &amp; ")", CellContents, 2020)</f>
        <v>2020</v>
      </c>
      <c r="S8" s="14" t="s">
        <v>23</v>
      </c>
      <c r="T8" s="31">
        <v>2019</v>
      </c>
    </row>
    <row r="9" spans="2:32" ht="7.5" customHeight="1" x14ac:dyDescent="0.3">
      <c r="D9" s="16"/>
      <c r="E9" s="17"/>
      <c r="S9" s="16"/>
      <c r="T9" s="17"/>
    </row>
    <row r="10" spans="2:32" x14ac:dyDescent="0.3">
      <c r="B10" s="18"/>
      <c r="C10" s="19"/>
      <c r="D10" s="59" t="s">
        <v>24</v>
      </c>
      <c r="E10" s="59"/>
      <c r="F10" s="59"/>
      <c r="G10" s="59"/>
      <c r="H10" s="59"/>
      <c r="I10" s="59"/>
      <c r="J10" s="59"/>
      <c r="K10" s="59"/>
      <c r="L10" s="59"/>
      <c r="M10" s="59"/>
      <c r="N10" s="59"/>
      <c r="O10" s="59"/>
      <c r="P10" s="59"/>
      <c r="Q10" s="59"/>
      <c r="R10" s="25"/>
      <c r="S10" s="59" t="s">
        <v>24</v>
      </c>
      <c r="T10" s="59"/>
      <c r="U10" s="59"/>
      <c r="V10" s="59"/>
      <c r="W10" s="59"/>
      <c r="X10" s="59"/>
      <c r="Y10" s="59"/>
      <c r="Z10" s="59"/>
      <c r="AA10" s="59"/>
      <c r="AB10" s="59"/>
      <c r="AC10" s="59"/>
      <c r="AD10" s="59"/>
      <c r="AE10" s="59"/>
      <c r="AF10" s="59"/>
    </row>
    <row r="11" spans="2:32" x14ac:dyDescent="0.3">
      <c r="D11" s="28">
        <v>1</v>
      </c>
      <c r="E11" s="28">
        <v>2</v>
      </c>
      <c r="F11" s="28">
        <v>3</v>
      </c>
      <c r="G11" s="28">
        <v>4</v>
      </c>
      <c r="H11" s="28">
        <v>5</v>
      </c>
      <c r="I11" s="28">
        <v>6</v>
      </c>
      <c r="J11" s="28">
        <v>7</v>
      </c>
      <c r="K11" s="28">
        <v>8</v>
      </c>
      <c r="L11" s="28">
        <v>9</v>
      </c>
      <c r="M11" s="28">
        <v>10</v>
      </c>
      <c r="N11" s="28">
        <v>11</v>
      </c>
      <c r="O11" s="28">
        <v>12</v>
      </c>
      <c r="P11" s="28">
        <v>13</v>
      </c>
      <c r="Q11" s="28">
        <v>14</v>
      </c>
      <c r="R11" s="25"/>
      <c r="S11" s="28">
        <v>1</v>
      </c>
      <c r="T11" s="28">
        <v>2</v>
      </c>
      <c r="U11" s="28">
        <v>3</v>
      </c>
      <c r="V11" s="28">
        <v>4</v>
      </c>
      <c r="W11" s="28">
        <v>5</v>
      </c>
      <c r="X11" s="28">
        <v>6</v>
      </c>
      <c r="Y11" s="28">
        <v>7</v>
      </c>
      <c r="Z11" s="28">
        <v>8</v>
      </c>
      <c r="AA11" s="28">
        <v>9</v>
      </c>
      <c r="AB11" s="28">
        <v>10</v>
      </c>
      <c r="AC11" s="28">
        <v>11</v>
      </c>
      <c r="AD11" s="28">
        <v>12</v>
      </c>
      <c r="AE11" s="28">
        <v>13</v>
      </c>
      <c r="AF11" s="28">
        <v>14</v>
      </c>
    </row>
    <row r="12" spans="2:32" customFormat="1" ht="14.25" x14ac:dyDescent="0.25"/>
    <row r="13" spans="2:32" customFormat="1" ht="14.25" x14ac:dyDescent="0.25">
      <c r="C13" s="23" t="s">
        <v>31</v>
      </c>
      <c r="D13" s="22">
        <f>'Cash Flow Detail'!D24</f>
        <v>1043635</v>
      </c>
      <c r="E13" s="22">
        <f>'Cash Flow Detail'!E24</f>
        <v>1919539</v>
      </c>
      <c r="F13" s="22">
        <f>'Cash Flow Detail'!F24</f>
        <v>3697962</v>
      </c>
      <c r="G13" s="22">
        <f>'Cash Flow Detail'!G24</f>
        <v>4962787</v>
      </c>
      <c r="H13" s="22">
        <f>'Cash Flow Detail'!H24</f>
        <v>6568909</v>
      </c>
      <c r="I13" s="22">
        <f>'Cash Flow Detail'!I24</f>
        <v>6566192</v>
      </c>
      <c r="J13" s="22">
        <f>'Cash Flow Detail'!J24</f>
        <v>6530411</v>
      </c>
      <c r="K13" s="22">
        <f>'Cash Flow Detail'!K24</f>
        <v>6530811</v>
      </c>
      <c r="L13" s="22">
        <f>'Cash Flow Detail'!L24</f>
        <v>6530811</v>
      </c>
      <c r="M13" s="22">
        <f>'Cash Flow Detail'!M24</f>
        <v>6530811</v>
      </c>
      <c r="N13" s="22">
        <f>'Cash Flow Detail'!N24</f>
        <v>6530811</v>
      </c>
      <c r="O13" s="22">
        <f>'Cash Flow Detail'!O24</f>
        <v>6530811</v>
      </c>
      <c r="P13" s="22">
        <f>'Cash Flow Detail'!P24</f>
        <v>6530811</v>
      </c>
      <c r="Q13" s="22">
        <f>'Cash Flow Detail'!Q24</f>
        <v>6530811</v>
      </c>
      <c r="S13" s="22">
        <f>'Cash Flow Detail'!S24</f>
        <v>701437</v>
      </c>
      <c r="T13" s="22">
        <f>'Cash Flow Detail'!T24</f>
        <v>1073077</v>
      </c>
      <c r="U13" s="22">
        <f>'Cash Flow Detail'!U24</f>
        <v>1202557</v>
      </c>
      <c r="V13" s="22">
        <f>'Cash Flow Detail'!V24</f>
        <v>1932617</v>
      </c>
      <c r="W13" s="22">
        <f>'Cash Flow Detail'!W24</f>
        <v>2196938</v>
      </c>
      <c r="X13" s="22">
        <f>'Cash Flow Detail'!X24</f>
        <v>2537823</v>
      </c>
      <c r="Y13" s="22">
        <f>'Cash Flow Detail'!Y24</f>
        <v>3220975</v>
      </c>
      <c r="Z13" s="22">
        <f>'Cash Flow Detail'!Z24</f>
        <v>4246312</v>
      </c>
      <c r="AA13" s="22">
        <f>'Cash Flow Detail'!AA24</f>
        <v>4337435</v>
      </c>
      <c r="AB13" s="22">
        <f>'Cash Flow Detail'!AB24</f>
        <v>4735530</v>
      </c>
      <c r="AC13" s="22">
        <f>'Cash Flow Detail'!AC24</f>
        <v>4634341</v>
      </c>
      <c r="AD13" s="22">
        <f>'Cash Flow Detail'!AD24</f>
        <v>4790641</v>
      </c>
      <c r="AE13" s="22">
        <f>'Cash Flow Detail'!AE24</f>
        <v>4790641</v>
      </c>
      <c r="AF13" s="22">
        <f>'Cash Flow Detail'!AF24</f>
        <v>4790641</v>
      </c>
    </row>
    <row r="14" spans="2:32" ht="7.5" customHeight="1" x14ac:dyDescent="0.3"/>
    <row r="15" spans="2:32" collapsed="1" x14ac:dyDescent="0.3">
      <c r="B15" s="20"/>
      <c r="C15" s="21" t="s">
        <v>69</v>
      </c>
      <c r="D15" s="22">
        <f t="shared" ref="D15:Q15" si="0">SUM(D16:D20)</f>
        <v>28000</v>
      </c>
      <c r="E15" s="22">
        <f t="shared" si="0"/>
        <v>-439000</v>
      </c>
      <c r="F15" s="22">
        <f t="shared" si="0"/>
        <v>-901000</v>
      </c>
      <c r="G15" s="22">
        <f t="shared" si="0"/>
        <v>-1158000</v>
      </c>
      <c r="H15" s="22">
        <f t="shared" si="0"/>
        <v>-1410000</v>
      </c>
      <c r="I15" s="22">
        <f t="shared" si="0"/>
        <v>-1410106</v>
      </c>
      <c r="J15" s="22">
        <f t="shared" si="0"/>
        <v>-1411166</v>
      </c>
      <c r="K15" s="22">
        <f t="shared" si="0"/>
        <v>-1411166</v>
      </c>
      <c r="L15" s="22">
        <f t="shared" si="0"/>
        <v>-1411166</v>
      </c>
      <c r="M15" s="22">
        <f t="shared" si="0"/>
        <v>-1411166</v>
      </c>
      <c r="N15" s="22">
        <f t="shared" si="0"/>
        <v>-1411166</v>
      </c>
      <c r="O15" s="22">
        <f t="shared" si="0"/>
        <v>-1411166</v>
      </c>
      <c r="P15" s="22">
        <f t="shared" si="0"/>
        <v>-1411166</v>
      </c>
      <c r="Q15" s="22">
        <f t="shared" si="0"/>
        <v>-1411166</v>
      </c>
      <c r="R15" s="26"/>
      <c r="S15" s="22">
        <f t="shared" ref="S15:AF15" si="1">SUM(S16:S20)</f>
        <v>28000</v>
      </c>
      <c r="T15" s="22">
        <f t="shared" si="1"/>
        <v>56000</v>
      </c>
      <c r="U15" s="22">
        <f t="shared" si="1"/>
        <v>84000</v>
      </c>
      <c r="V15" s="22">
        <f t="shared" si="1"/>
        <v>-88000</v>
      </c>
      <c r="W15" s="22">
        <f t="shared" si="1"/>
        <v>-160000</v>
      </c>
      <c r="X15" s="22">
        <f t="shared" si="1"/>
        <v>-132000</v>
      </c>
      <c r="Y15" s="22">
        <f t="shared" si="1"/>
        <v>-104000</v>
      </c>
      <c r="Z15" s="22">
        <f t="shared" si="1"/>
        <v>-76000</v>
      </c>
      <c r="AA15" s="22">
        <f t="shared" si="1"/>
        <v>-48000</v>
      </c>
      <c r="AB15" s="22">
        <f t="shared" si="1"/>
        <v>-20000</v>
      </c>
      <c r="AC15" s="22">
        <f t="shared" si="1"/>
        <v>3000</v>
      </c>
      <c r="AD15" s="22">
        <f t="shared" si="1"/>
        <v>31000</v>
      </c>
      <c r="AE15" s="22">
        <f t="shared" si="1"/>
        <v>31000</v>
      </c>
      <c r="AF15" s="22">
        <f t="shared" si="1"/>
        <v>31000</v>
      </c>
    </row>
    <row r="16" spans="2:32" hidden="1" outlineLevel="1" x14ac:dyDescent="0.3">
      <c r="B16" s="20">
        <v>50</v>
      </c>
      <c r="C16" s="21" t="s">
        <v>84</v>
      </c>
      <c r="D16" s="22">
        <f>CHOOSE(B, "-GLActualYTD(" &amp; "Account" &amp; "," &amp; $D$4 &amp; "," &amp; $E$8 &amp; "," &amp; D$11 &amp; "," &amp; "AccountGroupCode" &amp; "," &amp; $B16 &amp; "," &amp; "AccountStructureCode" &amp; "," &amp; "AccountType" &amp; "," &amp; "BalanceType" &amp; "," &amp; $D$5 &amp; "," &amp; $D$6 &amp; ")", CellContents, 0)</f>
        <v>0</v>
      </c>
      <c r="E16" s="22">
        <f>CHOOSE(B, "-GLActualYTD(" &amp; "Account" &amp; "," &amp; $D$4 &amp; "," &amp; $E$8 &amp; "," &amp; E$11 &amp; "," &amp; "AccountGroupCode" &amp; "," &amp; $B16 &amp; "," &amp; "AccountStructureCode" &amp; "," &amp; "AccountType" &amp; "," &amp; "BalanceType" &amp; "," &amp; $D$5 &amp; "," &amp; $D$6 &amp; ")", CellContents, -500000)</f>
        <v>-500000</v>
      </c>
      <c r="F16" s="22">
        <f>CHOOSE(B, "-GLActualYTD(" &amp; "Account" &amp; "," &amp; $D$4 &amp; "," &amp; $E$8 &amp; "," &amp; F$11 &amp; "," &amp; "AccountGroupCode" &amp; "," &amp; $B16 &amp; "," &amp; "AccountStructureCode" &amp; "," &amp; "AccountType" &amp; "," &amp; "BalanceType" &amp; "," &amp; $D$5 &amp; "," &amp; $D$6 &amp; ")", CellContents, -1000000)</f>
        <v>-1000000</v>
      </c>
      <c r="G16" s="22">
        <f>CHOOSE(B, "-GLActualYTD(" &amp; "Account" &amp; "," &amp; $D$4 &amp; "," &amp; $E$8 &amp; "," &amp; G$11 &amp; "," &amp; "AccountGroupCode" &amp; "," &amp; $B16 &amp; "," &amp; "AccountStructureCode" &amp; "," &amp; "AccountType" &amp; "," &amp; "BalanceType" &amp; "," &amp; $D$5 &amp; "," &amp; $D$6 &amp; ")", CellContents, -1300000)</f>
        <v>-1300000</v>
      </c>
      <c r="H16" s="22">
        <f>CHOOSE(B, "-GLActualYTD(" &amp; "Account" &amp; "," &amp; $D$4 &amp; "," &amp; $E$8 &amp; "," &amp; H$11 &amp; "," &amp; "AccountGroupCode" &amp; "," &amp; $B16 &amp; "," &amp; "AccountStructureCode" &amp; "," &amp; "AccountType" &amp; "," &amp; "BalanceType" &amp; "," &amp; $D$5 &amp; "," &amp; $D$6 &amp; ")", CellContents, -1600000)</f>
        <v>-1600000</v>
      </c>
      <c r="I16" s="22">
        <f>CHOOSE(B, "-GLActualYTD(" &amp; "Account" &amp; "," &amp; $D$4 &amp; "," &amp; $E$8 &amp; "," &amp; I$11 &amp; "," &amp; "AccountGroupCode" &amp; "," &amp; $B16 &amp; "," &amp; "AccountStructureCode" &amp; "," &amp; "AccountType" &amp; "," &amp; "BalanceType" &amp; "," &amp; $D$5 &amp; "," &amp; $D$6 &amp; ")", CellContents, -1600106)</f>
        <v>-1600106</v>
      </c>
      <c r="J16" s="22">
        <f t="shared" ref="J16:Q16" si="2">CHOOSE(B, "-GLActualYTD(" &amp; "Account" &amp; "," &amp; $D$4 &amp; "," &amp; $E$8 &amp; "," &amp; J$11 &amp; "," &amp; "AccountGroupCode" &amp; "," &amp; $B16 &amp; "," &amp; "AccountStructureCode" &amp; "," &amp; "AccountType" &amp; "," &amp; "BalanceType" &amp; "," &amp; $D$5 &amp; "," &amp; $D$6 &amp; ")", CellContents, -1601166)</f>
        <v>-1601166</v>
      </c>
      <c r="K16" s="22">
        <f t="shared" si="2"/>
        <v>-1601166</v>
      </c>
      <c r="L16" s="22">
        <f t="shared" si="2"/>
        <v>-1601166</v>
      </c>
      <c r="M16" s="22">
        <f t="shared" si="2"/>
        <v>-1601166</v>
      </c>
      <c r="N16" s="22">
        <f t="shared" si="2"/>
        <v>-1601166</v>
      </c>
      <c r="O16" s="22">
        <f t="shared" si="2"/>
        <v>-1601166</v>
      </c>
      <c r="P16" s="22">
        <f t="shared" si="2"/>
        <v>-1601166</v>
      </c>
      <c r="Q16" s="22">
        <f t="shared" si="2"/>
        <v>-1601166</v>
      </c>
      <c r="R16" s="26"/>
      <c r="S16" s="22">
        <f>CHOOSE(B, "-GLActualYTD(" &amp; "Account" &amp; "," &amp; $D$4 &amp; "," &amp; $T$8&amp; "," &amp; S$11 &amp; "," &amp; "AccountGroupCode" &amp; "," &amp; $B16 &amp; "," &amp; "AccountStructureCode" &amp; "," &amp; "AccountType" &amp; "," &amp; "BalanceType" &amp; "," &amp; $D$5 &amp; "," &amp; $D$6 &amp; ")", CellContents, 0)</f>
        <v>0</v>
      </c>
      <c r="T16" s="22">
        <f>CHOOSE(B, "-GLActualYTD(" &amp; "Account" &amp; "," &amp; $D$4 &amp; "," &amp; $T$8&amp; "," &amp; T$11 &amp; "," &amp; "AccountGroupCode" &amp; "," &amp; $B16 &amp; "," &amp; "AccountStructureCode" &amp; "," &amp; "AccountType" &amp; "," &amp; "BalanceType" &amp; "," &amp; $D$5 &amp; "," &amp; $D$6 &amp; ")", CellContents, 0)</f>
        <v>0</v>
      </c>
      <c r="U16" s="22">
        <f>CHOOSE(B, "-GLActualYTD(" &amp; "Account" &amp; "," &amp; $D$4 &amp; "," &amp; $T$8&amp; "," &amp; U$11 &amp; "," &amp; "AccountGroupCode" &amp; "," &amp; $B16 &amp; "," &amp; "AccountStructureCode" &amp; "," &amp; "AccountType" &amp; "," &amp; "BalanceType" &amp; "," &amp; $D$5 &amp; "," &amp; $D$6 &amp; ")", CellContents, 0)</f>
        <v>0</v>
      </c>
      <c r="V16" s="22">
        <f>CHOOSE(B, "-GLActualYTD(" &amp; "Account" &amp; "," &amp; $D$4 &amp; "," &amp; $T$8&amp; "," &amp; V$11 &amp; "," &amp; "AccountGroupCode" &amp; "," &amp; $B16 &amp; "," &amp; "AccountStructureCode" &amp; "," &amp; "AccountType" &amp; "," &amp; "BalanceType" &amp; "," &amp; $D$5 &amp; "," &amp; $D$6 &amp; ")", CellContents, -200000)</f>
        <v>-200000</v>
      </c>
      <c r="W16" s="22">
        <f t="shared" ref="W16:AF16" si="3">CHOOSE(B, "-GLActualYTD(" &amp; "Account" &amp; "," &amp; $D$4 &amp; "," &amp; $T$8&amp; "," &amp; W$11 &amp; "," &amp; "AccountGroupCode" &amp; "," &amp; $B16 &amp; "," &amp; "AccountStructureCode" &amp; "," &amp; "AccountType" &amp; "," &amp; "BalanceType" &amp; "," &amp; $D$5 &amp; "," &amp; $D$6 &amp; ")", CellContents, -300000)</f>
        <v>-300000</v>
      </c>
      <c r="X16" s="22">
        <f t="shared" si="3"/>
        <v>-300000</v>
      </c>
      <c r="Y16" s="22">
        <f t="shared" si="3"/>
        <v>-300000</v>
      </c>
      <c r="Z16" s="22">
        <f t="shared" si="3"/>
        <v>-300000</v>
      </c>
      <c r="AA16" s="22">
        <f t="shared" si="3"/>
        <v>-300000</v>
      </c>
      <c r="AB16" s="22">
        <f t="shared" si="3"/>
        <v>-300000</v>
      </c>
      <c r="AC16" s="22">
        <f t="shared" si="3"/>
        <v>-300000</v>
      </c>
      <c r="AD16" s="22">
        <f t="shared" si="3"/>
        <v>-300000</v>
      </c>
      <c r="AE16" s="22">
        <f t="shared" si="3"/>
        <v>-300000</v>
      </c>
      <c r="AF16" s="22">
        <f t="shared" si="3"/>
        <v>-300000</v>
      </c>
    </row>
    <row r="17" spans="2:32" hidden="1" outlineLevel="1" x14ac:dyDescent="0.3">
      <c r="B17" s="20">
        <v>60</v>
      </c>
      <c r="C17" s="21" t="s">
        <v>85</v>
      </c>
      <c r="D17" s="22">
        <f>CHOOSE(B, "-GLActualYTD(" &amp; "Account" &amp; "," &amp; $D$4 &amp; "," &amp; $E$8 &amp; "," &amp; D$11 &amp; "," &amp; "AccountGroupCode" &amp; "," &amp; $B17 &amp; "," &amp; "AccountStructureCode" &amp; "," &amp; "AccountType" &amp; "," &amp; "BalanceType" &amp; "," &amp; $D$5 &amp; "," &amp; $D$6 &amp; ")", CellContents, 40000)</f>
        <v>40000</v>
      </c>
      <c r="E17" s="22">
        <f>CHOOSE(B, "-GLActualYTD(" &amp; "Account" &amp; "," &amp; $D$4 &amp; "," &amp; $E$8 &amp; "," &amp; E$11 &amp; "," &amp; "AccountGroupCode" &amp; "," &amp; $B17 &amp; "," &amp; "AccountStructureCode" &amp; "," &amp; "AccountType" &amp; "," &amp; "BalanceType" &amp; "," &amp; $D$5 &amp; "," &amp; $D$6 &amp; ")", CellContents, 85000)</f>
        <v>85000</v>
      </c>
      <c r="F17" s="22">
        <f>CHOOSE(B, "-GLActualYTD(" &amp; "Account" &amp; "," &amp; $D$4 &amp; "," &amp; $E$8 &amp; "," &amp; F$11 &amp; "," &amp; "AccountGroupCode" &amp; "," &amp; $B17 &amp; "," &amp; "AccountStructureCode" &amp; "," &amp; "AccountType" &amp; "," &amp; "BalanceType" &amp; "," &amp; $D$5 &amp; "," &amp; $D$6 &amp; ")", CellContents, 135000)</f>
        <v>135000</v>
      </c>
      <c r="G17" s="22">
        <f>CHOOSE(B, "-GLActualYTD(" &amp; "Account" &amp; "," &amp; $D$4 &amp; "," &amp; $E$8 &amp; "," &amp; G$11 &amp; "," &amp; "AccountGroupCode" &amp; "," &amp; $B17 &amp; "," &amp; "AccountStructureCode" &amp; "," &amp; "AccountType" &amp; "," &amp; "BalanceType" &amp; "," &amp; $D$5 &amp; "," &amp; $D$6 &amp; ")", CellContents, 190000)</f>
        <v>190000</v>
      </c>
      <c r="H17" s="22">
        <f t="shared" ref="H17:Q17" si="4">CHOOSE(B, "-GLActualYTD(" &amp; "Account" &amp; "," &amp; $D$4 &amp; "," &amp; $E$8 &amp; "," &amp; H$11 &amp; "," &amp; "AccountGroupCode" &amp; "," &amp; $B17 &amp; "," &amp; "AccountStructureCode" &amp; "," &amp; "AccountType" &amp; "," &amp; "BalanceType" &amp; "," &amp; $D$5 &amp; "," &amp; $D$6 &amp; ")", CellContents, 250000)</f>
        <v>250000</v>
      </c>
      <c r="I17" s="22">
        <f t="shared" si="4"/>
        <v>250000</v>
      </c>
      <c r="J17" s="22">
        <f t="shared" si="4"/>
        <v>250000</v>
      </c>
      <c r="K17" s="22">
        <f t="shared" si="4"/>
        <v>250000</v>
      </c>
      <c r="L17" s="22">
        <f t="shared" si="4"/>
        <v>250000</v>
      </c>
      <c r="M17" s="22">
        <f t="shared" si="4"/>
        <v>250000</v>
      </c>
      <c r="N17" s="22">
        <f t="shared" si="4"/>
        <v>250000</v>
      </c>
      <c r="O17" s="22">
        <f t="shared" si="4"/>
        <v>250000</v>
      </c>
      <c r="P17" s="22">
        <f t="shared" si="4"/>
        <v>250000</v>
      </c>
      <c r="Q17" s="22">
        <f t="shared" si="4"/>
        <v>250000</v>
      </c>
      <c r="R17" s="26"/>
      <c r="S17" s="22">
        <f>CHOOSE(B, "-GLActualYTD(" &amp; "Account" &amp; "," &amp; $D$4 &amp; "," &amp; $T$8&amp; "," &amp; S$11 &amp; "," &amp; "AccountGroupCode" &amp; "," &amp; $B17 &amp; "," &amp; "AccountStructureCode" &amp; "," &amp; "AccountType" &amp; "," &amp; "BalanceType" &amp; "," &amp; $D$5 &amp; "," &amp; $D$6 &amp; ")", CellContents, 40000)</f>
        <v>40000</v>
      </c>
      <c r="T17" s="22">
        <f>CHOOSE(B, "-GLActualYTD(" &amp; "Account" &amp; "," &amp; $D$4 &amp; "," &amp; $T$8&amp; "," &amp; T$11 &amp; "," &amp; "AccountGroupCode" &amp; "," &amp; $B17 &amp; "," &amp; "AccountStructureCode" &amp; "," &amp; "AccountType" &amp; "," &amp; "BalanceType" &amp; "," &amp; $D$5 &amp; "," &amp; $D$6 &amp; ")", CellContents, 80000)</f>
        <v>80000</v>
      </c>
      <c r="U17" s="22">
        <f>CHOOSE(B, "-GLActualYTD(" &amp; "Account" &amp; "," &amp; $D$4 &amp; "," &amp; $T$8&amp; "," &amp; U$11 &amp; "," &amp; "AccountGroupCode" &amp; "," &amp; $B17 &amp; "," &amp; "AccountStructureCode" &amp; "," &amp; "AccountType" &amp; "," &amp; "BalanceType" &amp; "," &amp; $D$5 &amp; "," &amp; $D$6 &amp; ")", CellContents, 120000)</f>
        <v>120000</v>
      </c>
      <c r="V17" s="22">
        <f>CHOOSE(B, "-GLActualYTD(" &amp; "Account" &amp; "," &amp; $D$4 &amp; "," &amp; $T$8&amp; "," &amp; V$11 &amp; "," &amp; "AccountGroupCode" &amp; "," &amp; $B17 &amp; "," &amp; "AccountStructureCode" &amp; "," &amp; "AccountType" &amp; "," &amp; "BalanceType" &amp; "," &amp; $D$5 &amp; "," &amp; $D$6 &amp; ")", CellContents, 160000)</f>
        <v>160000</v>
      </c>
      <c r="W17" s="22">
        <f>CHOOSE(B, "-GLActualYTD(" &amp; "Account" &amp; "," &amp; $D$4 &amp; "," &amp; $T$8&amp; "," &amp; W$11 &amp; "," &amp; "AccountGroupCode" &amp; "," &amp; $B17 &amp; "," &amp; "AccountStructureCode" &amp; "," &amp; "AccountType" &amp; "," &amp; "BalanceType" &amp; "," &amp; $D$5 &amp; "," &amp; $D$6 &amp; ")", CellContents, 200000)</f>
        <v>200000</v>
      </c>
      <c r="X17" s="22">
        <f>CHOOSE(B, "-GLActualYTD(" &amp; "Account" &amp; "," &amp; $D$4 &amp; "," &amp; $T$8&amp; "," &amp; X$11 &amp; "," &amp; "AccountGroupCode" &amp; "," &amp; $B17 &amp; "," &amp; "AccountStructureCode" &amp; "," &amp; "AccountType" &amp; "," &amp; "BalanceType" &amp; "," &amp; $D$5 &amp; "," &amp; $D$6 &amp; ")", CellContents, 240000)</f>
        <v>240000</v>
      </c>
      <c r="Y17" s="22">
        <f>CHOOSE(B, "-GLActualYTD(" &amp; "Account" &amp; "," &amp; $D$4 &amp; "," &amp; $T$8&amp; "," &amp; Y$11 &amp; "," &amp; "AccountGroupCode" &amp; "," &amp; $B17 &amp; "," &amp; "AccountStructureCode" &amp; "," &amp; "AccountType" &amp; "," &amp; "BalanceType" &amp; "," &amp; $D$5 &amp; "," &amp; $D$6 &amp; ")", CellContents, 280000)</f>
        <v>280000</v>
      </c>
      <c r="Z17" s="22">
        <f>CHOOSE(B, "-GLActualYTD(" &amp; "Account" &amp; "," &amp; $D$4 &amp; "," &amp; $T$8&amp; "," &amp; Z$11 &amp; "," &amp; "AccountGroupCode" &amp; "," &amp; $B17 &amp; "," &amp; "AccountStructureCode" &amp; "," &amp; "AccountType" &amp; "," &amp; "BalanceType" &amp; "," &amp; $D$5 &amp; "," &amp; $D$6 &amp; ")", CellContents, 320000)</f>
        <v>320000</v>
      </c>
      <c r="AA17" s="22">
        <f>CHOOSE(B, "-GLActualYTD(" &amp; "Account" &amp; "," &amp; $D$4 &amp; "," &amp; $T$8&amp; "," &amp; AA$11 &amp; "," &amp; "AccountGroupCode" &amp; "," &amp; $B17 &amp; "," &amp; "AccountStructureCode" &amp; "," &amp; "AccountType" &amp; "," &amp; "BalanceType" &amp; "," &amp; $D$5 &amp; "," &amp; $D$6 &amp; ")", CellContents, 360000)</f>
        <v>360000</v>
      </c>
      <c r="AB17" s="22">
        <f>CHOOSE(B, "-GLActualYTD(" &amp; "Account" &amp; "," &amp; $D$4 &amp; "," &amp; $T$8&amp; "," &amp; AB$11 &amp; "," &amp; "AccountGroupCode" &amp; "," &amp; $B17 &amp; "," &amp; "AccountStructureCode" &amp; "," &amp; "AccountType" &amp; "," &amp; "BalanceType" &amp; "," &amp; $D$5 &amp; "," &amp; $D$6 &amp; ")", CellContents, 400000)</f>
        <v>400000</v>
      </c>
      <c r="AC17" s="22">
        <f>CHOOSE(B, "-GLActualYTD(" &amp; "Account" &amp; "," &amp; $D$4 &amp; "," &amp; $T$8&amp; "," &amp; AC$11 &amp; "," &amp; "AccountGroupCode" &amp; "," &amp; $B17 &amp; "," &amp; "AccountStructureCode" &amp; "," &amp; "AccountType" &amp; "," &amp; "BalanceType" &amp; "," &amp; $D$5 &amp; "," &amp; $D$6 &amp; ")", CellContents, 435000)</f>
        <v>435000</v>
      </c>
      <c r="AD17" s="22">
        <f>CHOOSE(B, "-GLActualYTD(" &amp; "Account" &amp; "," &amp; $D$4 &amp; "," &amp; $T$8&amp; "," &amp; AD$11 &amp; "," &amp; "AccountGroupCode" &amp; "," &amp; $B17 &amp; "," &amp; "AccountStructureCode" &amp; "," &amp; "AccountType" &amp; "," &amp; "BalanceType" &amp; "," &amp; $D$5 &amp; "," &amp; $D$6 &amp; ")", CellContents, 475000)</f>
        <v>475000</v>
      </c>
      <c r="AE17" s="22">
        <f>CHOOSE(B, "-GLActualYTD(" &amp; "Account" &amp; "," &amp; $D$4 &amp; "," &amp; $T$8&amp; "," &amp; AE$11 &amp; "," &amp; "AccountGroupCode" &amp; "," &amp; $B17 &amp; "," &amp; "AccountStructureCode" &amp; "," &amp; "AccountType" &amp; "," &amp; "BalanceType" &amp; "," &amp; $D$5 &amp; "," &amp; $D$6 &amp; ")", CellContents, 475000)</f>
        <v>475000</v>
      </c>
      <c r="AF17" s="22">
        <f>CHOOSE(B, "-GLActualYTD(" &amp; "Account" &amp; "," &amp; $D$4 &amp; "," &amp; $T$8&amp; "," &amp; AF$11 &amp; "," &amp; "AccountGroupCode" &amp; "," &amp; $B17 &amp; "," &amp; "AccountStructureCode" &amp; "," &amp; "AccountType" &amp; "," &amp; "BalanceType" &amp; "," &amp; $D$5 &amp; "," &amp; $D$6 &amp; ")", CellContents, 475000)</f>
        <v>475000</v>
      </c>
    </row>
    <row r="18" spans="2:32" hidden="1" outlineLevel="1" x14ac:dyDescent="0.3">
      <c r="B18" s="20">
        <v>70</v>
      </c>
      <c r="C18" s="21" t="s">
        <v>86</v>
      </c>
      <c r="D18" s="22">
        <f t="shared" ref="D18:Q18" si="5">CHOOSE(B, "-GLActualYTD(" &amp; "Account" &amp; "," &amp; $D$4 &amp; "," &amp; $E$8 &amp; "," &amp; D$11 &amp; "," &amp; "AccountGroupCode" &amp; "," &amp; $B18 &amp; "," &amp; "AccountStructureCode" &amp; "," &amp; "AccountType" &amp; "," &amp; "BalanceType" &amp; "," &amp; $D$5 &amp; "," &amp; $D$6 &amp; ")", CellContents, 0)</f>
        <v>0</v>
      </c>
      <c r="E18" s="22">
        <f t="shared" si="5"/>
        <v>0</v>
      </c>
      <c r="F18" s="22">
        <f t="shared" si="5"/>
        <v>0</v>
      </c>
      <c r="G18" s="22">
        <f t="shared" si="5"/>
        <v>0</v>
      </c>
      <c r="H18" s="22">
        <f t="shared" si="5"/>
        <v>0</v>
      </c>
      <c r="I18" s="22">
        <f t="shared" si="5"/>
        <v>0</v>
      </c>
      <c r="J18" s="22">
        <f t="shared" si="5"/>
        <v>0</v>
      </c>
      <c r="K18" s="22">
        <f t="shared" si="5"/>
        <v>0</v>
      </c>
      <c r="L18" s="22">
        <f t="shared" si="5"/>
        <v>0</v>
      </c>
      <c r="M18" s="22">
        <f t="shared" si="5"/>
        <v>0</v>
      </c>
      <c r="N18" s="22">
        <f t="shared" si="5"/>
        <v>0</v>
      </c>
      <c r="O18" s="22">
        <f t="shared" si="5"/>
        <v>0</v>
      </c>
      <c r="P18" s="22">
        <f t="shared" si="5"/>
        <v>0</v>
      </c>
      <c r="Q18" s="22">
        <f t="shared" si="5"/>
        <v>0</v>
      </c>
      <c r="R18" s="26"/>
      <c r="S18" s="22">
        <f t="shared" ref="S18:AF18" si="6">CHOOSE(B, "-GLActualYTD(" &amp; "Account" &amp; "," &amp; $D$4 &amp; "," &amp; $T$8&amp; "," &amp; S$11 &amp; "," &amp; "AccountGroupCode" &amp; "," &amp; $B18 &amp; "," &amp; "AccountStructureCode" &amp; "," &amp; "AccountType" &amp; "," &amp; "BalanceType" &amp; "," &amp; $D$5 &amp; "," &amp; $D$6 &amp; ")", CellContents, 0)</f>
        <v>0</v>
      </c>
      <c r="T18" s="22">
        <f t="shared" si="6"/>
        <v>0</v>
      </c>
      <c r="U18" s="22">
        <f t="shared" si="6"/>
        <v>0</v>
      </c>
      <c r="V18" s="22">
        <f t="shared" si="6"/>
        <v>0</v>
      </c>
      <c r="W18" s="22">
        <f t="shared" si="6"/>
        <v>0</v>
      </c>
      <c r="X18" s="22">
        <f t="shared" si="6"/>
        <v>0</v>
      </c>
      <c r="Y18" s="22">
        <f t="shared" si="6"/>
        <v>0</v>
      </c>
      <c r="Z18" s="22">
        <f t="shared" si="6"/>
        <v>0</v>
      </c>
      <c r="AA18" s="22">
        <f t="shared" si="6"/>
        <v>0</v>
      </c>
      <c r="AB18" s="22">
        <f t="shared" si="6"/>
        <v>0</v>
      </c>
      <c r="AC18" s="22">
        <f t="shared" si="6"/>
        <v>0</v>
      </c>
      <c r="AD18" s="22">
        <f t="shared" si="6"/>
        <v>0</v>
      </c>
      <c r="AE18" s="22">
        <f t="shared" si="6"/>
        <v>0</v>
      </c>
      <c r="AF18" s="22">
        <f t="shared" si="6"/>
        <v>0</v>
      </c>
    </row>
    <row r="19" spans="2:32" hidden="1" outlineLevel="1" x14ac:dyDescent="0.3">
      <c r="B19" s="20">
        <v>100</v>
      </c>
      <c r="C19" s="21" t="s">
        <v>80</v>
      </c>
      <c r="D19" s="22">
        <f>CHOOSE(B, "-GLActualYTD(" &amp; "Account" &amp; "," &amp; $D$4 &amp; "," &amp; $E$8 &amp; "," &amp; D$11 &amp; "," &amp; "AccountGroupCode" &amp; "," &amp; $B19 &amp; "," &amp; "AccountStructureCode" &amp; "," &amp; "AccountType" &amp; "," &amp; "BalanceType" &amp; "," &amp; $D$5 &amp; "," &amp; $D$6 &amp; ")", CellContents, -12000)</f>
        <v>-12000</v>
      </c>
      <c r="E19" s="22">
        <f>CHOOSE(B, "-GLActualYTD(" &amp; "Account" &amp; "," &amp; $D$4 &amp; "," &amp; $E$8 &amp; "," &amp; E$11 &amp; "," &amp; "AccountGroupCode" &amp; "," &amp; $B19 &amp; "," &amp; "AccountStructureCode" &amp; "," &amp; "AccountType" &amp; "," &amp; "BalanceType" &amp; "," &amp; $D$5 &amp; "," &amp; $D$6 &amp; ")", CellContents, -24000)</f>
        <v>-24000</v>
      </c>
      <c r="F19" s="22">
        <f>CHOOSE(B, "-GLActualYTD(" &amp; "Account" &amp; "," &amp; $D$4 &amp; "," &amp; $E$8 &amp; "," &amp; F$11 &amp; "," &amp; "AccountGroupCode" &amp; "," &amp; $B19 &amp; "," &amp; "AccountStructureCode" &amp; "," &amp; "AccountType" &amp; "," &amp; "BalanceType" &amp; "," &amp; $D$5 &amp; "," &amp; $D$6 &amp; ")", CellContents, -36000)</f>
        <v>-36000</v>
      </c>
      <c r="G19" s="22">
        <f>CHOOSE(B, "-GLActualYTD(" &amp; "Account" &amp; "," &amp; $D$4 &amp; "," &amp; $E$8 &amp; "," &amp; G$11 &amp; "," &amp; "AccountGroupCode" &amp; "," &amp; $B19 &amp; "," &amp; "AccountStructureCode" &amp; "," &amp; "AccountType" &amp; "," &amp; "BalanceType" &amp; "," &amp; $D$5 &amp; "," &amp; $D$6 &amp; ")", CellContents, -48000)</f>
        <v>-48000</v>
      </c>
      <c r="H19" s="22">
        <f t="shared" ref="H19:Q19" si="7">CHOOSE(B, "-GLActualYTD(" &amp; "Account" &amp; "," &amp; $D$4 &amp; "," &amp; $E$8 &amp; "," &amp; H$11 &amp; "," &amp; "AccountGroupCode" &amp; "," &amp; $B19 &amp; "," &amp; "AccountStructureCode" &amp; "," &amp; "AccountType" &amp; "," &amp; "BalanceType" &amp; "," &amp; $D$5 &amp; "," &amp; $D$6 &amp; ")", CellContents, -60000)</f>
        <v>-60000</v>
      </c>
      <c r="I19" s="22">
        <f t="shared" si="7"/>
        <v>-60000</v>
      </c>
      <c r="J19" s="22">
        <f t="shared" si="7"/>
        <v>-60000</v>
      </c>
      <c r="K19" s="22">
        <f t="shared" si="7"/>
        <v>-60000</v>
      </c>
      <c r="L19" s="22">
        <f t="shared" si="7"/>
        <v>-60000</v>
      </c>
      <c r="M19" s="22">
        <f t="shared" si="7"/>
        <v>-60000</v>
      </c>
      <c r="N19" s="22">
        <f t="shared" si="7"/>
        <v>-60000</v>
      </c>
      <c r="O19" s="22">
        <f t="shared" si="7"/>
        <v>-60000</v>
      </c>
      <c r="P19" s="22">
        <f t="shared" si="7"/>
        <v>-60000</v>
      </c>
      <c r="Q19" s="22">
        <f t="shared" si="7"/>
        <v>-60000</v>
      </c>
      <c r="R19" s="26"/>
      <c r="S19" s="22">
        <f>CHOOSE(B, "-GLActualYTD(" &amp; "Account" &amp; "," &amp; $D$4 &amp; "," &amp; $T$8&amp; "," &amp; S$11 &amp; "," &amp; "AccountGroupCode" &amp; "," &amp; $B19 &amp; "," &amp; "AccountStructureCode" &amp; "," &amp; "AccountType" &amp; "," &amp; "BalanceType" &amp; "," &amp; $D$5 &amp; "," &amp; $D$6 &amp; ")", CellContents, -12000)</f>
        <v>-12000</v>
      </c>
      <c r="T19" s="22">
        <f>CHOOSE(B, "-GLActualYTD(" &amp; "Account" &amp; "," &amp; $D$4 &amp; "," &amp; $T$8&amp; "," &amp; T$11 &amp; "," &amp; "AccountGroupCode" &amp; "," &amp; $B19 &amp; "," &amp; "AccountStructureCode" &amp; "," &amp; "AccountType" &amp; "," &amp; "BalanceType" &amp; "," &amp; $D$5 &amp; "," &amp; $D$6 &amp; ")", CellContents, -24000)</f>
        <v>-24000</v>
      </c>
      <c r="U19" s="22">
        <f>CHOOSE(B, "-GLActualYTD(" &amp; "Account" &amp; "," &amp; $D$4 &amp; "," &amp; $T$8&amp; "," &amp; U$11 &amp; "," &amp; "AccountGroupCode" &amp; "," &amp; $B19 &amp; "," &amp; "AccountStructureCode" &amp; "," &amp; "AccountType" &amp; "," &amp; "BalanceType" &amp; "," &amp; $D$5 &amp; "," &amp; $D$6 &amp; ")", CellContents, -36000)</f>
        <v>-36000</v>
      </c>
      <c r="V19" s="22">
        <f>CHOOSE(B, "-GLActualYTD(" &amp; "Account" &amp; "," &amp; $D$4 &amp; "," &amp; $T$8&amp; "," &amp; V$11 &amp; "," &amp; "AccountGroupCode" &amp; "," &amp; $B19 &amp; "," &amp; "AccountStructureCode" &amp; "," &amp; "AccountType" &amp; "," &amp; "BalanceType" &amp; "," &amp; $D$5 &amp; "," &amp; $D$6 &amp; ")", CellContents, -48000)</f>
        <v>-48000</v>
      </c>
      <c r="W19" s="22">
        <f>CHOOSE(B, "-GLActualYTD(" &amp; "Account" &amp; "," &amp; $D$4 &amp; "," &amp; $T$8&amp; "," &amp; W$11 &amp; "," &amp; "AccountGroupCode" &amp; "," &amp; $B19 &amp; "," &amp; "AccountStructureCode" &amp; "," &amp; "AccountType" &amp; "," &amp; "BalanceType" &amp; "," &amp; $D$5 &amp; "," &amp; $D$6 &amp; ")", CellContents, -60000)</f>
        <v>-60000</v>
      </c>
      <c r="X19" s="22">
        <f>CHOOSE(B, "-GLActualYTD(" &amp; "Account" &amp; "," &amp; $D$4 &amp; "," &amp; $T$8&amp; "," &amp; X$11 &amp; "," &amp; "AccountGroupCode" &amp; "," &amp; $B19 &amp; "," &amp; "AccountStructureCode" &amp; "," &amp; "AccountType" &amp; "," &amp; "BalanceType" &amp; "," &amp; $D$5 &amp; "," &amp; $D$6 &amp; ")", CellContents, -72000)</f>
        <v>-72000</v>
      </c>
      <c r="Y19" s="22">
        <f>CHOOSE(B, "-GLActualYTD(" &amp; "Account" &amp; "," &amp; $D$4 &amp; "," &amp; $T$8&amp; "," &amp; Y$11 &amp; "," &amp; "AccountGroupCode" &amp; "," &amp; $B19 &amp; "," &amp; "AccountStructureCode" &amp; "," &amp; "AccountType" &amp; "," &amp; "BalanceType" &amp; "," &amp; $D$5 &amp; "," &amp; $D$6 &amp; ")", CellContents, -84000)</f>
        <v>-84000</v>
      </c>
      <c r="Z19" s="22">
        <f>CHOOSE(B, "-GLActualYTD(" &amp; "Account" &amp; "," &amp; $D$4 &amp; "," &amp; $T$8&amp; "," &amp; Z$11 &amp; "," &amp; "AccountGroupCode" &amp; "," &amp; $B19 &amp; "," &amp; "AccountStructureCode" &amp; "," &amp; "AccountType" &amp; "," &amp; "BalanceType" &amp; "," &amp; $D$5 &amp; "," &amp; $D$6 &amp; ")", CellContents, -96000)</f>
        <v>-96000</v>
      </c>
      <c r="AA19" s="22">
        <f>CHOOSE(B, "-GLActualYTD(" &amp; "Account" &amp; "," &amp; $D$4 &amp; "," &amp; $T$8&amp; "," &amp; AA$11 &amp; "," &amp; "AccountGroupCode" &amp; "," &amp; $B19 &amp; "," &amp; "AccountStructureCode" &amp; "," &amp; "AccountType" &amp; "," &amp; "BalanceType" &amp; "," &amp; $D$5 &amp; "," &amp; $D$6 &amp; ")", CellContents, -108000)</f>
        <v>-108000</v>
      </c>
      <c r="AB19" s="22">
        <f>CHOOSE(B, "-GLActualYTD(" &amp; "Account" &amp; "," &amp; $D$4 &amp; "," &amp; $T$8&amp; "," &amp; AB$11 &amp; "," &amp; "AccountGroupCode" &amp; "," &amp; $B19 &amp; "," &amp; "AccountStructureCode" &amp; "," &amp; "AccountType" &amp; "," &amp; "BalanceType" &amp; "," &amp; $D$5 &amp; "," &amp; $D$6 &amp; ")", CellContents, -120000)</f>
        <v>-120000</v>
      </c>
      <c r="AC19" s="22">
        <f>CHOOSE(B, "-GLActualYTD(" &amp; "Account" &amp; "," &amp; $D$4 &amp; "," &amp; $T$8&amp; "," &amp; AC$11 &amp; "," &amp; "AccountGroupCode" &amp; "," &amp; $B19 &amp; "," &amp; "AccountStructureCode" &amp; "," &amp; "AccountType" &amp; "," &amp; "BalanceType" &amp; "," &amp; $D$5 &amp; "," &amp; $D$6 &amp; ")", CellContents, -132000)</f>
        <v>-132000</v>
      </c>
      <c r="AD19" s="22">
        <f>CHOOSE(B, "-GLActualYTD(" &amp; "Account" &amp; "," &amp; $D$4 &amp; "," &amp; $T$8&amp; "," &amp; AD$11 &amp; "," &amp; "AccountGroupCode" &amp; "," &amp; $B19 &amp; "," &amp; "AccountStructureCode" &amp; "," &amp; "AccountType" &amp; "," &amp; "BalanceType" &amp; "," &amp; $D$5 &amp; "," &amp; $D$6 &amp; ")", CellContents, -144000)</f>
        <v>-144000</v>
      </c>
      <c r="AE19" s="22">
        <f>CHOOSE(B, "-GLActualYTD(" &amp; "Account" &amp; "," &amp; $D$4 &amp; "," &amp; $T$8&amp; "," &amp; AE$11 &amp; "," &amp; "AccountGroupCode" &amp; "," &amp; $B19 &amp; "," &amp; "AccountStructureCode" &amp; "," &amp; "AccountType" &amp; "," &amp; "BalanceType" &amp; "," &amp; $D$5 &amp; "," &amp; $D$6 &amp; ")", CellContents, -144000)</f>
        <v>-144000</v>
      </c>
      <c r="AF19" s="22">
        <f>CHOOSE(B, "-GLActualYTD(" &amp; "Account" &amp; "," &amp; $D$4 &amp; "," &amp; $T$8&amp; "," &amp; AF$11 &amp; "," &amp; "AccountGroupCode" &amp; "," &amp; $B19 &amp; "," &amp; "AccountStructureCode" &amp; "," &amp; "AccountType" &amp; "," &amp; "BalanceType" &amp; "," &amp; $D$5 &amp; "," &amp; $D$6 &amp; ")", CellContents, -144000)</f>
        <v>-144000</v>
      </c>
    </row>
    <row r="20" spans="2:32" hidden="1" outlineLevel="1" x14ac:dyDescent="0.3">
      <c r="B20" s="20">
        <v>110</v>
      </c>
      <c r="C20" s="21" t="s">
        <v>81</v>
      </c>
      <c r="D20" s="22">
        <f t="shared" ref="D20:Q20" si="8">CHOOSE(B, "-GLActualYTD(" &amp; "Account" &amp; "," &amp; $D$4 &amp; "," &amp; $E$8 &amp; "," &amp; D$11 &amp; "," &amp; "AccountGroupCode" &amp; "," &amp; $B20 &amp; "," &amp; "AccountStructureCode" &amp; "," &amp; "AccountType" &amp; "," &amp; "BalanceType" &amp; "," &amp; $D$5 &amp; "," &amp; $D$6 &amp; ")", CellContents, 0)</f>
        <v>0</v>
      </c>
      <c r="E20" s="22">
        <f t="shared" si="8"/>
        <v>0</v>
      </c>
      <c r="F20" s="22">
        <f t="shared" si="8"/>
        <v>0</v>
      </c>
      <c r="G20" s="22">
        <f t="shared" si="8"/>
        <v>0</v>
      </c>
      <c r="H20" s="22">
        <f t="shared" si="8"/>
        <v>0</v>
      </c>
      <c r="I20" s="22">
        <f t="shared" si="8"/>
        <v>0</v>
      </c>
      <c r="J20" s="22">
        <f t="shared" si="8"/>
        <v>0</v>
      </c>
      <c r="K20" s="22">
        <f t="shared" si="8"/>
        <v>0</v>
      </c>
      <c r="L20" s="22">
        <f t="shared" si="8"/>
        <v>0</v>
      </c>
      <c r="M20" s="22">
        <f t="shared" si="8"/>
        <v>0</v>
      </c>
      <c r="N20" s="22">
        <f t="shared" si="8"/>
        <v>0</v>
      </c>
      <c r="O20" s="22">
        <f t="shared" si="8"/>
        <v>0</v>
      </c>
      <c r="P20" s="22">
        <f t="shared" si="8"/>
        <v>0</v>
      </c>
      <c r="Q20" s="22">
        <f t="shared" si="8"/>
        <v>0</v>
      </c>
      <c r="R20" s="26"/>
      <c r="S20" s="22">
        <f t="shared" ref="S20:AF20" si="9">CHOOSE(B, "-GLActualYTD(" &amp; "Account" &amp; "," &amp; $D$4 &amp; "," &amp; $T$8&amp; "," &amp; S$11 &amp; "," &amp; "AccountGroupCode" &amp; "," &amp; $B20 &amp; "," &amp; "AccountStructureCode" &amp; "," &amp; "AccountType" &amp; "," &amp; "BalanceType" &amp; "," &amp; $D$5 &amp; "," &amp; $D$6 &amp; ")", CellContents, 0)</f>
        <v>0</v>
      </c>
      <c r="T20" s="22">
        <f t="shared" si="9"/>
        <v>0</v>
      </c>
      <c r="U20" s="22">
        <f t="shared" si="9"/>
        <v>0</v>
      </c>
      <c r="V20" s="22">
        <f t="shared" si="9"/>
        <v>0</v>
      </c>
      <c r="W20" s="22">
        <f t="shared" si="9"/>
        <v>0</v>
      </c>
      <c r="X20" s="22">
        <f t="shared" si="9"/>
        <v>0</v>
      </c>
      <c r="Y20" s="22">
        <f t="shared" si="9"/>
        <v>0</v>
      </c>
      <c r="Z20" s="22">
        <f t="shared" si="9"/>
        <v>0</v>
      </c>
      <c r="AA20" s="22">
        <f t="shared" si="9"/>
        <v>0</v>
      </c>
      <c r="AB20" s="22">
        <f t="shared" si="9"/>
        <v>0</v>
      </c>
      <c r="AC20" s="22">
        <f t="shared" si="9"/>
        <v>0</v>
      </c>
      <c r="AD20" s="22">
        <f t="shared" si="9"/>
        <v>0</v>
      </c>
      <c r="AE20" s="22">
        <f t="shared" si="9"/>
        <v>0</v>
      </c>
      <c r="AF20" s="22">
        <f t="shared" si="9"/>
        <v>0</v>
      </c>
    </row>
    <row r="21" spans="2:32" ht="7.5" customHeight="1" x14ac:dyDescent="0.3">
      <c r="B21" s="20"/>
      <c r="C21" s="21"/>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row>
    <row r="22" spans="2:32" collapsed="1" x14ac:dyDescent="0.3">
      <c r="B22" s="20"/>
      <c r="C22" s="21" t="s">
        <v>70</v>
      </c>
      <c r="D22" s="22">
        <f t="shared" ref="D22:Q22" si="10">SUM(D23:D24)</f>
        <v>0</v>
      </c>
      <c r="E22" s="22">
        <f t="shared" si="10"/>
        <v>0</v>
      </c>
      <c r="F22" s="22">
        <f t="shared" si="10"/>
        <v>0</v>
      </c>
      <c r="G22" s="22">
        <f t="shared" si="10"/>
        <v>0</v>
      </c>
      <c r="H22" s="22">
        <f t="shared" si="10"/>
        <v>0</v>
      </c>
      <c r="I22" s="22">
        <f t="shared" si="10"/>
        <v>0</v>
      </c>
      <c r="J22" s="22">
        <f t="shared" si="10"/>
        <v>0</v>
      </c>
      <c r="K22" s="22">
        <f t="shared" si="10"/>
        <v>0</v>
      </c>
      <c r="L22" s="22">
        <f t="shared" si="10"/>
        <v>0</v>
      </c>
      <c r="M22" s="22">
        <f t="shared" si="10"/>
        <v>0</v>
      </c>
      <c r="N22" s="22">
        <f t="shared" si="10"/>
        <v>0</v>
      </c>
      <c r="O22" s="22">
        <f t="shared" si="10"/>
        <v>0</v>
      </c>
      <c r="P22" s="22">
        <f t="shared" si="10"/>
        <v>0</v>
      </c>
      <c r="Q22" s="22">
        <f t="shared" si="10"/>
        <v>0</v>
      </c>
      <c r="R22" s="26"/>
      <c r="S22" s="22">
        <f t="shared" ref="S22:AF22" si="11">SUM(S23:S24)</f>
        <v>0</v>
      </c>
      <c r="T22" s="22">
        <f t="shared" si="11"/>
        <v>0</v>
      </c>
      <c r="U22" s="22">
        <f t="shared" si="11"/>
        <v>0</v>
      </c>
      <c r="V22" s="22">
        <f t="shared" si="11"/>
        <v>0</v>
      </c>
      <c r="W22" s="22">
        <f t="shared" si="11"/>
        <v>0</v>
      </c>
      <c r="X22" s="22">
        <f t="shared" si="11"/>
        <v>0</v>
      </c>
      <c r="Y22" s="22">
        <f t="shared" si="11"/>
        <v>0</v>
      </c>
      <c r="Z22" s="22">
        <f t="shared" si="11"/>
        <v>0</v>
      </c>
      <c r="AA22" s="22">
        <f t="shared" si="11"/>
        <v>0</v>
      </c>
      <c r="AB22" s="22">
        <f t="shared" si="11"/>
        <v>0</v>
      </c>
      <c r="AC22" s="22">
        <f t="shared" si="11"/>
        <v>0</v>
      </c>
      <c r="AD22" s="22">
        <f t="shared" si="11"/>
        <v>0</v>
      </c>
      <c r="AE22" s="22">
        <f t="shared" si="11"/>
        <v>0</v>
      </c>
      <c r="AF22" s="22">
        <f t="shared" si="11"/>
        <v>0</v>
      </c>
    </row>
    <row r="23" spans="2:32" hidden="1" outlineLevel="1" x14ac:dyDescent="0.3">
      <c r="B23" s="20">
        <v>120</v>
      </c>
      <c r="C23" s="21" t="s">
        <v>82</v>
      </c>
      <c r="D23" s="22">
        <f t="shared" ref="D23:Q24" si="12">CHOOSE(B, "-GLActualYTD(" &amp; "Account" &amp; "," &amp; $D$4 &amp; "," &amp; $E$8 &amp; "," &amp; D$11 &amp; "," &amp; "AccountGroupCode" &amp; "," &amp; $B23 &amp; "," &amp; "AccountStructureCode" &amp; "," &amp; "AccountType" &amp; "," &amp; "BalanceType" &amp; "," &amp; $D$5 &amp; "," &amp; $D$6 &amp; ")", CellContents, 0)</f>
        <v>0</v>
      </c>
      <c r="E23" s="22">
        <f t="shared" si="12"/>
        <v>0</v>
      </c>
      <c r="F23" s="22">
        <f t="shared" si="12"/>
        <v>0</v>
      </c>
      <c r="G23" s="22">
        <f t="shared" si="12"/>
        <v>0</v>
      </c>
      <c r="H23" s="22">
        <f t="shared" si="12"/>
        <v>0</v>
      </c>
      <c r="I23" s="22">
        <f t="shared" si="12"/>
        <v>0</v>
      </c>
      <c r="J23" s="22">
        <f t="shared" si="12"/>
        <v>0</v>
      </c>
      <c r="K23" s="22">
        <f t="shared" si="12"/>
        <v>0</v>
      </c>
      <c r="L23" s="22">
        <f t="shared" si="12"/>
        <v>0</v>
      </c>
      <c r="M23" s="22">
        <f t="shared" si="12"/>
        <v>0</v>
      </c>
      <c r="N23" s="22">
        <f t="shared" si="12"/>
        <v>0</v>
      </c>
      <c r="O23" s="22">
        <f t="shared" si="12"/>
        <v>0</v>
      </c>
      <c r="P23" s="22">
        <f t="shared" si="12"/>
        <v>0</v>
      </c>
      <c r="Q23" s="22">
        <f t="shared" si="12"/>
        <v>0</v>
      </c>
      <c r="R23" s="26"/>
      <c r="S23" s="22">
        <f t="shared" ref="S23:AF24" si="13">CHOOSE(B, "-GLActualYTD(" &amp; "Account" &amp; "," &amp; $D$4 &amp; "," &amp; $T$8 &amp; "," &amp; S$11 &amp; "," &amp; "AccountGroupCode" &amp; "," &amp; $B23 &amp; "," &amp; "AccountStructureCode" &amp; "," &amp; "AccountType" &amp; "," &amp; "BalanceType" &amp; "," &amp; $D$5 &amp; "," &amp; $D$6 &amp; ")", CellContents, 0)</f>
        <v>0</v>
      </c>
      <c r="T23" s="22">
        <f t="shared" si="13"/>
        <v>0</v>
      </c>
      <c r="U23" s="22">
        <f t="shared" si="13"/>
        <v>0</v>
      </c>
      <c r="V23" s="22">
        <f t="shared" si="13"/>
        <v>0</v>
      </c>
      <c r="W23" s="22">
        <f t="shared" si="13"/>
        <v>0</v>
      </c>
      <c r="X23" s="22">
        <f t="shared" si="13"/>
        <v>0</v>
      </c>
      <c r="Y23" s="22">
        <f t="shared" si="13"/>
        <v>0</v>
      </c>
      <c r="Z23" s="22">
        <f t="shared" si="13"/>
        <v>0</v>
      </c>
      <c r="AA23" s="22">
        <f t="shared" si="13"/>
        <v>0</v>
      </c>
      <c r="AB23" s="22">
        <f t="shared" si="13"/>
        <v>0</v>
      </c>
      <c r="AC23" s="22">
        <f t="shared" si="13"/>
        <v>0</v>
      </c>
      <c r="AD23" s="22">
        <f t="shared" si="13"/>
        <v>0</v>
      </c>
      <c r="AE23" s="22">
        <f t="shared" si="13"/>
        <v>0</v>
      </c>
      <c r="AF23" s="22">
        <f t="shared" si="13"/>
        <v>0</v>
      </c>
    </row>
    <row r="24" spans="2:32" hidden="1" outlineLevel="1" x14ac:dyDescent="0.3">
      <c r="B24" s="20">
        <v>130</v>
      </c>
      <c r="C24" s="21" t="s">
        <v>83</v>
      </c>
      <c r="D24" s="22">
        <f t="shared" si="12"/>
        <v>0</v>
      </c>
      <c r="E24" s="22">
        <f t="shared" si="12"/>
        <v>0</v>
      </c>
      <c r="F24" s="22">
        <f t="shared" si="12"/>
        <v>0</v>
      </c>
      <c r="G24" s="22">
        <f t="shared" si="12"/>
        <v>0</v>
      </c>
      <c r="H24" s="22">
        <f t="shared" si="12"/>
        <v>0</v>
      </c>
      <c r="I24" s="22">
        <f t="shared" si="12"/>
        <v>0</v>
      </c>
      <c r="J24" s="22">
        <f t="shared" si="12"/>
        <v>0</v>
      </c>
      <c r="K24" s="22">
        <f t="shared" si="12"/>
        <v>0</v>
      </c>
      <c r="L24" s="22">
        <f t="shared" si="12"/>
        <v>0</v>
      </c>
      <c r="M24" s="22">
        <f t="shared" si="12"/>
        <v>0</v>
      </c>
      <c r="N24" s="22">
        <f t="shared" si="12"/>
        <v>0</v>
      </c>
      <c r="O24" s="22">
        <f t="shared" si="12"/>
        <v>0</v>
      </c>
      <c r="P24" s="22">
        <f t="shared" si="12"/>
        <v>0</v>
      </c>
      <c r="Q24" s="22">
        <f t="shared" si="12"/>
        <v>0</v>
      </c>
      <c r="R24" s="26"/>
      <c r="S24" s="22">
        <f t="shared" si="13"/>
        <v>0</v>
      </c>
      <c r="T24" s="22">
        <f t="shared" si="13"/>
        <v>0</v>
      </c>
      <c r="U24" s="22">
        <f t="shared" si="13"/>
        <v>0</v>
      </c>
      <c r="V24" s="22">
        <f t="shared" si="13"/>
        <v>0</v>
      </c>
      <c r="W24" s="22">
        <f t="shared" si="13"/>
        <v>0</v>
      </c>
      <c r="X24" s="22">
        <f t="shared" si="13"/>
        <v>0</v>
      </c>
      <c r="Y24" s="22">
        <f t="shared" si="13"/>
        <v>0</v>
      </c>
      <c r="Z24" s="22">
        <f t="shared" si="13"/>
        <v>0</v>
      </c>
      <c r="AA24" s="22">
        <f t="shared" si="13"/>
        <v>0</v>
      </c>
      <c r="AB24" s="22">
        <f t="shared" si="13"/>
        <v>0</v>
      </c>
      <c r="AC24" s="22">
        <f t="shared" si="13"/>
        <v>0</v>
      </c>
      <c r="AD24" s="22">
        <f t="shared" si="13"/>
        <v>0</v>
      </c>
      <c r="AE24" s="22">
        <f t="shared" si="13"/>
        <v>0</v>
      </c>
      <c r="AF24" s="22">
        <f t="shared" si="13"/>
        <v>0</v>
      </c>
    </row>
    <row r="25" spans="2:32" ht="7.5" customHeight="1" x14ac:dyDescent="0.3">
      <c r="B25" s="20"/>
      <c r="C25" s="21"/>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row>
    <row r="26" spans="2:32" x14ac:dyDescent="0.3">
      <c r="B26" s="20"/>
      <c r="C26" s="23" t="s">
        <v>25</v>
      </c>
      <c r="D26" s="24">
        <f>D22+D15+D13</f>
        <v>1071635</v>
      </c>
      <c r="E26" s="24">
        <f t="shared" ref="E26:AF26" si="14">E22+E15+E13</f>
        <v>1480539</v>
      </c>
      <c r="F26" s="24">
        <f t="shared" si="14"/>
        <v>2796962</v>
      </c>
      <c r="G26" s="24">
        <f t="shared" si="14"/>
        <v>3804787</v>
      </c>
      <c r="H26" s="24">
        <f t="shared" si="14"/>
        <v>5158909</v>
      </c>
      <c r="I26" s="24">
        <f t="shared" si="14"/>
        <v>5156086</v>
      </c>
      <c r="J26" s="24">
        <f t="shared" si="14"/>
        <v>5119245</v>
      </c>
      <c r="K26" s="24">
        <f t="shared" si="14"/>
        <v>5119645</v>
      </c>
      <c r="L26" s="24">
        <f t="shared" si="14"/>
        <v>5119645</v>
      </c>
      <c r="M26" s="24">
        <f t="shared" si="14"/>
        <v>5119645</v>
      </c>
      <c r="N26" s="24">
        <f t="shared" si="14"/>
        <v>5119645</v>
      </c>
      <c r="O26" s="24">
        <f t="shared" si="14"/>
        <v>5119645</v>
      </c>
      <c r="P26" s="24">
        <f t="shared" si="14"/>
        <v>5119645</v>
      </c>
      <c r="Q26" s="24">
        <f t="shared" si="14"/>
        <v>5119645</v>
      </c>
      <c r="R26"/>
      <c r="S26" s="24">
        <f t="shared" si="14"/>
        <v>729437</v>
      </c>
      <c r="T26" s="24">
        <f t="shared" si="14"/>
        <v>1129077</v>
      </c>
      <c r="U26" s="24">
        <f t="shared" si="14"/>
        <v>1286557</v>
      </c>
      <c r="V26" s="24">
        <f t="shared" si="14"/>
        <v>1844617</v>
      </c>
      <c r="W26" s="24">
        <f t="shared" si="14"/>
        <v>2036938</v>
      </c>
      <c r="X26" s="24">
        <f t="shared" si="14"/>
        <v>2405823</v>
      </c>
      <c r="Y26" s="24">
        <f t="shared" si="14"/>
        <v>3116975</v>
      </c>
      <c r="Z26" s="24">
        <f t="shared" si="14"/>
        <v>4170312</v>
      </c>
      <c r="AA26" s="24">
        <f t="shared" si="14"/>
        <v>4289435</v>
      </c>
      <c r="AB26" s="24">
        <f t="shared" si="14"/>
        <v>4715530</v>
      </c>
      <c r="AC26" s="24">
        <f t="shared" si="14"/>
        <v>4637341</v>
      </c>
      <c r="AD26" s="24">
        <f t="shared" si="14"/>
        <v>4821641</v>
      </c>
      <c r="AE26" s="24">
        <f t="shared" si="14"/>
        <v>4821641</v>
      </c>
      <c r="AF26" s="24">
        <f t="shared" si="14"/>
        <v>4821641</v>
      </c>
    </row>
    <row r="27" spans="2:32" ht="7.5" customHeight="1" x14ac:dyDescent="0.3">
      <c r="B27" s="20"/>
      <c r="C27" s="21"/>
      <c r="D27" s="22"/>
      <c r="E27" s="22"/>
      <c r="F27" s="22"/>
      <c r="G27" s="22"/>
      <c r="H27" s="22"/>
      <c r="I27" s="22"/>
      <c r="J27" s="22"/>
      <c r="K27" s="22"/>
      <c r="L27" s="22"/>
      <c r="M27" s="22"/>
      <c r="N27" s="22"/>
      <c r="O27" s="22"/>
      <c r="P27" s="22"/>
      <c r="Q27" s="22"/>
      <c r="R27" s="26"/>
      <c r="S27" s="22"/>
      <c r="T27" s="22"/>
      <c r="U27" s="22"/>
      <c r="V27" s="22"/>
      <c r="W27" s="22"/>
      <c r="X27" s="22"/>
      <c r="Y27" s="22"/>
      <c r="Z27" s="22"/>
      <c r="AA27" s="22"/>
      <c r="AB27" s="22"/>
      <c r="AC27" s="22"/>
      <c r="AD27" s="22"/>
      <c r="AE27" s="22"/>
      <c r="AF27" s="22"/>
    </row>
    <row r="28" spans="2:32" x14ac:dyDescent="0.3">
      <c r="B28" s="20">
        <v>10</v>
      </c>
      <c r="C28" s="23" t="s">
        <v>26</v>
      </c>
      <c r="D28" s="24">
        <f t="shared" ref="D28:Q28" si="15">CHOOSE(B, "GLOpeningBalance(" &amp; "Account" &amp; "," &amp; $D$4 &amp; "," &amp; $E$8 &amp; "," &amp; "AccountGroupCode" &amp; "," &amp; $B$28 &amp; "," &amp; "AccountStructureCode" &amp; "," &amp; "AccountType" &amp; "," &amp; "BalanceType" &amp; "," &amp; $D$5 &amp; "," &amp; $D$6 &amp; ")", CellContents, 6840727,99)</f>
        <v>6840727</v>
      </c>
      <c r="E28" s="24">
        <f t="shared" si="15"/>
        <v>6840727</v>
      </c>
      <c r="F28" s="24">
        <f t="shared" si="15"/>
        <v>6840727</v>
      </c>
      <c r="G28" s="24">
        <f t="shared" si="15"/>
        <v>6840727</v>
      </c>
      <c r="H28" s="24">
        <f t="shared" si="15"/>
        <v>6840727</v>
      </c>
      <c r="I28" s="24">
        <f t="shared" si="15"/>
        <v>6840727</v>
      </c>
      <c r="J28" s="24">
        <f t="shared" si="15"/>
        <v>6840727</v>
      </c>
      <c r="K28" s="24">
        <f t="shared" si="15"/>
        <v>6840727</v>
      </c>
      <c r="L28" s="24">
        <f t="shared" si="15"/>
        <v>6840727</v>
      </c>
      <c r="M28" s="24">
        <f t="shared" si="15"/>
        <v>6840727</v>
      </c>
      <c r="N28" s="24">
        <f t="shared" si="15"/>
        <v>6840727</v>
      </c>
      <c r="O28" s="24">
        <f t="shared" si="15"/>
        <v>6840727</v>
      </c>
      <c r="P28" s="24">
        <f t="shared" si="15"/>
        <v>6840727</v>
      </c>
      <c r="Q28" s="24">
        <f t="shared" si="15"/>
        <v>6840727</v>
      </c>
      <c r="R28" s="26"/>
      <c r="S28" s="24">
        <f t="shared" ref="S28:AF28" si="16">CHOOSE(B, "GLOpeningBalance(" &amp; "Account" &amp; "," &amp; $D$4 &amp; "," &amp; $T$8 &amp; "," &amp; "AccountGroupCode" &amp; "," &amp; $B$28 &amp; "," &amp; "AccountStructureCode" &amp; "," &amp; "AccountType" &amp; "," &amp; "BalanceType" &amp; "," &amp; $D$5 &amp; "," &amp; $D$6 &amp; ")", CellContents, 2019087,55)</f>
        <v>2019087</v>
      </c>
      <c r="T28" s="24">
        <f t="shared" si="16"/>
        <v>2019087</v>
      </c>
      <c r="U28" s="24">
        <f t="shared" si="16"/>
        <v>2019087</v>
      </c>
      <c r="V28" s="24">
        <f t="shared" si="16"/>
        <v>2019087</v>
      </c>
      <c r="W28" s="24">
        <f t="shared" si="16"/>
        <v>2019087</v>
      </c>
      <c r="X28" s="24">
        <f t="shared" si="16"/>
        <v>2019087</v>
      </c>
      <c r="Y28" s="24">
        <f t="shared" si="16"/>
        <v>2019087</v>
      </c>
      <c r="Z28" s="24">
        <f t="shared" si="16"/>
        <v>2019087</v>
      </c>
      <c r="AA28" s="24">
        <f t="shared" si="16"/>
        <v>2019087</v>
      </c>
      <c r="AB28" s="24">
        <f t="shared" si="16"/>
        <v>2019087</v>
      </c>
      <c r="AC28" s="24">
        <f t="shared" si="16"/>
        <v>2019087</v>
      </c>
      <c r="AD28" s="24">
        <f t="shared" si="16"/>
        <v>2019087</v>
      </c>
      <c r="AE28" s="24">
        <f t="shared" si="16"/>
        <v>2019087</v>
      </c>
      <c r="AF28" s="24">
        <f t="shared" si="16"/>
        <v>2019087</v>
      </c>
    </row>
    <row r="29" spans="2:32" ht="7.5" customHeight="1" x14ac:dyDescent="0.3">
      <c r="B29" s="20"/>
      <c r="C29" s="21"/>
      <c r="D29" s="22"/>
      <c r="E29" s="22"/>
      <c r="F29" s="22"/>
      <c r="G29" s="22"/>
      <c r="H29" s="22"/>
      <c r="I29" s="22"/>
      <c r="J29" s="22"/>
      <c r="K29" s="22"/>
      <c r="L29" s="22"/>
      <c r="M29" s="22"/>
      <c r="N29" s="22"/>
      <c r="O29" s="22"/>
      <c r="P29" s="22"/>
      <c r="Q29" s="22"/>
      <c r="R29" s="26"/>
      <c r="S29" s="22"/>
      <c r="T29" s="22"/>
      <c r="U29" s="22"/>
      <c r="V29" s="22"/>
      <c r="W29" s="22"/>
      <c r="X29" s="22"/>
      <c r="Y29" s="22"/>
      <c r="Z29" s="22"/>
      <c r="AA29" s="22"/>
      <c r="AB29" s="22"/>
      <c r="AC29" s="22"/>
      <c r="AD29" s="22"/>
      <c r="AE29" s="22"/>
      <c r="AF29" s="22"/>
    </row>
    <row r="30" spans="2:32" x14ac:dyDescent="0.3">
      <c r="B30" s="20"/>
      <c r="C30" s="23" t="s">
        <v>27</v>
      </c>
      <c r="D30" s="24">
        <f>D26+D28</f>
        <v>7912362</v>
      </c>
      <c r="E30" s="24">
        <f t="shared" ref="E30:AF30" si="17">E26+E28</f>
        <v>8321266</v>
      </c>
      <c r="F30" s="24">
        <f t="shared" si="17"/>
        <v>9637689</v>
      </c>
      <c r="G30" s="24">
        <f t="shared" si="17"/>
        <v>10645514</v>
      </c>
      <c r="H30" s="24">
        <f t="shared" si="17"/>
        <v>11999636</v>
      </c>
      <c r="I30" s="24">
        <f t="shared" si="17"/>
        <v>11996813</v>
      </c>
      <c r="J30" s="24">
        <f t="shared" si="17"/>
        <v>11959972</v>
      </c>
      <c r="K30" s="24">
        <f t="shared" si="17"/>
        <v>11960372</v>
      </c>
      <c r="L30" s="24">
        <f t="shared" si="17"/>
        <v>11960372</v>
      </c>
      <c r="M30" s="24">
        <f t="shared" si="17"/>
        <v>11960372</v>
      </c>
      <c r="N30" s="24">
        <f t="shared" si="17"/>
        <v>11960372</v>
      </c>
      <c r="O30" s="24">
        <f t="shared" si="17"/>
        <v>11960372</v>
      </c>
      <c r="P30" s="24">
        <f t="shared" si="17"/>
        <v>11960372</v>
      </c>
      <c r="Q30" s="24">
        <f t="shared" si="17"/>
        <v>11960372</v>
      </c>
      <c r="R30" s="26"/>
      <c r="S30" s="24">
        <f t="shared" si="17"/>
        <v>2748524</v>
      </c>
      <c r="T30" s="24">
        <f t="shared" si="17"/>
        <v>3148164</v>
      </c>
      <c r="U30" s="24">
        <f t="shared" si="17"/>
        <v>3305644</v>
      </c>
      <c r="V30" s="24">
        <f t="shared" si="17"/>
        <v>3863704</v>
      </c>
      <c r="W30" s="24">
        <f t="shared" si="17"/>
        <v>4056025</v>
      </c>
      <c r="X30" s="24">
        <f t="shared" si="17"/>
        <v>4424910</v>
      </c>
      <c r="Y30" s="24">
        <f t="shared" si="17"/>
        <v>5136062</v>
      </c>
      <c r="Z30" s="24">
        <f t="shared" si="17"/>
        <v>6189399</v>
      </c>
      <c r="AA30" s="24">
        <f t="shared" si="17"/>
        <v>6308522</v>
      </c>
      <c r="AB30" s="24">
        <f t="shared" si="17"/>
        <v>6734617</v>
      </c>
      <c r="AC30" s="24">
        <f t="shared" si="17"/>
        <v>6656428</v>
      </c>
      <c r="AD30" s="24">
        <f t="shared" si="17"/>
        <v>6840728</v>
      </c>
      <c r="AE30" s="24">
        <f t="shared" si="17"/>
        <v>6840728</v>
      </c>
      <c r="AF30" s="24">
        <f t="shared" si="17"/>
        <v>6840728</v>
      </c>
    </row>
    <row r="31" spans="2:32" ht="6.75" customHeight="1" x14ac:dyDescent="0.3">
      <c r="B31" s="12"/>
    </row>
    <row r="32" spans="2:32" ht="21.75" customHeight="1" x14ac:dyDescent="0.3">
      <c r="B32" s="20"/>
      <c r="C32" s="21"/>
      <c r="D32" s="27"/>
      <c r="E32" s="27"/>
      <c r="F32" s="27"/>
      <c r="G32" s="27"/>
      <c r="H32" s="27"/>
      <c r="I32" s="27"/>
      <c r="J32" s="27"/>
      <c r="K32" s="27"/>
      <c r="L32" s="27"/>
      <c r="M32" s="27"/>
      <c r="N32" s="27"/>
      <c r="O32" s="27"/>
      <c r="P32" s="27"/>
      <c r="Q32" s="27"/>
    </row>
    <row r="33" spans="2:19" x14ac:dyDescent="0.3">
      <c r="B33" s="20"/>
      <c r="C33" s="21"/>
      <c r="D33" s="27"/>
    </row>
    <row r="34" spans="2:19" x14ac:dyDescent="0.3">
      <c r="B34" s="20"/>
      <c r="C34" s="21"/>
    </row>
    <row r="35" spans="2:19" x14ac:dyDescent="0.3">
      <c r="B35" s="20"/>
      <c r="C35" s="21"/>
      <c r="D35" s="29"/>
      <c r="S35"/>
    </row>
    <row r="36" spans="2:19" x14ac:dyDescent="0.3">
      <c r="S36"/>
    </row>
    <row r="37" spans="2:19" x14ac:dyDescent="0.3">
      <c r="S37"/>
    </row>
    <row r="53" spans="2:32" x14ac:dyDescent="0.3">
      <c r="C53" s="51" t="s">
        <v>73</v>
      </c>
    </row>
    <row r="54" spans="2:32" x14ac:dyDescent="0.3">
      <c r="S54"/>
      <c r="T54"/>
      <c r="U54"/>
      <c r="V54"/>
      <c r="W54"/>
      <c r="X54"/>
      <c r="Y54"/>
      <c r="Z54"/>
      <c r="AA54"/>
      <c r="AB54"/>
      <c r="AC54"/>
      <c r="AD54"/>
      <c r="AE54"/>
      <c r="AF54"/>
    </row>
    <row r="55" spans="2:32" x14ac:dyDescent="0.3">
      <c r="C55" s="12" t="s">
        <v>72</v>
      </c>
      <c r="D55" s="22">
        <f>D26+D28</f>
        <v>7912362</v>
      </c>
      <c r="E55" s="22">
        <f t="shared" ref="E55:Q55" si="18">E26+E28</f>
        <v>8321266</v>
      </c>
      <c r="F55" s="22">
        <f t="shared" si="18"/>
        <v>9637689</v>
      </c>
      <c r="G55" s="22">
        <f t="shared" si="18"/>
        <v>10645514</v>
      </c>
      <c r="H55" s="22">
        <f t="shared" si="18"/>
        <v>11999636</v>
      </c>
      <c r="I55" s="22">
        <f t="shared" si="18"/>
        <v>11996813</v>
      </c>
      <c r="J55" s="22">
        <f t="shared" si="18"/>
        <v>11959972</v>
      </c>
      <c r="K55" s="22">
        <f t="shared" si="18"/>
        <v>11960372</v>
      </c>
      <c r="L55" s="22">
        <f t="shared" si="18"/>
        <v>11960372</v>
      </c>
      <c r="M55" s="22">
        <f t="shared" si="18"/>
        <v>11960372</v>
      </c>
      <c r="N55" s="22">
        <f t="shared" si="18"/>
        <v>11960372</v>
      </c>
      <c r="O55" s="22">
        <f t="shared" si="18"/>
        <v>11960372</v>
      </c>
      <c r="P55" s="22">
        <f t="shared" si="18"/>
        <v>11960372</v>
      </c>
      <c r="Q55" s="22">
        <f t="shared" si="18"/>
        <v>11960372</v>
      </c>
      <c r="S55"/>
      <c r="T55"/>
      <c r="U55"/>
      <c r="V55"/>
      <c r="W55"/>
      <c r="X55"/>
      <c r="Y55"/>
      <c r="Z55"/>
      <c r="AA55"/>
      <c r="AB55"/>
      <c r="AC55"/>
      <c r="AD55"/>
      <c r="AE55"/>
      <c r="AF55"/>
    </row>
    <row r="56" spans="2:32" x14ac:dyDescent="0.3">
      <c r="B56" s="12"/>
      <c r="C56" s="23" t="s">
        <v>71</v>
      </c>
      <c r="D56" s="22">
        <f>CHOOSE(B, "GLClosingBalance(" &amp; "Account" &amp; "," &amp; $D$4 &amp; "," &amp; $E$8 &amp; "," &amp; D$11 &amp; "," &amp; "AccountGroupCode" &amp; "," &amp; $B$28 &amp; "," &amp; "AccountStructureCode" &amp; "," &amp; "AccountType" &amp; "," &amp; "BalanceType" &amp; "," &amp; $D$5 &amp; "," &amp; $D$6 &amp; ")", CellContents, 7912363,97)</f>
        <v>7912363</v>
      </c>
      <c r="E56" s="22">
        <f>CHOOSE(B, "GLClosingBalance(" &amp; "Account" &amp; "," &amp; $D$4 &amp; "," &amp; $E$8 &amp; "," &amp; E$11 &amp; "," &amp; "AccountGroupCode" &amp; "," &amp; $B$28 &amp; "," &amp; "AccountStructureCode" &amp; "," &amp; "AccountType" &amp; "," &amp; "BalanceType" &amp; "," &amp; $D$5 &amp; "," &amp; $D$6 &amp; ")", CellContents, 8321268,38)</f>
        <v>8321268</v>
      </c>
      <c r="F56" s="22">
        <f>CHOOSE(B, "GLClosingBalance(" &amp; "Account" &amp; "," &amp; $D$4 &amp; "," &amp; $E$8 &amp; "," &amp; F$11 &amp; "," &amp; "AccountGroupCode" &amp; "," &amp; $B$28 &amp; "," &amp; "AccountStructureCode" &amp; "," &amp; "AccountType" &amp; "," &amp; "BalanceType" &amp; "," &amp; $D$5 &amp; "," &amp; $D$6 &amp; ")", CellContents, 9637690,75)</f>
        <v>9637690</v>
      </c>
      <c r="G56" s="22">
        <f>CHOOSE(B, "GLClosingBalance(" &amp; "Account" &amp; "," &amp; $D$4 &amp; "," &amp; $E$8 &amp; "," &amp; G$11 &amp; "," &amp; "AccountGroupCode" &amp; "," &amp; $B$28 &amp; "," &amp; "AccountStructureCode" &amp; "," &amp; "AccountType" &amp; "," &amp; "BalanceType" &amp; "," &amp; $D$5 &amp; "," &amp; $D$6 &amp; ")", CellContents, 10645516,95)</f>
        <v>10645516</v>
      </c>
      <c r="H56" s="22">
        <f>CHOOSE(B, "GLClosingBalance(" &amp; "Account" &amp; "," &amp; $D$4 &amp; "," &amp; $E$8 &amp; "," &amp; H$11 &amp; "," &amp; "AccountGroupCode" &amp; "," &amp; $B$28 &amp; "," &amp; "AccountStructureCode" &amp; "," &amp; "AccountType" &amp; "," &amp; "BalanceType" &amp; "," &amp; $D$5 &amp; "," &amp; $D$6 &amp; ")", CellContents, 11999640,2)</f>
        <v>11999640</v>
      </c>
      <c r="I56" s="22">
        <f>CHOOSE(B, "GLClosingBalance(" &amp; "Account" &amp; "," &amp; $D$4 &amp; "," &amp; $E$8 &amp; "," &amp; I$11 &amp; "," &amp; "AccountGroupCode" &amp; "," &amp; $B$28 &amp; "," &amp; "AccountStructureCode" &amp; "," &amp; "AccountType" &amp; "," &amp; "BalanceType" &amp; "," &amp; $D$5 &amp; "," &amp; $D$6 &amp; ")", CellContents, 11996815,57)</f>
        <v>11996815</v>
      </c>
      <c r="J56" s="22">
        <f>CHOOSE(B, "GLClosingBalance(" &amp; "Account" &amp; "," &amp; $D$4 &amp; "," &amp; $E$8 &amp; "," &amp; J$11 &amp; "," &amp; "AccountGroupCode" &amp; "," &amp; $B$28 &amp; "," &amp; "AccountStructureCode" &amp; "," &amp; "AccountType" &amp; "," &amp; "BalanceType" &amp; "," &amp; $D$5 &amp; "," &amp; $D$6 &amp; ")", CellContents, 11959973,73)</f>
        <v>11959973</v>
      </c>
      <c r="K56" s="22">
        <f t="shared" ref="K56:Q56" si="19">CHOOSE(B, "GLClosingBalance(" &amp; "Account" &amp; "," &amp; $D$4 &amp; "," &amp; $E$8 &amp; "," &amp; K$11 &amp; "," &amp; "AccountGroupCode" &amp; "," &amp; $B$28 &amp; "," &amp; "AccountStructureCode" &amp; "," &amp; "AccountType" &amp; "," &amp; "BalanceType" &amp; "," &amp; $D$5 &amp; "," &amp; $D$6 &amp; ")", CellContents, 11960373)</f>
        <v>11960373</v>
      </c>
      <c r="L56" s="22">
        <f t="shared" si="19"/>
        <v>11960373</v>
      </c>
      <c r="M56" s="22">
        <f t="shared" si="19"/>
        <v>11960373</v>
      </c>
      <c r="N56" s="22">
        <f t="shared" si="19"/>
        <v>11960373</v>
      </c>
      <c r="O56" s="22">
        <f t="shared" si="19"/>
        <v>11960373</v>
      </c>
      <c r="P56" s="22">
        <f t="shared" si="19"/>
        <v>11960373</v>
      </c>
      <c r="Q56" s="22">
        <f t="shared" si="19"/>
        <v>11960373</v>
      </c>
      <c r="S56"/>
      <c r="T56"/>
      <c r="U56"/>
      <c r="V56"/>
      <c r="W56"/>
      <c r="X56"/>
      <c r="Y56"/>
      <c r="Z56"/>
      <c r="AA56"/>
      <c r="AB56"/>
      <c r="AC56"/>
      <c r="AD56"/>
      <c r="AE56"/>
      <c r="AF56"/>
    </row>
    <row r="57" spans="2:32" x14ac:dyDescent="0.3">
      <c r="B57" s="12"/>
      <c r="C57" s="23" t="s">
        <v>87</v>
      </c>
      <c r="D57" s="24">
        <f>D55-D56</f>
        <v>-1</v>
      </c>
      <c r="E57" s="24">
        <f t="shared" ref="E57:Q57" si="20">E55-E56</f>
        <v>-2</v>
      </c>
      <c r="F57" s="24">
        <f t="shared" si="20"/>
        <v>-1</v>
      </c>
      <c r="G57" s="24">
        <f t="shared" si="20"/>
        <v>-2</v>
      </c>
      <c r="H57" s="24">
        <f t="shared" si="20"/>
        <v>-4</v>
      </c>
      <c r="I57" s="24">
        <f t="shared" si="20"/>
        <v>-2</v>
      </c>
      <c r="J57" s="24">
        <f t="shared" si="20"/>
        <v>-1</v>
      </c>
      <c r="K57" s="24">
        <f t="shared" si="20"/>
        <v>-1</v>
      </c>
      <c r="L57" s="24">
        <f t="shared" si="20"/>
        <v>-1</v>
      </c>
      <c r="M57" s="24">
        <f t="shared" si="20"/>
        <v>-1</v>
      </c>
      <c r="N57" s="24">
        <f t="shared" si="20"/>
        <v>-1</v>
      </c>
      <c r="O57" s="24">
        <f t="shared" si="20"/>
        <v>-1</v>
      </c>
      <c r="P57" s="24">
        <f t="shared" si="20"/>
        <v>-1</v>
      </c>
      <c r="Q57" s="24">
        <f t="shared" si="20"/>
        <v>-1</v>
      </c>
      <c r="S57"/>
      <c r="T57"/>
      <c r="U57"/>
      <c r="V57"/>
      <c r="W57"/>
      <c r="X57"/>
      <c r="Y57"/>
      <c r="Z57"/>
      <c r="AA57"/>
      <c r="AB57"/>
      <c r="AC57"/>
      <c r="AD57"/>
      <c r="AE57"/>
      <c r="AF57"/>
    </row>
    <row r="58" spans="2:32" x14ac:dyDescent="0.3">
      <c r="S58"/>
      <c r="T58"/>
      <c r="U58"/>
      <c r="V58"/>
      <c r="W58"/>
      <c r="X58"/>
      <c r="Y58"/>
      <c r="Z58"/>
      <c r="AA58"/>
      <c r="AB58"/>
      <c r="AC58"/>
      <c r="AD58"/>
      <c r="AE58"/>
      <c r="AF58"/>
    </row>
    <row r="65" spans="2:6" x14ac:dyDescent="0.3">
      <c r="B65" s="20"/>
      <c r="C65" s="21"/>
      <c r="D65" s="22"/>
      <c r="E65" s="22"/>
      <c r="F65" s="22"/>
    </row>
    <row r="66" spans="2:6" x14ac:dyDescent="0.3">
      <c r="B66" s="20"/>
      <c r="C66" s="21"/>
      <c r="D66" s="22"/>
      <c r="E66" s="22"/>
      <c r="F66" s="22"/>
    </row>
    <row r="67" spans="2:6" x14ac:dyDescent="0.3">
      <c r="B67" s="20"/>
      <c r="C67" s="21"/>
      <c r="D67" s="22"/>
      <c r="E67" s="22"/>
      <c r="F67" s="22"/>
    </row>
    <row r="68" spans="2:6" x14ac:dyDescent="0.3">
      <c r="B68" s="20"/>
      <c r="C68" s="21"/>
      <c r="D68" s="22"/>
      <c r="E68" s="22"/>
      <c r="F68" s="22"/>
    </row>
    <row r="69" spans="2:6" x14ac:dyDescent="0.3">
      <c r="B69" s="20"/>
      <c r="C69" s="21"/>
      <c r="D69" s="22"/>
      <c r="E69" s="22"/>
      <c r="F69" s="22"/>
    </row>
    <row r="70" spans="2:6" x14ac:dyDescent="0.3">
      <c r="B70" s="20"/>
      <c r="C70" s="21"/>
    </row>
    <row r="71" spans="2:6" x14ac:dyDescent="0.3">
      <c r="B71" s="20"/>
      <c r="C71" s="21"/>
    </row>
    <row r="72" spans="2:6" x14ac:dyDescent="0.3">
      <c r="B72" s="20"/>
      <c r="C72" s="21"/>
      <c r="D72" s="22"/>
      <c r="E72" s="22"/>
      <c r="F72" s="22"/>
    </row>
    <row r="73" spans="2:6" x14ac:dyDescent="0.3">
      <c r="B73" s="20"/>
      <c r="C73" s="21"/>
      <c r="D73" s="22"/>
      <c r="E73" s="22"/>
      <c r="F73" s="22"/>
    </row>
  </sheetData>
  <mergeCells count="3">
    <mergeCell ref="D10:Q10"/>
    <mergeCell ref="S10:AF10"/>
    <mergeCell ref="G3:J6"/>
  </mergeCells>
  <dataValidations count="3">
    <dataValidation type="list" allowBlank="1" showInputMessage="1" showErrorMessage="1" sqref="D4">
      <formula1>CompaniesTemplate</formula1>
    </dataValidation>
    <dataValidation type="list" allowBlank="1" showInputMessage="1" sqref="T8">
      <formula1>FiscalYearsTemplate</formula1>
    </dataValidation>
    <dataValidation type="list" allowBlank="1" showInputMessage="1" showErrorMessage="1" sqref="E8">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AF40"/>
  <sheetViews>
    <sheetView showGridLines="0" zoomScale="90" zoomScaleNormal="90" workbookViewId="0"/>
  </sheetViews>
  <sheetFormatPr defaultRowHeight="16.5" outlineLevelRow="1" x14ac:dyDescent="0.3"/>
  <cols>
    <col min="1" max="1" width="2.85546875" style="12" customWidth="1"/>
    <col min="2" max="2" width="5.5703125" style="11" customWidth="1"/>
    <col min="3" max="3" width="42.140625" style="12" customWidth="1"/>
    <col min="4" max="4" width="14" style="12" bestFit="1" customWidth="1"/>
    <col min="5" max="5" width="15" style="12" bestFit="1" customWidth="1"/>
    <col min="6" max="17" width="14" style="12" bestFit="1" customWidth="1"/>
    <col min="18" max="18" width="3.5703125" style="12" customWidth="1"/>
    <col min="19" max="32" width="15" style="12" bestFit="1" customWidth="1"/>
    <col min="33" max="16384" width="9.140625" style="12"/>
  </cols>
  <sheetData>
    <row r="1" spans="2:32" ht="15" customHeight="1" x14ac:dyDescent="0.3"/>
    <row r="2" spans="2:32" ht="33.75" customHeight="1" x14ac:dyDescent="0.7">
      <c r="B2" s="32" t="s">
        <v>37</v>
      </c>
      <c r="C2" s="13" t="str">
        <f>CONCATENATE(D4," Statement of Cash Flows Details")</f>
        <v>0 Statement of Cash Flows Details</v>
      </c>
    </row>
    <row r="3" spans="2:32" ht="16.5" customHeight="1" x14ac:dyDescent="0.3">
      <c r="G3" s="60" t="s">
        <v>61</v>
      </c>
      <c r="H3" s="60"/>
      <c r="I3" s="60"/>
      <c r="J3" s="60"/>
    </row>
    <row r="4" spans="2:32" ht="16.5" customHeight="1" x14ac:dyDescent="0.3">
      <c r="C4" s="14" t="s">
        <v>17</v>
      </c>
      <c r="D4" s="31">
        <f>INDEX(Companies,1)</f>
        <v>0</v>
      </c>
      <c r="G4" s="60"/>
      <c r="H4" s="60"/>
      <c r="I4" s="60"/>
      <c r="J4" s="60"/>
    </row>
    <row r="5" spans="2:32" x14ac:dyDescent="0.3">
      <c r="C5" s="14" t="s">
        <v>18</v>
      </c>
      <c r="D5" s="15" t="str">
        <f>CHOOSE(B, "GLHomeCurrency(" &amp; $D$4 &amp; ")", CellContents, "CAD")</f>
        <v>CAD</v>
      </c>
      <c r="G5" s="60"/>
      <c r="H5" s="60"/>
      <c r="I5" s="60"/>
      <c r="J5" s="60"/>
    </row>
    <row r="6" spans="2:32" x14ac:dyDescent="0.3">
      <c r="C6" s="14" t="s">
        <v>19</v>
      </c>
      <c r="D6" s="15" t="s">
        <v>20</v>
      </c>
      <c r="G6" s="60"/>
      <c r="H6" s="60"/>
      <c r="I6" s="60"/>
      <c r="J6" s="60"/>
    </row>
    <row r="7" spans="2:32" ht="7.5" customHeight="1" x14ac:dyDescent="0.3">
      <c r="D7" s="16"/>
      <c r="E7" s="17"/>
    </row>
    <row r="8" spans="2:32" x14ac:dyDescent="0.3">
      <c r="D8" s="14" t="s">
        <v>22</v>
      </c>
      <c r="E8" s="31">
        <f>CHOOSE(B, "GLCurrentYear(" &amp; $D$4 &amp; ")", CellContents, 2020)</f>
        <v>2020</v>
      </c>
      <c r="S8" s="14" t="s">
        <v>23</v>
      </c>
      <c r="T8" s="31">
        <v>2019</v>
      </c>
    </row>
    <row r="9" spans="2:32" x14ac:dyDescent="0.3">
      <c r="C9" s="19"/>
      <c r="D9" s="59" t="s">
        <v>13</v>
      </c>
      <c r="E9" s="59"/>
      <c r="F9" s="59"/>
      <c r="G9" s="59"/>
      <c r="H9" s="59"/>
      <c r="I9" s="59"/>
      <c r="J9" s="59"/>
      <c r="K9" s="59"/>
      <c r="L9" s="59"/>
      <c r="M9" s="59"/>
      <c r="N9" s="59"/>
      <c r="O9" s="59"/>
      <c r="P9" s="59"/>
      <c r="Q9" s="59"/>
      <c r="R9" s="25"/>
      <c r="S9" s="59" t="s">
        <v>13</v>
      </c>
      <c r="T9" s="59"/>
      <c r="U9" s="59"/>
      <c r="V9" s="59"/>
      <c r="W9" s="59"/>
      <c r="X9" s="59"/>
      <c r="Y9" s="59"/>
      <c r="Z9" s="59"/>
      <c r="AA9" s="59"/>
      <c r="AB9" s="59"/>
      <c r="AC9" s="59"/>
      <c r="AD9" s="59"/>
      <c r="AE9" s="59"/>
      <c r="AF9" s="59"/>
    </row>
    <row r="10" spans="2:32" x14ac:dyDescent="0.3">
      <c r="B10" s="18"/>
      <c r="D10" s="30">
        <v>1</v>
      </c>
      <c r="E10" s="30">
        <v>2</v>
      </c>
      <c r="F10" s="30">
        <v>3</v>
      </c>
      <c r="G10" s="30">
        <v>4</v>
      </c>
      <c r="H10" s="30">
        <v>5</v>
      </c>
      <c r="I10" s="30">
        <v>6</v>
      </c>
      <c r="J10" s="30">
        <v>7</v>
      </c>
      <c r="K10" s="30">
        <v>8</v>
      </c>
      <c r="L10" s="30">
        <v>9</v>
      </c>
      <c r="M10" s="30">
        <v>10</v>
      </c>
      <c r="N10" s="30">
        <v>11</v>
      </c>
      <c r="O10" s="30">
        <v>12</v>
      </c>
      <c r="P10" s="30">
        <v>13</v>
      </c>
      <c r="Q10" s="30">
        <v>14</v>
      </c>
      <c r="R10" s="25"/>
      <c r="S10" s="30">
        <v>1</v>
      </c>
      <c r="T10" s="30">
        <v>2</v>
      </c>
      <c r="U10" s="30">
        <v>3</v>
      </c>
      <c r="V10" s="30">
        <v>4</v>
      </c>
      <c r="W10" s="30">
        <v>5</v>
      </c>
      <c r="X10" s="30">
        <v>6</v>
      </c>
      <c r="Y10" s="30">
        <v>7</v>
      </c>
      <c r="Z10" s="30">
        <v>8</v>
      </c>
      <c r="AA10" s="30">
        <v>9</v>
      </c>
      <c r="AB10" s="30">
        <v>10</v>
      </c>
      <c r="AC10" s="30">
        <v>11</v>
      </c>
      <c r="AD10" s="30">
        <v>12</v>
      </c>
      <c r="AE10" s="30">
        <v>13</v>
      </c>
      <c r="AF10" s="30">
        <v>14</v>
      </c>
    </row>
    <row r="11" spans="2:32" ht="7.5" customHeight="1" x14ac:dyDescent="0.3"/>
    <row r="12" spans="2:32" x14ac:dyDescent="0.3">
      <c r="C12" s="21" t="s">
        <v>28</v>
      </c>
    </row>
    <row r="13" spans="2:32" ht="7.5" customHeight="1" x14ac:dyDescent="0.3"/>
    <row r="14" spans="2:32" x14ac:dyDescent="0.3">
      <c r="B14" s="20" t="s">
        <v>34</v>
      </c>
      <c r="C14" s="21" t="s">
        <v>29</v>
      </c>
      <c r="D14" s="22">
        <f>CHOOSE(B, "-GLActualYTD(" &amp; "Account" &amp; "," &amp; $D$4 &amp; "," &amp; $E$8 &amp; "," &amp; D$10 &amp; "," &amp; "AccountGroupCode" &amp; "," &amp; "AccountCategoryCode" &amp; "," &amp; "AccountStructureCode" &amp; "," &amp; $B$14 &amp; "," &amp; "BalanceType" &amp; "," &amp; $D$5 &amp; "," &amp; $D$6 &amp; ")", CellContents, 88110,4800000002)</f>
        <v>88110</v>
      </c>
      <c r="E14" s="22">
        <f>CHOOSE(B, "-GLActualYTD(" &amp; "Account" &amp; "," &amp; $D$4 &amp; "," &amp; $E$8 &amp; "," &amp; E$10 &amp; "," &amp; "AccountGroupCode" &amp; "," &amp; "AccountCategoryCode" &amp; "," &amp; "AccountStructureCode" &amp; "," &amp; $B$14 &amp; "," &amp; "BalanceType" &amp; "," &amp; $D$5 &amp; "," &amp; $D$6 &amp; ")", CellContents, 272489,47)</f>
        <v>272489</v>
      </c>
      <c r="F14" s="22">
        <f>CHOOSE(B, "-GLActualYTD(" &amp; "Account" &amp; "," &amp; $D$4 &amp; "," &amp; $E$8 &amp; "," &amp; F$10 &amp; "," &amp; "AccountGroupCode" &amp; "," &amp; "AccountCategoryCode" &amp; "," &amp; "AccountStructureCode" &amp; "," &amp; $B$14 &amp; "," &amp; "BalanceType" &amp; "," &amp; $D$5 &amp; "," &amp; $D$6 &amp; ")", CellContents, 499192,22)</f>
        <v>499192</v>
      </c>
      <c r="G14" s="22">
        <f>CHOOSE(B, "-GLActualYTD(" &amp; "Account" &amp; "," &amp; $D$4 &amp; "," &amp; $E$8 &amp; "," &amp; G$10 &amp; "," &amp; "AccountGroupCode" &amp; "," &amp; "AccountCategoryCode" &amp; "," &amp; "AccountStructureCode" &amp; "," &amp; $B$14 &amp; "," &amp; "BalanceType" &amp; "," &amp; $D$5 &amp; "," &amp; $D$6 &amp; ")", CellContents, 685198,240000001)</f>
        <v>685198</v>
      </c>
      <c r="H14" s="22">
        <f>CHOOSE(B, "-GLActualYTD(" &amp; "Account" &amp; "," &amp; $D$4 &amp; "," &amp; $E$8 &amp; "," &amp; H$10 &amp; "," &amp; "AccountGroupCode" &amp; "," &amp; "AccountCategoryCode" &amp; "," &amp; "AccountStructureCode" &amp; "," &amp; $B$14 &amp; "," &amp; "BalanceType" &amp; "," &amp; $D$5 &amp; "," &amp; $D$6 &amp; ")", CellContents, 1003523,2)</f>
        <v>1003523</v>
      </c>
      <c r="I14" s="22">
        <f>CHOOSE(B, "-GLActualYTD(" &amp; "Account" &amp; "," &amp; $D$4 &amp; "," &amp; $E$8 &amp; "," &amp; I$10 &amp; "," &amp; "AccountGroupCode" &amp; "," &amp; "AccountCategoryCode" &amp; "," &amp; "AccountStructureCode" &amp; "," &amp; $B$14 &amp; "," &amp; "BalanceType" &amp; "," &amp; $D$5 &amp; "," &amp; $D$6 &amp; ")", CellContents, 1006468,77)</f>
        <v>1006468</v>
      </c>
      <c r="J14" s="22">
        <f>CHOOSE(B, "-GLActualYTD(" &amp; "Account" &amp; "," &amp; $D$4 &amp; "," &amp; $E$8 &amp; "," &amp; J$10 &amp; "," &amp; "AccountGroupCode" &amp; "," &amp; "AccountCategoryCode" &amp; "," &amp; "AccountStructureCode" &amp; "," &amp; $B$14 &amp; "," &amp; "BalanceType" &amp; "," &amp; $D$5 &amp; "," &amp; $D$6 &amp; ")", CellContents, 990651,810000002)</f>
        <v>990651</v>
      </c>
      <c r="K14" s="22">
        <f t="shared" ref="K14:Q14" si="0">CHOOSE(B, "-GLActualYTD(" &amp; "Account" &amp; "," &amp; $D$4 &amp; "," &amp; $E$8 &amp; "," &amp; K$10 &amp; "," &amp; "AccountGroupCode" &amp; "," &amp; "AccountCategoryCode" &amp; "," &amp; "AccountStructureCode" &amp; "," &amp; $B$14 &amp; "," &amp; "BalanceType" &amp; "," &amp; $D$5 &amp; "," &amp; $D$6 &amp; ")", CellContents, 991071,480000002)</f>
        <v>991071</v>
      </c>
      <c r="L14" s="22">
        <f t="shared" si="0"/>
        <v>991071</v>
      </c>
      <c r="M14" s="22">
        <f t="shared" si="0"/>
        <v>991071</v>
      </c>
      <c r="N14" s="22">
        <f t="shared" si="0"/>
        <v>991071</v>
      </c>
      <c r="O14" s="22">
        <f t="shared" si="0"/>
        <v>991071</v>
      </c>
      <c r="P14" s="22">
        <f t="shared" si="0"/>
        <v>991071</v>
      </c>
      <c r="Q14" s="22">
        <f t="shared" si="0"/>
        <v>991071</v>
      </c>
      <c r="R14" s="26"/>
      <c r="S14" s="22">
        <f>CHOOSE(B, "-GLActualYTD(" &amp; "Account" &amp; "," &amp; $D$4 &amp; "," &amp; $T$8 &amp; "," &amp; S$10 &amp; "," &amp; "AccountGroupCode" &amp; "," &amp; "AccountCategoryCode" &amp; "," &amp; "AccountStructureCode" &amp; "," &amp; $B$14 &amp; "," &amp; "BalanceType" &amp; "," &amp; $D$5 &amp; "," &amp; $D$6 &amp; ")", CellContents, -7618833,14)</f>
        <v>-7618833</v>
      </c>
      <c r="T14" s="22">
        <f>CHOOSE(B, "-GLActualYTD(" &amp; "Account" &amp; "," &amp; $D$4 &amp; "," &amp; $T$8 &amp; "," &amp; T$10 &amp; "," &amp; "AccountGroupCode" &amp; "," &amp; "AccountCategoryCode" &amp; "," &amp; "AccountStructureCode" &amp; "," &amp; $B$14 &amp; "," &amp; "BalanceType" &amp; "," &amp; $D$5 &amp; "," &amp; $D$6 &amp; ")", CellContents, -6355068,74)</f>
        <v>-6355068</v>
      </c>
      <c r="U14" s="22">
        <f>CHOOSE(B, "-GLActualYTD(" &amp; "Account" &amp; "," &amp; $D$4 &amp; "," &amp; $T$8 &amp; "," &amp; U$10 &amp; "," &amp; "AccountGroupCode" &amp; "," &amp; "AccountCategoryCode" &amp; "," &amp; "AccountStructureCode" &amp; "," &amp; $B$14 &amp; "," &amp; "BalanceType" &amp; "," &amp; $D$5 &amp; "," &amp; $D$6 &amp; ")", CellContents, -5227390,39)</f>
        <v>-5227390</v>
      </c>
      <c r="V14" s="22">
        <f>CHOOSE(B, "-GLActualYTD(" &amp; "Account" &amp; "," &amp; $D$4 &amp; "," &amp; $T$8 &amp; "," &amp; V$10 &amp; "," &amp; "AccountGroupCode" &amp; "," &amp; "AccountCategoryCode" &amp; "," &amp; "AccountStructureCode" &amp; "," &amp; $B$14 &amp; "," &amp; "BalanceType" &amp; "," &amp; $D$5 &amp; "," &amp; $D$6 &amp; ")", CellContents, -4973163,91)</f>
        <v>-4973163</v>
      </c>
      <c r="W14" s="22">
        <f>CHOOSE(B, "-GLActualYTD(" &amp; "Account" &amp; "," &amp; $D$4 &amp; "," &amp; $T$8 &amp; "," &amp; W$10 &amp; "," &amp; "AccountGroupCode" &amp; "," &amp; "AccountCategoryCode" &amp; "," &amp; "AccountStructureCode" &amp; "," &amp; $B$14 &amp; "," &amp; "BalanceType" &amp; "," &amp; $D$5 &amp; "," &amp; $D$6 &amp; ")", CellContents, -4500548,53)</f>
        <v>-4500548</v>
      </c>
      <c r="X14" s="22">
        <f>CHOOSE(B, "-GLActualYTD(" &amp; "Account" &amp; "," &amp; $D$4 &amp; "," &amp; $T$8 &amp; "," &amp; X$10 &amp; "," &amp; "AccountGroupCode" &amp; "," &amp; "AccountCategoryCode" &amp; "," &amp; "AccountStructureCode" &amp; "," &amp; $B$14 &amp; "," &amp; "BalanceType" &amp; "," &amp; $D$5 &amp; "," &amp; $D$6 &amp; ")", CellContents, -4337802,98)</f>
        <v>-4337802</v>
      </c>
      <c r="Y14" s="22">
        <f>CHOOSE(B, "-GLActualYTD(" &amp; "Account" &amp; "," &amp; $D$4 &amp; "," &amp; $T$8 &amp; "," &amp; Y$10 &amp; "," &amp; "AccountGroupCode" &amp; "," &amp; "AccountCategoryCode" &amp; "," &amp; "AccountStructureCode" &amp; "," &amp; $B$14 &amp; "," &amp; "BalanceType" &amp; "," &amp; $D$5 &amp; "," &amp; $D$6 &amp; ")", CellContents, -4175368,79)</f>
        <v>-4175368</v>
      </c>
      <c r="Z14" s="22">
        <f>CHOOSE(B, "-GLActualYTD(" &amp; "Account" &amp; "," &amp; $D$4 &amp; "," &amp; $T$8 &amp; "," &amp; Z$10 &amp; "," &amp; "AccountGroupCode" &amp; "," &amp; "AccountCategoryCode" &amp; "," &amp; "AccountStructureCode" &amp; "," &amp; $B$14 &amp; "," &amp; "BalanceType" &amp; "," &amp; $D$5 &amp; "," &amp; $D$6 &amp; ")", CellContents, -3971764,5)</f>
        <v>-3971764</v>
      </c>
      <c r="AA14" s="22">
        <f>CHOOSE(B, "-GLActualYTD(" &amp; "Account" &amp; "," &amp; $D$4 &amp; "," &amp; $T$8 &amp; "," &amp; AA$10 &amp; "," &amp; "AccountGroupCode" &amp; "," &amp; "AccountCategoryCode" &amp; "," &amp; "AccountStructureCode" &amp; "," &amp; $B$14 &amp; "," &amp; "BalanceType" &amp; "," &amp; $D$5 &amp; "," &amp; $D$6 &amp; ")", CellContents, -3790754,94)</f>
        <v>-3790754</v>
      </c>
      <c r="AB14" s="22">
        <f>CHOOSE(B, "-GLActualYTD(" &amp; "Account" &amp; "," &amp; $D$4 &amp; "," &amp; $T$8 &amp; "," &amp; AB$10 &amp; "," &amp; "AccountGroupCode" &amp; "," &amp; "AccountCategoryCode" &amp; "," &amp; "AccountStructureCode" &amp; "," &amp; $B$14 &amp; "," &amp; "BalanceType" &amp; "," &amp; $D$5 &amp; "," &amp; $D$6 &amp; ")", CellContents, -3607621,68)</f>
        <v>-3607621</v>
      </c>
      <c r="AC14" s="22">
        <f>CHOOSE(B, "-GLActualYTD(" &amp; "Account" &amp; "," &amp; $D$4 &amp; "," &amp; $T$8 &amp; "," &amp; AC$10 &amp; "," &amp; "AccountGroupCode" &amp; "," &amp; "AccountCategoryCode" &amp; "," &amp; "AccountStructureCode" &amp; "," &amp; $B$14 &amp; "," &amp; "BalanceType" &amp; "," &amp; $D$5 &amp; "," &amp; $D$6 &amp; ")", CellContents, -3437050,35)</f>
        <v>-3437050</v>
      </c>
      <c r="AD14" s="22">
        <f>CHOOSE(B, "-GLActualYTD(" &amp; "Account" &amp; "," &amp; $D$4 &amp; "," &amp; $T$8 &amp; "," &amp; AD$10 &amp; "," &amp; "AccountGroupCode" &amp; "," &amp; "AccountCategoryCode" &amp; "," &amp; "AccountStructureCode" &amp; "," &amp; $B$14 &amp; "," &amp; "BalanceType" &amp; "," &amp; $D$5 &amp; "," &amp; $D$6 &amp; ")", CellContents, -3222421,5)</f>
        <v>-3222421</v>
      </c>
      <c r="AE14" s="22">
        <f>CHOOSE(B, "-GLActualYTD(" &amp; "Account" &amp; "," &amp; $D$4 &amp; "," &amp; $T$8 &amp; "," &amp; AE$10 &amp; "," &amp; "AccountGroupCode" &amp; "," &amp; "AccountCategoryCode" &amp; "," &amp; "AccountStructureCode" &amp; "," &amp; $B$14 &amp; "," &amp; "BalanceType" &amp; "," &amp; $D$5 &amp; "," &amp; $D$6 &amp; ")", CellContents, -3222421,5)</f>
        <v>-3222421</v>
      </c>
      <c r="AF14" s="22">
        <f>CHOOSE(B, "-GLActualYTD(" &amp; "Account" &amp; "," &amp; $D$4 &amp; "," &amp; $T$8 &amp; "," &amp; AF$10 &amp; "," &amp; "AccountGroupCode" &amp; "," &amp; "AccountCategoryCode" &amp; "," &amp; "AccountStructureCode" &amp; "," &amp; $B$14 &amp; "," &amp; "BalanceType" &amp; "," &amp; $D$5 &amp; "," &amp; $D$6 &amp; ")", CellContents, -3222421,5)</f>
        <v>-3222421</v>
      </c>
    </row>
    <row r="15" spans="2:32" ht="7.5" customHeight="1" x14ac:dyDescent="0.3">
      <c r="C15" s="21"/>
      <c r="D15" s="22"/>
      <c r="E15" s="26"/>
      <c r="F15" s="26"/>
      <c r="G15" s="26"/>
      <c r="H15" s="26"/>
      <c r="I15" s="26"/>
      <c r="J15" s="26"/>
      <c r="K15" s="26"/>
      <c r="L15" s="26"/>
      <c r="M15" s="26"/>
      <c r="N15" s="26"/>
      <c r="O15" s="26"/>
      <c r="P15" s="26"/>
      <c r="Q15" s="26"/>
      <c r="R15" s="26"/>
      <c r="S15" s="22"/>
      <c r="T15" s="22"/>
      <c r="U15" s="22"/>
      <c r="V15" s="22"/>
      <c r="W15" s="22"/>
      <c r="X15" s="22"/>
      <c r="Y15" s="22"/>
      <c r="Z15" s="22"/>
      <c r="AA15" s="22"/>
      <c r="AB15" s="22"/>
      <c r="AC15" s="22"/>
      <c r="AD15" s="22"/>
      <c r="AE15" s="22"/>
      <c r="AF15" s="22"/>
    </row>
    <row r="16" spans="2:32" collapsed="1" x14ac:dyDescent="0.3">
      <c r="B16" s="20"/>
      <c r="C16" s="21" t="s">
        <v>30</v>
      </c>
      <c r="D16" s="22">
        <f>SUM(D18:D23)</f>
        <v>955525</v>
      </c>
      <c r="E16" s="22">
        <f t="shared" ref="E16:Q16" si="1">SUM(E18:E22)</f>
        <v>1647050</v>
      </c>
      <c r="F16" s="22">
        <f t="shared" si="1"/>
        <v>3198770</v>
      </c>
      <c r="G16" s="22">
        <f t="shared" si="1"/>
        <v>4277589</v>
      </c>
      <c r="H16" s="22">
        <f t="shared" si="1"/>
        <v>5565386</v>
      </c>
      <c r="I16" s="22">
        <f t="shared" si="1"/>
        <v>5559724</v>
      </c>
      <c r="J16" s="22">
        <f t="shared" si="1"/>
        <v>5539760</v>
      </c>
      <c r="K16" s="22">
        <f t="shared" si="1"/>
        <v>5539740</v>
      </c>
      <c r="L16" s="22">
        <f t="shared" si="1"/>
        <v>5539740</v>
      </c>
      <c r="M16" s="22">
        <f t="shared" si="1"/>
        <v>5539740</v>
      </c>
      <c r="N16" s="22">
        <f t="shared" si="1"/>
        <v>5539740</v>
      </c>
      <c r="O16" s="22">
        <f t="shared" si="1"/>
        <v>5539740</v>
      </c>
      <c r="P16" s="22">
        <f t="shared" si="1"/>
        <v>5539740</v>
      </c>
      <c r="Q16" s="22">
        <f t="shared" si="1"/>
        <v>5539740</v>
      </c>
      <c r="R16" s="26"/>
      <c r="S16" s="22">
        <f>SUM(S18:S23)</f>
        <v>8320270</v>
      </c>
      <c r="T16" s="22">
        <f t="shared" ref="T16:AF16" si="2">SUM(T18:T22)</f>
        <v>7428145</v>
      </c>
      <c r="U16" s="22">
        <f t="shared" si="2"/>
        <v>6429947</v>
      </c>
      <c r="V16" s="22">
        <f t="shared" si="2"/>
        <v>6905780</v>
      </c>
      <c r="W16" s="22">
        <f t="shared" si="2"/>
        <v>6697486</v>
      </c>
      <c r="X16" s="22">
        <f t="shared" si="2"/>
        <v>6875625</v>
      </c>
      <c r="Y16" s="22">
        <f t="shared" si="2"/>
        <v>7396343</v>
      </c>
      <c r="Z16" s="22">
        <f t="shared" si="2"/>
        <v>8218076</v>
      </c>
      <c r="AA16" s="22">
        <f t="shared" si="2"/>
        <v>8128189</v>
      </c>
      <c r="AB16" s="22">
        <f t="shared" si="2"/>
        <v>8343151</v>
      </c>
      <c r="AC16" s="22">
        <f t="shared" si="2"/>
        <v>8071391</v>
      </c>
      <c r="AD16" s="22">
        <f t="shared" si="2"/>
        <v>8013062</v>
      </c>
      <c r="AE16" s="22">
        <f t="shared" si="2"/>
        <v>8013062</v>
      </c>
      <c r="AF16" s="22">
        <f t="shared" si="2"/>
        <v>8013062</v>
      </c>
    </row>
    <row r="17" spans="2:32" ht="7.5" hidden="1" customHeight="1" outlineLevel="1" x14ac:dyDescent="0.3">
      <c r="B17" s="20"/>
      <c r="D17" s="22"/>
      <c r="E17" s="26"/>
      <c r="F17" s="26"/>
      <c r="G17" s="26"/>
      <c r="H17" s="26"/>
      <c r="I17" s="26"/>
      <c r="J17" s="26"/>
      <c r="K17" s="26"/>
      <c r="L17" s="26"/>
      <c r="M17" s="26"/>
      <c r="N17" s="26"/>
      <c r="O17" s="26"/>
      <c r="P17" s="26"/>
      <c r="Q17" s="26"/>
      <c r="R17" s="26"/>
      <c r="S17" s="22"/>
      <c r="T17" s="26"/>
      <c r="U17" s="26"/>
      <c r="V17" s="26"/>
      <c r="W17" s="26"/>
      <c r="X17" s="26"/>
      <c r="Y17" s="26"/>
      <c r="Z17" s="26"/>
      <c r="AA17" s="26"/>
      <c r="AB17" s="26"/>
      <c r="AC17" s="26"/>
      <c r="AD17" s="26"/>
      <c r="AE17" s="26"/>
      <c r="AF17" s="26"/>
    </row>
    <row r="18" spans="2:32" hidden="1" outlineLevel="1" x14ac:dyDescent="0.3">
      <c r="B18" s="20">
        <v>20</v>
      </c>
      <c r="C18" s="21" t="s">
        <v>75</v>
      </c>
      <c r="D18" s="22">
        <f>CHOOSE(B, "-GLActualYTD(" &amp; "Account" &amp; "," &amp; $D$4 &amp; "," &amp; $E$8 &amp; "," &amp; D$10 &amp; "," &amp; "AccountGroupCode" &amp; "," &amp; $B18 &amp; "," &amp; "AccountStructureCode" &amp; "," &amp; "AccountType" &amp; "," &amp; "BalanceType" &amp; "," &amp; $D$5 &amp; "," &amp; $D$6 &amp; ")", CellContents, 149165,7)</f>
        <v>149165</v>
      </c>
      <c r="E18" s="22">
        <f>CHOOSE(B, "-GLActualYTD(" &amp; "Account" &amp; "," &amp; $D$4 &amp; "," &amp; $E$8 &amp; "," &amp; E$10 &amp; "," &amp; "AccountGroupCode" &amp; "," &amp; $B18 &amp; "," &amp; "AccountStructureCode" &amp; "," &amp; "AccountType" &amp; "," &amp; "BalanceType" &amp; "," &amp; $D$5 &amp; "," &amp; $D$6 &amp; ")", CellContents, 122954,96)</f>
        <v>122954</v>
      </c>
      <c r="F18" s="22">
        <f>CHOOSE(B, "-GLActualYTD(" &amp; "Account" &amp; "," &amp; $D$4 &amp; "," &amp; $E$8 &amp; "," &amp; F$10 &amp; "," &amp; "AccountGroupCode" &amp; "," &amp; $B18 &amp; "," &amp; "AccountStructureCode" &amp; "," &amp; "AccountType" &amp; "," &amp; "BalanceType" &amp; "," &amp; $D$5 &amp; "," &amp; $D$6 &amp; ")", CellContents, 549342,1)</f>
        <v>549342</v>
      </c>
      <c r="G18" s="22">
        <f>CHOOSE(B, "-GLActualYTD(" &amp; "Account" &amp; "," &amp; $D$4 &amp; "," &amp; $E$8 &amp; "," &amp; G$10 &amp; "," &amp; "AccountGroupCode" &amp; "," &amp; $B18 &amp; "," &amp; "AccountStructureCode" &amp; "," &amp; "AccountType" &amp; "," &amp; "BalanceType" &amp; "," &amp; $D$5 &amp; "," &amp; $D$6 &amp; ")", CellContents, 583240,77)</f>
        <v>583240</v>
      </c>
      <c r="H18" s="22">
        <f>CHOOSE(B, "-GLActualYTD(" &amp; "Account" &amp; "," &amp; $D$4 &amp; "," &amp; $E$8 &amp; "," &amp; H$10 &amp; "," &amp; "AccountGroupCode" &amp; "," &amp; $B18 &amp; "," &amp; "AccountStructureCode" &amp; "," &amp; "AccountType" &amp; "," &amp; "BalanceType" &amp; "," &amp; $D$5 &amp; "," &amp; $D$6 &amp; ")", CellContents, 374566,77)</f>
        <v>374566</v>
      </c>
      <c r="I18" s="22">
        <f>CHOOSE(B, "-GLActualYTD(" &amp; "Account" &amp; "," &amp; $D$4 &amp; "," &amp; $E$8 &amp; "," &amp; I$10 &amp; "," &amp; "AccountGroupCode" &amp; "," &amp; $B18 &amp; "," &amp; "AccountStructureCode" &amp; "," &amp; "AccountType" &amp; "," &amp; "BalanceType" &amp; "," &amp; $D$5 &amp; "," &amp; $D$6 &amp; ")", CellContents, 368178,64)</f>
        <v>368178</v>
      </c>
      <c r="J18" s="22">
        <f t="shared" ref="J18:Q18" si="3">CHOOSE(B, "-GLActualYTD(" &amp; "Account" &amp; "," &amp; $D$4 &amp; "," &amp; $E$8 &amp; "," &amp; J$10 &amp; "," &amp; "AccountGroupCode" &amp; "," &amp; $B18 &amp; "," &amp; "AccountStructureCode" &amp; "," &amp; "AccountType" &amp; "," &amp; "BalanceType" &amp; "," &amp; $D$5 &amp; "," &amp; $D$6 &amp; ")", CellContents, 364061,22)</f>
        <v>364061</v>
      </c>
      <c r="K18" s="22">
        <f t="shared" si="3"/>
        <v>364061</v>
      </c>
      <c r="L18" s="22">
        <f t="shared" si="3"/>
        <v>364061</v>
      </c>
      <c r="M18" s="22">
        <f t="shared" si="3"/>
        <v>364061</v>
      </c>
      <c r="N18" s="22">
        <f t="shared" si="3"/>
        <v>364061</v>
      </c>
      <c r="O18" s="22">
        <f t="shared" si="3"/>
        <v>364061</v>
      </c>
      <c r="P18" s="22">
        <f t="shared" si="3"/>
        <v>364061</v>
      </c>
      <c r="Q18" s="22">
        <f t="shared" si="3"/>
        <v>364061</v>
      </c>
      <c r="R18" s="26"/>
      <c r="S18" s="22">
        <f>CHOOSE(B, "-GLActualYTD(" &amp; "Account" &amp; "," &amp; $D$4 &amp; "," &amp; $T$8 &amp; "," &amp; S$10 &amp; "," &amp; "AccountGroupCode" &amp; "," &amp; $B18 &amp; "," &amp; "AccountStructureCode" &amp; "," &amp; "AccountType" &amp; "," &amp; "BalanceType" &amp; "," &amp; $D$5 &amp; "," &amp; $D$6 &amp; ")", CellContents, -884217,21)</f>
        <v>-884217</v>
      </c>
      <c r="T18" s="22">
        <f>CHOOSE(B, "-GLActualYTD(" &amp; "Account" &amp; "," &amp; $D$4 &amp; "," &amp; $T$8 &amp; "," &amp; T$10 &amp; "," &amp; "AccountGroupCode" &amp; "," &amp; $B18 &amp; "," &amp; "AccountStructureCode" &amp; "," &amp; "AccountType" &amp; "," &amp; "BalanceType" &amp; "," &amp; $D$5 &amp; "," &amp; $D$6 &amp; ")", CellContents, -715556,65)</f>
        <v>-715556</v>
      </c>
      <c r="U18" s="22">
        <f>CHOOSE(B, "-GLActualYTD(" &amp; "Account" &amp; "," &amp; $D$4 &amp; "," &amp; $T$8 &amp; "," &amp; U$10 &amp; "," &amp; "AccountGroupCode" &amp; "," &amp; $B18 &amp; "," &amp; "AccountStructureCode" &amp; "," &amp; "AccountType" &amp; "," &amp; "BalanceType" &amp; "," &amp; $D$5 &amp; "," &amp; $D$6 &amp; ")", CellContents, -783443,99)</f>
        <v>-783443</v>
      </c>
      <c r="V18" s="22">
        <f>CHOOSE(B, "-GLActualYTD(" &amp; "Account" &amp; "," &amp; $D$4 &amp; "," &amp; $T$8 &amp; "," &amp; V$10 &amp; "," &amp; "AccountGroupCode" &amp; "," &amp; $B18 &amp; "," &amp; "AccountStructureCode" &amp; "," &amp; "AccountType" &amp; "," &amp; "BalanceType" &amp; "," &amp; $D$5 &amp; "," &amp; $D$6 &amp; ")", CellContents, -888105,73)</f>
        <v>-888105</v>
      </c>
      <c r="W18" s="22">
        <f>CHOOSE(B, "-GLActualYTD(" &amp; "Account" &amp; "," &amp; $D$4 &amp; "," &amp; $T$8 &amp; "," &amp; W$10 &amp; "," &amp; "AccountGroupCode" &amp; "," &amp; $B18 &amp; "," &amp; "AccountStructureCode" &amp; "," &amp; "AccountType" &amp; "," &amp; "BalanceType" &amp; "," &amp; $D$5 &amp; "," &amp; $D$6 &amp; ")", CellContents, -910000,11)</f>
        <v>-910000</v>
      </c>
      <c r="X18" s="22">
        <f>CHOOSE(B, "-GLActualYTD(" &amp; "Account" &amp; "," &amp; $D$4 &amp; "," &amp; $T$8 &amp; "," &amp; X$10 &amp; "," &amp; "AccountGroupCode" &amp; "," &amp; $B18 &amp; "," &amp; "AccountStructureCode" &amp; "," &amp; "AccountType" &amp; "," &amp; "BalanceType" &amp; "," &amp; $D$5 &amp; "," &amp; $D$6 &amp; ")", CellContents, -1057465,22)</f>
        <v>-1057465</v>
      </c>
      <c r="Y18" s="22">
        <f>CHOOSE(B, "-GLActualYTD(" &amp; "Account" &amp; "," &amp; $D$4 &amp; "," &amp; $T$8 &amp; "," &amp; Y$10 &amp; "," &amp; "AccountGroupCode" &amp; "," &amp; $B18 &amp; "," &amp; "AccountStructureCode" &amp; "," &amp; "AccountType" &amp; "," &amp; "BalanceType" &amp; "," &amp; $D$5 &amp; "," &amp; $D$6 &amp; ")", CellContents, -1335365,18)</f>
        <v>-1335365</v>
      </c>
      <c r="Z18" s="22">
        <f>CHOOSE(B, "-GLActualYTD(" &amp; "Account" &amp; "," &amp; $D$4 &amp; "," &amp; $T$8 &amp; "," &amp; Z$10 &amp; "," &amp; "AccountGroupCode" &amp; "," &amp; $B18 &amp; "," &amp; "AccountStructureCode" &amp; "," &amp; "AccountType" &amp; "," &amp; "BalanceType" &amp; "," &amp; $D$5 &amp; "," &amp; $D$6 &amp; ")", CellContents, -1343170,18)</f>
        <v>-1343170</v>
      </c>
      <c r="AA18" s="22">
        <f>CHOOSE(B, "-GLActualYTD(" &amp; "Account" &amp; "," &amp; $D$4 &amp; "," &amp; $T$8 &amp; "," &amp; AA$10 &amp; "," &amp; "AccountGroupCode" &amp; "," &amp; $B18 &amp; "," &amp; "AccountStructureCode" &amp; "," &amp; "AccountType" &amp; "," &amp; "BalanceType" &amp; "," &amp; $D$5 &amp; "," &amp; $D$6 &amp; ")", CellContents, -1534103,22)</f>
        <v>-1534103</v>
      </c>
      <c r="AB18" s="22">
        <f>CHOOSE(B, "-GLActualYTD(" &amp; "Account" &amp; "," &amp; $D$4 &amp; "," &amp; $T$8 &amp; "," &amp; AB$10 &amp; "," &amp; "AccountGroupCode" &amp; "," &amp; $B18 &amp; "," &amp; "AccountStructureCode" &amp; "," &amp; "AccountType" &amp; "," &amp; "BalanceType" &amp; "," &amp; $D$5 &amp; "," &amp; $D$6 &amp; ")", CellContents, -1795443,6)</f>
        <v>-1795443</v>
      </c>
      <c r="AC18" s="22">
        <f>CHOOSE(B, "-GLActualYTD(" &amp; "Account" &amp; "," &amp; $D$4 &amp; "," &amp; $T$8 &amp; "," &amp; AC$10 &amp; "," &amp; "AccountGroupCode" &amp; "," &amp; $B18 &amp; "," &amp; "AccountStructureCode" &amp; "," &amp; "AccountType" &amp; "," &amp; "BalanceType" &amp; "," &amp; $D$5 &amp; "," &amp; $D$6 &amp; ")", CellContents, -2013406,99)</f>
        <v>-2013406</v>
      </c>
      <c r="AD18" s="22">
        <f>CHOOSE(B, "-GLActualYTD(" &amp; "Account" &amp; "," &amp; $D$4 &amp; "," &amp; $T$8 &amp; "," &amp; AD$10 &amp; "," &amp; "AccountGroupCode" &amp; "," &amp; $B18 &amp; "," &amp; "AccountStructureCode" &amp; "," &amp; "AccountType" &amp; "," &amp; "BalanceType" &amp; "," &amp; $D$5 &amp; "," &amp; $D$6 &amp; ")", CellContents, -2072476,44)</f>
        <v>-2072476</v>
      </c>
      <c r="AE18" s="22">
        <f>CHOOSE(B, "-GLActualYTD(" &amp; "Account" &amp; "," &amp; $D$4 &amp; "," &amp; $T$8 &amp; "," &amp; AE$10 &amp; "," &amp; "AccountGroupCode" &amp; "," &amp; $B18 &amp; "," &amp; "AccountStructureCode" &amp; "," &amp; "AccountType" &amp; "," &amp; "BalanceType" &amp; "," &amp; $D$5 &amp; "," &amp; $D$6 &amp; ")", CellContents, -2072476,44)</f>
        <v>-2072476</v>
      </c>
      <c r="AF18" s="22">
        <f>CHOOSE(B, "-GLActualYTD(" &amp; "Account" &amp; "," &amp; $D$4 &amp; "," &amp; $T$8 &amp; "," &amp; AF$10 &amp; "," &amp; "AccountGroupCode" &amp; "," &amp; $B18 &amp; "," &amp; "AccountStructureCode" &amp; "," &amp; "AccountType" &amp; "," &amp; "BalanceType" &amp; "," &amp; $D$5 &amp; "," &amp; $D$6 &amp; ")", CellContents, -2072476,44)</f>
        <v>-2072476</v>
      </c>
    </row>
    <row r="19" spans="2:32" hidden="1" outlineLevel="1" x14ac:dyDescent="0.3">
      <c r="B19" s="20">
        <v>30</v>
      </c>
      <c r="C19" s="21" t="s">
        <v>76</v>
      </c>
      <c r="D19" s="22">
        <f>CHOOSE(B, "-GLActualYTD(" &amp; "Account" &amp; "," &amp; $D$4 &amp; "," &amp; $E$8 &amp; "," &amp; D$10 &amp; "," &amp; "AccountGroupCode" &amp; "," &amp; $B19 &amp; "," &amp; "AccountStructureCode" &amp; "," &amp; "AccountType" &amp; "," &amp; "BalanceType" &amp; "," &amp; $D$5 &amp; "," &amp; $D$6 &amp; ")", CellContents, 4910,9)</f>
        <v>4910</v>
      </c>
      <c r="E19" s="22">
        <f>CHOOSE(B, "-GLActualYTD(" &amp; "Account" &amp; "," &amp; $D$4 &amp; "," &amp; $E$8 &amp; "," &amp; E$10 &amp; "," &amp; "AccountGroupCode" &amp; "," &amp; $B19 &amp; "," &amp; "AccountStructureCode" &amp; "," &amp; "AccountType" &amp; "," &amp; "BalanceType" &amp; "," &amp; $D$5 &amp; "," &amp; $D$6 &amp; ")", CellContents, 6072,71)</f>
        <v>6072</v>
      </c>
      <c r="F19" s="22">
        <f>CHOOSE(B, "-GLActualYTD(" &amp; "Account" &amp; "," &amp; $D$4 &amp; "," &amp; $E$8 &amp; "," &amp; F$10 &amp; "," &amp; "AccountGroupCode" &amp; "," &amp; $B19 &amp; "," &amp; "AccountStructureCode" &amp; "," &amp; "AccountType" &amp; "," &amp; "BalanceType" &amp; "," &amp; $D$5 &amp; "," &amp; $D$6 &amp; ")", CellContents, 10083,7)</f>
        <v>10083</v>
      </c>
      <c r="G19" s="22">
        <f>CHOOSE(B, "-GLActualYTD(" &amp; "Account" &amp; "," &amp; $D$4 &amp; "," &amp; $E$8 &amp; "," &amp; G$10 &amp; "," &amp; "AccountGroupCode" &amp; "," &amp; $B19 &amp; "," &amp; "AccountStructureCode" &amp; "," &amp; "AccountType" &amp; "," &amp; "BalanceType" &amp; "," &amp; $D$5 &amp; "," &amp; $D$6 &amp; ")", CellContents, 116121,71)</f>
        <v>116121</v>
      </c>
      <c r="H19" s="22">
        <f>CHOOSE(B, "-GLActualYTD(" &amp; "Account" &amp; "," &amp; $D$4 &amp; "," &amp; $E$8 &amp; "," &amp; H$10 &amp; "," &amp; "AccountGroupCode" &amp; "," &amp; $B19 &amp; "," &amp; "AccountStructureCode" &amp; "," &amp; "AccountType" &amp; "," &amp; "BalanceType" &amp; "," &amp; $D$5 &amp; "," &amp; $D$6 &amp; ")", CellContents, 75607,54)</f>
        <v>75607</v>
      </c>
      <c r="I19" s="22">
        <f>CHOOSE(B, "-GLActualYTD(" &amp; "Account" &amp; "," &amp; $D$4 &amp; "," &amp; $E$8 &amp; "," &amp; I$10 &amp; "," &amp; "AccountGroupCode" &amp; "," &amp; $B19 &amp; "," &amp; "AccountStructureCode" &amp; "," &amp; "AccountType" &amp; "," &amp; "BalanceType" &amp; "," &amp; $D$5 &amp; "," &amp; $D$6 &amp; ")", CellContents, -12738,53)</f>
        <v>-12738</v>
      </c>
      <c r="J19" s="22">
        <f>CHOOSE(B, "-GLActualYTD(" &amp; "Account" &amp; "," &amp; $D$4 &amp; "," &amp; $E$8 &amp; "," &amp; J$10 &amp; "," &amp; "AccountGroupCode" &amp; "," &amp; $B19 &amp; "," &amp; "AccountStructureCode" &amp; "," &amp; "AccountType" &amp; "," &amp; "BalanceType" &amp; "," &amp; $D$5 &amp; "," &amp; $D$6 &amp; ")", CellContents, -23454,15)</f>
        <v>-23454</v>
      </c>
      <c r="K19" s="22">
        <f t="shared" ref="K19:Q19" si="4">CHOOSE(B, "-GLActualYTD(" &amp; "Account" &amp; "," &amp; $D$4 &amp; "," &amp; $E$8 &amp; "," &amp; K$10 &amp; "," &amp; "AccountGroupCode" &amp; "," &amp; $B19 &amp; "," &amp; "AccountStructureCode" &amp; "," &amp; "AccountType" &amp; "," &amp; "BalanceType" &amp; "," &amp; $D$5 &amp; "," &amp; $D$6 &amp; ")", CellContents, -23529,24)</f>
        <v>-23529</v>
      </c>
      <c r="L19" s="22">
        <f t="shared" si="4"/>
        <v>-23529</v>
      </c>
      <c r="M19" s="22">
        <f t="shared" si="4"/>
        <v>-23529</v>
      </c>
      <c r="N19" s="22">
        <f t="shared" si="4"/>
        <v>-23529</v>
      </c>
      <c r="O19" s="22">
        <f t="shared" si="4"/>
        <v>-23529</v>
      </c>
      <c r="P19" s="22">
        <f t="shared" si="4"/>
        <v>-23529</v>
      </c>
      <c r="Q19" s="22">
        <f t="shared" si="4"/>
        <v>-23529</v>
      </c>
      <c r="R19" s="26"/>
      <c r="S19" s="22">
        <f>CHOOSE(B, "-GLActualYTD(" &amp; "Account" &amp; "," &amp; $D$4 &amp; "," &amp; $T$8 &amp; "," &amp; S$10 &amp; "," &amp; "AccountGroupCode" &amp; "," &amp; $B19 &amp; "," &amp; "AccountStructureCode" &amp; "," &amp; "AccountType" &amp; "," &amp; "BalanceType" &amp; "," &amp; $D$5 &amp; "," &amp; $D$6 &amp; ")", CellContents, -890629,56)</f>
        <v>-890629</v>
      </c>
      <c r="T19" s="22">
        <f>CHOOSE(B, "-GLActualYTD(" &amp; "Account" &amp; "," &amp; $D$4 &amp; "," &amp; $T$8 &amp; "," &amp; T$10 &amp; "," &amp; "AccountGroupCode" &amp; "," &amp; $B19 &amp; "," &amp; "AccountStructureCode" &amp; "," &amp; "AccountType" &amp; "," &amp; "BalanceType" &amp; "," &amp; $D$5 &amp; "," &amp; $D$6 &amp; ")", CellContents, -810381,15)</f>
        <v>-810381</v>
      </c>
      <c r="U19" s="22">
        <f>CHOOSE(B, "-GLActualYTD(" &amp; "Account" &amp; "," &amp; $D$4 &amp; "," &amp; $T$8 &amp; "," &amp; U$10 &amp; "," &amp; "AccountGroupCode" &amp; "," &amp; $B19 &amp; "," &amp; "AccountStructureCode" &amp; "," &amp; "AccountType" &amp; "," &amp; "BalanceType" &amp; "," &amp; $D$5 &amp; "," &amp; $D$6 &amp; ")", CellContents, -802074,75)</f>
        <v>-802074</v>
      </c>
      <c r="V19" s="22">
        <f>CHOOSE(B, "-GLActualYTD(" &amp; "Account" &amp; "," &amp; $D$4 &amp; "," &amp; $T$8 &amp; "," &amp; V$10 &amp; "," &amp; "AccountGroupCode" &amp; "," &amp; $B19 &amp; "," &amp; "AccountStructureCode" &amp; "," &amp; "AccountType" &amp; "," &amp; "BalanceType" &amp; "," &amp; $D$5 &amp; "," &amp; $D$6 &amp; ")", CellContents, -884289,8)</f>
        <v>-884289</v>
      </c>
      <c r="W19" s="22">
        <f>CHOOSE(B, "-GLActualYTD(" &amp; "Account" &amp; "," &amp; $D$4 &amp; "," &amp; $T$8 &amp; "," &amp; W$10 &amp; "," &amp; "AccountGroupCode" &amp; "," &amp; $B19 &amp; "," &amp; "AccountStructureCode" &amp; "," &amp; "AccountType" &amp; "," &amp; "BalanceType" &amp; "," &amp; $D$5 &amp; "," &amp; $D$6 &amp; ")", CellContents, -882520,6)</f>
        <v>-882520</v>
      </c>
      <c r="X19" s="22">
        <f>CHOOSE(B, "-GLActualYTD(" &amp; "Account" &amp; "," &amp; $D$4 &amp; "," &amp; $T$8 &amp; "," &amp; X$10 &amp; "," &amp; "AccountGroupCode" &amp; "," &amp; $B19 &amp; "," &amp; "AccountStructureCode" &amp; "," &amp; "AccountType" &amp; "," &amp; "BalanceType" &amp; "," &amp; $D$5 &amp; "," &amp; $D$6 &amp; ")", CellContents, -882520,6)</f>
        <v>-882520</v>
      </c>
      <c r="Y19" s="22">
        <f>CHOOSE(B, "-GLActualYTD(" &amp; "Account" &amp; "," &amp; $D$4 &amp; "," &amp; $T$8 &amp; "," &amp; Y$10 &amp; "," &amp; "AccountGroupCode" &amp; "," &amp; $B19 &amp; "," &amp; "AccountStructureCode" &amp; "," &amp; "AccountType" &amp; "," &amp; "BalanceType" &amp; "," &amp; $D$5 &amp; "," &amp; $D$6 &amp; ")", CellContents, -892673,7)</f>
        <v>-892673</v>
      </c>
      <c r="Z19" s="22">
        <f>CHOOSE(B, "-GLActualYTD(" &amp; "Account" &amp; "," &amp; $D$4 &amp; "," &amp; $T$8 &amp; "," &amp; Z$10 &amp; "," &amp; "AccountGroupCode" &amp; "," &amp; $B19 &amp; "," &amp; "AccountStructureCode" &amp; "," &amp; "AccountType" &amp; "," &amp; "BalanceType" &amp; "," &amp; $D$5 &amp; "," &amp; $D$6 &amp; ")", CellContents, -840903,99)</f>
        <v>-840903</v>
      </c>
      <c r="AA19" s="22">
        <f>CHOOSE(B, "-GLActualYTD(" &amp; "Account" &amp; "," &amp; $D$4 &amp; "," &amp; $T$8 &amp; "," &amp; AA$10 &amp; "," &amp; "AccountGroupCode" &amp; "," &amp; $B19 &amp; "," &amp; "AccountStructureCode" &amp; "," &amp; "AccountType" &amp; "," &amp; "BalanceType" &amp; "," &amp; $D$5 &amp; "," &amp; $D$6 &amp; ")", CellContents, -835521,19)</f>
        <v>-835521</v>
      </c>
      <c r="AB19" s="22">
        <f>CHOOSE(B, "-GLActualYTD(" &amp; "Account" &amp; "," &amp; $D$4 &amp; "," &amp; $T$8 &amp; "," &amp; AB$10 &amp; "," &amp; "AccountGroupCode" &amp; "," &amp; $B19 &amp; "," &amp; "AccountStructureCode" &amp; "," &amp; "AccountType" &amp; "," &amp; "BalanceType" &amp; "," &amp; $D$5 &amp; "," &amp; $D$6 &amp; ")", CellContents, -844130,81)</f>
        <v>-844130</v>
      </c>
      <c r="AC19" s="22">
        <f>CHOOSE(B, "-GLActualYTD(" &amp; "Account" &amp; "," &amp; $D$4 &amp; "," &amp; $T$8 &amp; "," &amp; AC$10 &amp; "," &amp; "AccountGroupCode" &amp; "," &amp; $B19 &amp; "," &amp; "AccountStructureCode" &amp; "," &amp; "AccountType" &amp; "," &amp; "BalanceType" &amp; "," &amp; $D$5 &amp; "," &amp; $D$6 &amp; ")", CellContents, -842481,8)</f>
        <v>-842481</v>
      </c>
      <c r="AD19" s="22">
        <f>CHOOSE(B, "-GLActualYTD(" &amp; "Account" &amp; "," &amp; $D$4 &amp; "," &amp; $T$8 &amp; "," &amp; AD$10 &amp; "," &amp; "AccountGroupCode" &amp; "," &amp; $B19 &amp; "," &amp; "AccountStructureCode" &amp; "," &amp; "AccountType" &amp; "," &amp; "BalanceType" &amp; "," &amp; $D$5 &amp; "," &amp; $D$6 &amp; ")", CellContents, -951381,9)</f>
        <v>-951381</v>
      </c>
      <c r="AE19" s="22">
        <f>CHOOSE(B, "-GLActualYTD(" &amp; "Account" &amp; "," &amp; $D$4 &amp; "," &amp; $T$8 &amp; "," &amp; AE$10 &amp; "," &amp; "AccountGroupCode" &amp; "," &amp; $B19 &amp; "," &amp; "AccountStructureCode" &amp; "," &amp; "AccountType" &amp; "," &amp; "BalanceType" &amp; "," &amp; $D$5 &amp; "," &amp; $D$6 &amp; ")", CellContents, -951381,9)</f>
        <v>-951381</v>
      </c>
      <c r="AF19" s="22">
        <f>CHOOSE(B, "-GLActualYTD(" &amp; "Account" &amp; "," &amp; $D$4 &amp; "," &amp; $T$8 &amp; "," &amp; AF$10 &amp; "," &amp; "AccountGroupCode" &amp; "," &amp; $B19 &amp; "," &amp; "AccountStructureCode" &amp; "," &amp; "AccountType" &amp; "," &amp; "BalanceType" &amp; "," &amp; $D$5 &amp; "," &amp; $D$6 &amp; ")", CellContents, -951381,9)</f>
        <v>-951381</v>
      </c>
    </row>
    <row r="20" spans="2:32" hidden="1" outlineLevel="1" x14ac:dyDescent="0.3">
      <c r="B20" s="20">
        <v>40</v>
      </c>
      <c r="C20" s="21" t="s">
        <v>77</v>
      </c>
      <c r="D20" s="22">
        <f>CHOOSE(B, "-GLActualYTD(" &amp; "Account" &amp; "," &amp; $D$4 &amp; "," &amp; $E$8 &amp; "," &amp; D$10 &amp; "," &amp; "AccountGroupCode" &amp; "," &amp; $B20 &amp; "," &amp; "AccountStructureCode" &amp; "," &amp; "AccountType" &amp; "," &amp; "BalanceType" &amp; "," &amp; $D$5 &amp; "," &amp; $D$6 &amp; ")", CellContents, 0)</f>
        <v>0</v>
      </c>
      <c r="E20" s="22">
        <f>CHOOSE(B, "-GLActualYTD(" &amp; "Account" &amp; "," &amp; $D$4 &amp; "," &amp; $E$8 &amp; "," &amp; E$10 &amp; "," &amp; "AccountGroupCode" &amp; "," &amp; $B20 &amp; "," &amp; "AccountStructureCode" &amp; "," &amp; "AccountType" &amp; "," &amp; "BalanceType" &amp; "," &amp; $D$5 &amp; "," &amp; $D$6 &amp; ")", CellContents, 0)</f>
        <v>0</v>
      </c>
      <c r="F20" s="22">
        <f>CHOOSE(B, "-GLActualYTD(" &amp; "Account" &amp; "," &amp; $D$4 &amp; "," &amp; $E$8 &amp; "," &amp; F$10 &amp; "," &amp; "AccountGroupCode" &amp; "," &amp; $B20 &amp; "," &amp; "AccountStructureCode" &amp; "," &amp; "AccountType" &amp; "," &amp; "BalanceType" &amp; "," &amp; $D$5 &amp; "," &amp; $D$6 &amp; ")", CellContents, 0)</f>
        <v>0</v>
      </c>
      <c r="G20" s="22">
        <f>CHOOSE(B, "-GLActualYTD(" &amp; "Account" &amp; "," &amp; $D$4 &amp; "," &amp; $E$8 &amp; "," &amp; G$10 &amp; "," &amp; "AccountGroupCode" &amp; "," &amp; $B20 &amp; "," &amp; "AccountStructureCode" &amp; "," &amp; "AccountType" &amp; "," &amp; "BalanceType" &amp; "," &amp; $D$5 &amp; "," &amp; $D$6 &amp; ")", CellContents, 0)</f>
        <v>0</v>
      </c>
      <c r="H20" s="22">
        <f>CHOOSE(B, "-GLActualYTD(" &amp; "Account" &amp; "," &amp; $D$4 &amp; "," &amp; $E$8 &amp; "," &amp; H$10 &amp; "," &amp; "AccountGroupCode" &amp; "," &amp; $B20 &amp; "," &amp; "AccountStructureCode" &amp; "," &amp; "AccountType" &amp; "," &amp; "BalanceType" &amp; "," &amp; $D$5 &amp; "," &amp; $D$6 &amp; ")", CellContents, 0)</f>
        <v>0</v>
      </c>
      <c r="I20" s="22">
        <f>CHOOSE(B, "-GLActualYTD(" &amp; "Account" &amp; "," &amp; $D$4 &amp; "," &amp; $E$8 &amp; "," &amp; I$10 &amp; "," &amp; "AccountGroupCode" &amp; "," &amp; $B20 &amp; "," &amp; "AccountStructureCode" &amp; "," &amp; "AccountType" &amp; "," &amp; "BalanceType" &amp; "," &amp; $D$5 &amp; "," &amp; $D$6 &amp; ")", CellContents, -343,6)</f>
        <v>-343</v>
      </c>
      <c r="J20" s="22">
        <f t="shared" ref="J20:Q20" si="5">CHOOSE(B, "-GLActualYTD(" &amp; "Account" &amp; "," &amp; $D$4 &amp; "," &amp; $E$8 &amp; "," &amp; J$10 &amp; "," &amp; "AccountGroupCode" &amp; "," &amp; $B20 &amp; "," &amp; "AccountStructureCode" &amp; "," &amp; "AccountType" &amp; "," &amp; "BalanceType" &amp; "," &amp; $D$5 &amp; "," &amp; $D$6 &amp; ")", CellContents, -843,6)</f>
        <v>-843</v>
      </c>
      <c r="K20" s="22">
        <f t="shared" si="5"/>
        <v>-843</v>
      </c>
      <c r="L20" s="22">
        <f t="shared" si="5"/>
        <v>-843</v>
      </c>
      <c r="M20" s="22">
        <f t="shared" si="5"/>
        <v>-843</v>
      </c>
      <c r="N20" s="22">
        <f t="shared" si="5"/>
        <v>-843</v>
      </c>
      <c r="O20" s="22">
        <f t="shared" si="5"/>
        <v>-843</v>
      </c>
      <c r="P20" s="22">
        <f t="shared" si="5"/>
        <v>-843</v>
      </c>
      <c r="Q20" s="22">
        <f t="shared" si="5"/>
        <v>-843</v>
      </c>
      <c r="R20" s="26"/>
      <c r="S20" s="22">
        <f t="shared" ref="S20:AF20" si="6">CHOOSE(B, "-GLActualYTD(" &amp; "Account" &amp; "," &amp; $D$4 &amp; "," &amp; $T$8 &amp; "," &amp; S$10 &amp; "," &amp; "AccountGroupCode" &amp; "," &amp; $B20 &amp; "," &amp; "AccountStructureCode" &amp; "," &amp; "AccountType" &amp; "," &amp; "BalanceType" &amp; "," &amp; $D$5 &amp; "," &amp; $D$6 &amp; ")", CellContents, -5455,49)</f>
        <v>-5455</v>
      </c>
      <c r="T20" s="22">
        <f t="shared" si="6"/>
        <v>-5455</v>
      </c>
      <c r="U20" s="22">
        <f t="shared" si="6"/>
        <v>-5455</v>
      </c>
      <c r="V20" s="22">
        <f t="shared" si="6"/>
        <v>-5455</v>
      </c>
      <c r="W20" s="22">
        <f t="shared" si="6"/>
        <v>-5455</v>
      </c>
      <c r="X20" s="22">
        <f t="shared" si="6"/>
        <v>-5455</v>
      </c>
      <c r="Y20" s="22">
        <f t="shared" si="6"/>
        <v>-5455</v>
      </c>
      <c r="Z20" s="22">
        <f t="shared" si="6"/>
        <v>-5455</v>
      </c>
      <c r="AA20" s="22">
        <f t="shared" si="6"/>
        <v>-5455</v>
      </c>
      <c r="AB20" s="22">
        <f t="shared" si="6"/>
        <v>-5455</v>
      </c>
      <c r="AC20" s="22">
        <f t="shared" si="6"/>
        <v>-5455</v>
      </c>
      <c r="AD20" s="22">
        <f t="shared" si="6"/>
        <v>-5455</v>
      </c>
      <c r="AE20" s="22">
        <f t="shared" si="6"/>
        <v>-5455</v>
      </c>
      <c r="AF20" s="22">
        <f t="shared" si="6"/>
        <v>-5455</v>
      </c>
    </row>
    <row r="21" spans="2:32" hidden="1" outlineLevel="1" x14ac:dyDescent="0.3">
      <c r="B21" s="20">
        <v>80</v>
      </c>
      <c r="C21" s="21" t="s">
        <v>78</v>
      </c>
      <c r="D21" s="22">
        <f>CHOOSE(B, "-GLActualYTD(" &amp; "Account" &amp; "," &amp; $D$4 &amp; "," &amp; $E$8 &amp; "," &amp; D$10 &amp; "," &amp; "AccountGroupCode" &amp; "," &amp; $B21 &amp; "," &amp; "AccountStructureCode" &amp; "," &amp; "AccountType" &amp; "," &amp; "BalanceType" &amp; "," &amp; $D$5 &amp; "," &amp; $D$6 &amp; ")", CellContents, 832473,77)</f>
        <v>832473</v>
      </c>
      <c r="E21" s="22">
        <f>CHOOSE(B, "-GLActualYTD(" &amp; "Account" &amp; "," &amp; $D$4 &amp; "," &amp; $E$8 &amp; "," &amp; E$10 &amp; "," &amp; "AccountGroupCode" &amp; "," &amp; $B21 &amp; "," &amp; "AccountStructureCode" &amp; "," &amp; "AccountType" &amp; "," &amp; "BalanceType" &amp; "," &amp; $D$5 &amp; "," &amp; $D$6 &amp; ")", CellContents, 1620192,22)</f>
        <v>1620192</v>
      </c>
      <c r="F21" s="22">
        <f>CHOOSE(B, "-GLActualYTD(" &amp; "Account" &amp; "," &amp; $D$4 &amp; "," &amp; $E$8 &amp; "," &amp; F$10 &amp; "," &amp; "AccountGroupCode" &amp; "," &amp; $B21 &amp; "," &amp; "AccountStructureCode" &amp; "," &amp; "AccountType" &amp; "," &amp; "BalanceType" &amp; "," &amp; $D$5 &amp; "," &amp; $D$6 &amp; ")", CellContents, 2598808,21)</f>
        <v>2598808</v>
      </c>
      <c r="G21" s="22">
        <f>CHOOSE(B, "-GLActualYTD(" &amp; "Account" &amp; "," &amp; $D$4 &amp; "," &amp; $E$8 &amp; "," &amp; G$10 &amp; "," &amp; "AccountGroupCode" &amp; "," &amp; $B21 &amp; "," &amp; "AccountStructureCode" &amp; "," &amp; "AccountType" &amp; "," &amp; "BalanceType" &amp; "," &amp; $D$5 &amp; "," &amp; $D$6 &amp; ")", CellContents, 3514739,24)</f>
        <v>3514739</v>
      </c>
      <c r="H21" s="22">
        <f>CHOOSE(B, "-GLActualYTD(" &amp; "Account" &amp; "," &amp; $D$4 &amp; "," &amp; $E$8 &amp; "," &amp; H$10 &amp; "," &amp; "AccountGroupCode" &amp; "," &amp; $B21 &amp; "," &amp; "AccountStructureCode" &amp; "," &amp; "AccountType" &amp; "," &amp; "BalanceType" &amp; "," &amp; $D$5 &amp; "," &amp; $D$6 &amp; ")", CellContents, 4997874,64)</f>
        <v>4997874</v>
      </c>
      <c r="I21" s="22">
        <f>CHOOSE(B, "-GLActualYTD(" &amp; "Account" &amp; "," &amp; $D$4 &amp; "," &amp; $E$8 &amp; "," &amp; I$10 &amp; "," &amp; "AccountGroupCode" &amp; "," &amp; $B21 &amp; "," &amp; "AccountStructureCode" &amp; "," &amp; "AccountType" &amp; "," &amp; "BalanceType" &amp; "," &amp; $D$5 &amp; "," &amp; $D$6 &amp; ")", CellContents, 5048697,54)</f>
        <v>5048697</v>
      </c>
      <c r="J21" s="22">
        <f t="shared" ref="J21:Q21" si="7">CHOOSE(B, "-GLActualYTD(" &amp; "Account" &amp; "," &amp; $D$4 &amp; "," &amp; $E$8 &amp; "," &amp; J$10 &amp; "," &amp; "AccountGroupCode" &amp; "," &amp; $B21 &amp; "," &amp; "AccountStructureCode" &amp; "," &amp; "AccountType" &amp; "," &amp; "BalanceType" &amp; "," &amp; $D$5 &amp; "," &amp; $D$6 &amp; ")", CellContents, 5041537)</f>
        <v>5041537</v>
      </c>
      <c r="K21" s="22">
        <f t="shared" si="7"/>
        <v>5041537</v>
      </c>
      <c r="L21" s="22">
        <f t="shared" si="7"/>
        <v>5041537</v>
      </c>
      <c r="M21" s="22">
        <f t="shared" si="7"/>
        <v>5041537</v>
      </c>
      <c r="N21" s="22">
        <f t="shared" si="7"/>
        <v>5041537</v>
      </c>
      <c r="O21" s="22">
        <f t="shared" si="7"/>
        <v>5041537</v>
      </c>
      <c r="P21" s="22">
        <f t="shared" si="7"/>
        <v>5041537</v>
      </c>
      <c r="Q21" s="22">
        <f t="shared" si="7"/>
        <v>5041537</v>
      </c>
      <c r="R21" s="26"/>
      <c r="S21" s="22">
        <f>CHOOSE(B, "-GLActualYTD(" &amp; "Account" &amp; "," &amp; $D$4 &amp; "," &amp; $T$8 &amp; "," &amp; S$10 &amp; "," &amp; "AccountGroupCode" &amp; "," &amp; $B21 &amp; "," &amp; "AccountStructureCode" &amp; "," &amp; "AccountType" &amp; "," &amp; "BalanceType" &amp; "," &amp; $D$5 &amp; "," &amp; $D$6 &amp; ")", CellContents, 9970361)</f>
        <v>9970361</v>
      </c>
      <c r="T21" s="22">
        <f>CHOOSE(B, "-GLActualYTD(" &amp; "Account" &amp; "," &amp; $D$4 &amp; "," &amp; $T$8 &amp; "," &amp; T$10 &amp; "," &amp; "AccountGroupCode" &amp; "," &amp; $B21 &amp; "," &amp; "AccountStructureCode" &amp; "," &amp; "AccountType" &amp; "," &amp; "BalanceType" &amp; "," &amp; $D$5 &amp; "," &amp; $D$6 &amp; ")", CellContents, 9097949,9)</f>
        <v>9097949</v>
      </c>
      <c r="U21" s="22">
        <f>CHOOSE(B, "-GLActualYTD(" &amp; "Account" &amp; "," &amp; $D$4 &amp; "," &amp; $T$8 &amp; "," &amp; U$10 &amp; "," &amp; "AccountGroupCode" &amp; "," &amp; $B21 &amp; "," &amp; "AccountStructureCode" &amp; "," &amp; "AccountType" &amp; "," &amp; "BalanceType" &amp; "," &amp; $D$5 &amp; "," &amp; $D$6 &amp; ")", CellContents, 7993484,93)</f>
        <v>7993484</v>
      </c>
      <c r="V21" s="22">
        <f>CHOOSE(B, "-GLActualYTD(" &amp; "Account" &amp; "," &amp; $D$4 &amp; "," &amp; $T$8 &amp; "," &amp; V$10 &amp; "," &amp; "AccountGroupCode" &amp; "," &amp; $B21 &amp; "," &amp; "AccountStructureCode" &amp; "," &amp; "AccountType" &amp; "," &amp; "BalanceType" &amp; "," &amp; $D$5 &amp; "," &amp; $D$6 &amp; ")", CellContents, 8632498,67)</f>
        <v>8632498</v>
      </c>
      <c r="W21" s="22">
        <f>CHOOSE(B, "-GLActualYTD(" &amp; "Account" &amp; "," &amp; $D$4 &amp; "," &amp; $T$8 &amp; "," &amp; W$10 &amp; "," &amp; "AccountGroupCode" &amp; "," &amp; $B21 &amp; "," &amp; "AccountStructureCode" &amp; "," &amp; "AccountType" &amp; "," &amp; "BalanceType" &amp; "," &amp; $D$5 &amp; "," &amp; $D$6 &amp; ")", CellContents, 8444983,45)</f>
        <v>8444983</v>
      </c>
      <c r="X21" s="22">
        <f>CHOOSE(B, "-GLActualYTD(" &amp; "Account" &amp; "," &amp; $D$4 &amp; "," &amp; $T$8 &amp; "," &amp; X$10 &amp; "," &amp; "AccountGroupCode" &amp; "," &amp; $B21 &amp; "," &amp; "AccountStructureCode" &amp; "," &amp; "AccountType" &amp; "," &amp; "BalanceType" &amp; "," &amp; $D$5 &amp; "," &amp; $D$6 &amp; ")", CellContents, 8768258,53)</f>
        <v>8768258</v>
      </c>
      <c r="Y21" s="22">
        <f>CHOOSE(B, "-GLActualYTD(" &amp; "Account" &amp; "," &amp; $D$4 &amp; "," &amp; $T$8 &amp; "," &amp; Y$10 &amp; "," &amp; "AccountGroupCode" &amp; "," &amp; $B21 &amp; "," &amp; "AccountStructureCode" &amp; "," &amp; "AccountType" &amp; "," &amp; "BalanceType" &amp; "," &amp; $D$5 &amp; "," &amp; $D$6 &amp; ")", CellContents, 9591416,94)</f>
        <v>9591416</v>
      </c>
      <c r="Z21" s="22">
        <f>CHOOSE(B, "-GLActualYTD(" &amp; "Account" &amp; "," &amp; $D$4 &amp; "," &amp; $T$8 &amp; "," &amp; Z$10 &amp; "," &amp; "AccountGroupCode" &amp; "," &amp; $B21 &amp; "," &amp; "AccountStructureCode" &amp; "," &amp; "AccountType" &amp; "," &amp; "BalanceType" &amp; "," &amp; $D$5 &amp; "," &amp; $D$6 &amp; ")", CellContents, 10349691,45)</f>
        <v>10349691</v>
      </c>
      <c r="AA21" s="22">
        <f>CHOOSE(B, "-GLActualYTD(" &amp; "Account" &amp; "," &amp; $D$4 &amp; "," &amp; $T$8 &amp; "," &amp; AA$10 &amp; "," &amp; "AccountGroupCode" &amp; "," &amp; $B21 &amp; "," &amp; "AccountStructureCode" &amp; "," &amp; "AccountType" &amp; "," &amp; "BalanceType" &amp; "," &amp; $D$5 &amp; "," &amp; $D$6 &amp; ")", CellContents, 10416225,54)</f>
        <v>10416225</v>
      </c>
      <c r="AB21" s="22">
        <f>CHOOSE(B, "-GLActualYTD(" &amp; "Account" &amp; "," &amp; $D$4 &amp; "," &amp; $T$8 &amp; "," &amp; AB$10 &amp; "," &amp; "AccountGroupCode" &amp; "," &amp; $B21 &amp; "," &amp; "AccountStructureCode" &amp; "," &amp; "AccountType" &amp; "," &amp; "BalanceType" &amp; "," &amp; $D$5 &amp; "," &amp; $D$6 &amp; ")", CellContents, 10878711,8)</f>
        <v>10878711</v>
      </c>
      <c r="AC21" s="22">
        <f>CHOOSE(B, "-GLActualYTD(" &amp; "Account" &amp; "," &amp; $D$4 &amp; "," &amp; $T$8 &amp; "," &amp; AC$10 &amp; "," &amp; "AccountGroupCode" &amp; "," &amp; $B21 &amp; "," &amp; "AccountStructureCode" &amp; "," &amp; "AccountType" &amp; "," &amp; "BalanceType" &amp; "," &amp; $D$5 &amp; "," &amp; $D$6 &amp; ")", CellContents, 10798801,91)</f>
        <v>10798801</v>
      </c>
      <c r="AD21" s="22">
        <f>CHOOSE(B, "-GLActualYTD(" &amp; "Account" &amp; "," &amp; $D$4 &amp; "," &amp; $T$8 &amp; "," &amp; AD$10 &amp; "," &amp; "AccountGroupCode" &amp; "," &amp; $B21 &amp; "," &amp; "AccountStructureCode" &amp; "," &amp; "AccountType" &amp; "," &amp; "BalanceType" &amp; "," &amp; $D$5 &amp; "," &amp; $D$6 &amp; ")", CellContents, 10890437,37)</f>
        <v>10890437</v>
      </c>
      <c r="AE21" s="22">
        <f>CHOOSE(B, "-GLActualYTD(" &amp; "Account" &amp; "," &amp; $D$4 &amp; "," &amp; $T$8 &amp; "," &amp; AE$10 &amp; "," &amp; "AccountGroupCode" &amp; "," &amp; $B21 &amp; "," &amp; "AccountStructureCode" &amp; "," &amp; "AccountType" &amp; "," &amp; "BalanceType" &amp; "," &amp; $D$5 &amp; "," &amp; $D$6 &amp; ")", CellContents, 10890437,37)</f>
        <v>10890437</v>
      </c>
      <c r="AF21" s="22">
        <f>CHOOSE(B, "-GLActualYTD(" &amp; "Account" &amp; "," &amp; $D$4 &amp; "," &amp; $T$8 &amp; "," &amp; AF$10 &amp; "," &amp; "AccountGroupCode" &amp; "," &amp; $B21 &amp; "," &amp; "AccountStructureCode" &amp; "," &amp; "AccountType" &amp; "," &amp; "BalanceType" &amp; "," &amp; $D$5 &amp; "," &amp; $D$6 &amp; ")", CellContents, 10890437,37)</f>
        <v>10890437</v>
      </c>
    </row>
    <row r="22" spans="2:32" hidden="1" outlineLevel="1" x14ac:dyDescent="0.3">
      <c r="B22" s="20">
        <v>90</v>
      </c>
      <c r="C22" s="21" t="s">
        <v>79</v>
      </c>
      <c r="D22" s="22">
        <f>CHOOSE(B, "-GLActualYTD(" &amp; "Account" &amp; "," &amp; $D$4 &amp; "," &amp; $E$8 &amp; "," &amp; D$10 &amp; "," &amp; "AccountGroupCode" &amp; "," &amp; $B22 &amp; "," &amp; "AccountStructureCode" &amp; "," &amp; "AccountType" &amp; "," &amp; "BalanceType" &amp; "," &amp; $D$5 &amp; "," &amp; $D$6 &amp; ")", CellContents, -31023,43)</f>
        <v>-31023</v>
      </c>
      <c r="E22" s="22">
        <f>CHOOSE(B, "-GLActualYTD(" &amp; "Account" &amp; "," &amp; $D$4 &amp; "," &amp; $E$8 &amp; "," &amp; E$10 &amp; "," &amp; "AccountGroupCode" &amp; "," &amp; $B22 &amp; "," &amp; "AccountStructureCode" &amp; "," &amp; "AccountType" &amp; "," &amp; "BalanceType" &amp; "," &amp; $D$5 &amp; "," &amp; $D$6 &amp; ")", CellContents, -102168,97)</f>
        <v>-102168</v>
      </c>
      <c r="F22" s="22">
        <f>CHOOSE(B, "-GLActualYTD(" &amp; "Account" &amp; "," &amp; $D$4 &amp; "," &amp; $E$8 &amp; "," &amp; F$10 &amp; "," &amp; "AccountGroupCode" &amp; "," &amp; $B22 &amp; "," &amp; "AccountStructureCode" &amp; "," &amp; "AccountType" &amp; "," &amp; "BalanceType" &amp; "," &amp; $D$5 &amp; "," &amp; $D$6 &amp; ")", CellContents, 40537,16)</f>
        <v>40537</v>
      </c>
      <c r="G22" s="22">
        <f>CHOOSE(B, "-GLActualYTD(" &amp; "Account" &amp; "," &amp; $D$4 &amp; "," &amp; $E$8 &amp; "," &amp; G$10 &amp; "," &amp; "AccountGroupCode" &amp; "," &amp; $B22 &amp; "," &amp; "AccountStructureCode" &amp; "," &amp; "AccountType" &amp; "," &amp; "BalanceType" &amp; "," &amp; $D$5 &amp; "," &amp; $D$6 &amp; ")", CellContents, 63489)</f>
        <v>63489</v>
      </c>
      <c r="H22" s="22">
        <f>CHOOSE(B, "-GLActualYTD(" &amp; "Account" &amp; "," &amp; $D$4 &amp; "," &amp; $E$8 &amp; "," &amp; H$10 &amp; "," &amp; "AccountGroupCode" &amp; "," &amp; $B22 &amp; "," &amp; "AccountStructureCode" &amp; "," &amp; "AccountType" &amp; "," &amp; "BalanceType" &amp; "," &amp; $D$5 &amp; "," &amp; $D$6 &amp; ")", CellContents, 117339,88)</f>
        <v>117339</v>
      </c>
      <c r="I22" s="22">
        <f>CHOOSE(B, "-GLActualYTD(" &amp; "Account" &amp; "," &amp; $D$4 &amp; "," &amp; $E$8 &amp; "," &amp; I$10 &amp; "," &amp; "AccountGroupCode" &amp; "," &amp; $B22 &amp; "," &amp; "AccountStructureCode" &amp; "," &amp; "AccountType" &amp; "," &amp; "BalanceType" &amp; "," &amp; $D$5 &amp; "," &amp; $D$6 &amp; ")", CellContents, 155930,76)</f>
        <v>155930</v>
      </c>
      <c r="J22" s="22">
        <f>CHOOSE(B, "-GLActualYTD(" &amp; "Account" &amp; "," &amp; $D$4 &amp; "," &amp; $E$8 &amp; "," &amp; J$10 &amp; "," &amp; "AccountGroupCode" &amp; "," &amp; $B22 &amp; "," &amp; "AccountStructureCode" &amp; "," &amp; "AccountType" &amp; "," &amp; "BalanceType" &amp; "," &amp; $D$5 &amp; "," &amp; $D$6 &amp; ")", CellContents, 158459,46)</f>
        <v>158459</v>
      </c>
      <c r="K22" s="22">
        <f t="shared" ref="K22:Q22" si="8">CHOOSE(B, "-GLActualYTD(" &amp; "Account" &amp; "," &amp; $D$4 &amp; "," &amp; $E$8 &amp; "," &amp; K$10 &amp; "," &amp; "AccountGroupCode" &amp; "," &amp; $B22 &amp; "," &amp; "AccountStructureCode" &amp; "," &amp; "AccountType" &amp; "," &amp; "BalanceType" &amp; "," &amp; $D$5 &amp; "," &amp; $D$6 &amp; ")", CellContents, 158514,15)</f>
        <v>158514</v>
      </c>
      <c r="L22" s="22">
        <f t="shared" si="8"/>
        <v>158514</v>
      </c>
      <c r="M22" s="22">
        <f t="shared" si="8"/>
        <v>158514</v>
      </c>
      <c r="N22" s="22">
        <f t="shared" si="8"/>
        <v>158514</v>
      </c>
      <c r="O22" s="22">
        <f t="shared" si="8"/>
        <v>158514</v>
      </c>
      <c r="P22" s="22">
        <f t="shared" si="8"/>
        <v>158514</v>
      </c>
      <c r="Q22" s="22">
        <f t="shared" si="8"/>
        <v>158514</v>
      </c>
      <c r="R22" s="26"/>
      <c r="S22" s="22">
        <f>CHOOSE(B, "-GLActualYTD(" &amp; "Account" &amp; "," &amp; $D$4 &amp; "," &amp; $T$8 &amp; "," &amp; S$10 &amp; "," &amp; "AccountGroupCode" &amp; "," &amp; $B22 &amp; "," &amp; "AccountStructureCode" &amp; "," &amp; "AccountType" &amp; "," &amp; "BalanceType" &amp; "," &amp; $D$5 &amp; "," &amp; $D$6 &amp; ")", CellContents, 130210,45)</f>
        <v>130210</v>
      </c>
      <c r="T22" s="22">
        <f>CHOOSE(B, "-GLActualYTD(" &amp; "Account" &amp; "," &amp; $D$4 &amp; "," &amp; $T$8 &amp; "," &amp; T$10 &amp; "," &amp; "AccountGroupCode" &amp; "," &amp; $B22 &amp; "," &amp; "AccountStructureCode" &amp; "," &amp; "AccountType" &amp; "," &amp; "BalanceType" &amp; "," &amp; $D$5 &amp; "," &amp; $D$6 &amp; ")", CellContents, -138412,37)</f>
        <v>-138412</v>
      </c>
      <c r="U22" s="22">
        <f>CHOOSE(B, "-GLActualYTD(" &amp; "Account" &amp; "," &amp; $D$4 &amp; "," &amp; $T$8 &amp; "," &amp; U$10 &amp; "," &amp; "AccountGroupCode" &amp; "," &amp; $B22 &amp; "," &amp; "AccountStructureCode" &amp; "," &amp; "AccountType" &amp; "," &amp; "BalanceType" &amp; "," &amp; $D$5 &amp; "," &amp; $D$6 &amp; ")", CellContents, 27435,92)</f>
        <v>27435</v>
      </c>
      <c r="V22" s="22">
        <f>CHOOSE(B, "-GLActualYTD(" &amp; "Account" &amp; "," &amp; $D$4 &amp; "," &amp; $T$8 &amp; "," &amp; V$10 &amp; "," &amp; "AccountGroupCode" &amp; "," &amp; $B22 &amp; "," &amp; "AccountStructureCode" &amp; "," &amp; "AccountType" &amp; "," &amp; "BalanceType" &amp; "," &amp; $D$5 &amp; "," &amp; $D$6 &amp; ")", CellContents, 51131,99)</f>
        <v>51131</v>
      </c>
      <c r="W22" s="22">
        <f>CHOOSE(B, "-GLActualYTD(" &amp; "Account" &amp; "," &amp; $D$4 &amp; "," &amp; $T$8 &amp; "," &amp; W$10 &amp; "," &amp; "AccountGroupCode" &amp; "," &amp; $B22 &amp; "," &amp; "AccountStructureCode" &amp; "," &amp; "AccountType" &amp; "," &amp; "BalanceType" &amp; "," &amp; $D$5 &amp; "," &amp; $D$6 &amp; ")", CellContents, 50478,52)</f>
        <v>50478</v>
      </c>
      <c r="X22" s="22">
        <f>CHOOSE(B, "-GLActualYTD(" &amp; "Account" &amp; "," &amp; $D$4 &amp; "," &amp; $T$8 &amp; "," &amp; X$10 &amp; "," &amp; "AccountGroupCode" &amp; "," &amp; $B22 &amp; "," &amp; "AccountStructureCode" &amp; "," &amp; "AccountType" &amp; "," &amp; "BalanceType" &amp; "," &amp; $D$5 &amp; "," &amp; $D$6 &amp; ")", CellContents, 52807,96)</f>
        <v>52807</v>
      </c>
      <c r="Y22" s="22">
        <f>CHOOSE(B, "-GLActualYTD(" &amp; "Account" &amp; "," &amp; $D$4 &amp; "," &amp; $T$8 &amp; "," &amp; Y$10 &amp; "," &amp; "AccountGroupCode" &amp; "," &amp; $B22 &amp; "," &amp; "AccountStructureCode" &amp; "," &amp; "AccountType" &amp; "," &amp; "BalanceType" &amp; "," &amp; $D$5 &amp; "," &amp; $D$6 &amp; ")", CellContents, 38420,35)</f>
        <v>38420</v>
      </c>
      <c r="Z22" s="22">
        <f>CHOOSE(B, "-GLActualYTD(" &amp; "Account" &amp; "," &amp; $D$4 &amp; "," &amp; $T$8 &amp; "," &amp; Z$10 &amp; "," &amp; "AccountGroupCode" &amp; "," &amp; $B22 &amp; "," &amp; "AccountStructureCode" &amp; "," &amp; "AccountType" &amp; "," &amp; "BalanceType" &amp; "," &amp; $D$5 &amp; "," &amp; $D$6 &amp; ")", CellContents, 57913,37)</f>
        <v>57913</v>
      </c>
      <c r="AA22" s="22">
        <f>CHOOSE(B, "-GLActualYTD(" &amp; "Account" &amp; "," &amp; $D$4 &amp; "," &amp; $T$8 &amp; "," &amp; AA$10 &amp; "," &amp; "AccountGroupCode" &amp; "," &amp; $B22 &amp; "," &amp; "AccountStructureCode" &amp; "," &amp; "AccountType" &amp; "," &amp; "BalanceType" &amp; "," &amp; $D$5 &amp; "," &amp; $D$6 &amp; ")", CellContents, 87043,500000001)</f>
        <v>87043</v>
      </c>
      <c r="AB22" s="22">
        <f>CHOOSE(B, "-GLActualYTD(" &amp; "Account" &amp; "," &amp; $D$4 &amp; "," &amp; $T$8 &amp; "," &amp; AB$10 &amp; "," &amp; "AccountGroupCode" &amp; "," &amp; $B22 &amp; "," &amp; "AccountStructureCode" &amp; "," &amp; "AccountType" &amp; "," &amp; "BalanceType" &amp; "," &amp; $D$5 &amp; "," &amp; $D$6 &amp; ")", CellContents, 109468,92)</f>
        <v>109468</v>
      </c>
      <c r="AC22" s="22">
        <f>CHOOSE(B, "-GLActualYTD(" &amp; "Account" &amp; "," &amp; $D$4 &amp; "," &amp; $T$8 &amp; "," &amp; AC$10 &amp; "," &amp; "AccountGroupCode" &amp; "," &amp; $B22 &amp; "," &amp; "AccountStructureCode" &amp; "," &amp; "AccountType" &amp; "," &amp; "BalanceType" &amp; "," &amp; $D$5 &amp; "," &amp; $D$6 &amp; ")", CellContents, 133932,81)</f>
        <v>133932</v>
      </c>
      <c r="AD22" s="22">
        <f>CHOOSE(B, "-GLActualYTD(" &amp; "Account" &amp; "," &amp; $D$4 &amp; "," &amp; $T$8 &amp; "," &amp; AD$10 &amp; "," &amp; "AccountGroupCode" &amp; "," &amp; $B22 &amp; "," &amp; "AccountStructureCode" &amp; "," &amp; "AccountType" &amp; "," &amp; "BalanceType" &amp; "," &amp; $D$5 &amp; "," &amp; $D$6 &amp; ")", CellContents, 151937,95)</f>
        <v>151937</v>
      </c>
      <c r="AE22" s="22">
        <f>CHOOSE(B, "-GLActualYTD(" &amp; "Account" &amp; "," &amp; $D$4 &amp; "," &amp; $T$8 &amp; "," &amp; AE$10 &amp; "," &amp; "AccountGroupCode" &amp; "," &amp; $B22 &amp; "," &amp; "AccountStructureCode" &amp; "," &amp; "AccountType" &amp; "," &amp; "BalanceType" &amp; "," &amp; $D$5 &amp; "," &amp; $D$6 &amp; ")", CellContents, 151937,95)</f>
        <v>151937</v>
      </c>
      <c r="AF22" s="22">
        <f>CHOOSE(B, "-GLActualYTD(" &amp; "Account" &amp; "," &amp; $D$4 &amp; "," &amp; $T$8 &amp; "," &amp; AF$10 &amp; "," &amp; "AccountGroupCode" &amp; "," &amp; $B22 &amp; "," &amp; "AccountStructureCode" &amp; "," &amp; "AccountType" &amp; "," &amp; "BalanceType" &amp; "," &amp; $D$5 &amp; "," &amp; $D$6 &amp; ")", CellContents, 151937,95)</f>
        <v>151937</v>
      </c>
    </row>
    <row r="23" spans="2:32" ht="7.5" customHeight="1" x14ac:dyDescent="0.3">
      <c r="D23" s="22"/>
      <c r="E23" s="26"/>
      <c r="F23" s="26"/>
      <c r="G23" s="26"/>
      <c r="H23" s="26"/>
      <c r="I23" s="26"/>
      <c r="J23" s="26"/>
      <c r="K23" s="26"/>
      <c r="L23" s="26"/>
      <c r="M23" s="26"/>
      <c r="N23" s="26"/>
      <c r="O23" s="26"/>
      <c r="P23" s="26"/>
      <c r="Q23" s="26"/>
      <c r="R23" s="26"/>
      <c r="S23" s="22"/>
      <c r="T23" s="26"/>
      <c r="U23" s="26"/>
      <c r="V23" s="26"/>
      <c r="W23" s="26"/>
      <c r="X23" s="26"/>
      <c r="Y23" s="26"/>
      <c r="Z23" s="26"/>
      <c r="AA23" s="26"/>
      <c r="AB23" s="26"/>
      <c r="AC23" s="26"/>
      <c r="AD23" s="26"/>
      <c r="AE23" s="26"/>
      <c r="AF23" s="26"/>
    </row>
    <row r="24" spans="2:32" x14ac:dyDescent="0.3">
      <c r="C24" s="23" t="s">
        <v>31</v>
      </c>
      <c r="D24" s="24">
        <f>D16+D14</f>
        <v>1043635</v>
      </c>
      <c r="E24" s="24">
        <f t="shared" ref="E24:AF24" si="9">E16+E14</f>
        <v>1919539</v>
      </c>
      <c r="F24" s="24">
        <f t="shared" si="9"/>
        <v>3697962</v>
      </c>
      <c r="G24" s="24">
        <f t="shared" si="9"/>
        <v>4962787</v>
      </c>
      <c r="H24" s="24">
        <f t="shared" si="9"/>
        <v>6568909</v>
      </c>
      <c r="I24" s="24">
        <f t="shared" si="9"/>
        <v>6566192</v>
      </c>
      <c r="J24" s="24">
        <f t="shared" si="9"/>
        <v>6530411</v>
      </c>
      <c r="K24" s="24">
        <f t="shared" si="9"/>
        <v>6530811</v>
      </c>
      <c r="L24" s="24">
        <f t="shared" si="9"/>
        <v>6530811</v>
      </c>
      <c r="M24" s="24">
        <f t="shared" si="9"/>
        <v>6530811</v>
      </c>
      <c r="N24" s="24">
        <f t="shared" si="9"/>
        <v>6530811</v>
      </c>
      <c r="O24" s="24">
        <f t="shared" si="9"/>
        <v>6530811</v>
      </c>
      <c r="P24" s="24">
        <f t="shared" si="9"/>
        <v>6530811</v>
      </c>
      <c r="Q24" s="24">
        <f t="shared" si="9"/>
        <v>6530811</v>
      </c>
      <c r="R24" s="26"/>
      <c r="S24" s="24">
        <f t="shared" si="9"/>
        <v>701437</v>
      </c>
      <c r="T24" s="24">
        <f t="shared" si="9"/>
        <v>1073077</v>
      </c>
      <c r="U24" s="24">
        <f t="shared" si="9"/>
        <v>1202557</v>
      </c>
      <c r="V24" s="24">
        <f t="shared" si="9"/>
        <v>1932617</v>
      </c>
      <c r="W24" s="24">
        <f t="shared" si="9"/>
        <v>2196938</v>
      </c>
      <c r="X24" s="24">
        <f t="shared" si="9"/>
        <v>2537823</v>
      </c>
      <c r="Y24" s="24">
        <f t="shared" si="9"/>
        <v>3220975</v>
      </c>
      <c r="Z24" s="24">
        <f t="shared" si="9"/>
        <v>4246312</v>
      </c>
      <c r="AA24" s="24">
        <f t="shared" si="9"/>
        <v>4337435</v>
      </c>
      <c r="AB24" s="24">
        <f t="shared" si="9"/>
        <v>4735530</v>
      </c>
      <c r="AC24" s="24">
        <f t="shared" si="9"/>
        <v>4634341</v>
      </c>
      <c r="AD24" s="24">
        <f t="shared" si="9"/>
        <v>4790641</v>
      </c>
      <c r="AE24" s="24">
        <f t="shared" si="9"/>
        <v>4790641</v>
      </c>
      <c r="AF24" s="24">
        <f t="shared" si="9"/>
        <v>4790641</v>
      </c>
    </row>
    <row r="25" spans="2:32" x14ac:dyDescent="0.3">
      <c r="D25" s="22"/>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row>
    <row r="26" spans="2:32" x14ac:dyDescent="0.3">
      <c r="D26" s="27"/>
    </row>
    <row r="27" spans="2:32" x14ac:dyDescent="0.3">
      <c r="D27" s="27"/>
      <c r="E27" s="49"/>
    </row>
    <row r="28" spans="2:32" x14ac:dyDescent="0.3">
      <c r="D28" s="27"/>
    </row>
    <row r="29" spans="2:32" x14ac:dyDescent="0.3">
      <c r="D29" s="27"/>
      <c r="E29" s="50"/>
    </row>
    <row r="30" spans="2:32" x14ac:dyDescent="0.3">
      <c r="D30" s="27"/>
    </row>
    <row r="31" spans="2:32" x14ac:dyDescent="0.3">
      <c r="D31" s="27"/>
    </row>
    <row r="32" spans="2:32" x14ac:dyDescent="0.3">
      <c r="D32" s="27"/>
    </row>
    <row r="33" spans="2:6" x14ac:dyDescent="0.3">
      <c r="B33" s="20"/>
      <c r="C33" s="21"/>
      <c r="D33" s="27"/>
      <c r="E33" s="27"/>
      <c r="F33" s="29"/>
    </row>
    <row r="34" spans="2:6" x14ac:dyDescent="0.3">
      <c r="B34" s="20"/>
      <c r="C34" s="21"/>
      <c r="D34" s="27"/>
      <c r="E34" s="27"/>
      <c r="F34" s="29"/>
    </row>
    <row r="35" spans="2:6" x14ac:dyDescent="0.3">
      <c r="B35" s="20"/>
      <c r="C35" s="21"/>
      <c r="D35" s="27"/>
      <c r="E35" s="27"/>
      <c r="F35" s="29"/>
    </row>
    <row r="36" spans="2:6" x14ac:dyDescent="0.3">
      <c r="B36" s="20"/>
      <c r="C36" s="21"/>
      <c r="D36" s="27"/>
      <c r="E36" s="27"/>
      <c r="F36" s="29"/>
    </row>
    <row r="37" spans="2:6" x14ac:dyDescent="0.3">
      <c r="B37" s="20"/>
      <c r="C37" s="21"/>
      <c r="D37" s="27"/>
      <c r="E37" s="27"/>
      <c r="F37" s="29"/>
    </row>
    <row r="38" spans="2:6" x14ac:dyDescent="0.3">
      <c r="D38" s="27"/>
    </row>
    <row r="39" spans="2:6" x14ac:dyDescent="0.3">
      <c r="D39" s="27"/>
    </row>
    <row r="40" spans="2:6" x14ac:dyDescent="0.3">
      <c r="D40" s="27"/>
    </row>
  </sheetData>
  <mergeCells count="3">
    <mergeCell ref="D9:Q9"/>
    <mergeCell ref="S9:AF9"/>
    <mergeCell ref="G3:J6"/>
  </mergeCells>
  <dataValidations count="2">
    <dataValidation type="list" allowBlank="1" showInputMessage="1" showErrorMessage="1" sqref="D4">
      <formula1>CompaniesTemplate</formula1>
    </dataValidation>
    <dataValidation type="list" allowBlank="1" showInputMessage="1" sqref="E8 T8">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AH18"/>
  <sheetViews>
    <sheetView showGridLines="0" zoomScale="90" zoomScaleNormal="90" workbookViewId="0"/>
  </sheetViews>
  <sheetFormatPr defaultRowHeight="16.5" x14ac:dyDescent="0.3"/>
  <cols>
    <col min="1" max="1" width="2.85546875" style="12" customWidth="1"/>
    <col min="2" max="2" width="9.140625" style="11" customWidth="1"/>
    <col min="3" max="3" width="37" style="12" customWidth="1"/>
    <col min="4" max="4" width="13.85546875" style="12" customWidth="1"/>
    <col min="5" max="5" width="2.5703125" style="12" customWidth="1"/>
    <col min="6" max="17" width="14" style="12" bestFit="1" customWidth="1"/>
    <col min="18" max="18" width="12.140625" style="12" bestFit="1" customWidth="1"/>
    <col min="19" max="19" width="13.85546875" style="12" bestFit="1" customWidth="1"/>
    <col min="20" max="20" width="3.5703125" style="12" customWidth="1"/>
    <col min="21" max="32" width="13.85546875" style="12" bestFit="1" customWidth="1"/>
    <col min="33" max="34" width="14" style="12" bestFit="1" customWidth="1"/>
    <col min="35" max="16384" width="9.140625" style="12"/>
  </cols>
  <sheetData>
    <row r="1" spans="2:34" ht="15" customHeight="1" x14ac:dyDescent="0.3"/>
    <row r="2" spans="2:34" ht="33.75" customHeight="1" x14ac:dyDescent="0.7">
      <c r="B2" s="32" t="s">
        <v>37</v>
      </c>
      <c r="C2" s="13" t="str">
        <f>CONCATENATE(D4," Statement of Cash Flows")</f>
        <v>0 Statement of Cash Flows</v>
      </c>
      <c r="F2" s="33"/>
    </row>
    <row r="3" spans="2:34" ht="16.5" customHeight="1" x14ac:dyDescent="0.3">
      <c r="G3" s="60" t="s">
        <v>64</v>
      </c>
      <c r="H3" s="60"/>
      <c r="I3" s="60"/>
      <c r="J3" s="60"/>
      <c r="K3" s="60"/>
      <c r="L3" s="60"/>
      <c r="M3" s="60"/>
    </row>
    <row r="4" spans="2:34" ht="16.5" customHeight="1" x14ac:dyDescent="0.3">
      <c r="C4" s="14" t="s">
        <v>17</v>
      </c>
      <c r="D4" s="31">
        <f>INDEX(Companies,1)</f>
        <v>0</v>
      </c>
      <c r="G4" s="60"/>
      <c r="H4" s="60"/>
      <c r="I4" s="60"/>
      <c r="J4" s="60"/>
      <c r="K4" s="60"/>
      <c r="L4" s="60"/>
      <c r="M4" s="60"/>
    </row>
    <row r="5" spans="2:34" x14ac:dyDescent="0.3">
      <c r="C5" s="14" t="s">
        <v>18</v>
      </c>
      <c r="D5" s="15" t="str">
        <f>CHOOSE(B, "GLHomeCurrency(" &amp; $D$4 &amp; ")", CellContents, "CAD")</f>
        <v>CAD</v>
      </c>
      <c r="G5" s="60"/>
      <c r="H5" s="60"/>
      <c r="I5" s="60"/>
      <c r="J5" s="60"/>
      <c r="K5" s="60"/>
      <c r="L5" s="60"/>
      <c r="M5" s="60"/>
    </row>
    <row r="6" spans="2:34" x14ac:dyDescent="0.3">
      <c r="C6" s="14" t="s">
        <v>19</v>
      </c>
      <c r="D6" s="15" t="s">
        <v>20</v>
      </c>
      <c r="G6" s="60"/>
      <c r="H6" s="60"/>
      <c r="I6" s="60"/>
      <c r="J6" s="60"/>
      <c r="K6" s="60"/>
      <c r="L6" s="60"/>
      <c r="M6" s="60"/>
    </row>
    <row r="7" spans="2:34" ht="7.5" customHeight="1" x14ac:dyDescent="0.3"/>
    <row r="8" spans="2:34" x14ac:dyDescent="0.3">
      <c r="C8" s="11"/>
      <c r="D8" s="11" t="s">
        <v>88</v>
      </c>
      <c r="E8" s="14"/>
      <c r="F8" s="14" t="s">
        <v>22</v>
      </c>
      <c r="G8" s="31">
        <f>CHOOSE(B, "GLCurrentYear(" &amp; $D$4 &amp; ")", CellContents, 2020)</f>
        <v>2020</v>
      </c>
      <c r="U8" s="14" t="s">
        <v>23</v>
      </c>
      <c r="V8" s="31">
        <v>2019</v>
      </c>
    </row>
    <row r="9" spans="2:34" ht="7.5" customHeight="1" x14ac:dyDescent="0.3">
      <c r="C9" s="11"/>
      <c r="D9" s="11"/>
      <c r="F9" s="16"/>
      <c r="G9" s="17"/>
      <c r="U9" s="16"/>
      <c r="V9" s="17"/>
    </row>
    <row r="10" spans="2:34" x14ac:dyDescent="0.3">
      <c r="B10" s="61" t="s">
        <v>51</v>
      </c>
      <c r="C10" s="62" t="s">
        <v>8</v>
      </c>
      <c r="D10" s="63" t="s">
        <v>50</v>
      </c>
      <c r="E10" s="19"/>
      <c r="F10" s="59" t="s">
        <v>24</v>
      </c>
      <c r="G10" s="59"/>
      <c r="H10" s="59"/>
      <c r="I10" s="59"/>
      <c r="J10" s="59"/>
      <c r="K10" s="59"/>
      <c r="L10" s="59"/>
      <c r="M10" s="59"/>
      <c r="N10" s="59"/>
      <c r="O10" s="59"/>
      <c r="P10" s="59"/>
      <c r="Q10" s="59"/>
      <c r="R10" s="59"/>
      <c r="S10" s="59"/>
      <c r="T10" s="25"/>
      <c r="U10" s="59" t="s">
        <v>24</v>
      </c>
      <c r="V10" s="59"/>
      <c r="W10" s="59"/>
      <c r="X10" s="59"/>
      <c r="Y10" s="59"/>
      <c r="Z10" s="59"/>
      <c r="AA10" s="59"/>
      <c r="AB10" s="59"/>
      <c r="AC10" s="59"/>
      <c r="AD10" s="59"/>
      <c r="AE10" s="59"/>
      <c r="AF10" s="59"/>
      <c r="AG10" s="59"/>
      <c r="AH10" s="59"/>
    </row>
    <row r="11" spans="2:34" x14ac:dyDescent="0.3">
      <c r="B11" s="61"/>
      <c r="C11" s="62"/>
      <c r="D11" s="63"/>
      <c r="F11" s="28">
        <v>1</v>
      </c>
      <c r="G11" s="28">
        <v>2</v>
      </c>
      <c r="H11" s="28">
        <v>3</v>
      </c>
      <c r="I11" s="28">
        <v>4</v>
      </c>
      <c r="J11" s="28">
        <v>5</v>
      </c>
      <c r="K11" s="28">
        <v>6</v>
      </c>
      <c r="L11" s="28">
        <v>7</v>
      </c>
      <c r="M11" s="28">
        <v>8</v>
      </c>
      <c r="N11" s="28">
        <v>9</v>
      </c>
      <c r="O11" s="28">
        <v>10</v>
      </c>
      <c r="P11" s="28">
        <v>11</v>
      </c>
      <c r="Q11" s="28">
        <v>12</v>
      </c>
      <c r="R11" s="28">
        <v>13</v>
      </c>
      <c r="S11" s="28">
        <v>14</v>
      </c>
      <c r="T11" s="25"/>
      <c r="U11" s="28">
        <v>1</v>
      </c>
      <c r="V11" s="28">
        <v>2</v>
      </c>
      <c r="W11" s="28">
        <v>3</v>
      </c>
      <c r="X11" s="28">
        <v>4</v>
      </c>
      <c r="Y11" s="28">
        <v>5</v>
      </c>
      <c r="Z11" s="28">
        <v>6</v>
      </c>
      <c r="AA11" s="28">
        <v>7</v>
      </c>
      <c r="AB11" s="28">
        <v>8</v>
      </c>
      <c r="AC11" s="28">
        <v>9</v>
      </c>
      <c r="AD11" s="28">
        <v>10</v>
      </c>
      <c r="AE11" s="28">
        <v>11</v>
      </c>
      <c r="AF11" s="28">
        <v>12</v>
      </c>
      <c r="AG11" s="28">
        <v>13</v>
      </c>
      <c r="AH11" s="28">
        <v>14</v>
      </c>
    </row>
    <row r="12" spans="2:34" ht="7.5" customHeight="1" x14ac:dyDescent="0.3">
      <c r="C12" s="11"/>
      <c r="D12" s="11"/>
    </row>
    <row r="13" spans="2:34" x14ac:dyDescent="0.3">
      <c r="B13" s="20" t="s">
        <v>54</v>
      </c>
      <c r="C13" s="21" t="s">
        <v>55</v>
      </c>
      <c r="D13" s="20" t="s">
        <v>53</v>
      </c>
      <c r="F13" s="22">
        <f>CHOOSE(B, "-GLActualYTD(" &amp;$B13 &amp; "," &amp; $D$4 &amp; "," &amp; $G$8 &amp; "," &amp; F$11 &amp; "," &amp; "AccountGroupCode" &amp; "," &amp; "AccountCategoryCode" &amp; "," &amp; $D13 &amp; "," &amp; "AccountType" &amp; "," &amp; "BalanceType" &amp; "," &amp; $D$5 &amp; "," &amp; $D$6 &amp; ")", CellContents, -87027,4)</f>
        <v>-87027</v>
      </c>
      <c r="G13" s="22">
        <f>CHOOSE(B, "-GLActualYTD(" &amp;$B13 &amp; "," &amp; $D$4 &amp; "," &amp; $G$8 &amp; "," &amp; G$11 &amp; "," &amp; "AccountGroupCode" &amp; "," &amp; "AccountCategoryCode" &amp; "," &amp; $D13 &amp; "," &amp; "AccountType" &amp; "," &amp; "BalanceType" &amp; "," &amp; $D$5 &amp; "," &amp; $D$6 &amp; ")", CellContents, -196332,86)</f>
        <v>-196332</v>
      </c>
      <c r="H13" s="22">
        <f>CHOOSE(B, "-GLActualYTD(" &amp;$B13 &amp; "," &amp; $D$4 &amp; "," &amp; $G$8 &amp; "," &amp; H$11 &amp; "," &amp; "AccountGroupCode" &amp; "," &amp; "AccountCategoryCode" &amp; "," &amp; $D13 &amp; "," &amp; "AccountType" &amp; "," &amp; "BalanceType" &amp; "," &amp; $D$5 &amp; "," &amp; $D$6 &amp; ")", CellContents, -341034,58)</f>
        <v>-341034</v>
      </c>
      <c r="I13" s="22">
        <f>CHOOSE(B, "-GLActualYTD(" &amp;$B13 &amp; "," &amp; $D$4 &amp; "," &amp; $G$8 &amp; "," &amp; I$11 &amp; "," &amp; "AccountGroupCode" &amp; "," &amp; "AccountCategoryCode" &amp; "," &amp; $D13 &amp; "," &amp; "AccountType" &amp; "," &amp; "BalanceType" &amp; "," &amp; $D$5 &amp; "," &amp; $D$6 &amp; ")", CellContents, -485580,56)</f>
        <v>-485580</v>
      </c>
      <c r="J13" s="22">
        <f>CHOOSE(B, "-GLActualYTD(" &amp;$B13 &amp; "," &amp; $D$4 &amp; "," &amp; $G$8 &amp; "," &amp; J$11 &amp; "," &amp; "AccountGroupCode" &amp; "," &amp; "AccountCategoryCode" &amp; "," &amp; $D13 &amp; "," &amp; "AccountType" &amp; "," &amp; "BalanceType" &amp; "," &amp; $D$5 &amp; "," &amp; $D$6 &amp; ")", CellContents, -664181,26)</f>
        <v>-664181</v>
      </c>
      <c r="K13" s="22">
        <f>CHOOSE(B, "-GLActualYTD(" &amp;$B13 &amp; "," &amp; $D$4 &amp; "," &amp; $G$8 &amp; "," &amp; K$11 &amp; "," &amp; "AccountGroupCode" &amp; "," &amp; "AccountCategoryCode" &amp; "," &amp; $D13 &amp; "," &amp; "AccountType" &amp; "," &amp; "BalanceType" &amp; "," &amp; $D$5 &amp; "," &amp; $D$6 &amp; ")", CellContents, -664531,91)</f>
        <v>-664531</v>
      </c>
      <c r="L13" s="22">
        <f>CHOOSE(B, "-GLActualYTD(" &amp;$B13 &amp; "," &amp; $D$4 &amp; "," &amp; $G$8 &amp; "," &amp; L$11 &amp; "," &amp; "AccountGroupCode" &amp; "," &amp; "AccountCategoryCode" &amp; "," &amp; $D13 &amp; "," &amp; "AccountType" &amp; "," &amp; "BalanceType" &amp; "," &amp; $D$5 &amp; "," &amp; $D$6 &amp; ")", CellContents, -664531,91)</f>
        <v>-664531</v>
      </c>
      <c r="M13" s="22">
        <f t="shared" ref="M13:S13" si="0">CHOOSE(B, "-GLActualYTD(" &amp;$B13 &amp; "," &amp; $D$4 &amp; "," &amp; $G$8 &amp; "," &amp; M$11 &amp; "," &amp; "AccountGroupCode" &amp; "," &amp; "AccountCategoryCode" &amp; "," &amp; $D13 &amp; "," &amp; "AccountType" &amp; "," &amp; "BalanceType" &amp; "," &amp; $D$5 &amp; "," &amp; $D$6 &amp; ")", CellContents, -664834,31)</f>
        <v>-664834</v>
      </c>
      <c r="N13" s="22">
        <f t="shared" si="0"/>
        <v>-664834</v>
      </c>
      <c r="O13" s="22">
        <f t="shared" si="0"/>
        <v>-664834</v>
      </c>
      <c r="P13" s="22">
        <f t="shared" si="0"/>
        <v>-664834</v>
      </c>
      <c r="Q13" s="22">
        <f t="shared" si="0"/>
        <v>-664834</v>
      </c>
      <c r="R13" s="22">
        <f t="shared" si="0"/>
        <v>-664834</v>
      </c>
      <c r="S13" s="22">
        <f t="shared" si="0"/>
        <v>-664834</v>
      </c>
      <c r="T13" s="26"/>
      <c r="U13" s="22">
        <f>CHOOSE(B, "-GLActualYTD(" &amp; $B13 &amp; "," &amp; $D$4 &amp; "," &amp; $V$8&amp; "," &amp; U$11 &amp; "," &amp; "AccountGroupCode" &amp; "," &amp; "AccountCategoryCode" &amp; "," &amp; $D13 &amp; "," &amp; "AccountType" &amp; "," &amp; "BalanceType" &amp; "," &amp; $D$5 &amp; "," &amp; $D$6 &amp; ")", CellContents, -73959,36)</f>
        <v>-73959</v>
      </c>
      <c r="V13" s="22">
        <f>CHOOSE(B, "-GLActualYTD(" &amp; $B13 &amp; "," &amp; $D$4 &amp; "," &amp; $V$8&amp; "," &amp; V$11 &amp; "," &amp; "AccountGroupCode" &amp; "," &amp; "AccountCategoryCode" &amp; "," &amp; $D13 &amp; "," &amp; "AccountType" &amp; "," &amp; "BalanceType" &amp; "," &amp; $D$5 &amp; "," &amp; $D$6 &amp; ")", CellContents, -155564,59)</f>
        <v>-155564</v>
      </c>
      <c r="W13" s="22">
        <f>CHOOSE(B, "-GLActualYTD(" &amp; $B13 &amp; "," &amp; $D$4 &amp; "," &amp; $V$8&amp; "," &amp; W$11 &amp; "," &amp; "AccountGroupCode" &amp; "," &amp; "AccountCategoryCode" &amp; "," &amp; $D13 &amp; "," &amp; "AccountType" &amp; "," &amp; "BalanceType" &amp; "," &amp; $D$5 &amp; "," &amp; $D$6 &amp; ")", CellContents, -295384,61)</f>
        <v>-295384</v>
      </c>
      <c r="X13" s="22">
        <f>CHOOSE(B, "-GLActualYTD(" &amp; $B13 &amp; "," &amp; $D$4 &amp; "," &amp; $V$8&amp; "," &amp; X$11 &amp; "," &amp; "AccountGroupCode" &amp; "," &amp; "AccountCategoryCode" &amp; "," &amp; $D13 &amp; "," &amp; "AccountType" &amp; "," &amp; "BalanceType" &amp; "," &amp; $D$5 &amp; "," &amp; $D$6 &amp; ")", CellContents, -409129,23)</f>
        <v>-409129</v>
      </c>
      <c r="Y13" s="22">
        <f>CHOOSE(B, "-GLActualYTD(" &amp; $B13 &amp; "," &amp; $D$4 &amp; "," &amp; $V$8&amp; "," &amp; Y$11 &amp; "," &amp; "AccountGroupCode" &amp; "," &amp; "AccountCategoryCode" &amp; "," &amp; $D13 &amp; "," &amp; "AccountType" &amp; "," &amp; "BalanceType" &amp; "," &amp; $D$5 &amp; "," &amp; $D$6 &amp; ")", CellContents, -525872,5)</f>
        <v>-525872</v>
      </c>
      <c r="Z13" s="22">
        <f>CHOOSE(B, "-GLActualYTD(" &amp; $B13 &amp; "," &amp; $D$4 &amp; "," &amp; $V$8&amp; "," &amp; Z$11 &amp; "," &amp; "AccountGroupCode" &amp; "," &amp; "AccountCategoryCode" &amp; "," &amp; $D13 &amp; "," &amp; "AccountType" &amp; "," &amp; "BalanceType" &amp; "," &amp; $D$5 &amp; "," &amp; $D$6 &amp; ")", CellContents, -704227,6)</f>
        <v>-704227</v>
      </c>
      <c r="AA13" s="22">
        <f>CHOOSE(B, "-GLActualYTD(" &amp; $B13 &amp; "," &amp; $D$4 &amp; "," &amp; $V$8&amp; "," &amp; AA$11 &amp; "," &amp; "AccountGroupCode" &amp; "," &amp; "AccountCategoryCode" &amp; "," &amp; $D13 &amp; "," &amp; "AccountType" &amp; "," &amp; "BalanceType" &amp; "," &amp; $D$5 &amp; "," &amp; $D$6 &amp; ")", CellContents, -906660,85)</f>
        <v>-906660</v>
      </c>
      <c r="AB13" s="22">
        <f>CHOOSE(B, "-GLActualYTD(" &amp; $B13 &amp; "," &amp; $D$4 &amp; "," &amp; $V$8&amp; "," &amp; AB$11 &amp; "," &amp; "AccountGroupCode" &amp; "," &amp; "AccountCategoryCode" &amp; "," &amp; $D13 &amp; "," &amp; "AccountType" &amp; "," &amp; "BalanceType" &amp; "," &amp; $D$5 &amp; "," &amp; $D$6 &amp; ")", CellContents, -1126820,58)</f>
        <v>-1126820</v>
      </c>
      <c r="AC13" s="22">
        <f>CHOOSE(B, "-GLActualYTD(" &amp; $B13 &amp; "," &amp; $D$4 &amp; "," &amp; $V$8&amp; "," &amp; AC$11 &amp; "," &amp; "AccountGroupCode" &amp; "," &amp; "AccountCategoryCode" &amp; "," &amp; $D13 &amp; "," &amp; "AccountType" &amp; "," &amp; "BalanceType" &amp; "," &amp; $D$5 &amp; "," &amp; $D$6 &amp; ")", CellContents, -1399559,4)</f>
        <v>-1399559</v>
      </c>
      <c r="AD13" s="22">
        <f>CHOOSE(B, "-GLActualYTD(" &amp; $B13 &amp; "," &amp; $D$4 &amp; "," &amp; $V$8&amp; "," &amp; AD$11 &amp; "," &amp; "AccountGroupCode" &amp; "," &amp; "AccountCategoryCode" &amp; "," &amp; $D13 &amp; "," &amp; "AccountType" &amp; "," &amp; "BalanceType" &amp; "," &amp; $D$5 &amp; "," &amp; $D$6 &amp; ")", CellContents, -1681577,36)</f>
        <v>-1681577</v>
      </c>
      <c r="AE13" s="22">
        <f>CHOOSE(B, "-GLActualYTD(" &amp; $B13 &amp; "," &amp; $D$4 &amp; "," &amp; $V$8&amp; "," &amp; AE$11 &amp; "," &amp; "AccountGroupCode" &amp; "," &amp; "AccountCategoryCode" &amp; "," &amp; $D13 &amp; "," &amp; "AccountType" &amp; "," &amp; "BalanceType" &amp; "," &amp; $D$5 &amp; "," &amp; $D$6 &amp; ")", CellContents, -2070265,68)</f>
        <v>-2070265</v>
      </c>
      <c r="AF13" s="22">
        <f>CHOOSE(B, "-GLActualYTD(" &amp; $B13 &amp; "," &amp; $D$4 &amp; "," &amp; $V$8&amp; "," &amp; AF$11 &amp; "," &amp; "AccountGroupCode" &amp; "," &amp; "AccountCategoryCode" &amp; "," &amp; $D13 &amp; "," &amp; "AccountType" &amp; "," &amp; "BalanceType" &amp; "," &amp; $D$5 &amp; "," &amp; $D$6 &amp; ")", CellContents, -2508907,25)</f>
        <v>-2508907</v>
      </c>
      <c r="AG13" s="22">
        <f>CHOOSE(B, "-GLActualYTD(" &amp; $B13 &amp; "," &amp; $D$4 &amp; "," &amp; $V$8&amp; "," &amp; AG$11 &amp; "," &amp; "AccountGroupCode" &amp; "," &amp; "AccountCategoryCode" &amp; "," &amp; $D13 &amp; "," &amp; "AccountType" &amp; "," &amp; "BalanceType" &amp; "," &amp; $D$5 &amp; "," &amp; $D$6 &amp; ")", CellContents, -2508907,25)</f>
        <v>-2508907</v>
      </c>
      <c r="AH13" s="22">
        <f>CHOOSE(B, "-GLActualYTD(" &amp; $B13 &amp; "," &amp; $D$4 &amp; "," &amp; $V$8&amp; "," &amp; AH$11 &amp; "," &amp; "AccountGroupCode" &amp; "," &amp; "AccountCategoryCode" &amp; "," &amp; $D13 &amp; "," &amp; "AccountType" &amp; "," &amp; "BalanceType" &amp; "," &amp; $D$5 &amp; "," &amp; $D$6 &amp; ")", CellContents, -2508907,25)</f>
        <v>-2508907</v>
      </c>
    </row>
    <row r="14" spans="2:34" x14ac:dyDescent="0.3">
      <c r="B14" s="12"/>
    </row>
    <row r="15" spans="2:34" x14ac:dyDescent="0.3">
      <c r="B15" s="20"/>
      <c r="C15" s="21"/>
      <c r="D15" s="27"/>
      <c r="E15" s="27"/>
      <c r="F15" s="27"/>
      <c r="G15" s="27"/>
      <c r="H15" s="27"/>
      <c r="I15" s="27"/>
      <c r="J15" s="27"/>
      <c r="K15" s="27"/>
      <c r="L15" s="27"/>
      <c r="M15" s="27"/>
      <c r="N15" s="27"/>
      <c r="O15" s="27"/>
      <c r="P15" s="27"/>
      <c r="Q15" s="27"/>
    </row>
    <row r="16" spans="2:34" x14ac:dyDescent="0.3">
      <c r="B16" s="20"/>
      <c r="C16" s="21"/>
      <c r="D16" s="27"/>
    </row>
    <row r="17" spans="2:4" x14ac:dyDescent="0.3">
      <c r="B17" s="20"/>
      <c r="C17" s="21"/>
    </row>
    <row r="18" spans="2:4" x14ac:dyDescent="0.3">
      <c r="B18" s="20"/>
      <c r="C18" s="21"/>
      <c r="D18" s="29"/>
    </row>
  </sheetData>
  <mergeCells count="6">
    <mergeCell ref="F10:S10"/>
    <mergeCell ref="U10:AH10"/>
    <mergeCell ref="G3:M6"/>
    <mergeCell ref="B10:B11"/>
    <mergeCell ref="C10:C11"/>
    <mergeCell ref="D10:D11"/>
  </mergeCells>
  <dataValidations count="2">
    <dataValidation type="list" allowBlank="1" showInputMessage="1" sqref="V8 G8">
      <formula1>FiscalYearsTemplate</formula1>
    </dataValidation>
    <dataValidation type="list" allowBlank="1" showInputMessage="1" showErrorMessage="1" sqref="D4">
      <formula1>CompaniesTemplate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AH40"/>
  <sheetViews>
    <sheetView showGridLines="0" zoomScale="90" zoomScaleNormal="90" workbookViewId="0"/>
  </sheetViews>
  <sheetFormatPr defaultRowHeight="16.5" x14ac:dyDescent="0.3"/>
  <cols>
    <col min="1" max="1" width="1.85546875" style="12" customWidth="1"/>
    <col min="2" max="2" width="8.5703125" style="11" customWidth="1"/>
    <col min="3" max="3" width="24.140625" style="12" customWidth="1"/>
    <col min="4" max="4" width="13.42578125" style="12" customWidth="1"/>
    <col min="5" max="5" width="1.7109375" style="12" customWidth="1"/>
    <col min="6" max="17" width="14" style="12" bestFit="1" customWidth="1"/>
    <col min="18" max="18" width="12.140625" style="12" bestFit="1" customWidth="1"/>
    <col min="19" max="19" width="14" style="12" bestFit="1" customWidth="1"/>
    <col min="20" max="20" width="3" style="12" customWidth="1"/>
    <col min="21" max="21" width="14" style="12" bestFit="1" customWidth="1"/>
    <col min="22" max="27" width="14" style="12" customWidth="1"/>
    <col min="28" max="34" width="14" style="12" bestFit="1" customWidth="1"/>
    <col min="35" max="16384" width="9.140625" style="12"/>
  </cols>
  <sheetData>
    <row r="1" spans="2:34" ht="15" customHeight="1" x14ac:dyDescent="0.3"/>
    <row r="2" spans="2:34" ht="33.75" customHeight="1" x14ac:dyDescent="0.7">
      <c r="B2" s="32" t="s">
        <v>37</v>
      </c>
      <c r="C2" s="13" t="str">
        <f>CONCATENATE(D4," - Statement of Cash Flows Details")</f>
        <v>0 - Statement of Cash Flows Details</v>
      </c>
    </row>
    <row r="3" spans="2:34" ht="16.5" customHeight="1" x14ac:dyDescent="0.3">
      <c r="G3" s="60" t="s">
        <v>63</v>
      </c>
      <c r="H3" s="60"/>
      <c r="I3" s="60"/>
      <c r="J3" s="60"/>
      <c r="K3" s="60"/>
      <c r="L3" s="60"/>
      <c r="M3" s="60"/>
    </row>
    <row r="4" spans="2:34" ht="16.5" customHeight="1" x14ac:dyDescent="0.3">
      <c r="C4" s="14" t="s">
        <v>17</v>
      </c>
      <c r="D4" s="31">
        <f>INDEX(Companies,1)</f>
        <v>0</v>
      </c>
      <c r="G4" s="60"/>
      <c r="H4" s="60"/>
      <c r="I4" s="60"/>
      <c r="J4" s="60"/>
      <c r="K4" s="60"/>
      <c r="L4" s="60"/>
      <c r="M4" s="60"/>
    </row>
    <row r="5" spans="2:34" x14ac:dyDescent="0.3">
      <c r="C5" s="14" t="s">
        <v>18</v>
      </c>
      <c r="D5" s="15" t="str">
        <f>CHOOSE(B, "GLHomeCurrency(" &amp; $D$4 &amp; ")", CellContents, "CAD")</f>
        <v>CAD</v>
      </c>
      <c r="G5" s="60"/>
      <c r="H5" s="60"/>
      <c r="I5" s="60"/>
      <c r="J5" s="60"/>
      <c r="K5" s="60"/>
      <c r="L5" s="60"/>
      <c r="M5" s="60"/>
    </row>
    <row r="6" spans="2:34" x14ac:dyDescent="0.3">
      <c r="C6" s="14" t="s">
        <v>19</v>
      </c>
      <c r="D6" s="15" t="s">
        <v>20</v>
      </c>
      <c r="G6" s="60"/>
      <c r="H6" s="60"/>
      <c r="I6" s="60"/>
      <c r="J6" s="60"/>
      <c r="K6" s="60"/>
      <c r="L6" s="60"/>
      <c r="M6" s="60"/>
    </row>
    <row r="7" spans="2:34" ht="7.5" customHeight="1" x14ac:dyDescent="0.3">
      <c r="D7" s="16"/>
      <c r="E7" s="17"/>
    </row>
    <row r="8" spans="2:34" x14ac:dyDescent="0.3">
      <c r="C8" s="11"/>
      <c r="D8" s="11" t="s">
        <v>88</v>
      </c>
      <c r="F8" s="14" t="s">
        <v>22</v>
      </c>
      <c r="G8" s="31">
        <f>CHOOSE(B, "GLCurrentYear(" &amp; $D$4 &amp; ")", CellContents, 2020)</f>
        <v>2020</v>
      </c>
      <c r="U8" s="14" t="s">
        <v>23</v>
      </c>
      <c r="V8" s="31">
        <v>2019</v>
      </c>
    </row>
    <row r="9" spans="2:34" x14ac:dyDescent="0.3">
      <c r="B9" s="61" t="s">
        <v>51</v>
      </c>
      <c r="C9" s="62" t="s">
        <v>8</v>
      </c>
      <c r="D9" s="63" t="s">
        <v>50</v>
      </c>
      <c r="E9" s="19"/>
      <c r="F9" s="59" t="s">
        <v>13</v>
      </c>
      <c r="G9" s="59"/>
      <c r="H9" s="59"/>
      <c r="I9" s="59"/>
      <c r="J9" s="59"/>
      <c r="K9" s="59"/>
      <c r="L9" s="59"/>
      <c r="M9" s="59"/>
      <c r="N9" s="59"/>
      <c r="O9" s="59"/>
      <c r="P9" s="59"/>
      <c r="Q9" s="59"/>
      <c r="R9" s="59"/>
      <c r="S9" s="59"/>
      <c r="T9" s="25"/>
      <c r="U9" s="59" t="s">
        <v>13</v>
      </c>
      <c r="V9" s="59"/>
      <c r="W9" s="59"/>
      <c r="X9" s="59"/>
      <c r="Y9" s="59"/>
      <c r="Z9" s="59"/>
      <c r="AA9" s="59"/>
      <c r="AB9" s="59"/>
      <c r="AC9" s="59"/>
      <c r="AD9" s="59"/>
      <c r="AE9" s="59"/>
      <c r="AF9" s="59"/>
      <c r="AG9" s="59"/>
      <c r="AH9" s="59"/>
    </row>
    <row r="10" spans="2:34" x14ac:dyDescent="0.3">
      <c r="B10" s="61"/>
      <c r="C10" s="62"/>
      <c r="D10" s="63"/>
      <c r="F10" s="30">
        <v>1</v>
      </c>
      <c r="G10" s="30">
        <v>2</v>
      </c>
      <c r="H10" s="30">
        <v>3</v>
      </c>
      <c r="I10" s="30">
        <v>4</v>
      </c>
      <c r="J10" s="30">
        <v>5</v>
      </c>
      <c r="K10" s="30">
        <v>6</v>
      </c>
      <c r="L10" s="30">
        <v>7</v>
      </c>
      <c r="M10" s="30">
        <v>8</v>
      </c>
      <c r="N10" s="30">
        <v>9</v>
      </c>
      <c r="O10" s="30">
        <v>10</v>
      </c>
      <c r="P10" s="30">
        <v>11</v>
      </c>
      <c r="Q10" s="30">
        <v>12</v>
      </c>
      <c r="R10" s="30">
        <v>13</v>
      </c>
      <c r="S10" s="30">
        <v>14</v>
      </c>
      <c r="T10" s="25"/>
      <c r="U10" s="30">
        <v>1</v>
      </c>
      <c r="V10" s="30">
        <v>2</v>
      </c>
      <c r="W10" s="30">
        <v>3</v>
      </c>
      <c r="X10" s="30">
        <v>4</v>
      </c>
      <c r="Y10" s="30">
        <v>5</v>
      </c>
      <c r="Z10" s="30">
        <v>6</v>
      </c>
      <c r="AA10" s="30">
        <v>7</v>
      </c>
      <c r="AB10" s="30">
        <v>8</v>
      </c>
      <c r="AC10" s="30">
        <v>9</v>
      </c>
      <c r="AD10" s="30">
        <v>10</v>
      </c>
      <c r="AE10" s="30">
        <v>11</v>
      </c>
      <c r="AF10" s="30">
        <v>12</v>
      </c>
      <c r="AG10" s="30">
        <v>13</v>
      </c>
      <c r="AH10" s="30">
        <v>14</v>
      </c>
    </row>
    <row r="11" spans="2:34" ht="7.5" customHeight="1" x14ac:dyDescent="0.3">
      <c r="C11" s="11"/>
      <c r="D11" s="11"/>
    </row>
    <row r="12" spans="2:34" x14ac:dyDescent="0.3">
      <c r="C12" s="21" t="s">
        <v>28</v>
      </c>
      <c r="D12" s="21"/>
    </row>
    <row r="13" spans="2:34" ht="7.5" customHeight="1" x14ac:dyDescent="0.3"/>
    <row r="14" spans="2:34" x14ac:dyDescent="0.3">
      <c r="B14" s="20" t="s">
        <v>34</v>
      </c>
      <c r="C14" s="21" t="s">
        <v>29</v>
      </c>
      <c r="D14" s="21"/>
      <c r="F14" s="22">
        <f>CHOOSE(B, "-GLActualYTD(" &amp; "Account" &amp; "," &amp; $D$4 &amp; "," &amp; $G$8 &amp; "," &amp; F$10 &amp; "," &amp; "AccountGroupCode" &amp; "," &amp; "AccountCategoryCode" &amp; "," &amp; "AccountStructureCode" &amp; "," &amp; $B$14 &amp; "," &amp; "BalanceType" &amp; "," &amp; $D$5 &amp; "," &amp; $D$6 &amp; ")", CellContents, 88110,4800000002)</f>
        <v>88110</v>
      </c>
      <c r="G14" s="22">
        <f>CHOOSE(B, "-GLActualYTD(" &amp; "Account" &amp; "," &amp; $D$4 &amp; "," &amp; $G$8 &amp; "," &amp; G$10 &amp; "," &amp; "AccountGroupCode" &amp; "," &amp; "AccountCategoryCode" &amp; "," &amp; "AccountStructureCode" &amp; "," &amp; $B$14 &amp; "," &amp; "BalanceType" &amp; "," &amp; $D$5 &amp; "," &amp; $D$6 &amp; ")", CellContents, 272489,47)</f>
        <v>272489</v>
      </c>
      <c r="H14" s="22">
        <f>CHOOSE(B, "-GLActualYTD(" &amp; "Account" &amp; "," &amp; $D$4 &amp; "," &amp; $G$8 &amp; "," &amp; H$10 &amp; "," &amp; "AccountGroupCode" &amp; "," &amp; "AccountCategoryCode" &amp; "," &amp; "AccountStructureCode" &amp; "," &amp; $B$14 &amp; "," &amp; "BalanceType" &amp; "," &amp; $D$5 &amp; "," &amp; $D$6 &amp; ")", CellContents, 499192,22)</f>
        <v>499192</v>
      </c>
      <c r="I14" s="22">
        <f>CHOOSE(B, "-GLActualYTD(" &amp; "Account" &amp; "," &amp; $D$4 &amp; "," &amp; $G$8 &amp; "," &amp; I$10 &amp; "," &amp; "AccountGroupCode" &amp; "," &amp; "AccountCategoryCode" &amp; "," &amp; "AccountStructureCode" &amp; "," &amp; $B$14 &amp; "," &amp; "BalanceType" &amp; "," &amp; $D$5 &amp; "," &amp; $D$6 &amp; ")", CellContents, 685198,240000001)</f>
        <v>685198</v>
      </c>
      <c r="J14" s="22">
        <f>CHOOSE(B, "-GLActualYTD(" &amp; "Account" &amp; "," &amp; $D$4 &amp; "," &amp; $G$8 &amp; "," &amp; J$10 &amp; "," &amp; "AccountGroupCode" &amp; "," &amp; "AccountCategoryCode" &amp; "," &amp; "AccountStructureCode" &amp; "," &amp; $B$14 &amp; "," &amp; "BalanceType" &amp; "," &amp; $D$5 &amp; "," &amp; $D$6 &amp; ")", CellContents, 1003523,2)</f>
        <v>1003523</v>
      </c>
      <c r="K14" s="22">
        <f>CHOOSE(B, "-GLActualYTD(" &amp; "Account" &amp; "," &amp; $D$4 &amp; "," &amp; $G$8 &amp; "," &amp; K$10 &amp; "," &amp; "AccountGroupCode" &amp; "," &amp; "AccountCategoryCode" &amp; "," &amp; "AccountStructureCode" &amp; "," &amp; $B$14 &amp; "," &amp; "BalanceType" &amp; "," &amp; $D$5 &amp; "," &amp; $D$6 &amp; ")", CellContents, 1006468,77)</f>
        <v>1006468</v>
      </c>
      <c r="L14" s="22">
        <f>CHOOSE(B, "-GLActualYTD(" &amp; "Account" &amp; "," &amp; $D$4 &amp; "," &amp; $G$8 &amp; "," &amp; L$10 &amp; "," &amp; "AccountGroupCode" &amp; "," &amp; "AccountCategoryCode" &amp; "," &amp; "AccountStructureCode" &amp; "," &amp; $B$14 &amp; "," &amp; "BalanceType" &amp; "," &amp; $D$5 &amp; "," &amp; $D$6 &amp; ")", CellContents, 990651,810000002)</f>
        <v>990651</v>
      </c>
      <c r="M14" s="22">
        <f t="shared" ref="M14:S14" si="0">CHOOSE(B, "-GLActualYTD(" &amp; "Account" &amp; "," &amp; $D$4 &amp; "," &amp; $G$8 &amp; "," &amp; M$10 &amp; "," &amp; "AccountGroupCode" &amp; "," &amp; "AccountCategoryCode" &amp; "," &amp; "AccountStructureCode" &amp; "," &amp; $B$14 &amp; "," &amp; "BalanceType" &amp; "," &amp; $D$5 &amp; "," &amp; $D$6 &amp; ")", CellContents, 991071,480000002)</f>
        <v>991071</v>
      </c>
      <c r="N14" s="22">
        <f t="shared" si="0"/>
        <v>991071</v>
      </c>
      <c r="O14" s="22">
        <f t="shared" si="0"/>
        <v>991071</v>
      </c>
      <c r="P14" s="22">
        <f t="shared" si="0"/>
        <v>991071</v>
      </c>
      <c r="Q14" s="22">
        <f t="shared" si="0"/>
        <v>991071</v>
      </c>
      <c r="R14" s="22">
        <f t="shared" si="0"/>
        <v>991071</v>
      </c>
      <c r="S14" s="22">
        <f t="shared" si="0"/>
        <v>991071</v>
      </c>
      <c r="T14" s="26"/>
      <c r="U14" s="22">
        <f>CHOOSE(B, "-GLActualYTD(" &amp; "Account" &amp; "," &amp; $D$4 &amp; "," &amp; $V$8 &amp; "," &amp; U$10 &amp; "," &amp; "AccountGroupCode" &amp; "," &amp; "AccountCategoryCode" &amp; "," &amp; "AccountStructureCode" &amp; "," &amp; $B$14 &amp; "," &amp; "BalanceType" &amp; "," &amp; $D$5 &amp; "," &amp; $D$6 &amp; ")", CellContents, -7618833,14)</f>
        <v>-7618833</v>
      </c>
      <c r="V14" s="22">
        <f>CHOOSE(B, "-GLActualYTD(" &amp; "Account" &amp; "," &amp; $D$4 &amp; "," &amp; $V$8 &amp; "," &amp; V$10 &amp; "," &amp; "AccountGroupCode" &amp; "," &amp; "AccountCategoryCode" &amp; "," &amp; "AccountStructureCode" &amp; "," &amp; $B$14 &amp; "," &amp; "BalanceType" &amp; "," &amp; $D$5 &amp; "," &amp; $D$6 &amp; ")", CellContents, -6355068,74)</f>
        <v>-6355068</v>
      </c>
      <c r="W14" s="22">
        <f>CHOOSE(B, "-GLActualYTD(" &amp; "Account" &amp; "," &amp; $D$4 &amp; "," &amp; $V$8 &amp; "," &amp; W$10 &amp; "," &amp; "AccountGroupCode" &amp; "," &amp; "AccountCategoryCode" &amp; "," &amp; "AccountStructureCode" &amp; "," &amp; $B$14 &amp; "," &amp; "BalanceType" &amp; "," &amp; $D$5 &amp; "," &amp; $D$6 &amp; ")", CellContents, -5227390,39)</f>
        <v>-5227390</v>
      </c>
      <c r="X14" s="22">
        <f>CHOOSE(B, "-GLActualYTD(" &amp; "Account" &amp; "," &amp; $D$4 &amp; "," &amp; $V$8 &amp; "," &amp; X$10 &amp; "," &amp; "AccountGroupCode" &amp; "," &amp; "AccountCategoryCode" &amp; "," &amp; "AccountStructureCode" &amp; "," &amp; $B$14 &amp; "," &amp; "BalanceType" &amp; "," &amp; $D$5 &amp; "," &amp; $D$6 &amp; ")", CellContents, -4973163,91)</f>
        <v>-4973163</v>
      </c>
      <c r="Y14" s="22">
        <f>CHOOSE(B, "-GLActualYTD(" &amp; "Account" &amp; "," &amp; $D$4 &amp; "," &amp; $V$8 &amp; "," &amp; Y$10 &amp; "," &amp; "AccountGroupCode" &amp; "," &amp; "AccountCategoryCode" &amp; "," &amp; "AccountStructureCode" &amp; "," &amp; $B$14 &amp; "," &amp; "BalanceType" &amp; "," &amp; $D$5 &amp; "," &amp; $D$6 &amp; ")", CellContents, -4500548,53)</f>
        <v>-4500548</v>
      </c>
      <c r="Z14" s="22">
        <f>CHOOSE(B, "-GLActualYTD(" &amp; "Account" &amp; "," &amp; $D$4 &amp; "," &amp; $V$8 &amp; "," &amp; Z$10 &amp; "," &amp; "AccountGroupCode" &amp; "," &amp; "AccountCategoryCode" &amp; "," &amp; "AccountStructureCode" &amp; "," &amp; $B$14 &amp; "," &amp; "BalanceType" &amp; "," &amp; $D$5 &amp; "," &amp; $D$6 &amp; ")", CellContents, -4337802,98)</f>
        <v>-4337802</v>
      </c>
      <c r="AA14" s="22">
        <f>CHOOSE(B, "-GLActualYTD(" &amp; "Account" &amp; "," &amp; $D$4 &amp; "," &amp; $V$8 &amp; "," &amp; AA$10 &amp; "," &amp; "AccountGroupCode" &amp; "," &amp; "AccountCategoryCode" &amp; "," &amp; "AccountStructureCode" &amp; "," &amp; $B$14 &amp; "," &amp; "BalanceType" &amp; "," &amp; $D$5 &amp; "," &amp; $D$6 &amp; ")", CellContents, -4175368,79)</f>
        <v>-4175368</v>
      </c>
      <c r="AB14" s="22">
        <f>CHOOSE(B, "-GLActualYTD(" &amp; "Account" &amp; "," &amp; $D$4 &amp; "," &amp; $V$8 &amp; "," &amp; AB$10 &amp; "," &amp; "AccountGroupCode" &amp; "," &amp; "AccountCategoryCode" &amp; "," &amp; "AccountStructureCode" &amp; "," &amp; $B$14 &amp; "," &amp; "BalanceType" &amp; "," &amp; $D$5 &amp; "," &amp; $D$6 &amp; ")", CellContents, -3971764,5)</f>
        <v>-3971764</v>
      </c>
      <c r="AC14" s="22">
        <f>CHOOSE(B, "-GLActualYTD(" &amp; "Account" &amp; "," &amp; $D$4 &amp; "," &amp; $V$8 &amp; "," &amp; AC$10 &amp; "," &amp; "AccountGroupCode" &amp; "," &amp; "AccountCategoryCode" &amp; "," &amp; "AccountStructureCode" &amp; "," &amp; $B$14 &amp; "," &amp; "BalanceType" &amp; "," &amp; $D$5 &amp; "," &amp; $D$6 &amp; ")", CellContents, -3790754,94)</f>
        <v>-3790754</v>
      </c>
      <c r="AD14" s="22">
        <f>CHOOSE(B, "-GLActualYTD(" &amp; "Account" &amp; "," &amp; $D$4 &amp; "," &amp; $V$8 &amp; "," &amp; AD$10 &amp; "," &amp; "AccountGroupCode" &amp; "," &amp; "AccountCategoryCode" &amp; "," &amp; "AccountStructureCode" &amp; "," &amp; $B$14 &amp; "," &amp; "BalanceType" &amp; "," &amp; $D$5 &amp; "," &amp; $D$6 &amp; ")", CellContents, -3607621,68)</f>
        <v>-3607621</v>
      </c>
      <c r="AE14" s="22">
        <f>CHOOSE(B, "-GLActualYTD(" &amp; "Account" &amp; "," &amp; $D$4 &amp; "," &amp; $V$8 &amp; "," &amp; AE$10 &amp; "," &amp; "AccountGroupCode" &amp; "," &amp; "AccountCategoryCode" &amp; "," &amp; "AccountStructureCode" &amp; "," &amp; $B$14 &amp; "," &amp; "BalanceType" &amp; "," &amp; $D$5 &amp; "," &amp; $D$6 &amp; ")", CellContents, -3437050,35)</f>
        <v>-3437050</v>
      </c>
      <c r="AF14" s="22">
        <f>CHOOSE(B, "-GLActualYTD(" &amp; "Account" &amp; "," &amp; $D$4 &amp; "," &amp; $V$8 &amp; "," &amp; AF$10 &amp; "," &amp; "AccountGroupCode" &amp; "," &amp; "AccountCategoryCode" &amp; "," &amp; "AccountStructureCode" &amp; "," &amp; $B$14 &amp; "," &amp; "BalanceType" &amp; "," &amp; $D$5 &amp; "," &amp; $D$6 &amp; ")", CellContents, -3222421,5)</f>
        <v>-3222421</v>
      </c>
      <c r="AG14" s="22">
        <f>CHOOSE(B, "-GLActualYTD(" &amp; "Account" &amp; "," &amp; $D$4 &amp; "," &amp; $V$8 &amp; "," &amp; AG$10 &amp; "," &amp; "AccountGroupCode" &amp; "," &amp; "AccountCategoryCode" &amp; "," &amp; "AccountStructureCode" &amp; "," &amp; $B$14 &amp; "," &amp; "BalanceType" &amp; "," &amp; $D$5 &amp; "," &amp; $D$6 &amp; ")", CellContents, -3222421,5)</f>
        <v>-3222421</v>
      </c>
      <c r="AH14" s="22">
        <f>CHOOSE(B, "-GLActualYTD(" &amp; "Account" &amp; "," &amp; $D$4 &amp; "," &amp; $V$8 &amp; "," &amp; AH$10 &amp; "," &amp; "AccountGroupCode" &amp; "," &amp; "AccountCategoryCode" &amp; "," &amp; "AccountStructureCode" &amp; "," &amp; $B$14 &amp; "," &amp; "BalanceType" &amp; "," &amp; $D$5 &amp; "," &amp; $D$6 &amp; ")", CellContents, -3222421,5)</f>
        <v>-3222421</v>
      </c>
    </row>
    <row r="15" spans="2:34" ht="7.5" customHeight="1" x14ac:dyDescent="0.3">
      <c r="C15" s="21"/>
      <c r="D15" s="21"/>
      <c r="F15" s="22"/>
      <c r="G15" s="26"/>
      <c r="H15" s="26"/>
      <c r="I15" s="26"/>
      <c r="J15" s="26"/>
      <c r="K15" s="26"/>
      <c r="L15" s="26"/>
      <c r="M15" s="26"/>
      <c r="N15" s="26"/>
      <c r="O15" s="26"/>
      <c r="P15" s="26"/>
      <c r="Q15" s="26"/>
      <c r="R15" s="26"/>
      <c r="S15" s="26"/>
      <c r="T15" s="26"/>
      <c r="U15" s="22"/>
      <c r="V15" s="26"/>
      <c r="W15" s="26"/>
      <c r="X15" s="26"/>
      <c r="Y15" s="26"/>
      <c r="Z15" s="26"/>
      <c r="AA15" s="26"/>
      <c r="AB15" s="26"/>
      <c r="AC15" s="26"/>
      <c r="AD15" s="26"/>
      <c r="AE15" s="26"/>
      <c r="AF15" s="26"/>
      <c r="AG15" s="26"/>
      <c r="AH15" s="26"/>
    </row>
    <row r="16" spans="2:34" x14ac:dyDescent="0.3">
      <c r="B16" s="20"/>
      <c r="C16" s="21" t="s">
        <v>30</v>
      </c>
      <c r="D16" s="21"/>
      <c r="F16" s="22">
        <f>SUM(F18:F23)</f>
        <v>0</v>
      </c>
      <c r="G16" s="22">
        <f t="shared" ref="G16:S16" si="1">SUM(G18:G22)</f>
        <v>0</v>
      </c>
      <c r="H16" s="22">
        <f t="shared" si="1"/>
        <v>0</v>
      </c>
      <c r="I16" s="22">
        <f t="shared" si="1"/>
        <v>0</v>
      </c>
      <c r="J16" s="22">
        <f t="shared" si="1"/>
        <v>0</v>
      </c>
      <c r="K16" s="22">
        <f t="shared" si="1"/>
        <v>0</v>
      </c>
      <c r="L16" s="22">
        <f t="shared" si="1"/>
        <v>0</v>
      </c>
      <c r="M16" s="22">
        <f t="shared" si="1"/>
        <v>0</v>
      </c>
      <c r="N16" s="22">
        <f t="shared" si="1"/>
        <v>0</v>
      </c>
      <c r="O16" s="22">
        <f t="shared" si="1"/>
        <v>0</v>
      </c>
      <c r="P16" s="22">
        <f t="shared" si="1"/>
        <v>0</v>
      </c>
      <c r="Q16" s="22">
        <f t="shared" si="1"/>
        <v>0</v>
      </c>
      <c r="R16" s="22">
        <f t="shared" si="1"/>
        <v>0</v>
      </c>
      <c r="S16" s="22">
        <f t="shared" si="1"/>
        <v>0</v>
      </c>
      <c r="T16" s="26"/>
      <c r="U16" s="22">
        <f>SUM(U18:U23)</f>
        <v>0</v>
      </c>
      <c r="V16" s="22">
        <f t="shared" ref="V16:AH16" si="2">SUM(V18:V22)</f>
        <v>0</v>
      </c>
      <c r="W16" s="22">
        <f t="shared" si="2"/>
        <v>0</v>
      </c>
      <c r="X16" s="22">
        <f t="shared" si="2"/>
        <v>0</v>
      </c>
      <c r="Y16" s="22">
        <f t="shared" si="2"/>
        <v>0</v>
      </c>
      <c r="Z16" s="22">
        <f t="shared" si="2"/>
        <v>0</v>
      </c>
      <c r="AA16" s="22">
        <f t="shared" si="2"/>
        <v>0</v>
      </c>
      <c r="AB16" s="22">
        <f t="shared" si="2"/>
        <v>0</v>
      </c>
      <c r="AC16" s="22">
        <f t="shared" si="2"/>
        <v>0</v>
      </c>
      <c r="AD16" s="22">
        <f t="shared" si="2"/>
        <v>0</v>
      </c>
      <c r="AE16" s="22">
        <f t="shared" si="2"/>
        <v>0</v>
      </c>
      <c r="AF16" s="22">
        <f t="shared" si="2"/>
        <v>0</v>
      </c>
      <c r="AG16" s="22">
        <f t="shared" si="2"/>
        <v>0</v>
      </c>
      <c r="AH16" s="22">
        <f t="shared" si="2"/>
        <v>0</v>
      </c>
    </row>
    <row r="17" spans="2:34" ht="7.5" customHeight="1" x14ac:dyDescent="0.3">
      <c r="B17" s="20"/>
      <c r="F17" s="22"/>
      <c r="G17" s="26"/>
      <c r="H17" s="26"/>
      <c r="I17" s="26"/>
      <c r="J17" s="26"/>
      <c r="K17" s="26"/>
      <c r="L17" s="26"/>
      <c r="M17" s="26"/>
      <c r="N17" s="26"/>
      <c r="O17" s="26"/>
      <c r="P17" s="26"/>
      <c r="Q17" s="26"/>
      <c r="R17" s="26"/>
      <c r="S17" s="26"/>
      <c r="T17" s="26"/>
      <c r="U17" s="22"/>
      <c r="V17" s="26"/>
      <c r="W17" s="26"/>
      <c r="X17" s="26"/>
      <c r="Y17" s="26"/>
      <c r="Z17" s="26"/>
      <c r="AA17" s="26"/>
      <c r="AB17" s="26"/>
      <c r="AC17" s="26"/>
      <c r="AD17" s="26"/>
      <c r="AE17" s="26"/>
      <c r="AF17" s="26"/>
      <c r="AG17" s="26"/>
      <c r="AH17" s="26"/>
    </row>
    <row r="18" spans="2:34" x14ac:dyDescent="0.3">
      <c r="B18" s="20" t="s">
        <v>52</v>
      </c>
      <c r="C18" s="21" t="s">
        <v>21</v>
      </c>
      <c r="D18" s="21" t="s">
        <v>53</v>
      </c>
      <c r="F18" s="22">
        <f t="shared" ref="F18:S18" si="3">CHOOSE(B, "-GLActualYTD(" &amp; $B18 &amp; "," &amp; $D$4 &amp; "," &amp; $G$8 &amp; "," &amp; F$10 &amp; "," &amp; "AccountGroupCode" &amp; "," &amp; "AccountCategoryCode" &amp; "," &amp; $D18 &amp; "," &amp; "AccountType" &amp; "," &amp; "BalanceType" &amp; "," &amp; $D$5 &amp; "," &amp; $D$6 &amp; ")", CellContents, 0)</f>
        <v>0</v>
      </c>
      <c r="G18" s="22">
        <f t="shared" si="3"/>
        <v>0</v>
      </c>
      <c r="H18" s="22">
        <f t="shared" si="3"/>
        <v>0</v>
      </c>
      <c r="I18" s="22">
        <f t="shared" si="3"/>
        <v>0</v>
      </c>
      <c r="J18" s="22">
        <f t="shared" si="3"/>
        <v>0</v>
      </c>
      <c r="K18" s="22">
        <f t="shared" si="3"/>
        <v>0</v>
      </c>
      <c r="L18" s="22">
        <f t="shared" si="3"/>
        <v>0</v>
      </c>
      <c r="M18" s="22">
        <f t="shared" si="3"/>
        <v>0</v>
      </c>
      <c r="N18" s="22">
        <f t="shared" si="3"/>
        <v>0</v>
      </c>
      <c r="O18" s="22">
        <f t="shared" si="3"/>
        <v>0</v>
      </c>
      <c r="P18" s="22">
        <f t="shared" si="3"/>
        <v>0</v>
      </c>
      <c r="Q18" s="22">
        <f t="shared" si="3"/>
        <v>0</v>
      </c>
      <c r="R18" s="22">
        <f t="shared" si="3"/>
        <v>0</v>
      </c>
      <c r="S18" s="22">
        <f t="shared" si="3"/>
        <v>0</v>
      </c>
      <c r="T18" s="26"/>
      <c r="U18" s="22">
        <f t="shared" ref="U18:AH18" si="4">CHOOSE(B, "-GLActualYTD(" &amp; $B18 &amp; "," &amp; $D$4 &amp; "," &amp; $G$8 &amp; "," &amp; U$10 &amp; "," &amp; "AccountGroupCode" &amp; "," &amp; "AccountCategoryCode" &amp; "," &amp; $D18 &amp; "," &amp; "AccountType" &amp; "," &amp; "BalanceType" &amp; "," &amp; $D$5 &amp; "," &amp; $D$6 &amp; ")", CellContents, 0)</f>
        <v>0</v>
      </c>
      <c r="V18" s="22">
        <f t="shared" si="4"/>
        <v>0</v>
      </c>
      <c r="W18" s="22">
        <f t="shared" si="4"/>
        <v>0</v>
      </c>
      <c r="X18" s="22">
        <f t="shared" si="4"/>
        <v>0</v>
      </c>
      <c r="Y18" s="22">
        <f t="shared" si="4"/>
        <v>0</v>
      </c>
      <c r="Z18" s="22">
        <f t="shared" si="4"/>
        <v>0</v>
      </c>
      <c r="AA18" s="22">
        <f t="shared" si="4"/>
        <v>0</v>
      </c>
      <c r="AB18" s="22">
        <f t="shared" si="4"/>
        <v>0</v>
      </c>
      <c r="AC18" s="22">
        <f t="shared" si="4"/>
        <v>0</v>
      </c>
      <c r="AD18" s="22">
        <f t="shared" si="4"/>
        <v>0</v>
      </c>
      <c r="AE18" s="22">
        <f t="shared" si="4"/>
        <v>0</v>
      </c>
      <c r="AF18" s="22">
        <f t="shared" si="4"/>
        <v>0</v>
      </c>
      <c r="AG18" s="22">
        <f t="shared" si="4"/>
        <v>0</v>
      </c>
      <c r="AH18" s="22">
        <f t="shared" si="4"/>
        <v>0</v>
      </c>
    </row>
    <row r="19" spans="2:34" customFormat="1" ht="14.25" x14ac:dyDescent="0.25"/>
    <row r="20" spans="2:34" customFormat="1" ht="14.25" x14ac:dyDescent="0.25"/>
    <row r="21" spans="2:34" customFormat="1" ht="14.25" x14ac:dyDescent="0.25"/>
    <row r="22" spans="2:34" customFormat="1" ht="14.25" x14ac:dyDescent="0.25"/>
    <row r="23" spans="2:34" customFormat="1" ht="7.5" customHeight="1" x14ac:dyDescent="0.25"/>
    <row r="24" spans="2:34" customFormat="1" ht="14.25" x14ac:dyDescent="0.25"/>
    <row r="25" spans="2:34" customFormat="1" ht="14.25" x14ac:dyDescent="0.25"/>
    <row r="26" spans="2:34" x14ac:dyDescent="0.3">
      <c r="D26" s="27"/>
    </row>
    <row r="27" spans="2:34" x14ac:dyDescent="0.3">
      <c r="D27" s="27"/>
    </row>
    <row r="28" spans="2:34" x14ac:dyDescent="0.3">
      <c r="D28" s="27"/>
    </row>
    <row r="29" spans="2:34" x14ac:dyDescent="0.3">
      <c r="D29" s="27"/>
    </row>
    <row r="30" spans="2:34" x14ac:dyDescent="0.3">
      <c r="D30" s="27"/>
    </row>
    <row r="31" spans="2:34" x14ac:dyDescent="0.3">
      <c r="D31" s="27"/>
    </row>
    <row r="32" spans="2:34" x14ac:dyDescent="0.3">
      <c r="D32" s="27"/>
    </row>
    <row r="33" spans="4:4" x14ac:dyDescent="0.3">
      <c r="D33" s="27"/>
    </row>
    <row r="34" spans="4:4" x14ac:dyDescent="0.3">
      <c r="D34" s="27"/>
    </row>
    <row r="35" spans="4:4" x14ac:dyDescent="0.3">
      <c r="D35" s="27"/>
    </row>
    <row r="36" spans="4:4" x14ac:dyDescent="0.3">
      <c r="D36" s="27"/>
    </row>
    <row r="37" spans="4:4" x14ac:dyDescent="0.3">
      <c r="D37" s="27"/>
    </row>
    <row r="38" spans="4:4" x14ac:dyDescent="0.3">
      <c r="D38" s="27"/>
    </row>
    <row r="39" spans="4:4" x14ac:dyDescent="0.3">
      <c r="D39" s="27"/>
    </row>
    <row r="40" spans="4:4" x14ac:dyDescent="0.3">
      <c r="D40" s="27"/>
    </row>
  </sheetData>
  <mergeCells count="6">
    <mergeCell ref="G3:M6"/>
    <mergeCell ref="F9:S9"/>
    <mergeCell ref="U9:AH9"/>
    <mergeCell ref="D9:D10"/>
    <mergeCell ref="B9:B10"/>
    <mergeCell ref="C9:C10"/>
  </mergeCells>
  <dataValidations count="2">
    <dataValidation type="list" allowBlank="1" showInputMessage="1" sqref="V8 G8">
      <formula1>FiscalYearsTemplate</formula1>
    </dataValidation>
    <dataValidation type="list" allowBlank="1" showInputMessage="1" showErrorMessage="1" sqref="D4">
      <formula1>CompaniesTemplate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zoomScale="90" zoomScaleNormal="90" workbookViewId="0">
      <selection activeCell="B4" sqref="B4"/>
    </sheetView>
  </sheetViews>
  <sheetFormatPr defaultRowHeight="14.25" x14ac:dyDescent="0.25"/>
  <cols>
    <col min="1" max="1" width="7" style="5" customWidth="1"/>
    <col min="2" max="2" width="28.5703125" style="5" customWidth="1"/>
    <col min="3" max="3" width="20.85546875" style="5" customWidth="1"/>
    <col min="4" max="4" width="21.140625" style="5" bestFit="1" customWidth="1"/>
    <col min="5" max="5" width="15.28515625" style="5" bestFit="1" customWidth="1"/>
    <col min="6" max="6" width="14.5703125" style="5" bestFit="1" customWidth="1"/>
    <col min="7" max="7" width="21.42578125" style="5" bestFit="1" customWidth="1"/>
    <col min="8" max="8" width="27.5703125" style="5" bestFit="1" customWidth="1"/>
    <col min="9" max="16384" width="9.140625" style="5"/>
  </cols>
  <sheetData>
    <row r="1" spans="1:8" ht="38.25" x14ac:dyDescent="0.65">
      <c r="A1" s="32" t="s">
        <v>37</v>
      </c>
      <c r="B1" s="7" t="s">
        <v>7</v>
      </c>
      <c r="C1" s="8"/>
      <c r="D1" s="6"/>
      <c r="E1" s="6"/>
    </row>
    <row r="2" spans="1:8" ht="17.25" customHeight="1" x14ac:dyDescent="0.25">
      <c r="B2" s="4" t="s">
        <v>9</v>
      </c>
      <c r="C2" s="8"/>
      <c r="D2" s="6"/>
      <c r="E2" s="6"/>
    </row>
    <row r="3" spans="1:8" ht="15.75" x14ac:dyDescent="0.25">
      <c r="B3" s="9" t="s">
        <v>10</v>
      </c>
      <c r="C3" s="10" t="s">
        <v>11</v>
      </c>
      <c r="D3" s="9" t="s">
        <v>8</v>
      </c>
      <c r="E3" s="9" t="s">
        <v>58</v>
      </c>
      <c r="F3" s="9" t="s">
        <v>12</v>
      </c>
      <c r="G3" s="9" t="s">
        <v>59</v>
      </c>
      <c r="H3" s="9" t="s">
        <v>60</v>
      </c>
    </row>
    <row r="4" spans="1:8" x14ac:dyDescent="0.25">
      <c r="C4" s="6"/>
    </row>
    <row r="5" spans="1:8" x14ac:dyDescent="0.25">
      <c r="C5" s="6"/>
    </row>
    <row r="6" spans="1:8" x14ac:dyDescent="0.25">
      <c r="C6" s="6"/>
    </row>
    <row r="7" spans="1:8" x14ac:dyDescent="0.25">
      <c r="C7" s="6"/>
    </row>
    <row r="8" spans="1:8" x14ac:dyDescent="0.25">
      <c r="C8" s="6"/>
    </row>
    <row r="9" spans="1:8" x14ac:dyDescent="0.25">
      <c r="C9" s="6"/>
    </row>
    <row r="10" spans="1:8" x14ac:dyDescent="0.25">
      <c r="C10" s="6"/>
    </row>
    <row r="11" spans="1:8" x14ac:dyDescent="0.25">
      <c r="C11" s="6"/>
    </row>
    <row r="12" spans="1:8" x14ac:dyDescent="0.25">
      <c r="C12" s="6"/>
    </row>
    <row r="13" spans="1:8" x14ac:dyDescent="0.25">
      <c r="C13" s="6"/>
    </row>
    <row r="14" spans="1:8" x14ac:dyDescent="0.25">
      <c r="C14" s="6"/>
    </row>
    <row r="15" spans="1:8" x14ac:dyDescent="0.25">
      <c r="C15" s="6"/>
    </row>
    <row r="16" spans="1:8" x14ac:dyDescent="0.25">
      <c r="C16" s="6"/>
    </row>
    <row r="17" spans="3:3" x14ac:dyDescent="0.25">
      <c r="C17" s="6"/>
    </row>
    <row r="18" spans="3:3" x14ac:dyDescent="0.25">
      <c r="C18" s="6"/>
    </row>
    <row r="19" spans="3:3" x14ac:dyDescent="0.25">
      <c r="C19" s="6"/>
    </row>
    <row r="20" spans="3:3" x14ac:dyDescent="0.25">
      <c r="C20" s="6"/>
    </row>
    <row r="21" spans="3:3" x14ac:dyDescent="0.25">
      <c r="C21" s="6"/>
    </row>
    <row r="22" spans="3:3" x14ac:dyDescent="0.25">
      <c r="C22" s="6"/>
    </row>
    <row r="23" spans="3:3" x14ac:dyDescent="0.25">
      <c r="C23" s="6"/>
    </row>
    <row r="24" spans="3:3" x14ac:dyDescent="0.25">
      <c r="C24" s="6"/>
    </row>
    <row r="25" spans="3:3" x14ac:dyDescent="0.25">
      <c r="C25" s="6"/>
    </row>
    <row r="26" spans="3:3" x14ac:dyDescent="0.25">
      <c r="C26" s="6"/>
    </row>
    <row r="27" spans="3:3" x14ac:dyDescent="0.25">
      <c r="C27" s="6"/>
    </row>
    <row r="28" spans="3:3" x14ac:dyDescent="0.25">
      <c r="C28" s="6"/>
    </row>
    <row r="29" spans="3:3" x14ac:dyDescent="0.25">
      <c r="C29" s="6"/>
    </row>
    <row r="30" spans="3:3" x14ac:dyDescent="0.25">
      <c r="C30" s="6"/>
    </row>
    <row r="31" spans="3:3" x14ac:dyDescent="0.25">
      <c r="C31" s="6"/>
    </row>
    <row r="32" spans="3:3" x14ac:dyDescent="0.25">
      <c r="C32" s="6"/>
    </row>
    <row r="33" spans="3:3" x14ac:dyDescent="0.25">
      <c r="C33" s="6"/>
    </row>
    <row r="34" spans="3:3" x14ac:dyDescent="0.25">
      <c r="C34" s="6"/>
    </row>
    <row r="35" spans="3:3" x14ac:dyDescent="0.25">
      <c r="C35" s="6"/>
    </row>
    <row r="36" spans="3:3" x14ac:dyDescent="0.25">
      <c r="C36" s="6"/>
    </row>
    <row r="37" spans="3:3" x14ac:dyDescent="0.25">
      <c r="C37" s="6"/>
    </row>
    <row r="38" spans="3:3" x14ac:dyDescent="0.25">
      <c r="C38" s="6"/>
    </row>
    <row r="39" spans="3:3" x14ac:dyDescent="0.25">
      <c r="C39" s="6"/>
    </row>
    <row r="40" spans="3:3" x14ac:dyDescent="0.25">
      <c r="C40" s="6"/>
    </row>
    <row r="41" spans="3:3" x14ac:dyDescent="0.25">
      <c r="C41" s="6"/>
    </row>
    <row r="42" spans="3:3" x14ac:dyDescent="0.25">
      <c r="C42" s="6"/>
    </row>
    <row r="43" spans="3:3" x14ac:dyDescent="0.25">
      <c r="C43" s="6"/>
    </row>
    <row r="44" spans="3:3" x14ac:dyDescent="0.25">
      <c r="C44" s="6"/>
    </row>
    <row r="45" spans="3:3" x14ac:dyDescent="0.25">
      <c r="C45" s="6"/>
    </row>
    <row r="46" spans="3:3" x14ac:dyDescent="0.25">
      <c r="C46" s="6"/>
    </row>
    <row r="47" spans="3:3" x14ac:dyDescent="0.25">
      <c r="C47"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62" spans="3:3" x14ac:dyDescent="0.25">
      <c r="C62" s="6"/>
    </row>
    <row r="63" spans="3:3" x14ac:dyDescent="0.25">
      <c r="C63" s="6"/>
    </row>
    <row r="64" spans="3:3" x14ac:dyDescent="0.25">
      <c r="C64" s="6"/>
    </row>
    <row r="65" spans="3:3" x14ac:dyDescent="0.25">
      <c r="C65" s="6"/>
    </row>
    <row r="66" spans="3:3" x14ac:dyDescent="0.25">
      <c r="C66" s="6"/>
    </row>
    <row r="67" spans="3:3" x14ac:dyDescent="0.25">
      <c r="C67" s="6"/>
    </row>
    <row r="68" spans="3:3" x14ac:dyDescent="0.25">
      <c r="C68" s="6"/>
    </row>
    <row r="69" spans="3:3" x14ac:dyDescent="0.25">
      <c r="C69" s="6"/>
    </row>
    <row r="70" spans="3:3" x14ac:dyDescent="0.25">
      <c r="C70" s="6"/>
    </row>
    <row r="71" spans="3:3" x14ac:dyDescent="0.25">
      <c r="C71" s="6"/>
    </row>
    <row r="72" spans="3:3" x14ac:dyDescent="0.25">
      <c r="C72" s="6"/>
    </row>
    <row r="73" spans="3:3" x14ac:dyDescent="0.25">
      <c r="C73" s="6"/>
    </row>
    <row r="74" spans="3:3" x14ac:dyDescent="0.25">
      <c r="C74" s="6"/>
    </row>
    <row r="75" spans="3:3" x14ac:dyDescent="0.25">
      <c r="C75" s="6"/>
    </row>
    <row r="76" spans="3:3" x14ac:dyDescent="0.25">
      <c r="C76" s="6"/>
    </row>
    <row r="77" spans="3:3" x14ac:dyDescent="0.25">
      <c r="C77" s="6"/>
    </row>
    <row r="78" spans="3:3" x14ac:dyDescent="0.25">
      <c r="C78" s="6"/>
    </row>
    <row r="79" spans="3:3" x14ac:dyDescent="0.25">
      <c r="C79" s="6"/>
    </row>
    <row r="80" spans="3:3" x14ac:dyDescent="0.25">
      <c r="C80" s="6"/>
    </row>
    <row r="81" spans="3:3" x14ac:dyDescent="0.25">
      <c r="C81" s="6"/>
    </row>
    <row r="82" spans="3:3" x14ac:dyDescent="0.25">
      <c r="C82" s="6"/>
    </row>
  </sheetData>
  <hyperlinks>
    <hyperlink ref="A1" location="Home!A1" tooltip="Click to navigate to the Home sheet." display="ß"/>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B5D92A31364E4EB82BB0A43C17A7C9" ma:contentTypeVersion="0" ma:contentTypeDescription="Create a new document." ma:contentTypeScope="" ma:versionID="802809ef1e66a142c2a2780d2c3e68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7A87D1F-041A-4E03-9555-23EEB3F80FA7}">
  <ds:schemaRefs>
    <ds:schemaRef ds:uri="http://schemas.microsoft.com/sharepoint/v3/contenttype/forms"/>
  </ds:schemaRefs>
</ds:datastoreItem>
</file>

<file path=customXml/itemProps2.xml><?xml version="1.0" encoding="utf-8"?>
<ds:datastoreItem xmlns:ds="http://schemas.openxmlformats.org/officeDocument/2006/customXml" ds:itemID="{9138EA9B-D33A-4B47-84CC-343E12032F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B8B332B-B0AC-47C5-BCB8-074A3C2716B8}">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Go! Internal</vt:lpstr>
      <vt:lpstr>Lookup Data</vt:lpstr>
      <vt:lpstr>Home</vt:lpstr>
      <vt:lpstr>Cash Flow</vt:lpstr>
      <vt:lpstr>Cash Flow Detail</vt:lpstr>
      <vt:lpstr>Cash Flow Template</vt:lpstr>
      <vt:lpstr>Cash Flow Detail Template</vt:lpstr>
      <vt:lpstr>Missing Accounts</vt:lpstr>
      <vt:lpstr>AutoRefresh</vt:lpstr>
      <vt:lpstr>AutoRefresh1</vt:lpstr>
      <vt:lpstr>AutoRefresh2</vt:lpstr>
      <vt:lpstr>AutoRefresh3</vt:lpstr>
      <vt:lpstr>AutoRefresh4</vt:lpstr>
      <vt:lpstr>AutoRefresh5</vt:lpstr>
      <vt:lpstr>AutoRefresh6</vt:lpstr>
      <vt:lpstr>AutoRefresh7</vt:lpstr>
      <vt:lpstr>AutoRefresh8</vt:lpstr>
      <vt:lpstr>AutoRefresh9</vt:lpstr>
      <vt:lpstr>B</vt:lpstr>
      <vt:lpstr>Companies</vt:lpstr>
      <vt:lpstr>CompaniesBudgets</vt:lpstr>
      <vt:lpstr>Decimal</vt:lpstr>
      <vt:lpstr>Delimiter</vt:lpstr>
      <vt:lpstr>FiscalYears</vt:lpstr>
      <vt:lpstr>MissingAccounts</vt:lpstr>
      <vt:lpstr>Periods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Michael</dc:creator>
  <cp:lastModifiedBy>Greaves, Jessica</cp:lastModifiedBy>
  <dcterms:created xsi:type="dcterms:W3CDTF">2014-03-14T08:42:55Z</dcterms:created>
  <dcterms:modified xsi:type="dcterms:W3CDTF">2015-04-21T11:56:27Z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0x0101004FB5D92A31364E4EB82BB0A43C17A7C9</vt:lpwstr>
  </property>
</Properties>
</file>