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ssica.greaves\Desktop\Integration\Columbus NA\Final Templates\"/>
    </mc:Choice>
  </mc:AlternateContent>
  <bookViews>
    <workbookView xWindow="0" yWindow="0" windowWidth="28800" windowHeight="12435" tabRatio="763" firstSheet="2" activeTab="4"/>
  </bookViews>
  <sheets>
    <sheet name="Go! Internal" sheetId="1" state="hidden" r:id="rId1"/>
    <sheet name="Lookup Data" sheetId="2" state="hidden" r:id="rId2"/>
    <sheet name="Calculations" sheetId="29" r:id="rId3"/>
    <sheet name="ProjectionTrend" sheetId="33" state="hidden" r:id="rId4"/>
    <sheet name="Home" sheetId="35" r:id="rId5"/>
    <sheet name="Income Statement" sheetId="38" r:id="rId6"/>
    <sheet name="Balance Sheet" sheetId="39" r:id="rId7"/>
    <sheet name="Missing Accounts" sheetId="13" r:id="rId8"/>
  </sheets>
  <definedNames>
    <definedName name="ARCY">SUM(Calculations!$G$12:$G$13)</definedName>
    <definedName name="ARPY">SUM(Calculations!$F$12:$F$13)</definedName>
    <definedName name="AutoRefresh">'Lookup Data'!$D$2:$D$32</definedName>
    <definedName name="AutoRefresh1">'Income Statement'!$D$4:$D$6</definedName>
    <definedName name="AutoRefresh2">'Balance Sheet'!$D$4:$D$6</definedName>
    <definedName name="AutoRefresh3">Calculations!$B$10:$K$14</definedName>
    <definedName name="AutoRefresh4">'Income Statement'!$F$11:$G$26</definedName>
    <definedName name="AutoRefresh5">'Balance Sheet'!$F$11:$G$44</definedName>
    <definedName name="B">'Go! Internal'!$A$2</definedName>
    <definedName name="CellContents">_xlfn.FORMULATEXT(INDIRECT(ADDRESS(ROW(), COLUMN())))</definedName>
    <definedName name="Companies">'Lookup Data'!$A$2:$A$39</definedName>
    <definedName name="CompaniesBudgets">'Lookup Data'!$E$2:$G$39</definedName>
    <definedName name="CompaniesTemplate">'Lookup Data'!$A$2:INDEX('Lookup Data'!$A$2:$A$40,COUNTA('Lookup Data'!$A$2:$A$40))</definedName>
    <definedName name="Decimal">'Go! Internal'!$A$6</definedName>
    <definedName name="Delimiter">'Go! Internal'!$A$4</definedName>
    <definedName name="ENG_BI_CORE_LOCATION">"C:\Program Files (x86)\Sage\Sage 300 ERP\BX62A\"</definedName>
    <definedName name="ENG_BI_EXE_FULL_PATH">"C:\Program Files (x86)\Sage\Sage 300 ERP\BX62A\BICORE.EXE"</definedName>
    <definedName name="ENG_BI_EXE_NAME" hidden="1">"BICORE.EXE"</definedName>
    <definedName name="ENG_BI_EXEC_CMD_ARGS" hidden="1">"03304607806507208207308704104507303704607512708407308306508709109606708806907006608306908207308707612512707306708509308007306605313413009611212310611910211610507306609207808209007408306211905105205310511805612612310411311511011810112110107707506706908"</definedName>
    <definedName name="ENG_BI_EXEC_CMD_ARGS_2" hidden="1">"90660770830710651200971181121110991341240961171141091230971251100680700900840700860611191021251321021131141141190981211010720710800740920830910840830690650830710870650860650510510580600500590510630540520610680510530640510580630500540570590590580490590"</definedName>
    <definedName name="ENG_BI_EXEC_CMD_ARGS_3" hidden="1">"60053060055053054064049060057059053061052060053052054064049066059060054059060058056059054056048068059050052064052050063049061058059059058049059059052060055055055064049061066059054057055126127095116122098117112100076074079072072079072074061110119125127"</definedName>
    <definedName name="ENG_BI_EXEC_CMD_ARGS_4" hidden="1">"100113118102108109104065076074081065076069067089089084074061062134123099117118099112105103070067076087066067085080072084078089088069091070065072082074079129123083087068078089070068089066083070077087066049134"</definedName>
    <definedName name="ENG_BI_GEN_LIC" hidden="1">"0"</definedName>
    <definedName name="ENG_BI_GEN_LIC_WS" hidden="1">"True"</definedName>
    <definedName name="ENG_BI_LANG_CODE" hidden="1">"en"</definedName>
    <definedName name="ENG_BI_LBI" hidden="1">"KYRLU1QQH7"</definedName>
    <definedName name="ENG_BI_PROFILE_PATH" hidden="1">"C:\ProgramData\Alchemex\AlchemexSmartReporting\MetaData\Financial Forecasting S300SQL 1-0-0\BICORE_profiler_20130606_121755.csv"</definedName>
    <definedName name="ENG_BI_REPOS_FILE" hidden="1">"C:\Program Files (x86)\Sage\Sage 300 ERP\BXDATA\SQL\alchemex.svd"</definedName>
    <definedName name="ENG_BI_REPOS_PATH" hidden="1">"C:\Program Files (x86)\Sage\Sage 300 ERP\BXDATA\SQL\"</definedName>
    <definedName name="ENG_BI_TLA" hidden="1">"140;14;25;143;204;49;145;34;75;175;208;24;193;40;51;135;95;119;234;145;201;245;249;224;209;240;96;104;222;183;143;282"</definedName>
    <definedName name="ENG_BI_TLA2" hidden="1">"89;85;33;37;1;155;19;182;171;79;16;3;12;115;50;243;249;44;72;14;103;233;93;167;129;86;45;217;39;161;58;214"</definedName>
    <definedName name="FiscalYears">'Lookup Data'!$B$2:$B$39</definedName>
    <definedName name="FiscalYearsTemplate">'Lookup Data'!$B$2:INDEX('Lookup Data'!$B$2:$B$40,COUNTA('Lookup Data'!$B$2:$B$40))</definedName>
    <definedName name="INFO_BI_EXE_NAME" hidden="1">"BICORE.EXE"</definedName>
    <definedName name="INFO_EXE_SERVER_PATH" hidden="1">"C:\Program Files (x86)\Sage\Sage 300 ERP\BX62A\BICORE.EXE"</definedName>
    <definedName name="INFO_INSTANCE_ID" hidden="1">"0"</definedName>
    <definedName name="INFO_INSTANCE_NAME" hidden="1">"Report Designer Add-In S300SQL DEMO 1-0-2_20121218_15_26_18_2626.xls"</definedName>
    <definedName name="INFO_REPORT_CODE" hidden="1">"S300-SQL-AI01-1-0"</definedName>
    <definedName name="INFO_REPORT_ID" hidden="1">"12"</definedName>
    <definedName name="INFO_REPORT_NAME" hidden="1">"Report Designer Add-In S300SQL DEMO 1-0-2"</definedName>
    <definedName name="INFO_RUN_USER" hidden="1">""</definedName>
    <definedName name="INFO_RUN_WORKSTATION" hidden="1">"S300IM1"</definedName>
    <definedName name="ISCY">SUM(Calculations!$C$12:$C$14)</definedName>
    <definedName name="ISPY">SUM(Calculations!$B$12:$B$14)</definedName>
    <definedName name="LTTCY">SUM(Calculations!#REF!)</definedName>
    <definedName name="LTTPY">SUM(Calculations!#REF!)</definedName>
    <definedName name="MissingAccounts">'Missing Accounts'!$B$4:$H$600</definedName>
    <definedName name="Periods">'Lookup Data'!$C$2:$C$13</definedName>
    <definedName name="SECY">SUM(Calculations!$K$12:$K$13)</definedName>
    <definedName name="SEPY">SUM(Calculations!$J$12:$J$13)</definedName>
    <definedName name="SV_AUTO_CONN_CATALOG" hidden="1">"saminc"</definedName>
    <definedName name="SV_AUTO_CONN_SERVER" hidden="1">"s300im1"</definedName>
    <definedName name="SV_DBTYPE">"5"</definedName>
    <definedName name="SV_ENCPT_AUTO_CONN_PASSWORD" hidden="1">"083096084083070086065116117119052116100"</definedName>
    <definedName name="SV_ENCPT_AUTO_CONN_USER" hidden="1">"095094088070084121098"</definedName>
    <definedName name="SV_ENCPT_LOGON_PWD" hidden="1">"078104085088070"</definedName>
    <definedName name="SV_ENCPT_LOGON_USER" hidden="1">"095094088070084071069078075078"</definedName>
    <definedName name="SV_REPORT_CODE">"S300-SQL-AI23-1-0"</definedName>
    <definedName name="SV_REPORT_ID">"12"</definedName>
    <definedName name="SV_REPORT_NAME">"Financial Forecasting S300SQL 1-0"</definedName>
    <definedName name="SV_REPOSCODE">""</definedName>
    <definedName name="SV_SOLUTION_ID">"33"</definedName>
    <definedName name="SV_TENANT_CODE">"SAMINC"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9" l="1"/>
  <c r="F38" i="39"/>
  <c r="G38" i="39"/>
  <c r="F39" i="39"/>
  <c r="G39" i="39"/>
  <c r="F34" i="39"/>
  <c r="G34" i="39"/>
  <c r="F30" i="39"/>
  <c r="G30" i="39"/>
  <c r="F31" i="39"/>
  <c r="G31" i="39"/>
  <c r="F24" i="39"/>
  <c r="G24" i="39"/>
  <c r="F20" i="39"/>
  <c r="G20" i="39"/>
  <c r="F21" i="39"/>
  <c r="G21" i="39"/>
  <c r="F17" i="39"/>
  <c r="G17" i="39"/>
  <c r="F15" i="39"/>
  <c r="G15" i="39"/>
  <c r="G11" i="38"/>
  <c r="F24" i="38"/>
  <c r="G24" i="38"/>
  <c r="F21" i="38"/>
  <c r="G21" i="38"/>
  <c r="F17" i="38"/>
  <c r="G17" i="38"/>
  <c r="F13" i="38"/>
  <c r="G13" i="38"/>
  <c r="F14" i="38"/>
  <c r="G14" i="38"/>
  <c r="K10" i="29"/>
  <c r="J12" i="29"/>
  <c r="K12" i="29"/>
  <c r="J13" i="29"/>
  <c r="K13" i="29"/>
  <c r="G10" i="29"/>
  <c r="F12" i="29"/>
  <c r="G12" i="29"/>
  <c r="F13" i="29"/>
  <c r="G13" i="29"/>
  <c r="C10" i="29"/>
  <c r="B12" i="29"/>
  <c r="C12" i="29"/>
  <c r="B13" i="29"/>
  <c r="C13" i="29"/>
  <c r="B14" i="29"/>
  <c r="C14" i="29"/>
  <c r="D6" i="39"/>
  <c r="D5" i="38"/>
  <c r="D6" i="38"/>
  <c r="B5" i="29" l="1"/>
  <c r="B4" i="29" l="1"/>
  <c r="B3" i="29"/>
  <c r="F5" i="29"/>
  <c r="F4" i="29" l="1"/>
  <c r="F3" i="29"/>
  <c r="B4" i="33"/>
  <c r="C4" i="33" l="1"/>
  <c r="J10" i="29"/>
  <c r="F10" i="29"/>
  <c r="B10" i="29" l="1"/>
  <c r="D4" i="39" l="1"/>
  <c r="F2" i="29" s="1"/>
  <c r="C2" i="39" l="1"/>
  <c r="I11" i="39"/>
  <c r="J11" i="39" s="1"/>
  <c r="K11" i="39" s="1"/>
  <c r="D4" i="38"/>
  <c r="B2" i="29" s="1"/>
  <c r="J24" i="39" l="1"/>
  <c r="K24" i="39"/>
  <c r="I24" i="39"/>
  <c r="C2" i="38"/>
  <c r="B28" i="33"/>
  <c r="C19" i="33"/>
  <c r="B15" i="33"/>
  <c r="D12" i="33"/>
  <c r="E11" i="33"/>
  <c r="B19" i="33"/>
  <c r="C18" i="33"/>
  <c r="C12" i="33"/>
  <c r="D11" i="33"/>
  <c r="C29" i="33"/>
  <c r="C22" i="33"/>
  <c r="C23" i="33" s="1"/>
  <c r="B18" i="33"/>
  <c r="F12" i="33"/>
  <c r="B12" i="33"/>
  <c r="C11" i="33"/>
  <c r="B29" i="33"/>
  <c r="C28" i="33"/>
  <c r="B22" i="33"/>
  <c r="B23" i="33" s="1"/>
  <c r="C15" i="33"/>
  <c r="E12" i="33"/>
  <c r="F11" i="33"/>
  <c r="B11" i="33"/>
  <c r="F22" i="39"/>
  <c r="B13" i="33" s="1"/>
  <c r="F32" i="39"/>
  <c r="I11" i="38"/>
  <c r="J11" i="38" l="1"/>
  <c r="D4" i="33"/>
  <c r="E15" i="33"/>
  <c r="F15" i="33"/>
  <c r="D15" i="33"/>
  <c r="F35" i="39"/>
  <c r="B25" i="33" s="1"/>
  <c r="B20" i="33"/>
  <c r="B46" i="33"/>
  <c r="C39" i="33"/>
  <c r="B35" i="33"/>
  <c r="C43" i="33"/>
  <c r="B39" i="33"/>
  <c r="B43" i="33"/>
  <c r="C36" i="33"/>
  <c r="C46" i="33"/>
  <c r="B36" i="33"/>
  <c r="C35" i="33"/>
  <c r="F15" i="38"/>
  <c r="B37" i="33" s="1"/>
  <c r="G15" i="38"/>
  <c r="C37" i="33" s="1"/>
  <c r="F47" i="39"/>
  <c r="G22" i="39"/>
  <c r="I22" i="39" s="1"/>
  <c r="J22" i="39" s="1"/>
  <c r="K22" i="39" s="1"/>
  <c r="G32" i="39"/>
  <c r="G47" i="39"/>
  <c r="F48" i="39"/>
  <c r="G48" i="39"/>
  <c r="G28" i="38"/>
  <c r="I13" i="38" s="1"/>
  <c r="D35" i="33" s="1"/>
  <c r="I21" i="38"/>
  <c r="D43" i="33" s="1"/>
  <c r="G29" i="38"/>
  <c r="K11" i="38" l="1"/>
  <c r="F4" i="33" s="1"/>
  <c r="E4" i="33"/>
  <c r="G35" i="39"/>
  <c r="C25" i="33" s="1"/>
  <c r="C20" i="33"/>
  <c r="C13" i="33"/>
  <c r="I17" i="38"/>
  <c r="D39" i="33" s="1"/>
  <c r="I28" i="38"/>
  <c r="J13" i="38" s="1"/>
  <c r="I14" i="38"/>
  <c r="D36" i="33" s="1"/>
  <c r="J17" i="38" l="1"/>
  <c r="E39" i="33" s="1"/>
  <c r="E35" i="33"/>
  <c r="D13" i="33"/>
  <c r="I17" i="39"/>
  <c r="I31" i="39"/>
  <c r="J28" i="38"/>
  <c r="K13" i="38" s="1"/>
  <c r="F35" i="33" s="1"/>
  <c r="I15" i="38"/>
  <c r="D37" i="33" s="1"/>
  <c r="I29" i="38"/>
  <c r="J14" i="38" s="1"/>
  <c r="E36" i="33" s="1"/>
  <c r="I48" i="39" l="1"/>
  <c r="D19" i="33"/>
  <c r="F13" i="33"/>
  <c r="E13" i="33"/>
  <c r="I47" i="39"/>
  <c r="D8" i="33"/>
  <c r="J31" i="39"/>
  <c r="J17" i="39"/>
  <c r="K17" i="38"/>
  <c r="F39" i="33" s="1"/>
  <c r="K28" i="38"/>
  <c r="J15" i="38"/>
  <c r="E37" i="33" s="1"/>
  <c r="J29" i="38"/>
  <c r="K14" i="38" s="1"/>
  <c r="F36" i="33" s="1"/>
  <c r="J47" i="39" l="1"/>
  <c r="E8" i="33"/>
  <c r="J48" i="39"/>
  <c r="E19" i="33"/>
  <c r="K31" i="39"/>
  <c r="K17" i="39"/>
  <c r="K29" i="38"/>
  <c r="K15" i="38"/>
  <c r="F37" i="33" s="1"/>
  <c r="K47" i="39" l="1"/>
  <c r="F8" i="33"/>
  <c r="K48" i="39"/>
  <c r="F19" i="33"/>
  <c r="K16" i="29" l="1"/>
  <c r="G37" i="39" s="1"/>
  <c r="J16" i="29"/>
  <c r="F37" i="39" s="1"/>
  <c r="B16" i="29"/>
  <c r="F18" i="38" s="1"/>
  <c r="F16" i="29"/>
  <c r="F16" i="39" s="1"/>
  <c r="B7" i="33" s="1"/>
  <c r="G16" i="29"/>
  <c r="G16" i="39" s="1"/>
  <c r="C7" i="33" s="1"/>
  <c r="G40" i="39" l="1"/>
  <c r="C30" i="33" s="1"/>
  <c r="C27" i="33"/>
  <c r="F40" i="39"/>
  <c r="B27" i="33"/>
  <c r="F19" i="38"/>
  <c r="B41" i="33" s="1"/>
  <c r="B40" i="33"/>
  <c r="G18" i="39"/>
  <c r="G46" i="39"/>
  <c r="I16" i="39"/>
  <c r="D7" i="33" s="1"/>
  <c r="F18" i="39"/>
  <c r="F26" i="39" s="1"/>
  <c r="F46" i="39"/>
  <c r="C16" i="29"/>
  <c r="G18" i="38" s="1"/>
  <c r="C9" i="33" l="1"/>
  <c r="G26" i="39"/>
  <c r="G42" i="39"/>
  <c r="C32" i="33" s="1"/>
  <c r="I37" i="39"/>
  <c r="D27" i="33" s="1"/>
  <c r="B16" i="33"/>
  <c r="B9" i="33"/>
  <c r="F42" i="39"/>
  <c r="B32" i="33" s="1"/>
  <c r="B30" i="33"/>
  <c r="G19" i="38"/>
  <c r="C40" i="33"/>
  <c r="F22" i="38"/>
  <c r="F49" i="39"/>
  <c r="I46" i="39"/>
  <c r="J16" i="39"/>
  <c r="E7" i="33" s="1"/>
  <c r="G49" i="39"/>
  <c r="G30" i="38"/>
  <c r="I18" i="38" s="1"/>
  <c r="D40" i="33" s="1"/>
  <c r="F50" i="39" l="1"/>
  <c r="F26" i="38"/>
  <c r="B44" i="33"/>
  <c r="G50" i="39"/>
  <c r="C16" i="33"/>
  <c r="G22" i="38"/>
  <c r="C41" i="33"/>
  <c r="J46" i="39"/>
  <c r="K16" i="39"/>
  <c r="I30" i="38"/>
  <c r="J18" i="38" s="1"/>
  <c r="E40" i="33" s="1"/>
  <c r="I19" i="38"/>
  <c r="K46" i="39" l="1"/>
  <c r="F7" i="33"/>
  <c r="I22" i="38"/>
  <c r="D41" i="33"/>
  <c r="G26" i="38"/>
  <c r="C47" i="33" s="1"/>
  <c r="C44" i="33"/>
  <c r="F45" i="39"/>
  <c r="B47" i="33"/>
  <c r="J30" i="38"/>
  <c r="K18" i="38" s="1"/>
  <c r="F40" i="33" s="1"/>
  <c r="J19" i="38"/>
  <c r="E41" i="33" s="1"/>
  <c r="A4" i="1"/>
  <c r="A6" i="1"/>
  <c r="G45" i="39" l="1"/>
  <c r="I38" i="39"/>
  <c r="D28" i="33" s="1"/>
  <c r="I24" i="38"/>
  <c r="D44" i="33"/>
  <c r="K30" i="38"/>
  <c r="K19" i="38"/>
  <c r="F41" i="33" s="1"/>
  <c r="I26" i="38" l="1"/>
  <c r="D46" i="33"/>
  <c r="D47" i="33" l="1"/>
  <c r="I39" i="39"/>
  <c r="I45" i="39"/>
  <c r="D29" i="33" l="1"/>
  <c r="I40" i="39"/>
  <c r="D30" i="33" l="1"/>
  <c r="I26" i="39"/>
  <c r="J37" i="39"/>
  <c r="E27" i="33" s="1"/>
  <c r="D16" i="33" l="1"/>
  <c r="I35" i="39"/>
  <c r="I18" i="39"/>
  <c r="I50" i="39"/>
  <c r="D9" i="33" l="1"/>
  <c r="I32" i="39"/>
  <c r="I15" i="39"/>
  <c r="D6" i="33" s="1"/>
  <c r="D25" i="33"/>
  <c r="I42" i="39"/>
  <c r="D32" i="33" s="1"/>
  <c r="I34" i="39" l="1"/>
  <c r="D20" i="33"/>
  <c r="I49" i="39"/>
  <c r="I30" i="39"/>
  <c r="D18" i="33" s="1"/>
  <c r="C6" i="33"/>
  <c r="B6" i="33"/>
  <c r="C8" i="33"/>
  <c r="B8" i="33"/>
  <c r="D22" i="33" l="1"/>
  <c r="D23" i="33" s="1"/>
  <c r="J21" i="38"/>
  <c r="J22" i="38" l="1"/>
  <c r="E43" i="33"/>
  <c r="J24" i="38" l="1"/>
  <c r="E44" i="33"/>
  <c r="J26" i="38" l="1"/>
  <c r="E46" i="33"/>
  <c r="J38" i="39" l="1"/>
  <c r="E28" i="33" s="1"/>
  <c r="E47" i="33"/>
  <c r="J39" i="39"/>
  <c r="J45" i="39" l="1"/>
  <c r="J40" i="39"/>
  <c r="E29" i="33"/>
  <c r="E30" i="33" l="1"/>
  <c r="K37" i="39"/>
  <c r="F27" i="33" s="1"/>
  <c r="J26" i="39"/>
  <c r="E16" i="33" l="1"/>
  <c r="J35" i="39"/>
  <c r="J18" i="39"/>
  <c r="J50" i="39"/>
  <c r="E9" i="33" l="1"/>
  <c r="J15" i="39"/>
  <c r="E6" i="33" s="1"/>
  <c r="J32" i="39"/>
  <c r="E25" i="33"/>
  <c r="J42" i="39"/>
  <c r="E32" i="33" s="1"/>
  <c r="J34" i="39" l="1"/>
  <c r="E20" i="33"/>
  <c r="J30" i="39"/>
  <c r="E18" i="33" s="1"/>
  <c r="J49" i="39"/>
  <c r="E22" i="33" l="1"/>
  <c r="E23" i="33" s="1"/>
  <c r="K21" i="38"/>
  <c r="K22" i="38" l="1"/>
  <c r="F43" i="33"/>
  <c r="K24" i="38" l="1"/>
  <c r="F44" i="33"/>
  <c r="K26" i="38" l="1"/>
  <c r="F46" i="33"/>
  <c r="K38" i="39" l="1"/>
  <c r="F28" i="33" s="1"/>
  <c r="F47" i="33"/>
  <c r="K39" i="39"/>
  <c r="K45" i="39" l="1"/>
  <c r="K40" i="39"/>
  <c r="F29" i="33"/>
  <c r="K26" i="39" l="1"/>
  <c r="F30" i="33"/>
  <c r="F16" i="33" l="1"/>
  <c r="K50" i="39"/>
  <c r="K18" i="39"/>
  <c r="K35" i="39"/>
  <c r="F25" i="33" l="1"/>
  <c r="K42" i="39"/>
  <c r="F32" i="33" s="1"/>
  <c r="F9" i="33"/>
  <c r="K15" i="39"/>
  <c r="F6" i="33" s="1"/>
  <c r="K32" i="39"/>
  <c r="K34" i="39" s="1"/>
  <c r="F22" i="33" s="1"/>
  <c r="F23" i="33" s="1"/>
  <c r="F20" i="33" l="1"/>
  <c r="K49" i="39"/>
  <c r="K30" i="39"/>
  <c r="F18" i="33" s="1"/>
</calcChain>
</file>

<file path=xl/sharedStrings.xml><?xml version="1.0" encoding="utf-8"?>
<sst xmlns="http://schemas.openxmlformats.org/spreadsheetml/2006/main" count="163" uniqueCount="104">
  <si>
    <t>Bound Cell</t>
  </si>
  <si>
    <t>Delimiter</t>
  </si>
  <si>
    <t>Decimal</t>
  </si>
  <si>
    <t>Companies</t>
  </si>
  <si>
    <t>Fiscal Years</t>
  </si>
  <si>
    <t>Periods</t>
  </si>
  <si>
    <t>Formulas Ranges</t>
  </si>
  <si>
    <t>Missing Accounts</t>
  </si>
  <si>
    <t>Cost of Sales</t>
  </si>
  <si>
    <t>Gross Profit</t>
  </si>
  <si>
    <t>Account Description</t>
  </si>
  <si>
    <t>Assets</t>
  </si>
  <si>
    <t>Current Assets</t>
  </si>
  <si>
    <t>Total Assets</t>
  </si>
  <si>
    <t>Liabilities</t>
  </si>
  <si>
    <t>If you ever need to check if there are accounts missing from your financial reports, use the Missing Accounts feature and look here.</t>
  </si>
  <si>
    <t>Company Name</t>
  </si>
  <si>
    <t>Account Number</t>
  </si>
  <si>
    <t>Account Type</t>
  </si>
  <si>
    <t>Companies Budgets</t>
  </si>
  <si>
    <t>Budgets</t>
  </si>
  <si>
    <t>Budgets ID</t>
  </si>
  <si>
    <t>Current Period:</t>
  </si>
  <si>
    <t>Company:</t>
  </si>
  <si>
    <t>Currency:</t>
  </si>
  <si>
    <t>Currency Type:</t>
  </si>
  <si>
    <t>F</t>
  </si>
  <si>
    <t>Cash and Cash Equivalents</t>
  </si>
  <si>
    <t>Accounts Receivable</t>
  </si>
  <si>
    <t>Other Assets</t>
  </si>
  <si>
    <t>Inventory</t>
  </si>
  <si>
    <t>Fixed Assets</t>
  </si>
  <si>
    <t>Accumulated Depreciation</t>
  </si>
  <si>
    <t>Other Current Liabilities</t>
  </si>
  <si>
    <t>Accounts Payable</t>
  </si>
  <si>
    <t>Long Term Liabilities</t>
  </si>
  <si>
    <t>Shareholders Equity</t>
  </si>
  <si>
    <t>Dividends</t>
  </si>
  <si>
    <t>Revenue</t>
  </si>
  <si>
    <t>Other Revenue</t>
  </si>
  <si>
    <t>Other Expenses</t>
  </si>
  <si>
    <t>Interest Expense</t>
  </si>
  <si>
    <t>Income Taxes</t>
  </si>
  <si>
    <t>Actual</t>
  </si>
  <si>
    <t>GroupCode</t>
  </si>
  <si>
    <t>GroupName</t>
  </si>
  <si>
    <t>Projected</t>
  </si>
  <si>
    <t>140</t>
  </si>
  <si>
    <t>150</t>
  </si>
  <si>
    <t>160</t>
  </si>
  <si>
    <t>Earning (Loss) From Operation</t>
  </si>
  <si>
    <t>200</t>
  </si>
  <si>
    <t>Earnings (Loss) Before Tax</t>
  </si>
  <si>
    <t>210</t>
  </si>
  <si>
    <t>Net Income (Loss)</t>
  </si>
  <si>
    <t>Revenue Growth</t>
  </si>
  <si>
    <t>Cost of Sales Percentage</t>
  </si>
  <si>
    <t>Other Expense Percentage</t>
  </si>
  <si>
    <t>Fixed Assets, net</t>
  </si>
  <si>
    <t>Total Current Liabilities</t>
  </si>
  <si>
    <t>Total Long Term Liabilities</t>
  </si>
  <si>
    <t>Total Liabilities</t>
  </si>
  <si>
    <t>Profit (Loss) for Period</t>
  </si>
  <si>
    <t>Shareholder's Equity</t>
  </si>
  <si>
    <t>Total Shareholder's Equity and Liabilities</t>
  </si>
  <si>
    <t>Dividend Payout</t>
  </si>
  <si>
    <t>Receivables Turnover</t>
  </si>
  <si>
    <t>Inventory Turnover</t>
  </si>
  <si>
    <t>Accounts Payable Turnover</t>
  </si>
  <si>
    <t>Working Capital Ratio (Current Ratio)</t>
  </si>
  <si>
    <t>Equity to Assets</t>
  </si>
  <si>
    <t>AutoRefresh1</t>
  </si>
  <si>
    <t>AutoRefresh2</t>
  </si>
  <si>
    <t>I</t>
  </si>
  <si>
    <t>Income Statement</t>
  </si>
  <si>
    <t>Balance Sheet</t>
  </si>
  <si>
    <t>AutoRefresh3</t>
  </si>
  <si>
    <t>AutoRefresh4</t>
  </si>
  <si>
    <t>AutoRefresh5</t>
  </si>
  <si>
    <t>ç</t>
  </si>
  <si>
    <t>Fixed Assets, Net</t>
  </si>
  <si>
    <t>Projection</t>
  </si>
  <si>
    <t>Adjust the percentage to recalculate projection figures</t>
  </si>
  <si>
    <t>Projection Trend</t>
  </si>
  <si>
    <t>Facebook</t>
  </si>
  <si>
    <t>Twitter</t>
  </si>
  <si>
    <t>LinkedIn</t>
  </si>
  <si>
    <t>YouTube</t>
  </si>
  <si>
    <t>Sage Intelligence Community</t>
  </si>
  <si>
    <t>|</t>
  </si>
  <si>
    <t>Blog</t>
  </si>
  <si>
    <t>Knowledgebase</t>
  </si>
  <si>
    <t>Support</t>
  </si>
  <si>
    <t xml:space="preserve"> View Standard Reports:</t>
  </si>
  <si>
    <t>Follow us</t>
  </si>
  <si>
    <t>StructureCode</t>
  </si>
  <si>
    <t>AccountGroupName</t>
  </si>
  <si>
    <t>GroupCategoryDescription</t>
  </si>
  <si>
    <t>20 + 40</t>
  </si>
  <si>
    <t>120 TO 130</t>
  </si>
  <si>
    <t>170 TO 190</t>
  </si>
  <si>
    <t>PLEASE NOTE:
This page is used for calculation purposes and should not be edited or deleted.</t>
  </si>
  <si>
    <r>
      <t xml:space="preserve">Please select values from the drop down lists for the current year, the prior year and the current period. Select </t>
    </r>
    <r>
      <rPr>
        <b/>
        <sz val="11"/>
        <color theme="0"/>
        <rFont val="Segoe UI"/>
        <family val="2"/>
      </rPr>
      <t>REFRESH FORMULA RANGES</t>
    </r>
    <r>
      <rPr>
        <sz val="11"/>
        <color theme="0"/>
        <rFont val="Segoe UI"/>
        <family val="2"/>
      </rPr>
      <t xml:space="preserve"> to update your values</t>
    </r>
  </si>
  <si>
    <t>SHSLTD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</si>
</sst>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0;\-0;;@"/>
    <numFmt numFmtId="166" formatCode="#,##0.00;\(#,##0.00\)"/>
    <numFmt numFmtId="167" formatCode="[&gt;=0]#,##0.00%;\(#,##0.00%\)"/>
    <numFmt numFmtId="168" formatCode="[&gt;=0]#,##0.00;\(#,##0.00\)"/>
  </numFmts>
  <fonts count="41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  <font>
      <sz val="26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0"/>
      <color rgb="FF4D4F53"/>
      <name val="Segoe UI"/>
      <family val="2"/>
    </font>
    <font>
      <sz val="26"/>
      <color rgb="FF4D4F53"/>
      <name val="Segoe UI Semibold"/>
      <family val="2"/>
    </font>
    <font>
      <sz val="24"/>
      <color rgb="FF4D4F53"/>
      <name val="Segoe UI Semibold"/>
      <family val="2"/>
    </font>
    <font>
      <sz val="11"/>
      <color rgb="FF4D4F53"/>
      <name val="Segoe UI"/>
      <family val="2"/>
    </font>
    <font>
      <sz val="11"/>
      <color theme="0"/>
      <name val="Arial"/>
      <family val="2"/>
    </font>
    <font>
      <sz val="10"/>
      <color rgb="FF4D4F53"/>
      <name val="Arial"/>
      <family val="2"/>
    </font>
    <font>
      <sz val="10"/>
      <color theme="1"/>
      <name val="Arial"/>
      <family val="2"/>
    </font>
    <font>
      <b/>
      <sz val="11"/>
      <color rgb="FF4D4F53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color rgb="FF4D4F53"/>
      <name val="Arial"/>
      <family val="2"/>
    </font>
    <font>
      <sz val="14"/>
      <color rgb="FF4D4F53"/>
      <name val="Arial"/>
      <family val="2"/>
    </font>
    <font>
      <sz val="11"/>
      <color rgb="FF4D4F53"/>
      <name val="Arial"/>
      <family val="2"/>
    </font>
    <font>
      <sz val="13"/>
      <color rgb="FF4D4F53"/>
      <name val="Segoe UI Light"/>
      <family val="2"/>
    </font>
    <font>
      <sz val="12"/>
      <color theme="1"/>
      <name val="Segoe UI"/>
      <family val="2"/>
    </font>
    <font>
      <sz val="14"/>
      <color rgb="FF4D4F53"/>
      <name val="Segoe UI Light"/>
      <family val="2"/>
    </font>
    <font>
      <sz val="11"/>
      <color theme="0"/>
      <name val="Segoe UI"/>
      <family val="2"/>
    </font>
    <font>
      <b/>
      <sz val="10"/>
      <color theme="1"/>
      <name val="Arial"/>
      <family val="2"/>
    </font>
    <font>
      <sz val="11"/>
      <color rgb="FFF2F2F2"/>
      <name val="Segoe UI"/>
      <family val="2"/>
    </font>
    <font>
      <sz val="11"/>
      <color rgb="FFF2F2F2"/>
      <name val="Arial"/>
      <family val="2"/>
    </font>
    <font>
      <sz val="24"/>
      <color rgb="FF34B233"/>
      <name val="Wingdings"/>
      <charset val="2"/>
    </font>
    <font>
      <sz val="18"/>
      <color rgb="FF4D4F53"/>
      <name val="Segoe UI"/>
      <family val="2"/>
    </font>
    <font>
      <b/>
      <sz val="10"/>
      <color rgb="FF4D4F53"/>
      <name val="Segoe UI"/>
      <family val="2"/>
    </font>
    <font>
      <sz val="14"/>
      <color theme="0"/>
      <name val="Segoe UI"/>
      <family val="2"/>
    </font>
    <font>
      <sz val="12"/>
      <color rgb="FF009FDA"/>
      <name val="Segoe UI"/>
      <family val="2"/>
    </font>
    <font>
      <sz val="11"/>
      <color rgb="FF4D4F53"/>
      <name val="Calibri"/>
      <family val="2"/>
      <scheme val="minor"/>
    </font>
    <font>
      <sz val="24"/>
      <color rgb="FF4D4F53"/>
      <name val="Segoe UI"/>
      <family val="2"/>
    </font>
    <font>
      <sz val="14"/>
      <color rgb="FF4D4F53"/>
      <name val="Segoe UI"/>
      <family val="2"/>
    </font>
    <font>
      <sz val="12"/>
      <color rgb="FF4D4F53"/>
      <name val="Segoe UI"/>
      <family val="2"/>
    </font>
    <font>
      <b/>
      <sz val="11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34B233"/>
        <bgColor indexed="64"/>
      </patternFill>
    </fill>
    <fill>
      <patternFill patternType="solid">
        <fgColor rgb="FF40B23F"/>
        <bgColor indexed="64"/>
      </patternFill>
    </fill>
    <fill>
      <patternFill patternType="solid">
        <fgColor rgb="FFCD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6" fillId="0" borderId="0"/>
    <xf numFmtId="0" fontId="7" fillId="0" borderId="0"/>
    <xf numFmtId="0" fontId="5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0" fillId="0" borderId="0" xfId="0"/>
    <xf numFmtId="0" fontId="7" fillId="0" borderId="0" xfId="2"/>
    <xf numFmtId="0" fontId="12" fillId="0" borderId="0" xfId="2" applyFont="1"/>
    <xf numFmtId="0" fontId="13" fillId="0" borderId="0" xfId="2" applyFont="1"/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center"/>
    </xf>
    <xf numFmtId="49" fontId="16" fillId="0" borderId="0" xfId="2" applyNumberFormat="1" applyFont="1" applyAlignment="1">
      <alignment horizontal="center"/>
    </xf>
    <xf numFmtId="49" fontId="16" fillId="0" borderId="0" xfId="2" applyNumberFormat="1" applyFont="1"/>
    <xf numFmtId="0" fontId="17" fillId="0" borderId="0" xfId="2" applyFont="1"/>
    <xf numFmtId="166" fontId="16" fillId="0" borderId="0" xfId="4" applyNumberFormat="1" applyFont="1"/>
    <xf numFmtId="49" fontId="16" fillId="4" borderId="0" xfId="2" applyNumberFormat="1" applyFont="1" applyFill="1"/>
    <xf numFmtId="166" fontId="16" fillId="4" borderId="0" xfId="4" applyNumberFormat="1" applyFont="1" applyFill="1"/>
    <xf numFmtId="0" fontId="16" fillId="0" borderId="0" xfId="2" applyFont="1" applyAlignment="1">
      <alignment horizontal="center"/>
    </xf>
    <xf numFmtId="49" fontId="18" fillId="4" borderId="0" xfId="2" applyNumberFormat="1" applyFont="1" applyFill="1"/>
    <xf numFmtId="167" fontId="16" fillId="0" borderId="0" xfId="5" applyNumberFormat="1" applyFont="1"/>
    <xf numFmtId="167" fontId="20" fillId="0" borderId="0" xfId="4" applyNumberFormat="1" applyFont="1" applyFill="1"/>
    <xf numFmtId="49" fontId="21" fillId="0" borderId="0" xfId="2" applyNumberFormat="1" applyFont="1"/>
    <xf numFmtId="0" fontId="20" fillId="0" borderId="0" xfId="2" applyFont="1"/>
    <xf numFmtId="0" fontId="22" fillId="0" borderId="0" xfId="2" applyFont="1"/>
    <xf numFmtId="0" fontId="16" fillId="0" borderId="0" xfId="2" applyFont="1" applyBorder="1" applyAlignment="1">
      <alignment horizontal="center"/>
    </xf>
    <xf numFmtId="0" fontId="16" fillId="0" borderId="0" xfId="2" applyFont="1" applyBorder="1"/>
    <xf numFmtId="166" fontId="16" fillId="0" borderId="0" xfId="2" applyNumberFormat="1" applyFont="1" applyBorder="1"/>
    <xf numFmtId="0" fontId="16" fillId="4" borderId="0" xfId="2" applyFont="1" applyFill="1" applyBorder="1"/>
    <xf numFmtId="0" fontId="18" fillId="4" borderId="0" xfId="2" applyFont="1" applyFill="1" applyBorder="1"/>
    <xf numFmtId="166" fontId="18" fillId="4" borderId="0" xfId="2" applyNumberFormat="1" applyFont="1" applyFill="1" applyBorder="1"/>
    <xf numFmtId="0" fontId="16" fillId="0" borderId="0" xfId="2" applyFont="1" applyFill="1" applyBorder="1"/>
    <xf numFmtId="165" fontId="14" fillId="0" borderId="0" xfId="0" applyNumberFormat="1" applyFont="1" applyFill="1" applyAlignment="1">
      <alignment horizontal="center"/>
    </xf>
    <xf numFmtId="0" fontId="16" fillId="0" borderId="0" xfId="2" applyFont="1" applyFill="1" applyBorder="1" applyAlignment="1">
      <alignment horizontal="center"/>
    </xf>
    <xf numFmtId="49" fontId="16" fillId="0" borderId="0" xfId="2" applyNumberFormat="1" applyFont="1" applyFill="1" applyAlignment="1">
      <alignment horizontal="center"/>
    </xf>
    <xf numFmtId="0" fontId="17" fillId="0" borderId="0" xfId="0" applyFont="1"/>
    <xf numFmtId="0" fontId="23" fillId="0" borderId="0" xfId="0" applyFont="1" applyAlignment="1">
      <alignment horizontal="center"/>
    </xf>
    <xf numFmtId="0" fontId="17" fillId="0" borderId="0" xfId="0" applyFont="1" applyBorder="1"/>
    <xf numFmtId="0" fontId="23" fillId="0" borderId="0" xfId="2" applyFont="1" applyBorder="1" applyAlignment="1">
      <alignment horizontal="center"/>
    </xf>
    <xf numFmtId="0" fontId="16" fillId="0" borderId="0" xfId="0" applyFont="1"/>
    <xf numFmtId="164" fontId="16" fillId="0" borderId="0" xfId="9" applyFont="1"/>
    <xf numFmtId="0" fontId="28" fillId="0" borderId="0" xfId="0" applyFont="1" applyBorder="1"/>
    <xf numFmtId="0" fontId="28" fillId="0" borderId="0" xfId="0" applyFont="1"/>
    <xf numFmtId="0" fontId="7" fillId="0" borderId="0" xfId="2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/>
    </xf>
    <xf numFmtId="0" fontId="18" fillId="0" borderId="0" xfId="2" applyFont="1" applyBorder="1" applyAlignment="1">
      <alignment horizontal="center"/>
    </xf>
    <xf numFmtId="0" fontId="18" fillId="0" borderId="0" xfId="2" applyFont="1" applyAlignment="1">
      <alignment horizontal="center"/>
    </xf>
    <xf numFmtId="165" fontId="15" fillId="2" borderId="0" xfId="0" applyNumberFormat="1" applyFont="1" applyFill="1" applyAlignment="1">
      <alignment horizontal="center" vertical="center"/>
    </xf>
    <xf numFmtId="0" fontId="31" fillId="0" borderId="0" xfId="12" applyFont="1" applyAlignment="1">
      <alignment horizontal="center" vertical="center"/>
    </xf>
    <xf numFmtId="0" fontId="11" fillId="0" borderId="0" xfId="0" applyFont="1"/>
    <xf numFmtId="0" fontId="32" fillId="0" borderId="0" xfId="0" applyFont="1"/>
    <xf numFmtId="0" fontId="21" fillId="0" borderId="0" xfId="2" applyFont="1" applyBorder="1" applyAlignment="1">
      <alignment horizontal="center"/>
    </xf>
    <xf numFmtId="166" fontId="21" fillId="0" borderId="0" xfId="2" applyNumberFormat="1" applyFont="1" applyBorder="1"/>
    <xf numFmtId="0" fontId="33" fillId="0" borderId="0" xfId="0" applyFont="1"/>
    <xf numFmtId="49" fontId="21" fillId="0" borderId="0" xfId="2" applyNumberFormat="1" applyFont="1" applyAlignment="1">
      <alignment horizontal="center"/>
    </xf>
    <xf numFmtId="0" fontId="0" fillId="0" borderId="0" xfId="0"/>
    <xf numFmtId="0" fontId="1" fillId="6" borderId="0" xfId="15" applyFill="1"/>
    <xf numFmtId="0" fontId="1" fillId="6" borderId="0" xfId="15" applyFill="1" applyBorder="1"/>
    <xf numFmtId="0" fontId="1" fillId="7" borderId="0" xfId="15" applyFill="1"/>
    <xf numFmtId="0" fontId="36" fillId="6" borderId="0" xfId="15" applyFont="1" applyFill="1" applyAlignment="1">
      <alignment horizontal="right" vertical="top"/>
    </xf>
    <xf numFmtId="0" fontId="36" fillId="6" borderId="0" xfId="15" applyFont="1" applyFill="1" applyAlignment="1">
      <alignment vertical="top"/>
    </xf>
    <xf numFmtId="0" fontId="1" fillId="6" borderId="0" xfId="15" applyFill="1" applyAlignment="1">
      <alignment vertical="top"/>
    </xf>
    <xf numFmtId="0" fontId="1" fillId="5" borderId="0" xfId="15" applyFill="1"/>
    <xf numFmtId="0" fontId="1" fillId="5" borderId="0" xfId="15" applyFill="1" applyBorder="1"/>
    <xf numFmtId="0" fontId="37" fillId="5" borderId="0" xfId="15" applyFont="1" applyFill="1" applyBorder="1" applyAlignment="1">
      <alignment horizontal="left"/>
    </xf>
    <xf numFmtId="0" fontId="7" fillId="5" borderId="0" xfId="15" applyFont="1" applyFill="1" applyBorder="1"/>
    <xf numFmtId="0" fontId="7" fillId="5" borderId="0" xfId="15" applyFont="1" applyFill="1"/>
    <xf numFmtId="0" fontId="14" fillId="5" borderId="0" xfId="15" applyFont="1" applyFill="1" applyBorder="1" applyAlignment="1">
      <alignment horizontal="left"/>
    </xf>
    <xf numFmtId="0" fontId="39" fillId="5" borderId="0" xfId="15" applyFont="1" applyFill="1" applyAlignment="1">
      <alignment horizontal="center" vertical="center"/>
    </xf>
    <xf numFmtId="0" fontId="25" fillId="5" borderId="0" xfId="15" applyFont="1" applyFill="1"/>
    <xf numFmtId="0" fontId="1" fillId="7" borderId="0" xfId="15" applyFill="1" applyBorder="1"/>
    <xf numFmtId="168" fontId="19" fillId="0" borderId="0" xfId="9" applyNumberFormat="1" applyFont="1" applyFill="1" applyBorder="1" applyAlignment="1"/>
    <xf numFmtId="167" fontId="19" fillId="0" borderId="0" xfId="18" applyNumberFormat="1" applyFont="1" applyFill="1" applyBorder="1" applyAlignment="1"/>
    <xf numFmtId="0" fontId="28" fillId="0" borderId="0" xfId="0" applyFont="1" applyFill="1"/>
    <xf numFmtId="0" fontId="28" fillId="0" borderId="0" xfId="0" applyFont="1" applyFill="1" applyAlignment="1">
      <alignment horizontal="center"/>
    </xf>
    <xf numFmtId="166" fontId="21" fillId="0" borderId="0" xfId="4" applyNumberFormat="1" applyFont="1" applyFill="1"/>
    <xf numFmtId="0" fontId="29" fillId="3" borderId="0" xfId="2" applyFont="1" applyFill="1" applyAlignment="1">
      <alignment horizontal="left" wrapText="1"/>
    </xf>
    <xf numFmtId="0" fontId="30" fillId="3" borderId="0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35" fillId="6" borderId="0" xfId="16" applyFill="1" applyAlignment="1">
      <alignment horizontal="center" vertical="top"/>
    </xf>
    <xf numFmtId="0" fontId="35" fillId="6" borderId="0" xfId="16" applyFill="1" applyAlignment="1">
      <alignment horizontal="left" vertical="top"/>
    </xf>
    <xf numFmtId="0" fontId="34" fillId="2" borderId="0" xfId="12" applyFont="1" applyFill="1" applyBorder="1" applyAlignment="1">
      <alignment horizontal="center" vertical="center" wrapText="1"/>
    </xf>
    <xf numFmtId="0" fontId="38" fillId="6" borderId="0" xfId="12" applyFont="1" applyFill="1" applyAlignment="1">
      <alignment horizontal="center" vertical="center" wrapText="1"/>
    </xf>
    <xf numFmtId="0" fontId="35" fillId="5" borderId="0" xfId="16" applyFill="1" applyBorder="1" applyAlignment="1">
      <alignment horizontal="center"/>
    </xf>
    <xf numFmtId="0" fontId="35" fillId="5" borderId="0" xfId="16" applyFill="1" applyAlignment="1">
      <alignment horizontal="center"/>
    </xf>
    <xf numFmtId="0" fontId="35" fillId="5" borderId="0" xfId="17" applyFill="1" applyAlignment="1">
      <alignment horizontal="center"/>
    </xf>
    <xf numFmtId="0" fontId="27" fillId="3" borderId="0" xfId="2" applyFont="1" applyFill="1" applyAlignment="1">
      <alignment horizontal="left" vertical="center" wrapText="1"/>
    </xf>
    <xf numFmtId="0" fontId="27" fillId="3" borderId="0" xfId="2" applyFont="1" applyFill="1" applyAlignment="1">
      <alignment horizontal="left" vertical="top" wrapText="1"/>
    </xf>
    <xf numFmtId="0" fontId="15" fillId="2" borderId="0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left" vertical="center"/>
    </xf>
    <xf numFmtId="0" fontId="18" fillId="4" borderId="0" xfId="2" applyFont="1" applyFill="1" applyAlignment="1">
      <alignment horizontal="center"/>
    </xf>
  </cellXfs>
  <cellStyles count="19">
    <cellStyle name="Comma" xfId="9" builtinId="3"/>
    <cellStyle name="Comma 2" xfId="4"/>
    <cellStyle name="Followed Hyperlink" xfId="13" builtinId="9" customBuiltin="1"/>
    <cellStyle name="Followed Hyperlink 2" xfId="17"/>
    <cellStyle name="Hyperlink" xfId="12" builtinId="8" customBuiltin="1"/>
    <cellStyle name="Hyperlink 2" xfId="11"/>
    <cellStyle name="Hyperlink 3" xfId="8"/>
    <cellStyle name="Hyperlink 4" xfId="16"/>
    <cellStyle name="Normal" xfId="0" builtinId="0" customBuiltin="1"/>
    <cellStyle name="Normal 2" xfId="6"/>
    <cellStyle name="Normal 3" xfId="15"/>
    <cellStyle name="Normal 6" xfId="2"/>
    <cellStyle name="Normal 6 2 2" xfId="1"/>
    <cellStyle name="Normal 6 2 2 2" xfId="3"/>
    <cellStyle name="Normal 6 2 2 3" xfId="7"/>
    <cellStyle name="Normal 6 2 2 4" xfId="10"/>
    <cellStyle name="Normal 6 2 2 4 2" xfId="14"/>
    <cellStyle name="Percent" xfId="18" builtinId="5"/>
    <cellStyle name="Percent 2" xfId="5"/>
  </cellStyles>
  <dxfs count="10">
    <dxf>
      <fill>
        <patternFill>
          <bgColor rgb="FFE7E6E6"/>
        </patternFill>
      </fill>
    </dxf>
    <dxf>
      <font>
        <color theme="0"/>
      </font>
      <fill>
        <patternFill>
          <bgColor rgb="FF4D4F53"/>
        </patternFill>
      </fill>
    </dxf>
    <dxf>
      <font>
        <sz val="10"/>
        <color theme="0"/>
        <name val="Segoe UI"/>
      </font>
      <fill>
        <patternFill>
          <bgColor rgb="FF4D4F53"/>
        </patternFill>
      </fill>
      <border>
        <vertical/>
        <horizontal/>
      </border>
    </dxf>
    <dxf>
      <border>
        <left style="thin">
          <color rgb="FF4D4F53"/>
        </left>
        <right style="thin">
          <color rgb="FF4D4F53"/>
        </right>
        <top style="thin">
          <color rgb="FF4D4F53"/>
        </top>
        <bottom style="thin">
          <color rgb="FF4D4F53"/>
        </bottom>
        <vertical/>
        <horizontal/>
      </border>
    </dxf>
    <dxf>
      <fill>
        <patternFill>
          <bgColor rgb="FF4D4F53"/>
        </patternFill>
      </fill>
    </dxf>
    <dxf>
      <font>
        <sz val="10"/>
        <color theme="0"/>
        <name val="Segoe UI"/>
        <scheme val="none"/>
      </font>
      <border>
        <left style="thin">
          <color rgb="FF4D4F53"/>
        </left>
        <right style="thin">
          <color rgb="FF4D4F53"/>
        </right>
        <top style="thin">
          <color rgb="FF4D4F53"/>
        </top>
        <bottom style="thin">
          <color rgb="FF4D4F53"/>
        </bottom>
      </border>
    </dxf>
    <dxf>
      <font>
        <b/>
        <i val="0"/>
      </font>
      <fill>
        <patternFill>
          <bgColor rgb="FFF2F2F2"/>
        </patternFill>
      </fill>
    </dxf>
    <dxf>
      <font>
        <b/>
        <i val="0"/>
      </font>
      <fill>
        <patternFill>
          <bgColor rgb="FFE7E6E6"/>
        </patternFill>
      </fill>
    </dxf>
    <dxf>
      <font>
        <b/>
        <i val="0"/>
      </font>
      <fill>
        <patternFill>
          <bgColor rgb="FFD9D9D9"/>
        </patternFill>
      </fill>
    </dxf>
    <dxf>
      <font>
        <color theme="0"/>
      </font>
      <fill>
        <patternFill>
          <bgColor rgb="FF4D4F53"/>
        </patternFill>
      </fill>
    </dxf>
  </dxfs>
  <tableStyles count="4" defaultTableStyle="TableStyleMedium4" defaultPivotStyle="Sage Pivot Style">
    <tableStyle name="Sage Pivot Style" table="0" count="4">
      <tableStyleElement type="headerRow" dxfId="9"/>
      <tableStyleElement type="totalRow" dxfId="8"/>
      <tableStyleElement type="firstRowSubheading" dxfId="7"/>
      <tableStyleElement type="thirdRowSubheading" dxfId="6"/>
    </tableStyle>
    <tableStyle name="Sage Slicer Style" pivot="0" table="0" count="10">
      <tableStyleElement type="wholeTable" dxfId="5"/>
      <tableStyleElement type="headerRow" dxfId="4"/>
    </tableStyle>
    <tableStyle name="Sage Style" pivot="0" table="0" count="9">
      <tableStyleElement type="wholeTable" dxfId="3"/>
      <tableStyleElement type="headerRow" dxfId="2"/>
    </tableStyle>
    <tableStyle name="Sage Table Style" pivot="0" count="2">
      <tableStyleElement type="headerRow" dxfId="1"/>
      <tableStyleElement type="secondRowStripe" dxfId="0"/>
    </tableStyle>
  </tableStyles>
  <colors>
    <mruColors>
      <color rgb="FF009FD0"/>
      <color rgb="FF40B23F"/>
      <color rgb="FF009FDA"/>
      <color rgb="FFFF5800"/>
      <color rgb="FFCDCDCE"/>
      <color rgb="FF4D4F53"/>
      <color rgb="FF34B233"/>
      <color rgb="FFF2F2F2"/>
      <color rgb="FF6639B7"/>
      <color rgb="FF0098D4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rgb="FF44C75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44C75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44C75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44C75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93DD9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36B34A"/>
            </patternFill>
          </fill>
          <border>
            <left/>
            <right/>
            <top/>
            <bottom/>
          </border>
        </dxf>
        <dxf>
          <font>
            <color theme="0" tint="-0.499984740745262"/>
          </font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</border>
        </dxf>
        <dxf>
          <font>
            <color theme="1" tint="0.24994659260841701"/>
          </font>
          <fill>
            <patternFill patternType="none">
              <bgColor auto="1"/>
            </patternFill>
          </fill>
          <border diagonalUp="0" diagonalDown="0">
            <left style="thin">
              <color theme="1" tint="0.34998626667073579"/>
            </left>
            <right style="thin">
              <color theme="1" tint="0.34998626667073579"/>
            </right>
            <top style="thin">
              <color theme="1" tint="0.34998626667073579"/>
            </top>
            <bottom style="thin">
              <color theme="1" tint="0.34998626667073579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age Slicer Style">
        <x14:slicerStyle name="Sage Slicer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1454817346722"/>
              <bgColor rgb="FFC2ECC9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patternFill patternType="solid">
              <fgColor auto="1"/>
              <bgColor rgb="FF36B34A"/>
            </patternFill>
          </fill>
          <border>
            <vertical/>
            <horizontal/>
          </border>
        </dxf>
        <dxf>
          <font>
            <sz val="9"/>
            <color theme="1" tint="0.34998626667073579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34998626667073579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34998626667073579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rgb="FF40B23F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Sage Style">
        <x15:timelineStyle name="Sage Styl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142875</xdr:rowOff>
    </xdr:from>
    <xdr:ext cx="964868" cy="33337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142875"/>
          <a:ext cx="964868" cy="333375"/>
        </a:xfrm>
        <a:prstGeom prst="rect">
          <a:avLst/>
        </a:prstGeom>
      </xdr:spPr>
    </xdr:pic>
    <xdr:clientData/>
  </xdr:oneCellAnchor>
  <xdr:twoCellAnchor editAs="oneCell">
    <xdr:from>
      <xdr:col>3</xdr:col>
      <xdr:colOff>11905</xdr:colOff>
      <xdr:row>5</xdr:row>
      <xdr:rowOff>71435</xdr:rowOff>
    </xdr:from>
    <xdr:to>
      <xdr:col>39</xdr:col>
      <xdr:colOff>3467</xdr:colOff>
      <xdr:row>18</xdr:row>
      <xdr:rowOff>97307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905" y="1233485"/>
          <a:ext cx="10288087" cy="2502372"/>
        </a:xfrm>
        <a:prstGeom prst="rect">
          <a:avLst/>
        </a:prstGeom>
      </xdr:spPr>
    </xdr:pic>
    <xdr:clientData/>
  </xdr:twoCellAnchor>
  <xdr:twoCellAnchor editAs="oneCell">
    <xdr:from>
      <xdr:col>2</xdr:col>
      <xdr:colOff>345280</xdr:colOff>
      <xdr:row>19</xdr:row>
      <xdr:rowOff>142875</xdr:rowOff>
    </xdr:from>
    <xdr:to>
      <xdr:col>4</xdr:col>
      <xdr:colOff>190499</xdr:colOff>
      <xdr:row>22</xdr:row>
      <xdr:rowOff>47625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44" t="15000" r="16185" b="16810"/>
        <a:stretch/>
      </xdr:blipFill>
      <xdr:spPr>
        <a:xfrm>
          <a:off x="1107280" y="3971925"/>
          <a:ext cx="607219" cy="5905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11906</xdr:rowOff>
    </xdr:from>
    <xdr:to>
      <xdr:col>15</xdr:col>
      <xdr:colOff>18607</xdr:colOff>
      <xdr:row>3</xdr:row>
      <xdr:rowOff>380946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583406"/>
          <a:ext cx="3542857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7CA082-7B63-4AF9-A3E5-964C225DF152}">
  <we:reference id="wa104379397" version="1.0.0.2" store="en-US" storeType="OMEX"/>
  <we:alternateReferences/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sagealchemex" TargetMode="External"/><Relationship Id="rId3" Type="http://schemas.openxmlformats.org/officeDocument/2006/relationships/hyperlink" Target="http://sageintelligence.com/blog" TargetMode="External"/><Relationship Id="rId7" Type="http://schemas.openxmlformats.org/officeDocument/2006/relationships/hyperlink" Target="http://www.youtube.com/user/sageintelligence" TargetMode="External"/><Relationship Id="rId2" Type="http://schemas.openxmlformats.org/officeDocument/2006/relationships/hyperlink" Target="http://kb.sageintelligence.com/index.php?title=Main_Page" TargetMode="External"/><Relationship Id="rId1" Type="http://schemas.openxmlformats.org/officeDocument/2006/relationships/hyperlink" Target="https://www.sageintelligence.com/support/" TargetMode="External"/><Relationship Id="rId6" Type="http://schemas.openxmlformats.org/officeDocument/2006/relationships/hyperlink" Target="http://www.linkedin.com/company/sage-alchemex" TargetMode="External"/><Relationship Id="rId5" Type="http://schemas.openxmlformats.org/officeDocument/2006/relationships/hyperlink" Target="https://www.facebook.com/SageIntelligence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sageintelligencecommunity.com/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workbookViewId="0"/>
  </sheetViews>
  <sheetFormatPr defaultRowHeight="14.25" x14ac:dyDescent="0.25"/>
  <cols>
    <col min="1" max="1" width="10.5703125" customWidth="1"/>
  </cols>
  <sheetData>
    <row r="1" spans="1:1" x14ac:dyDescent="0.25">
      <c r="A1" s="1" t="s">
        <v>0</v>
      </c>
    </row>
    <row r="2" spans="1:1" ht="15" thickBot="1" x14ac:dyDescent="0.3">
      <c r="A2" s="2">
        <v>3</v>
      </c>
    </row>
    <row r="3" spans="1:1" x14ac:dyDescent="0.25">
      <c r="A3" s="1" t="s">
        <v>1</v>
      </c>
    </row>
    <row r="4" spans="1:1" ht="15" thickBot="1" x14ac:dyDescent="0.3">
      <c r="A4" s="2" t="str">
        <f ca="1">CHOOSE(1,MID(CellContents,10,1), 3)</f>
        <v>,</v>
      </c>
    </row>
    <row r="5" spans="1:1" x14ac:dyDescent="0.25">
      <c r="A5" s="1" t="s">
        <v>2</v>
      </c>
    </row>
    <row r="6" spans="1:1" ht="15" thickBot="1" x14ac:dyDescent="0.3">
      <c r="A6" s="3" t="str">
        <f ca="1">CHOOSE(1,MID(CellContents,36,1), 3.5)</f>
        <v>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25" x14ac:dyDescent="0.25"/>
  <cols>
    <col min="1" max="1" width="22.42578125" customWidth="1"/>
    <col min="2" max="2" width="11" customWidth="1"/>
    <col min="4" max="4" width="15.42578125" customWidth="1"/>
    <col min="5" max="5" width="17.85546875" bestFit="1" customWidth="1"/>
    <col min="7" max="7" width="10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19</v>
      </c>
      <c r="F1" t="s">
        <v>20</v>
      </c>
      <c r="G1" t="s">
        <v>21</v>
      </c>
    </row>
    <row r="2" spans="1:7" x14ac:dyDescent="0.25">
      <c r="A2" s="11" t="s">
        <v>103</v>
      </c>
      <c r="B2" s="11">
        <v>2020</v>
      </c>
      <c r="C2">
        <v>1</v>
      </c>
      <c r="D2" s="11" t="s">
        <v>71</v>
      </c>
    </row>
    <row r="3" spans="1:7" x14ac:dyDescent="0.25">
      <c r="A3" s="11"/>
      <c r="B3" s="11">
        <v>2019</v>
      </c>
      <c r="C3">
        <v>2</v>
      </c>
      <c r="D3" s="11" t="s">
        <v>72</v>
      </c>
    </row>
    <row r="4" spans="1:7" x14ac:dyDescent="0.25">
      <c r="C4">
        <v>3</v>
      </c>
      <c r="D4" s="11" t="s">
        <v>76</v>
      </c>
    </row>
    <row r="5" spans="1:7" x14ac:dyDescent="0.25">
      <c r="C5">
        <v>4</v>
      </c>
      <c r="D5" t="s">
        <v>77</v>
      </c>
    </row>
    <row r="6" spans="1:7" x14ac:dyDescent="0.25">
      <c r="C6">
        <v>5</v>
      </c>
      <c r="D6" s="11" t="s">
        <v>78</v>
      </c>
    </row>
    <row r="7" spans="1:7" x14ac:dyDescent="0.25">
      <c r="C7">
        <v>6</v>
      </c>
      <c r="D7" s="11"/>
    </row>
    <row r="8" spans="1:7" x14ac:dyDescent="0.25">
      <c r="C8">
        <v>7</v>
      </c>
      <c r="D8" s="63"/>
    </row>
    <row r="9" spans="1:7" x14ac:dyDescent="0.25">
      <c r="C9">
        <v>8</v>
      </c>
      <c r="D9" s="63"/>
    </row>
    <row r="10" spans="1:7" x14ac:dyDescent="0.25">
      <c r="C10">
        <v>9</v>
      </c>
      <c r="D10" s="63"/>
    </row>
    <row r="11" spans="1:7" x14ac:dyDescent="0.25">
      <c r="C11">
        <v>10</v>
      </c>
    </row>
    <row r="12" spans="1:7" x14ac:dyDescent="0.25">
      <c r="C12">
        <v>11</v>
      </c>
    </row>
    <row r="13" spans="1:7" x14ac:dyDescent="0.25">
      <c r="C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"/>
  <sheetViews>
    <sheetView showGridLines="0" zoomScale="90" zoomScaleNormal="90" workbookViewId="0"/>
  </sheetViews>
  <sheetFormatPr defaultRowHeight="14.25" x14ac:dyDescent="0.25"/>
  <cols>
    <col min="1" max="1" width="15.140625" bestFit="1" customWidth="1"/>
    <col min="2" max="2" width="14.7109375" bestFit="1" customWidth="1"/>
    <col min="3" max="3" width="15.140625" bestFit="1" customWidth="1"/>
    <col min="4" max="4" width="2.7109375" customWidth="1"/>
    <col min="5" max="5" width="15.28515625" style="51" bestFit="1" customWidth="1"/>
    <col min="6" max="7" width="13.5703125" bestFit="1" customWidth="1"/>
    <col min="8" max="8" width="2.7109375" customWidth="1"/>
    <col min="9" max="9" width="10.85546875" customWidth="1"/>
    <col min="10" max="11" width="14.28515625" bestFit="1" customWidth="1"/>
    <col min="12" max="12" width="9.140625" style="51"/>
    <col min="13" max="14" width="14.28515625" bestFit="1" customWidth="1"/>
    <col min="15" max="15" width="2.7109375" customWidth="1"/>
  </cols>
  <sheetData>
    <row r="2" spans="1:22" s="12" customFormat="1" ht="17.25" customHeight="1" x14ac:dyDescent="0.3">
      <c r="A2" s="15" t="s">
        <v>23</v>
      </c>
      <c r="B2" s="16" t="str">
        <f>'Income Statement'!D4</f>
        <v>SHSLTD</v>
      </c>
      <c r="E2" s="15" t="s">
        <v>23</v>
      </c>
      <c r="F2" s="16" t="str">
        <f>'Balance Sheet'!D4</f>
        <v>SHSLTD</v>
      </c>
      <c r="I2" s="15"/>
      <c r="J2" s="16"/>
      <c r="L2" s="48"/>
    </row>
    <row r="3" spans="1:22" s="12" customFormat="1" ht="16.5" customHeight="1" x14ac:dyDescent="0.3">
      <c r="A3" s="15" t="s">
        <v>22</v>
      </c>
      <c r="B3" s="16">
        <f>'Income Statement'!D5</f>
        <v>1</v>
      </c>
      <c r="E3" s="15" t="s">
        <v>22</v>
      </c>
      <c r="F3" s="37">
        <f>'Balance Sheet'!D5</f>
        <v>12</v>
      </c>
      <c r="I3" s="15"/>
      <c r="J3" s="37"/>
      <c r="L3" s="48"/>
      <c r="M3" s="84" t="s">
        <v>101</v>
      </c>
      <c r="N3" s="84"/>
      <c r="O3" s="84"/>
      <c r="P3" s="84"/>
      <c r="Q3" s="84"/>
      <c r="R3"/>
      <c r="S3"/>
      <c r="T3"/>
      <c r="U3"/>
      <c r="V3"/>
    </row>
    <row r="4" spans="1:22" s="12" customFormat="1" ht="16.5" x14ac:dyDescent="0.3">
      <c r="A4" s="15" t="s">
        <v>24</v>
      </c>
      <c r="B4" s="16" t="str">
        <f>'Income Statement'!D6</f>
        <v>CAD</v>
      </c>
      <c r="E4" s="15" t="s">
        <v>24</v>
      </c>
      <c r="F4" s="16" t="str">
        <f>'Balance Sheet'!D6</f>
        <v>CAD</v>
      </c>
      <c r="I4" s="15"/>
      <c r="J4" s="16"/>
      <c r="L4" s="48"/>
      <c r="M4" s="84"/>
      <c r="N4" s="84"/>
      <c r="O4" s="84"/>
      <c r="P4" s="84"/>
      <c r="Q4" s="84"/>
      <c r="R4"/>
      <c r="S4"/>
      <c r="T4"/>
      <c r="U4"/>
      <c r="V4"/>
    </row>
    <row r="5" spans="1:22" s="12" customFormat="1" ht="16.5" x14ac:dyDescent="0.3">
      <c r="A5" s="15" t="s">
        <v>25</v>
      </c>
      <c r="B5" s="16" t="str">
        <f>'Income Statement'!D7</f>
        <v>F</v>
      </c>
      <c r="E5" s="15" t="s">
        <v>25</v>
      </c>
      <c r="F5" s="16" t="str">
        <f>'Balance Sheet'!D7</f>
        <v>F</v>
      </c>
      <c r="I5" s="15"/>
      <c r="J5" s="16"/>
      <c r="L5" s="48"/>
      <c r="M5" s="84"/>
      <c r="N5" s="84"/>
      <c r="O5" s="84"/>
      <c r="P5" s="84"/>
      <c r="Q5" s="84"/>
      <c r="R5"/>
      <c r="S5"/>
      <c r="T5"/>
      <c r="U5"/>
      <c r="V5"/>
    </row>
    <row r="7" spans="1:22" s="40" customFormat="1" ht="5.0999999999999996" customHeight="1" x14ac:dyDescent="0.2">
      <c r="B7" s="41"/>
      <c r="C7" s="41"/>
      <c r="E7" s="49"/>
      <c r="L7" s="49"/>
    </row>
    <row r="8" spans="1:22" s="40" customFormat="1" x14ac:dyDescent="0.2">
      <c r="A8" s="85" t="s">
        <v>40</v>
      </c>
      <c r="B8" s="85"/>
      <c r="C8" s="85"/>
      <c r="E8" s="86" t="s">
        <v>28</v>
      </c>
      <c r="F8" s="86"/>
      <c r="G8" s="86"/>
      <c r="I8" s="86" t="s">
        <v>36</v>
      </c>
      <c r="J8" s="86"/>
      <c r="K8" s="86"/>
    </row>
    <row r="9" spans="1:22" s="40" customFormat="1" ht="5.0999999999999996" customHeight="1" x14ac:dyDescent="0.2">
      <c r="A9" s="42"/>
      <c r="B9" s="42"/>
      <c r="C9" s="42"/>
      <c r="E9" s="49"/>
      <c r="I9" s="49"/>
    </row>
    <row r="10" spans="1:22" s="40" customFormat="1" ht="15" x14ac:dyDescent="0.25">
      <c r="A10" s="42"/>
      <c r="B10" s="53">
        <f>'Income Statement'!F11</f>
        <v>2019</v>
      </c>
      <c r="C10" s="53">
        <f>CHOOSE(B, "GLCurrentYear(" &amp; $B$2 &amp; ")", CellContents, 2020)</f>
        <v>2020</v>
      </c>
      <c r="E10" s="49"/>
      <c r="F10" s="54">
        <f>'Balance Sheet'!$F$11</f>
        <v>2019</v>
      </c>
      <c r="G10" s="54">
        <f>CHOOSE(B, "GLCurrentYear(" &amp; $B$2 &amp; ")", CellContents, 2020)</f>
        <v>2020</v>
      </c>
      <c r="I10" s="49"/>
      <c r="J10" s="54">
        <f>'Balance Sheet'!$F$11</f>
        <v>2019</v>
      </c>
      <c r="K10" s="54">
        <f>CHOOSE(B, "GLCurrentYear(" &amp; $B$2 &amp; ")", CellContents, 2020)</f>
        <v>2020</v>
      </c>
    </row>
    <row r="11" spans="1:22" s="40" customFormat="1" ht="5.0999999999999996" customHeight="1" x14ac:dyDescent="0.2">
      <c r="A11" s="42"/>
      <c r="B11" s="43"/>
      <c r="C11" s="43"/>
      <c r="E11" s="49"/>
      <c r="F11" s="32"/>
      <c r="G11" s="32"/>
      <c r="I11" s="49"/>
    </row>
    <row r="12" spans="1:22" s="40" customFormat="1" ht="12.75" x14ac:dyDescent="0.2">
      <c r="A12" s="52">
        <v>170</v>
      </c>
      <c r="B12" s="32">
        <f>CHOOSE(B, "GLActualYTD(" &amp; "Account" &amp; "," &amp; $B$2 &amp; "," &amp; B$10 &amp; "," &amp; $B$3 &amp; "," &amp; "AccountGroupCode" &amp; "," &amp; $A12 &amp; "," &amp; "AccountStructureCode" &amp; "," &amp; "AccountType" &amp; "," &amp; "BalanceType" &amp; "," &amp; $B$4 &amp; "," &amp; $B$5 &amp; ")", CellContents, 9506365.03)</f>
        <v>9506365.0299999993</v>
      </c>
      <c r="C12" s="32">
        <f>CHOOSE(B, "GLActualYTD(" &amp; "Account" &amp; "," &amp; $B$2 &amp; "," &amp; C$10 &amp; "," &amp; $B$3 &amp; "," &amp; "AccountGroupCode" &amp; "," &amp; $A12 &amp; "," &amp; "AccountStructureCode" &amp; "," &amp; "AccountType" &amp; "," &amp; "BalanceType" &amp; "," &amp; $B$4 &amp; "," &amp; $B$5 &amp; ")", CellContents, 1056417.54)</f>
        <v>1056417.54</v>
      </c>
      <c r="E12" s="50">
        <v>20</v>
      </c>
      <c r="F12" s="32">
        <f>CHOOSE(B, "GLClosingBalance(" &amp; "Account" &amp; "," &amp; $F$2 &amp; "," &amp; F$10 &amp; "," &amp; $F$3 &amp; "," &amp; "AccountGroupCode" &amp; "," &amp; $E12 &amp; "," &amp; "AccountStructureCode" &amp; "," &amp; "AccountType" &amp; "," &amp; "BalanceType" &amp; "," &amp; $F$4 &amp; "," &amp; $F$5 &amp; ")", CellContents, 3118429.82)</f>
        <v>3118429.82</v>
      </c>
      <c r="G12" s="32">
        <f>CHOOSE(B, "GLClosingBalance(" &amp; "Account" &amp; "," &amp; $F$2 &amp; "," &amp; G$10 &amp; "," &amp; $F$3 &amp; "," &amp; "AccountGroupCode" &amp; "," &amp; $E12 &amp; "," &amp; "AccountStructureCode" &amp; "," &amp; "AccountType" &amp; "," &amp; "BalanceType" &amp; "," &amp; $F$4 &amp; "," &amp; $F$5 &amp; ")", CellContents, 2754368.6)</f>
        <v>2754368.6</v>
      </c>
      <c r="I12" s="50">
        <v>120</v>
      </c>
      <c r="J12" s="32">
        <f>CHOOSE(B, "-GLClosingBalance(" &amp; "Account" &amp; "," &amp; $F$2 &amp; "," &amp; J$10 &amp; "," &amp; $F$3 &amp; "," &amp; "AccountGroupCode" &amp; "," &amp; $I12 &amp; "," &amp; "AccountStructureCode" &amp; "," &amp; "AccountType" &amp; "," &amp; "BalanceType" &amp; "," &amp; $F$4 &amp; "," &amp; $F$5 &amp; ")", CellContents, 250000)</f>
        <v>250000</v>
      </c>
      <c r="K12" s="32">
        <f>CHOOSE(B, "-GLClosingBalance(" &amp; "Account" &amp; "," &amp; $F$2 &amp; "," &amp; K$10 &amp; "," &amp; $F$3 &amp; "," &amp; "AccountGroupCode" &amp; "," &amp; $I12 &amp; "," &amp; "AccountStructureCode" &amp; "," &amp; "AccountType" &amp; "," &amp; "BalanceType" &amp; "," &amp; $F$4 &amp; "," &amp; $F$5 &amp; ")", CellContents, 250000)</f>
        <v>250000</v>
      </c>
    </row>
    <row r="13" spans="1:22" s="40" customFormat="1" ht="12.75" x14ac:dyDescent="0.2">
      <c r="A13" s="52">
        <v>180</v>
      </c>
      <c r="B13" s="32">
        <f>CHOOSE(B, "GLActualYTD(" &amp; "Account" &amp; "," &amp; $B$2 &amp; "," &amp; B$10 &amp; "," &amp; $B$3 &amp; "," &amp; "AccountGroupCode" &amp; "," &amp; $A13 &amp; "," &amp; "AccountStructureCode" &amp; "," &amp; "AccountType" &amp; "," &amp; "BalanceType" &amp; "," &amp; $B$4 &amp; "," &amp; $B$5 &amp; ")", CellContents, 40000)</f>
        <v>40000</v>
      </c>
      <c r="C13" s="32">
        <f>CHOOSE(B, "GLActualYTD(" &amp; "Account" &amp; "," &amp; $B$2 &amp; "," &amp; C$10 &amp; "," &amp; $B$3 &amp; "," &amp; "AccountGroupCode" &amp; "," &amp; $A13 &amp; "," &amp; "AccountStructureCode" &amp; "," &amp; "AccountType" &amp; "," &amp; "BalanceType" &amp; "," &amp; $B$4 &amp; "," &amp; $B$5 &amp; ")", CellContents, 40000)</f>
        <v>40000</v>
      </c>
      <c r="E13" s="50">
        <v>40</v>
      </c>
      <c r="F13" s="32">
        <f>CHOOSE(B, "GLClosingBalance(" &amp; "Account" &amp; "," &amp; $F$2 &amp; "," &amp; F$10 &amp; "," &amp; $F$3 &amp; "," &amp; "AccountGroupCode" &amp; "," &amp; $E13 &amp; "," &amp; "AccountStructureCode" &amp; "," &amp; "AccountType" &amp; "," &amp; "BalanceType" &amp; "," &amp; $F$4 &amp; "," &amp; $F$5 &amp; ")", CellContents, 38655.49)</f>
        <v>38655.49</v>
      </c>
      <c r="G13" s="32">
        <f>CHOOSE(B, "GLClosingBalance(" &amp; "Account" &amp; "," &amp; $F$2 &amp; "," &amp; G$10 &amp; "," &amp; $F$3 &amp; "," &amp; "AccountGroupCode" &amp; "," &amp; $E13 &amp; "," &amp; "AccountStructureCode" &amp; "," &amp; "AccountType" &amp; "," &amp; "BalanceType" &amp; "," &amp; $F$4 &amp; "," &amp; $F$5 &amp; ")", CellContents, 39499.09)</f>
        <v>39499.089999999997</v>
      </c>
      <c r="I13" s="50">
        <v>130</v>
      </c>
      <c r="J13" s="32">
        <f>CHOOSE(B, "-GLClosingBalance(" &amp; "Account" &amp; "," &amp; $F$2 &amp; "," &amp; J$10 &amp; "," &amp; $F$3 &amp; "," &amp; "AccountGroupCode" &amp; "," &amp; $I13 &amp; "," &amp; "AccountStructureCode" &amp; "," &amp; "AccountType" &amp; "," &amp; "BalanceType" &amp; "," &amp; $F$4 &amp; "," &amp; $F$5 &amp; ")", CellContents, 1740155.66)</f>
        <v>1740155.66</v>
      </c>
      <c r="K13" s="32">
        <f>CHOOSE(B, "-GLClosingBalance(" &amp; "Account" &amp; "," &amp; $F$2 &amp; "," &amp; K$10 &amp; "," &amp; $F$3 &amp; "," &amp; "AccountGroupCode" &amp; "," &amp; $I13 &amp; "," &amp; "AccountStructureCode" &amp; "," &amp; "AccountType" &amp; "," &amp; "BalanceType" &amp; "," &amp; $F$4 &amp; "," &amp; $F$5 &amp; ")", CellContents, -1482265.39)</f>
        <v>-1482265.39</v>
      </c>
    </row>
    <row r="14" spans="1:22" s="40" customFormat="1" ht="12.75" x14ac:dyDescent="0.2">
      <c r="A14" s="52">
        <v>190</v>
      </c>
      <c r="B14" s="32">
        <f>CHOOSE(B, "GLActualYTD(" &amp; "Account" &amp; "," &amp; $B$2 &amp; "," &amp; B$10 &amp; "," &amp; $B$3 &amp; "," &amp; "AccountGroupCode" &amp; "," &amp; $A14 &amp; "," &amp; "AccountStructureCode" &amp; "," &amp; "AccountType" &amp; "," &amp; "BalanceType" &amp; "," &amp; $B$4 &amp; "," &amp; $B$5 &amp; ")", CellContents, 23009.01)</f>
        <v>23009.01</v>
      </c>
      <c r="C14" s="32">
        <f>CHOOSE(B, "GLActualYTD(" &amp; "Account" &amp; "," &amp; $B$2 &amp; "," &amp; C$10 &amp; "," &amp; $B$3 &amp; "," &amp; "AccountGroupCode" &amp; "," &amp; $A14 &amp; "," &amp; "AccountStructureCode" &amp; "," &amp; "AccountType" &amp; "," &amp; "BalanceType" &amp; "," &amp; $B$4 &amp; "," &amp; $B$5 &amp; ")", CellContents, 69.16)</f>
        <v>69.16</v>
      </c>
      <c r="E14" s="50"/>
      <c r="F14" s="45"/>
      <c r="G14" s="44"/>
      <c r="I14" s="50"/>
    </row>
    <row r="15" spans="1:22" s="40" customFormat="1" ht="12.75" x14ac:dyDescent="0.2">
      <c r="A15" s="42"/>
      <c r="B15" s="42"/>
      <c r="C15" s="42"/>
      <c r="E15" s="50"/>
      <c r="F15" s="45"/>
      <c r="G15" s="44"/>
      <c r="I15" s="49"/>
    </row>
    <row r="16" spans="1:22" s="47" customFormat="1" ht="12.75" x14ac:dyDescent="0.2">
      <c r="A16" s="46"/>
      <c r="B16" s="83">
        <f>SUM(B12:B15)</f>
        <v>9569374.0399999991</v>
      </c>
      <c r="C16" s="83">
        <f>SUM(C12:C15)</f>
        <v>1096486.7</v>
      </c>
      <c r="D16" s="81"/>
      <c r="E16" s="82"/>
      <c r="F16" s="83">
        <f>SUM(F12:F15)</f>
        <v>3157085.31</v>
      </c>
      <c r="G16" s="83">
        <f>SUM(G12:G15)</f>
        <v>2793867.69</v>
      </c>
      <c r="H16" s="81"/>
      <c r="I16" s="82"/>
      <c r="J16" s="83">
        <f>SUM(J12:J15)</f>
        <v>1990155.66</v>
      </c>
      <c r="K16" s="83">
        <f>SUM(K12:K15)</f>
        <v>-1232265.3899999999</v>
      </c>
    </row>
    <row r="17" spans="9:12" x14ac:dyDescent="0.25">
      <c r="I17" s="51"/>
      <c r="L17"/>
    </row>
  </sheetData>
  <mergeCells count="4">
    <mergeCell ref="M3:Q5"/>
    <mergeCell ref="A8:C8"/>
    <mergeCell ref="I8:K8"/>
    <mergeCell ref="E8:G8"/>
  </mergeCells>
  <dataValidations count="1">
    <dataValidation type="list" allowBlank="1" showInputMessage="1" showErrorMessage="1" sqref="F10:G10 J10:K10 B10:C11">
      <formula1>FiscalYearsTemplate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showGridLines="0" workbookViewId="0">
      <selection activeCell="A2" sqref="A2"/>
    </sheetView>
  </sheetViews>
  <sheetFormatPr defaultRowHeight="14.25" x14ac:dyDescent="0.25"/>
  <cols>
    <col min="1" max="1" width="38.28515625" bestFit="1" customWidth="1"/>
    <col min="2" max="3" width="12.7109375" bestFit="1" customWidth="1"/>
    <col min="4" max="5" width="14" bestFit="1" customWidth="1"/>
    <col min="6" max="6" width="15" bestFit="1" customWidth="1"/>
  </cols>
  <sheetData>
    <row r="1" spans="1:6" ht="26.25" x14ac:dyDescent="0.45">
      <c r="A1" s="58" t="s">
        <v>83</v>
      </c>
    </row>
    <row r="4" spans="1:6" x14ac:dyDescent="0.25">
      <c r="B4">
        <f>'Income Statement'!F11</f>
        <v>2019</v>
      </c>
      <c r="C4" s="11">
        <f>'Income Statement'!G11</f>
        <v>2020</v>
      </c>
      <c r="D4" s="11">
        <f>'Income Statement'!I11</f>
        <v>2021</v>
      </c>
      <c r="E4" s="11">
        <f>'Income Statement'!J11</f>
        <v>2022</v>
      </c>
      <c r="F4" s="11">
        <f>'Income Statement'!K11</f>
        <v>2023</v>
      </c>
    </row>
    <row r="6" spans="1:6" x14ac:dyDescent="0.25">
      <c r="A6" s="30">
        <v>10</v>
      </c>
      <c r="B6" s="32">
        <f>CHOOSE(B, "GLClosingBalance(" &amp; "Account" &amp; "," &amp; $D$4 &amp; "," &amp; F$11 &amp; "," &amp; $D$5 &amp; "," &amp; "AccountGroupCode" &amp; "," &amp; $C15 &amp; "," &amp; "AccountStructureCode" &amp; "," &amp; "AccountType" &amp; "," &amp; "BalanceType" &amp; "," &amp; $D$6 &amp; "," &amp; $D$7 &amp; ")", CellContents, 2748523,6)</f>
        <v>2748523</v>
      </c>
      <c r="C6" s="32">
        <f>CHOOSE(B, "GLClosingBalance(" &amp; "Account" &amp; "," &amp; $D$4 &amp; "," &amp; G$11 &amp; "," &amp; $D$5 &amp; "," &amp; "AccountGroupCode" &amp; "," &amp; $C15 &amp; "," &amp; "AccountStructureCode" &amp; "," &amp; "AccountType" &amp; "," &amp; "BalanceType" &amp; "," &amp; $D$6 &amp; "," &amp; $D$7 &amp; ")", CellContents, 7912363,97)</f>
        <v>7912363</v>
      </c>
      <c r="D6" s="32">
        <f>INDEX('Balance Sheet'!$C:$K,MATCH(ProjectionTrend!$A6,'Balance Sheet'!$C:$C,0),7)</f>
        <v>9251504.0052291304</v>
      </c>
      <c r="E6" s="32">
        <f>INDEX('Balance Sheet'!$C:$K,MATCH(ProjectionTrend!$A6,'Balance Sheet'!$C:$C,0),8)</f>
        <v>7856103.5614452129</v>
      </c>
      <c r="F6" s="32">
        <f>INDEX('Balance Sheet'!$C:$K,MATCH(ProjectionTrend!$A6,'Balance Sheet'!$C:$C,0),9)</f>
        <v>7180160.170003457</v>
      </c>
    </row>
    <row r="7" spans="1:6" x14ac:dyDescent="0.25">
      <c r="A7" s="38" t="s">
        <v>98</v>
      </c>
      <c r="B7" s="32">
        <f>INDEX('Balance Sheet'!$C:$K,MATCH(ProjectionTrend!$A7,'Balance Sheet'!$C:$C,0),4)</f>
        <v>3157085.31</v>
      </c>
      <c r="C7" s="32">
        <f>INDEX('Balance Sheet'!$C:$K,MATCH(ProjectionTrend!$A7,'Balance Sheet'!$C:$C,0),5)</f>
        <v>2793867.69</v>
      </c>
      <c r="D7" s="32">
        <f>INDEX('Balance Sheet'!$C:$K,MATCH(ProjectionTrend!$A7,'Balance Sheet'!$C:$C,0),7)</f>
        <v>1750412.4201468816</v>
      </c>
      <c r="E7" s="32">
        <f>INDEX('Balance Sheet'!$C:$K,MATCH(ProjectionTrend!$A7,'Balance Sheet'!$C:$C,0),8)</f>
        <v>1096667.4089725642</v>
      </c>
      <c r="F7" s="32">
        <f>INDEX('Balance Sheet'!$C:$K,MATCH(ProjectionTrend!$A7,'Balance Sheet'!$C:$C,0),9)</f>
        <v>687083.45076852071</v>
      </c>
    </row>
    <row r="8" spans="1:6" x14ac:dyDescent="0.25">
      <c r="A8" s="30">
        <v>30</v>
      </c>
      <c r="B8" s="32">
        <f>CHOOSE(B, "GLClosingBalance(" &amp; "Account" &amp; "," &amp; $D$4 &amp; "," &amp; F$11 &amp; "," &amp; $D$5 &amp; "," &amp; "AccountGroupCode" &amp; "," &amp; $C17 &amp; "," &amp; "AccountStructureCode" &amp; "," &amp; "AccountType" &amp; "," &amp; "BalanceType" &amp; "," &amp; $D$6 &amp; "," &amp; $D$7 &amp; ")", CellContents, 1873135,81)</f>
        <v>1873135</v>
      </c>
      <c r="C8" s="32">
        <f>CHOOSE(B, "GLClosingBalance(" &amp; "Account" &amp; "," &amp; $D$4 &amp; "," &amp; G$11 &amp; "," &amp; $D$5 &amp; "," &amp; "AccountGroupCode" &amp; "," &amp; $C17 &amp; "," &amp; "AccountStructureCode" &amp; "," &amp; "AccountType" &amp; "," &amp; "BalanceType" &amp; "," &amp; $D$6 &amp; "," &amp; $D$7 &amp; ")", CellContents, 1928978,6)</f>
        <v>1928978</v>
      </c>
      <c r="D8" s="32">
        <f>INDEX('Balance Sheet'!$C:$K,MATCH(ProjectionTrend!$A8,'Balance Sheet'!$C:$C,0),7)</f>
        <v>1226360.0467305924</v>
      </c>
      <c r="E8" s="32">
        <f>INDEX('Balance Sheet'!$C:$K,MATCH(ProjectionTrend!$A8,'Balance Sheet'!$C:$C,0),8)</f>
        <v>768338.40952902776</v>
      </c>
      <c r="F8" s="32">
        <f>INDEX('Balance Sheet'!$C:$K,MATCH(ProjectionTrend!$A8,'Balance Sheet'!$C:$C,0),9)</f>
        <v>481378.94995146</v>
      </c>
    </row>
    <row r="9" spans="1:6" x14ac:dyDescent="0.25">
      <c r="A9" s="30" t="s">
        <v>12</v>
      </c>
      <c r="B9" s="32">
        <f>INDEX('Balance Sheet'!$D:$K,MATCH(ProjectionTrend!$A9,'Balance Sheet'!$D:$D,0),3)</f>
        <v>11781701.450000001</v>
      </c>
      <c r="C9" s="32">
        <f>INDEX('Balance Sheet'!$D:$K,MATCH(ProjectionTrend!$A9,'Balance Sheet'!$D:$D,0),4)</f>
        <v>16558067.83</v>
      </c>
      <c r="D9" s="32">
        <f>INDEX('Balance Sheet'!$D:$K,MATCH(ProjectionTrend!$A9,'Balance Sheet'!$D:$D,0),6)</f>
        <v>12228276.472106606</v>
      </c>
      <c r="E9" s="32">
        <f>INDEX('Balance Sheet'!$D:$K,MATCH(ProjectionTrend!$A9,'Balance Sheet'!$D:$D,0),7)</f>
        <v>9721109.3799468055</v>
      </c>
      <c r="F9" s="32">
        <f>INDEX('Balance Sheet'!$D:$K,MATCH(ProjectionTrend!$A9,'Balance Sheet'!$D:$D,0),8)</f>
        <v>8348622.5707234377</v>
      </c>
    </row>
    <row r="10" spans="1:6" s="11" customFormat="1" x14ac:dyDescent="0.25">
      <c r="A10" s="30"/>
      <c r="B10" s="32"/>
      <c r="C10" s="32"/>
      <c r="D10" s="32"/>
      <c r="E10" s="32"/>
      <c r="F10" s="32"/>
    </row>
    <row r="11" spans="1:6" x14ac:dyDescent="0.25">
      <c r="A11" s="30">
        <v>50</v>
      </c>
      <c r="B11" s="32">
        <f>INDEX('Balance Sheet'!$C:$K,MATCH(ProjectionTrend!$A11,'Balance Sheet'!$C:$C,0),4)</f>
        <v>1062888.79</v>
      </c>
      <c r="C11" s="32">
        <f>INDEX('Balance Sheet'!$C:$K,MATCH(ProjectionTrend!$A11,'Balance Sheet'!$C:$C,0),5)</f>
        <v>2664054.79</v>
      </c>
      <c r="D11" s="32">
        <f>INDEX('Balance Sheet'!$C:$K,MATCH(ProjectionTrend!$A11,'Balance Sheet'!$C:$C,0),7)</f>
        <v>0</v>
      </c>
      <c r="E11" s="32">
        <f>INDEX('Balance Sheet'!$C:$K,MATCH(ProjectionTrend!$A11,'Balance Sheet'!$C:$C,0),8)</f>
        <v>0</v>
      </c>
      <c r="F11" s="32">
        <f>INDEX('Balance Sheet'!$C:$K,MATCH(ProjectionTrend!$A11,'Balance Sheet'!$C:$C,0),9)</f>
        <v>0</v>
      </c>
    </row>
    <row r="12" spans="1:6" x14ac:dyDescent="0.25">
      <c r="A12" s="30">
        <v>60</v>
      </c>
      <c r="B12" s="32">
        <f>INDEX('Balance Sheet'!$C:$K,MATCH(ProjectionTrend!$A12,'Balance Sheet'!$C:$C,0),4)</f>
        <v>-762426.42</v>
      </c>
      <c r="C12" s="32">
        <f>INDEX('Balance Sheet'!$C:$K,MATCH(ProjectionTrend!$A12,'Balance Sheet'!$C:$C,0),5)</f>
        <v>-1012426.42</v>
      </c>
      <c r="D12" s="32">
        <f>INDEX('Balance Sheet'!$C:$K,MATCH(ProjectionTrend!$A12,'Balance Sheet'!$C:$C,0),7)</f>
        <v>0</v>
      </c>
      <c r="E12" s="32">
        <f>INDEX('Balance Sheet'!$C:$K,MATCH(ProjectionTrend!$A12,'Balance Sheet'!$C:$C,0),8)</f>
        <v>0</v>
      </c>
      <c r="F12" s="32">
        <f>INDEX('Balance Sheet'!$C:$K,MATCH(ProjectionTrend!$A12,'Balance Sheet'!$C:$C,0),9)</f>
        <v>0</v>
      </c>
    </row>
    <row r="13" spans="1:6" x14ac:dyDescent="0.25">
      <c r="A13" s="30" t="s">
        <v>80</v>
      </c>
      <c r="B13" s="32">
        <f>INDEX('Balance Sheet'!$D:$K,MATCH(ProjectionTrend!$A13,'Balance Sheet'!$D:$D,0),3)</f>
        <v>300462.37</v>
      </c>
      <c r="C13" s="32">
        <f>INDEX('Balance Sheet'!$D:$K,MATCH(ProjectionTrend!$A13,'Balance Sheet'!$D:$D,0),4)</f>
        <v>1651628.37</v>
      </c>
      <c r="D13" s="32">
        <f>INDEX('Balance Sheet'!$D:$K,MATCH(ProjectionTrend!$A13,'Balance Sheet'!$D:$D,0),6)</f>
        <v>1651628.37</v>
      </c>
      <c r="E13" s="32">
        <f>INDEX('Balance Sheet'!$D:$K,MATCH(ProjectionTrend!$A13,'Balance Sheet'!$D:$D,0),7)</f>
        <v>1651628.37</v>
      </c>
      <c r="F13" s="32">
        <f>INDEX('Balance Sheet'!$D:$K,MATCH(ProjectionTrend!$A13,'Balance Sheet'!$D:$D,0),8)</f>
        <v>1651628.37</v>
      </c>
    </row>
    <row r="14" spans="1:6" s="11" customFormat="1" x14ac:dyDescent="0.25">
      <c r="A14" s="30"/>
    </row>
    <row r="15" spans="1:6" x14ac:dyDescent="0.25">
      <c r="A15" s="30">
        <v>70</v>
      </c>
      <c r="B15" s="32">
        <f>INDEX('Balance Sheet'!$C:$K,MATCH(ProjectionTrend!$A15,'Balance Sheet'!$C:$C,0),4)</f>
        <v>150000</v>
      </c>
      <c r="C15" s="32">
        <f>INDEX('Balance Sheet'!$C:$K,MATCH(ProjectionTrend!$A15,'Balance Sheet'!$C:$C,0),5)</f>
        <v>312710.25</v>
      </c>
      <c r="D15" s="32">
        <f>INDEX('Balance Sheet'!$C:$K,MATCH(ProjectionTrend!$A15,'Balance Sheet'!$C:$C,0),7)</f>
        <v>312710.25</v>
      </c>
      <c r="E15" s="32">
        <f>INDEX('Balance Sheet'!$C:$K,MATCH(ProjectionTrend!$A15,'Balance Sheet'!$C:$C,0),8)</f>
        <v>312710.25</v>
      </c>
      <c r="F15" s="32">
        <f>INDEX('Balance Sheet'!$C:$K,MATCH(ProjectionTrend!$A15,'Balance Sheet'!$C:$C,0),9)</f>
        <v>312710.25</v>
      </c>
    </row>
    <row r="16" spans="1:6" x14ac:dyDescent="0.25">
      <c r="A16" s="59" t="s">
        <v>13</v>
      </c>
      <c r="B16" s="60">
        <f>INDEX('Balance Sheet'!$D:$K,MATCH(ProjectionTrend!$A16,'Balance Sheet'!$D:$D,0),3)</f>
        <v>12232163.82</v>
      </c>
      <c r="C16" s="60">
        <f>INDEX('Balance Sheet'!$D:$K,MATCH(ProjectionTrend!$A16,'Balance Sheet'!$D:$D,0),4)</f>
        <v>18522406.449999999</v>
      </c>
      <c r="D16" s="60">
        <f>INDEX('Balance Sheet'!$D:$K,MATCH(ProjectionTrend!$A16,'Balance Sheet'!$D:$D,0),6)</f>
        <v>14192615.092106607</v>
      </c>
      <c r="E16" s="60">
        <f>INDEX('Balance Sheet'!$D:$K,MATCH(ProjectionTrend!$A16,'Balance Sheet'!$D:$D,0),7)</f>
        <v>11685447.999946807</v>
      </c>
      <c r="F16" s="60">
        <f>INDEX('Balance Sheet'!$D:$K,MATCH(ProjectionTrend!$A16,'Balance Sheet'!$D:$D,0),8)</f>
        <v>10312961.190723438</v>
      </c>
    </row>
    <row r="17" spans="1:6" s="11" customFormat="1" x14ac:dyDescent="0.25">
      <c r="A17" s="30"/>
    </row>
    <row r="18" spans="1:6" x14ac:dyDescent="0.25">
      <c r="A18" s="30">
        <v>90</v>
      </c>
      <c r="B18" s="32">
        <f>INDEX('Balance Sheet'!$C:$K,MATCH(ProjectionTrend!$A18,'Balance Sheet'!$C:$C,0),4)</f>
        <v>1002896.32</v>
      </c>
      <c r="C18" s="32">
        <f>INDEX('Balance Sheet'!$C:$K,MATCH(ProjectionTrend!$A18,'Balance Sheet'!$C:$C,0),5)</f>
        <v>1161410.47</v>
      </c>
      <c r="D18" s="32">
        <f>INDEX('Balance Sheet'!$C:$K,MATCH(ProjectionTrend!$A18,'Balance Sheet'!$C:$C,0),7)</f>
        <v>2784162.1503693946</v>
      </c>
      <c r="E18" s="32">
        <f>INDEX('Balance Sheet'!$C:$K,MATCH(ProjectionTrend!$A18,'Balance Sheet'!$C:$C,0),8)</f>
        <v>4028789.5977956578</v>
      </c>
      <c r="F18" s="32">
        <f>INDEX('Balance Sheet'!$C:$K,MATCH(ProjectionTrend!$A18,'Balance Sheet'!$C:$C,0),9)</f>
        <v>5028497.3526382511</v>
      </c>
    </row>
    <row r="19" spans="1:6" x14ac:dyDescent="0.25">
      <c r="A19" s="30">
        <v>80</v>
      </c>
      <c r="B19" s="32">
        <f>INDEX('Balance Sheet'!$C:$K,MATCH(ProjectionTrend!$A19,'Balance Sheet'!$C:$C,0),4)</f>
        <v>12160569.35</v>
      </c>
      <c r="C19" s="32">
        <f>INDEX('Balance Sheet'!$C:$K,MATCH(ProjectionTrend!$A19,'Balance Sheet'!$C:$C,0),5)</f>
        <v>17202106.350000001</v>
      </c>
      <c r="D19" s="32">
        <f>INDEX('Balance Sheet'!$C:$K,MATCH(ProjectionTrend!$A19,'Balance Sheet'!$C:$C,0),7)</f>
        <v>10777454.034599448</v>
      </c>
      <c r="E19" s="32">
        <f>INDEX('Balance Sheet'!$C:$K,MATCH(ProjectionTrend!$A19,'Balance Sheet'!$C:$C,0),8)</f>
        <v>6752284.4647396281</v>
      </c>
      <c r="F19" s="32">
        <f>INDEX('Balance Sheet'!$C:$K,MATCH(ProjectionTrend!$A19,'Balance Sheet'!$C:$C,0),9)</f>
        <v>4230437.4805397755</v>
      </c>
    </row>
    <row r="20" spans="1:6" x14ac:dyDescent="0.25">
      <c r="A20" s="30" t="s">
        <v>59</v>
      </c>
      <c r="B20" s="32">
        <f>INDEX('Balance Sheet'!$D:$K,MATCH(ProjectionTrend!$A20,'Balance Sheet'!$D:$D,0),3)</f>
        <v>13163465.67</v>
      </c>
      <c r="C20" s="32">
        <f>INDEX('Balance Sheet'!$D:$K,MATCH(ProjectionTrend!$A20,'Balance Sheet'!$D:$D,0),4)</f>
        <v>18363516.82</v>
      </c>
      <c r="D20" s="32">
        <f>INDEX('Balance Sheet'!$D:$K,MATCH(ProjectionTrend!$A20,'Balance Sheet'!$D:$D,0),6)</f>
        <v>13561616.184968842</v>
      </c>
      <c r="E20" s="32">
        <f>INDEX('Balance Sheet'!$D:$K,MATCH(ProjectionTrend!$A20,'Balance Sheet'!$D:$D,0),7)</f>
        <v>10781074.062535286</v>
      </c>
      <c r="F20" s="32">
        <f>INDEX('Balance Sheet'!$D:$K,MATCH(ProjectionTrend!$A20,'Balance Sheet'!$D:$D,0),8)</f>
        <v>9258934.8331780266</v>
      </c>
    </row>
    <row r="21" spans="1:6" s="11" customFormat="1" x14ac:dyDescent="0.25">
      <c r="A21" s="30"/>
    </row>
    <row r="22" spans="1:6" x14ac:dyDescent="0.25">
      <c r="A22" s="38">
        <v>100</v>
      </c>
      <c r="B22" s="32">
        <f>INDEX('Balance Sheet'!$C:$K,MATCH(ProjectionTrend!$A22,'Balance Sheet'!$C:$C,0),4)</f>
        <v>300963.53999999998</v>
      </c>
      <c r="C22" s="32">
        <f>INDEX('Balance Sheet'!$C:$K,MATCH(ProjectionTrend!$A22,'Balance Sheet'!$C:$C,0),5)</f>
        <v>391083.54</v>
      </c>
      <c r="D22" s="32">
        <f>INDEX('Balance Sheet'!$C:$K,MATCH(ProjectionTrend!$A22,'Balance Sheet'!$C:$C,0),7)</f>
        <v>808915.24863783084</v>
      </c>
      <c r="E22" s="32">
        <f>INDEX('Balance Sheet'!$C:$K,MATCH(ProjectionTrend!$A22,'Balance Sheet'!$C:$C,0),8)</f>
        <v>1050860.835241653</v>
      </c>
      <c r="F22" s="32">
        <f>INDEX('Balance Sheet'!$C:$K,MATCH(ProjectionTrend!$A22,'Balance Sheet'!$C:$C,0),9)</f>
        <v>1183307.9813460987</v>
      </c>
    </row>
    <row r="23" spans="1:6" x14ac:dyDescent="0.25">
      <c r="A23" s="30" t="s">
        <v>60</v>
      </c>
      <c r="B23" s="32">
        <f>B22</f>
        <v>300963.53999999998</v>
      </c>
      <c r="C23" s="32">
        <f t="shared" ref="C23:F23" si="0">C22</f>
        <v>391083.54</v>
      </c>
      <c r="D23" s="32">
        <f t="shared" si="0"/>
        <v>808915.24863783084</v>
      </c>
      <c r="E23" s="32">
        <f t="shared" si="0"/>
        <v>1050860.835241653</v>
      </c>
      <c r="F23" s="32">
        <f t="shared" si="0"/>
        <v>1183307.9813460987</v>
      </c>
    </row>
    <row r="24" spans="1:6" s="11" customFormat="1" x14ac:dyDescent="0.25">
      <c r="A24" s="30"/>
      <c r="B24" s="32"/>
      <c r="C24" s="32"/>
      <c r="D24" s="32"/>
      <c r="E24" s="32"/>
      <c r="F24" s="32"/>
    </row>
    <row r="25" spans="1:6" x14ac:dyDescent="0.25">
      <c r="A25" s="30" t="s">
        <v>61</v>
      </c>
      <c r="B25" s="32">
        <f>INDEX('Balance Sheet'!$D:$K,MATCH(ProjectionTrend!$A25,'Balance Sheet'!$D:$D,0),3)</f>
        <v>13464429.209999999</v>
      </c>
      <c r="C25" s="32">
        <f>INDEX('Balance Sheet'!$D:$K,MATCH(ProjectionTrend!$A25,'Balance Sheet'!$D:$D,0),4)</f>
        <v>18754600.359999999</v>
      </c>
      <c r="D25" s="32">
        <f>INDEX('Balance Sheet'!$D:$K,MATCH(ProjectionTrend!$A25,'Balance Sheet'!$D:$D,0),6)</f>
        <v>14370531.433606673</v>
      </c>
      <c r="E25" s="32">
        <f>INDEX('Balance Sheet'!$D:$K,MATCH(ProjectionTrend!$A25,'Balance Sheet'!$D:$D,0),7)</f>
        <v>11831934.897776939</v>
      </c>
      <c r="F25" s="32">
        <f>INDEX('Balance Sheet'!$D:$K,MATCH(ProjectionTrend!$A25,'Balance Sheet'!$D:$D,0),8)</f>
        <v>10442242.814524125</v>
      </c>
    </row>
    <row r="26" spans="1:6" s="11" customFormat="1" x14ac:dyDescent="0.25">
      <c r="A26" s="30"/>
      <c r="B26" s="32"/>
      <c r="C26" s="32"/>
      <c r="D26" s="32"/>
      <c r="E26" s="32"/>
      <c r="F26" s="32"/>
    </row>
    <row r="27" spans="1:6" x14ac:dyDescent="0.25">
      <c r="A27" s="38" t="s">
        <v>99</v>
      </c>
      <c r="B27" s="32">
        <f>INDEX('Balance Sheet'!$C:$K,MATCH(ProjectionTrend!$A27,'Balance Sheet'!$C:$C,0),4)</f>
        <v>1990155.66</v>
      </c>
      <c r="C27" s="32">
        <f>INDEX('Balance Sheet'!$C:$K,MATCH(ProjectionTrend!$A27,'Balance Sheet'!$C:$C,0),5)</f>
        <v>-1232265.3899999999</v>
      </c>
      <c r="D27" s="32">
        <f>INDEX('Balance Sheet'!$C:$K,MATCH(ProjectionTrend!$A27,'Balance Sheet'!$C:$C,0),7)</f>
        <v>-232193.90999999992</v>
      </c>
      <c r="E27" s="32">
        <f>INDEX('Balance Sheet'!$C:$K,MATCH(ProjectionTrend!$A27,'Balance Sheet'!$C:$C,0),8)</f>
        <v>-177916.34150006692</v>
      </c>
      <c r="F27" s="32">
        <f>INDEX('Balance Sheet'!$C:$K,MATCH(ProjectionTrend!$A27,'Balance Sheet'!$C:$C,0),9)</f>
        <v>-146486.89783013202</v>
      </c>
    </row>
    <row r="28" spans="1:6" x14ac:dyDescent="0.25">
      <c r="A28" s="38">
        <v>110</v>
      </c>
      <c r="B28" s="32">
        <f>INDEX('Balance Sheet'!$C:$K,MATCH(ProjectionTrend!$A28,'Balance Sheet'!$C:$C,0),4)</f>
        <v>0</v>
      </c>
      <c r="C28" s="32">
        <f>INDEX('Balance Sheet'!$C:$K,MATCH(ProjectionTrend!$A28,'Balance Sheet'!$C:$C,0),5)</f>
        <v>0</v>
      </c>
      <c r="D28" s="32">
        <f>INDEX('Balance Sheet'!$C:$K,MATCH(ProjectionTrend!$A28,'Balance Sheet'!$C:$C,0),7)</f>
        <v>0</v>
      </c>
      <c r="E28" s="32">
        <f>INDEX('Balance Sheet'!$C:$K,MATCH(ProjectionTrend!$A28,'Balance Sheet'!$C:$C,0),8)</f>
        <v>0</v>
      </c>
      <c r="F28" s="32">
        <f>INDEX('Balance Sheet'!$C:$K,MATCH(ProjectionTrend!$A28,'Balance Sheet'!$C:$C,0),9)</f>
        <v>0</v>
      </c>
    </row>
    <row r="29" spans="1:6" x14ac:dyDescent="0.25">
      <c r="A29" s="38" t="s">
        <v>73</v>
      </c>
      <c r="B29" s="32">
        <f>INDEX('Balance Sheet'!$C:$K,MATCH(ProjectionTrend!$A29,'Balance Sheet'!$C:$C,0),4)</f>
        <v>-3222421.05</v>
      </c>
      <c r="C29" s="32">
        <f>INDEX('Balance Sheet'!$C:$K,MATCH(ProjectionTrend!$A29,'Balance Sheet'!$C:$C,0),5)</f>
        <v>1000071.48</v>
      </c>
      <c r="D29" s="32">
        <f>INDEX('Balance Sheet'!$C:$K,MATCH(ProjectionTrend!$A29,'Balance Sheet'!$C:$C,0),7)</f>
        <v>54277.568499933004</v>
      </c>
      <c r="E29" s="32">
        <f>INDEX('Balance Sheet'!$C:$K,MATCH(ProjectionTrend!$A29,'Balance Sheet'!$C:$C,0),8)</f>
        <v>31429.443669934899</v>
      </c>
      <c r="F29" s="32">
        <f>INDEX('Balance Sheet'!$C:$K,MATCH(ProjectionTrend!$A29,'Balance Sheet'!$C:$C,0),9)</f>
        <v>17205.274029444372</v>
      </c>
    </row>
    <row r="30" spans="1:6" x14ac:dyDescent="0.25">
      <c r="A30" s="57" t="s">
        <v>63</v>
      </c>
      <c r="B30" s="32">
        <f>INDEX('Balance Sheet'!$D:$K,MATCH(ProjectionTrend!$A30,'Balance Sheet'!$D:$D,0),3)</f>
        <v>-1232265.3899999999</v>
      </c>
      <c r="C30" s="32">
        <f>INDEX('Balance Sheet'!$D:$K,MATCH(ProjectionTrend!$A30,'Balance Sheet'!$D:$D,0),4)</f>
        <v>-232193.90999999992</v>
      </c>
      <c r="D30" s="32">
        <f>INDEX('Balance Sheet'!$D:$K,MATCH(ProjectionTrend!$A30,'Balance Sheet'!$D:$D,0),6)</f>
        <v>-177916.34150006692</v>
      </c>
      <c r="E30" s="32">
        <f>INDEX('Balance Sheet'!$D:$K,MATCH(ProjectionTrend!$A30,'Balance Sheet'!$D:$D,0),7)</f>
        <v>-146486.89783013202</v>
      </c>
      <c r="F30" s="32">
        <f>INDEX('Balance Sheet'!$D:$K,MATCH(ProjectionTrend!$A30,'Balance Sheet'!$D:$D,0),8)</f>
        <v>-129281.62380068764</v>
      </c>
    </row>
    <row r="31" spans="1:6" s="11" customFormat="1" x14ac:dyDescent="0.25">
      <c r="A31" s="57"/>
      <c r="B31" s="32"/>
      <c r="C31" s="32"/>
      <c r="D31" s="32"/>
      <c r="E31" s="32"/>
      <c r="F31" s="32"/>
    </row>
    <row r="32" spans="1:6" x14ac:dyDescent="0.25">
      <c r="A32" s="61" t="s">
        <v>64</v>
      </c>
      <c r="B32" s="60">
        <f>INDEX('Balance Sheet'!$D:$K,MATCH(ProjectionTrend!$A32,'Balance Sheet'!$D:$D,0),3)</f>
        <v>12232163.819999998</v>
      </c>
      <c r="C32" s="60">
        <f>INDEX('Balance Sheet'!$D:$K,MATCH(ProjectionTrend!$A32,'Balance Sheet'!$D:$D,0),4)</f>
        <v>18522406.449999999</v>
      </c>
      <c r="D32" s="60">
        <f>INDEX('Balance Sheet'!$D:$K,MATCH(ProjectionTrend!$A32,'Balance Sheet'!$D:$D,0),6)</f>
        <v>14192615.092106607</v>
      </c>
      <c r="E32" s="60">
        <f>INDEX('Balance Sheet'!$D:$K,MATCH(ProjectionTrend!$A32,'Balance Sheet'!$D:$D,0),7)</f>
        <v>11685447.999946807</v>
      </c>
      <c r="F32" s="60">
        <f>INDEX('Balance Sheet'!$D:$K,MATCH(ProjectionTrend!$A32,'Balance Sheet'!$D:$D,0),8)</f>
        <v>10312961.190723438</v>
      </c>
    </row>
    <row r="33" spans="1:6" x14ac:dyDescent="0.25">
      <c r="B33" s="32"/>
      <c r="C33" s="32"/>
      <c r="D33" s="32"/>
      <c r="E33" s="32"/>
      <c r="F33" s="32"/>
    </row>
    <row r="34" spans="1:6" x14ac:dyDescent="0.25">
      <c r="B34" s="32"/>
      <c r="C34" s="32"/>
      <c r="D34" s="32"/>
      <c r="E34" s="32"/>
      <c r="F34" s="32"/>
    </row>
    <row r="35" spans="1:6" x14ac:dyDescent="0.25">
      <c r="A35" s="17" t="s">
        <v>47</v>
      </c>
      <c r="B35" s="32">
        <f>INDEX('Income Statement'!$C:$K,MATCH(ProjectionTrend!$A35,'Income Statement'!$C:$C,0),4)</f>
        <v>2666286.86</v>
      </c>
      <c r="C35" s="32">
        <f>INDEX('Income Statement'!$C:$K,MATCH(ProjectionTrend!$A35,'Income Statement'!$C:$C,0),5)</f>
        <v>1670480.55</v>
      </c>
      <c r="D35" s="32">
        <f>INDEX('Income Statement'!$C:$K,MATCH(ProjectionTrend!$A35,'Income Statement'!$C:$C,0),7)</f>
        <v>1046588.5384621753</v>
      </c>
      <c r="E35" s="32">
        <f>INDEX('Income Statement'!$C:$K,MATCH(ProjectionTrend!$A35,'Income Statement'!$C:$C,0),8)</f>
        <v>655708.06486815552</v>
      </c>
      <c r="F35" s="32">
        <f>INDEX('Income Statement'!$C:$K,MATCH(ProjectionTrend!$A35,'Income Statement'!$C:$C,0),9)</f>
        <v>410813.84950469737</v>
      </c>
    </row>
    <row r="36" spans="1:6" x14ac:dyDescent="0.25">
      <c r="A36" s="17" t="s">
        <v>48</v>
      </c>
      <c r="B36" s="32">
        <f>INDEX('Income Statement'!$C:$K,MATCH(ProjectionTrend!$A36,'Income Statement'!$C:$C,0),4)</f>
        <v>924267.23</v>
      </c>
      <c r="C36" s="32">
        <f>INDEX('Income Statement'!$C:$K,MATCH(ProjectionTrend!$A36,'Income Statement'!$C:$C,0),5)</f>
        <v>677189.92</v>
      </c>
      <c r="D36" s="32">
        <f>INDEX('Income Statement'!$C:$K,MATCH(ProjectionTrend!$A36,'Income Statement'!$C:$C,0),7)</f>
        <v>424272.64934878616</v>
      </c>
      <c r="E36" s="32">
        <f>INDEX('Income Statement'!$C:$K,MATCH(ProjectionTrend!$A36,'Income Statement'!$C:$C,0),8)</f>
        <v>265815.06261262426</v>
      </c>
      <c r="F36" s="32">
        <f>INDEX('Income Statement'!$C:$K,MATCH(ProjectionTrend!$A36,'Income Statement'!$C:$C,0),9)</f>
        <v>166538.30413109451</v>
      </c>
    </row>
    <row r="37" spans="1:6" x14ac:dyDescent="0.25">
      <c r="A37" s="62" t="s">
        <v>9</v>
      </c>
      <c r="B37" s="60">
        <f>INDEX('Income Statement'!$D:$K,MATCH(ProjectionTrend!$A37,'Income Statement'!$D:$D,0),3)</f>
        <v>1742019.63</v>
      </c>
      <c r="C37" s="60">
        <f>INDEX('Income Statement'!$D:$K,MATCH(ProjectionTrend!$A37,'Income Statement'!$D:$D,0),4)</f>
        <v>993290.63</v>
      </c>
      <c r="D37" s="60">
        <f>INDEX('Income Statement'!$D:$K,MATCH(ProjectionTrend!$A37,'Income Statement'!$D:$D,0),6)</f>
        <v>622315.88911338919</v>
      </c>
      <c r="E37" s="60">
        <f>INDEX('Income Statement'!$D:$K,MATCH(ProjectionTrend!$A37,'Income Statement'!$D:$D,0),7)</f>
        <v>389893.00225553126</v>
      </c>
      <c r="F37" s="60">
        <f>INDEX('Income Statement'!$D:$K,MATCH(ProjectionTrend!$A37,'Income Statement'!$D:$D,0),8)</f>
        <v>244275.54537360286</v>
      </c>
    </row>
    <row r="38" spans="1:6" x14ac:dyDescent="0.25">
      <c r="A38" s="19"/>
      <c r="B38" s="32"/>
      <c r="C38" s="32"/>
      <c r="D38" s="32"/>
      <c r="E38" s="32"/>
      <c r="F38" s="32"/>
    </row>
    <row r="39" spans="1:6" x14ac:dyDescent="0.25">
      <c r="A39" s="17" t="s">
        <v>49</v>
      </c>
      <c r="B39" s="32">
        <f>INDEX('Income Statement'!$C:$K,MATCH(ProjectionTrend!$A39,'Income Statement'!$C:$C,0),4)</f>
        <v>230021.27</v>
      </c>
      <c r="C39" s="32">
        <f>INDEX('Income Statement'!$C:$K,MATCH(ProjectionTrend!$A39,'Income Statement'!$C:$C,0),5)</f>
        <v>200806.55</v>
      </c>
      <c r="D39" s="32">
        <f>INDEX('Income Statement'!$C:$K,MATCH(ProjectionTrend!$A39,'Income Statement'!$C:$C,0),7)</f>
        <v>125809.20722371279</v>
      </c>
      <c r="E39" s="32">
        <f>INDEX('Income Statement'!$C:$K,MATCH(ProjectionTrend!$A39,'Income Statement'!$C:$C,0),8)</f>
        <v>78821.914037460956</v>
      </c>
      <c r="F39" s="32">
        <f>INDEX('Income Statement'!$C:$K,MATCH(ProjectionTrend!$A39,'Income Statement'!$C:$C,0),9)</f>
        <v>49383.46143045932</v>
      </c>
    </row>
    <row r="40" spans="1:6" x14ac:dyDescent="0.25">
      <c r="A40" s="39" t="s">
        <v>100</v>
      </c>
      <c r="B40" s="32">
        <f>INDEX('Income Statement'!$C:$K,MATCH(ProjectionTrend!$A40,'Income Statement'!$C:$C,0),4)</f>
        <v>9569374.0399999991</v>
      </c>
      <c r="C40" s="32">
        <f>INDEX('Income Statement'!$C:$K,MATCH(ProjectionTrend!$A40,'Income Statement'!$C:$C,0),5)</f>
        <v>1096486.7</v>
      </c>
      <c r="D40" s="32">
        <f>INDEX('Income Statement'!$C:$K,MATCH(ProjectionTrend!$A40,'Income Statement'!$C:$C,0),7)</f>
        <v>686970.23308425455</v>
      </c>
      <c r="E40" s="32">
        <f>INDEX('Income Statement'!$C:$K,MATCH(ProjectionTrend!$A40,'Income Statement'!$C:$C,0),8)</f>
        <v>430400.20562386658</v>
      </c>
      <c r="F40" s="32">
        <f>INDEX('Income Statement'!$C:$K,MATCH(ProjectionTrend!$A40,'Income Statement'!$C:$C,0),9)</f>
        <v>269654.09573772183</v>
      </c>
    </row>
    <row r="41" spans="1:6" x14ac:dyDescent="0.25">
      <c r="A41" s="62" t="s">
        <v>50</v>
      </c>
      <c r="B41" s="60">
        <f>INDEX('Income Statement'!$D:$K,MATCH(ProjectionTrend!$A41,'Income Statement'!$D:$D,0),3)</f>
        <v>-7597333.1399999987</v>
      </c>
      <c r="C41" s="60">
        <f>INDEX('Income Statement'!$D:$K,MATCH(ProjectionTrend!$A41,'Income Statement'!$D:$D,0),4)</f>
        <v>97610.479999999981</v>
      </c>
      <c r="D41" s="60">
        <f>INDEX('Income Statement'!$D:$K,MATCH(ProjectionTrend!$A41,'Income Statement'!$D:$D,0),6)</f>
        <v>61154.863252847455</v>
      </c>
      <c r="E41" s="60">
        <f>INDEX('Income Statement'!$D:$K,MATCH(ProjectionTrend!$A41,'Income Statement'!$D:$D,0),7)</f>
        <v>38314.710669125605</v>
      </c>
      <c r="F41" s="60">
        <f>INDEX('Income Statement'!$D:$K,MATCH(ProjectionTrend!$A41,'Income Statement'!$D:$D,0),8)</f>
        <v>24004.911066340341</v>
      </c>
    </row>
    <row r="42" spans="1:6" x14ac:dyDescent="0.25">
      <c r="A42" s="19"/>
      <c r="B42" s="32"/>
      <c r="C42" s="32"/>
      <c r="D42" s="32"/>
      <c r="E42" s="32"/>
      <c r="F42" s="32"/>
    </row>
    <row r="43" spans="1:6" x14ac:dyDescent="0.25">
      <c r="A43" s="17" t="s">
        <v>51</v>
      </c>
      <c r="B43" s="32">
        <f>INDEX('Income Statement'!$C:$K,MATCH(ProjectionTrend!$A43,'Income Statement'!$C:$C,0),4)</f>
        <v>1500</v>
      </c>
      <c r="C43" s="32">
        <f>INDEX('Income Statement'!$C:$K,MATCH(ProjectionTrend!$A43,'Income Statement'!$C:$C,0),5)</f>
        <v>1500</v>
      </c>
      <c r="D43" s="32">
        <f>INDEX('Income Statement'!$C:$K,MATCH(ProjectionTrend!$A43,'Income Statement'!$C:$C,0),7)</f>
        <v>1949.1573962746452</v>
      </c>
      <c r="E43" s="32">
        <f>INDEX('Income Statement'!$C:$K,MATCH(ProjectionTrend!$A43,'Income Statement'!$C:$C,0),8)</f>
        <v>4031.6274621063617</v>
      </c>
      <c r="F43" s="32">
        <f>INDEX('Income Statement'!$C:$K,MATCH(ProjectionTrend!$A43,'Income Statement'!$C:$C,0),9)</f>
        <v>5237.4824301391445</v>
      </c>
    </row>
    <row r="44" spans="1:6" x14ac:dyDescent="0.25">
      <c r="A44" s="62" t="s">
        <v>52</v>
      </c>
      <c r="B44" s="60">
        <f>INDEX('Income Statement'!$D:$K,MATCH(ProjectionTrend!$A44,'Income Statement'!$D:$D,0),3)</f>
        <v>-7598833.1399999987</v>
      </c>
      <c r="C44" s="60">
        <f>INDEX('Income Statement'!$D:$K,MATCH(ProjectionTrend!$A44,'Income Statement'!$D:$D,0),4)</f>
        <v>96110.479999999981</v>
      </c>
      <c r="D44" s="60">
        <f>INDEX('Income Statement'!$D:$K,MATCH(ProjectionTrend!$A44,'Income Statement'!$D:$D,0),6)</f>
        <v>59205.705856572808</v>
      </c>
      <c r="E44" s="60">
        <f>INDEX('Income Statement'!$D:$K,MATCH(ProjectionTrend!$A44,'Income Statement'!$D:$D,0),7)</f>
        <v>34283.083207019241</v>
      </c>
      <c r="F44" s="60">
        <f>INDEX('Income Statement'!$D:$K,MATCH(ProjectionTrend!$A44,'Income Statement'!$D:$D,0),8)</f>
        <v>18767.428636201195</v>
      </c>
    </row>
    <row r="45" spans="1:6" x14ac:dyDescent="0.25">
      <c r="A45" s="19"/>
      <c r="B45" s="32"/>
      <c r="C45" s="32"/>
      <c r="D45" s="32"/>
      <c r="E45" s="32"/>
      <c r="F45" s="32"/>
    </row>
    <row r="46" spans="1:6" x14ac:dyDescent="0.25">
      <c r="A46" s="17" t="s">
        <v>53</v>
      </c>
      <c r="B46" s="32">
        <f>INDEX('Income Statement'!$C:$K,MATCH(ProjectionTrend!$A46,'Income Statement'!$C:$C,0),4)</f>
        <v>20000</v>
      </c>
      <c r="C46" s="32">
        <f>INDEX('Income Statement'!$C:$K,MATCH(ProjectionTrend!$A46,'Income Statement'!$C:$C,0),5)</f>
        <v>8000</v>
      </c>
      <c r="D46" s="32">
        <f>INDEX('Income Statement'!$C:$K,MATCH(ProjectionTrend!$A46,'Income Statement'!$C:$C,0),7)</f>
        <v>4928.1373566398015</v>
      </c>
      <c r="E46" s="32">
        <f>INDEX('Income Statement'!$C:$K,MATCH(ProjectionTrend!$A46,'Income Statement'!$C:$C,0),8)</f>
        <v>2853.6395370843425</v>
      </c>
      <c r="F46" s="32">
        <f>INDEX('Income Statement'!$C:$K,MATCH(ProjectionTrend!$A46,'Income Statement'!$C:$C,0),9)</f>
        <v>1562.1546067568238</v>
      </c>
    </row>
    <row r="47" spans="1:6" x14ac:dyDescent="0.25">
      <c r="A47" s="62" t="s">
        <v>54</v>
      </c>
      <c r="B47" s="60">
        <f>INDEX('Income Statement'!$D:$K,MATCH(ProjectionTrend!$A47,'Income Statement'!$D:$D,0),3)</f>
        <v>-7618833.1399999987</v>
      </c>
      <c r="C47" s="60">
        <f>INDEX('Income Statement'!$D:$K,MATCH(ProjectionTrend!$A47,'Income Statement'!$D:$D,0),4)</f>
        <v>88110.479999999981</v>
      </c>
      <c r="D47" s="60">
        <f>INDEX('Income Statement'!$D:$K,MATCH(ProjectionTrend!$A47,'Income Statement'!$D:$D,0),6)</f>
        <v>54277.568499933004</v>
      </c>
      <c r="E47" s="60">
        <f>INDEX('Income Statement'!$D:$K,MATCH(ProjectionTrend!$A47,'Income Statement'!$D:$D,0),7)</f>
        <v>31429.443669934899</v>
      </c>
      <c r="F47" s="60">
        <f>INDEX('Income Statement'!$D:$K,MATCH(ProjectionTrend!$A47,'Income Statement'!$D:$D,0),8)</f>
        <v>17205.274029444372</v>
      </c>
    </row>
    <row r="48" spans="1:6" x14ac:dyDescent="0.25">
      <c r="B48" s="32"/>
      <c r="C48" s="32"/>
      <c r="D48" s="32"/>
      <c r="E48" s="32"/>
      <c r="F48" s="32"/>
    </row>
    <row r="49" spans="2:6" x14ac:dyDescent="0.25">
      <c r="B49" s="32"/>
      <c r="C49" s="32"/>
      <c r="D49" s="32"/>
      <c r="E49" s="32"/>
      <c r="F49" s="32"/>
    </row>
    <row r="50" spans="2:6" x14ac:dyDescent="0.25">
      <c r="B50" s="32"/>
      <c r="D50" s="11"/>
      <c r="E50" s="11"/>
      <c r="F50" s="11"/>
    </row>
    <row r="51" spans="2:6" x14ac:dyDescent="0.25">
      <c r="B51" s="32"/>
      <c r="D51" s="11"/>
      <c r="E51" s="11"/>
      <c r="F51" s="11"/>
    </row>
    <row r="52" spans="2:6" x14ac:dyDescent="0.25">
      <c r="B52" s="32"/>
      <c r="D52" s="11"/>
      <c r="E52" s="11"/>
      <c r="F52" s="11"/>
    </row>
    <row r="53" spans="2:6" x14ac:dyDescent="0.25">
      <c r="B53" s="32"/>
      <c r="D53" s="11"/>
      <c r="E53" s="11"/>
      <c r="F53" s="11"/>
    </row>
    <row r="54" spans="2:6" x14ac:dyDescent="0.25">
      <c r="B54" s="32"/>
      <c r="D54" s="11"/>
      <c r="E54" s="11"/>
      <c r="F54" s="11"/>
    </row>
    <row r="55" spans="2:6" x14ac:dyDescent="0.25">
      <c r="B55" s="32"/>
    </row>
    <row r="56" spans="2:6" x14ac:dyDescent="0.25">
      <c r="B56" s="32"/>
    </row>
    <row r="57" spans="2:6" x14ac:dyDescent="0.25">
      <c r="B57" s="32"/>
    </row>
    <row r="58" spans="2:6" x14ac:dyDescent="0.25">
      <c r="B58" s="32"/>
    </row>
    <row r="59" spans="2:6" x14ac:dyDescent="0.25">
      <c r="B59" s="32"/>
    </row>
    <row r="60" spans="2:6" x14ac:dyDescent="0.25">
      <c r="B60" s="32"/>
    </row>
    <row r="61" spans="2:6" x14ac:dyDescent="0.25">
      <c r="B61" s="32"/>
    </row>
    <row r="62" spans="2:6" x14ac:dyDescent="0.25">
      <c r="B62" s="32"/>
    </row>
    <row r="63" spans="2:6" x14ac:dyDescent="0.25">
      <c r="B63" s="32"/>
    </row>
    <row r="64" spans="2:6" x14ac:dyDescent="0.25">
      <c r="B64" s="32"/>
    </row>
    <row r="65" spans="2:2" x14ac:dyDescent="0.25">
      <c r="B65" s="32"/>
    </row>
    <row r="66" spans="2:2" x14ac:dyDescent="0.25">
      <c r="B66" s="32"/>
    </row>
    <row r="67" spans="2:2" x14ac:dyDescent="0.25">
      <c r="B67" s="32"/>
    </row>
    <row r="68" spans="2:2" x14ac:dyDescent="0.25">
      <c r="B68" s="32"/>
    </row>
    <row r="69" spans="2:2" x14ac:dyDescent="0.25">
      <c r="B69" s="32"/>
    </row>
    <row r="70" spans="2:2" x14ac:dyDescent="0.25">
      <c r="B70" s="32"/>
    </row>
    <row r="71" spans="2:2" x14ac:dyDescent="0.25">
      <c r="B71" s="32"/>
    </row>
    <row r="72" spans="2:2" x14ac:dyDescent="0.25">
      <c r="B72" s="32"/>
    </row>
    <row r="73" spans="2:2" x14ac:dyDescent="0.25">
      <c r="B73" s="32"/>
    </row>
    <row r="74" spans="2:2" x14ac:dyDescent="0.25">
      <c r="B74" s="32"/>
    </row>
    <row r="75" spans="2:2" x14ac:dyDescent="0.25">
      <c r="B75" s="32"/>
    </row>
    <row r="76" spans="2:2" x14ac:dyDescent="0.25">
      <c r="B76" s="32"/>
    </row>
    <row r="77" spans="2:2" x14ac:dyDescent="0.25">
      <c r="B77" s="32"/>
    </row>
    <row r="78" spans="2:2" x14ac:dyDescent="0.25">
      <c r="B78" s="32"/>
    </row>
    <row r="79" spans="2:2" x14ac:dyDescent="0.25">
      <c r="B79" s="32"/>
    </row>
    <row r="80" spans="2:2" x14ac:dyDescent="0.25">
      <c r="B80" s="32"/>
    </row>
    <row r="81" spans="2:2" x14ac:dyDescent="0.25">
      <c r="B81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32"/>
  <sheetViews>
    <sheetView showGridLines="0" tabSelected="1" zoomScale="80" zoomScaleNormal="80" workbookViewId="0"/>
  </sheetViews>
  <sheetFormatPr defaultColWidth="5.7109375" defaultRowHeight="15" x14ac:dyDescent="0.25"/>
  <cols>
    <col min="1" max="3" width="5.7109375" style="66"/>
    <col min="4" max="4" width="5.7109375" style="78"/>
    <col min="5" max="5" width="5.7109375" style="66"/>
    <col min="6" max="6" width="1.7109375" style="66" customWidth="1"/>
    <col min="7" max="8" width="5.7109375" style="66"/>
    <col min="9" max="9" width="1.7109375" style="66" customWidth="1"/>
    <col min="10" max="11" width="5.7109375" style="66"/>
    <col min="12" max="12" width="1.7109375" style="66" customWidth="1"/>
    <col min="13" max="14" width="5.7109375" style="66"/>
    <col min="15" max="15" width="1.7109375" style="66" customWidth="1"/>
    <col min="16" max="17" width="5.7109375" style="66"/>
    <col min="18" max="18" width="1.7109375" style="66" customWidth="1"/>
    <col min="19" max="20" width="5.7109375" style="66"/>
    <col min="21" max="21" width="1.7109375" style="66" customWidth="1"/>
    <col min="22" max="23" width="5.7109375" style="66"/>
    <col min="24" max="24" width="1.7109375" style="66" customWidth="1"/>
    <col min="25" max="26" width="5.7109375" style="66"/>
    <col min="27" max="27" width="1.7109375" style="66" customWidth="1"/>
    <col min="28" max="28" width="6.42578125" style="66" customWidth="1"/>
    <col min="29" max="29" width="5.7109375" style="66"/>
    <col min="30" max="31" width="1.7109375" style="66" customWidth="1"/>
    <col min="32" max="32" width="5.7109375" style="66"/>
    <col min="33" max="33" width="1.7109375" style="66" customWidth="1"/>
    <col min="34" max="34" width="5.7109375" style="66"/>
    <col min="35" max="35" width="1.7109375" style="66" customWidth="1"/>
    <col min="36" max="37" width="5.7109375" style="66"/>
    <col min="38" max="38" width="1.7109375" style="66" customWidth="1"/>
    <col min="39" max="39" width="5.7109375" style="66"/>
    <col min="40" max="40" width="5.7109375" style="78"/>
    <col min="41" max="42" width="1.7109375" style="66" customWidth="1"/>
    <col min="43" max="16384" width="5.7109375" style="66"/>
  </cols>
  <sheetData>
    <row r="1" spans="3:42" ht="15" customHeight="1" x14ac:dyDescent="0.25">
      <c r="C1" s="64"/>
      <c r="D1" s="65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5"/>
      <c r="AO1" s="64"/>
      <c r="AP1" s="64"/>
    </row>
    <row r="2" spans="3:42" ht="30" customHeight="1" x14ac:dyDescent="0.25">
      <c r="C2" s="64"/>
      <c r="D2" s="65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87" t="s">
        <v>88</v>
      </c>
      <c r="X2" s="87"/>
      <c r="Y2" s="87"/>
      <c r="Z2" s="87"/>
      <c r="AA2" s="87"/>
      <c r="AB2" s="87"/>
      <c r="AC2" s="87"/>
      <c r="AD2" s="67" t="s">
        <v>89</v>
      </c>
      <c r="AE2" s="87" t="s">
        <v>90</v>
      </c>
      <c r="AF2" s="87"/>
      <c r="AG2" s="67" t="s">
        <v>89</v>
      </c>
      <c r="AH2" s="87" t="s">
        <v>91</v>
      </c>
      <c r="AI2" s="87"/>
      <c r="AJ2" s="87"/>
      <c r="AK2" s="87"/>
      <c r="AL2" s="68" t="s">
        <v>89</v>
      </c>
      <c r="AM2" s="88" t="s">
        <v>92</v>
      </c>
      <c r="AN2" s="88"/>
      <c r="AO2" s="69"/>
      <c r="AP2" s="64"/>
    </row>
    <row r="3" spans="3:42" ht="5.0999999999999996" customHeight="1" x14ac:dyDescent="0.25">
      <c r="C3" s="70"/>
      <c r="D3" s="71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1"/>
      <c r="AO3" s="70"/>
      <c r="AP3" s="70"/>
    </row>
    <row r="4" spans="3:42" ht="38.1" customHeight="1" x14ac:dyDescent="0.25">
      <c r="C4" s="70"/>
      <c r="D4" s="71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1"/>
      <c r="AO4" s="70"/>
      <c r="AP4" s="70"/>
    </row>
    <row r="5" spans="3:42" ht="5.0999999999999996" customHeight="1" x14ac:dyDescent="0.25">
      <c r="C5" s="70"/>
      <c r="D5" s="71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1"/>
      <c r="AO5" s="70"/>
      <c r="AP5" s="70"/>
    </row>
    <row r="6" spans="3:42" x14ac:dyDescent="0.25">
      <c r="C6" s="70"/>
      <c r="D6" s="71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1"/>
      <c r="AO6" s="70"/>
      <c r="AP6" s="70"/>
    </row>
    <row r="7" spans="3:42" x14ac:dyDescent="0.25">
      <c r="C7" s="70"/>
      <c r="D7" s="71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1"/>
      <c r="AO7" s="70"/>
      <c r="AP7" s="70"/>
    </row>
    <row r="8" spans="3:42" x14ac:dyDescent="0.25">
      <c r="C8" s="70"/>
      <c r="D8" s="71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1"/>
      <c r="AO8" s="70"/>
      <c r="AP8" s="70"/>
    </row>
    <row r="9" spans="3:42" x14ac:dyDescent="0.25">
      <c r="C9" s="70"/>
      <c r="D9" s="71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1"/>
      <c r="AO9" s="70"/>
      <c r="AP9" s="70"/>
    </row>
    <row r="10" spans="3:42" x14ac:dyDescent="0.25">
      <c r="C10" s="70"/>
      <c r="D10" s="71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1"/>
      <c r="AO10" s="70"/>
      <c r="AP10" s="70"/>
    </row>
    <row r="11" spans="3:42" x14ac:dyDescent="0.25">
      <c r="C11" s="70"/>
      <c r="D11" s="71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1"/>
      <c r="AO11" s="70"/>
      <c r="AP11" s="70"/>
    </row>
    <row r="12" spans="3:42" x14ac:dyDescent="0.25">
      <c r="C12" s="70"/>
      <c r="D12" s="71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1"/>
      <c r="AO12" s="70"/>
      <c r="AP12" s="70"/>
    </row>
    <row r="13" spans="3:42" x14ac:dyDescent="0.25">
      <c r="C13" s="70"/>
      <c r="D13" s="71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1"/>
      <c r="AO13" s="70"/>
      <c r="AP13" s="70"/>
    </row>
    <row r="14" spans="3:42" x14ac:dyDescent="0.25">
      <c r="C14" s="70"/>
      <c r="D14" s="71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1"/>
      <c r="AO14" s="70"/>
      <c r="AP14" s="70"/>
    </row>
    <row r="15" spans="3:42" x14ac:dyDescent="0.25">
      <c r="C15" s="70"/>
      <c r="D15" s="71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1"/>
      <c r="AO15" s="70"/>
      <c r="AP15" s="70"/>
    </row>
    <row r="16" spans="3:42" x14ac:dyDescent="0.25">
      <c r="C16" s="70"/>
      <c r="D16" s="71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1"/>
      <c r="AO16" s="70"/>
      <c r="AP16" s="70"/>
    </row>
    <row r="17" spans="3:42" x14ac:dyDescent="0.25">
      <c r="C17" s="70"/>
      <c r="D17" s="71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1"/>
      <c r="AO17" s="70"/>
      <c r="AP17" s="70"/>
    </row>
    <row r="18" spans="3:42" x14ac:dyDescent="0.25">
      <c r="C18" s="70"/>
      <c r="D18" s="71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1"/>
      <c r="AO18" s="70"/>
      <c r="AP18" s="70"/>
    </row>
    <row r="19" spans="3:42" x14ac:dyDescent="0.25">
      <c r="C19" s="70"/>
      <c r="D19" s="71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1"/>
      <c r="AO19" s="70"/>
      <c r="AP19" s="70"/>
    </row>
    <row r="20" spans="3:42" x14ac:dyDescent="0.25">
      <c r="C20" s="70"/>
      <c r="D20" s="71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1"/>
      <c r="AO20" s="70"/>
      <c r="AP20" s="70"/>
    </row>
    <row r="21" spans="3:42" ht="9.6" customHeight="1" x14ac:dyDescent="0.25">
      <c r="C21" s="70"/>
      <c r="D21" s="71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1"/>
      <c r="AO21" s="70"/>
      <c r="AP21" s="70"/>
    </row>
    <row r="22" spans="3:42" ht="30" customHeight="1" x14ac:dyDescent="0.7">
      <c r="C22" s="70"/>
      <c r="D22" s="71"/>
      <c r="E22" s="72" t="s">
        <v>93</v>
      </c>
      <c r="F22" s="71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1"/>
      <c r="AO22" s="70"/>
      <c r="AP22" s="70"/>
    </row>
    <row r="23" spans="3:42" ht="4.5" customHeight="1" x14ac:dyDescent="0.25">
      <c r="C23" s="70"/>
      <c r="D23" s="71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1"/>
      <c r="AO23" s="70"/>
      <c r="AP23" s="70"/>
    </row>
    <row r="24" spans="3:42" ht="19.5" customHeight="1" x14ac:dyDescent="0.3">
      <c r="C24" s="70"/>
      <c r="D24" s="73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1"/>
      <c r="AO24" s="70"/>
      <c r="AP24" s="70"/>
    </row>
    <row r="25" spans="3:42" ht="4.5" customHeight="1" x14ac:dyDescent="0.25">
      <c r="C25" s="70"/>
      <c r="D25" s="71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1"/>
      <c r="AO25" s="70"/>
      <c r="AP25" s="70"/>
    </row>
    <row r="26" spans="3:42" ht="39.950000000000003" customHeight="1" x14ac:dyDescent="0.3">
      <c r="C26" s="70"/>
      <c r="D26" s="89" t="s">
        <v>74</v>
      </c>
      <c r="E26" s="89"/>
      <c r="F26" s="89"/>
      <c r="G26" s="89"/>
      <c r="H26" s="89"/>
      <c r="I26" s="70"/>
      <c r="J26" s="90" t="s">
        <v>75</v>
      </c>
      <c r="K26" s="90"/>
      <c r="L26" s="90"/>
      <c r="M26" s="90"/>
      <c r="N26" s="90"/>
      <c r="O26" s="74"/>
      <c r="P26" s="90" t="s">
        <v>7</v>
      </c>
      <c r="Q26" s="90"/>
      <c r="R26" s="90"/>
      <c r="S26" s="90"/>
      <c r="T26" s="90"/>
      <c r="U26" s="74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 s="73"/>
      <c r="AO26" s="74"/>
      <c r="AP26" s="70"/>
    </row>
    <row r="27" spans="3:42" ht="4.5" customHeight="1" x14ac:dyDescent="0.3">
      <c r="C27" s="70"/>
      <c r="D27" s="71"/>
      <c r="E27" s="70"/>
      <c r="F27" s="70"/>
      <c r="G27" s="70"/>
      <c r="H27" s="70"/>
      <c r="I27" s="70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3"/>
      <c r="AO27" s="74"/>
      <c r="AP27" s="70"/>
    </row>
    <row r="28" spans="3:42" ht="24.95" customHeight="1" x14ac:dyDescent="0.25">
      <c r="C28" s="70"/>
      <c r="D28" s="71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1"/>
      <c r="AO28" s="70"/>
      <c r="AP28" s="70"/>
    </row>
    <row r="29" spans="3:42" ht="12.75" customHeight="1" x14ac:dyDescent="0.25">
      <c r="C29" s="70"/>
      <c r="D29" s="71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1"/>
      <c r="AO29" s="70"/>
      <c r="AP29" s="70"/>
    </row>
    <row r="30" spans="3:42" ht="16.5" x14ac:dyDescent="0.3">
      <c r="C30" s="70"/>
      <c r="D30" s="75" t="s">
        <v>94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1"/>
      <c r="AO30" s="70"/>
      <c r="AP30" s="70"/>
    </row>
    <row r="31" spans="3:42" ht="20.100000000000001" customHeight="1" x14ac:dyDescent="0.3">
      <c r="C31" s="70"/>
      <c r="D31" s="91" t="s">
        <v>85</v>
      </c>
      <c r="E31" s="91"/>
      <c r="F31" s="76" t="s">
        <v>89</v>
      </c>
      <c r="G31" s="92" t="s">
        <v>87</v>
      </c>
      <c r="H31" s="92"/>
      <c r="I31" s="76" t="s">
        <v>89</v>
      </c>
      <c r="J31" s="92" t="s">
        <v>86</v>
      </c>
      <c r="K31" s="92"/>
      <c r="L31" s="76" t="s">
        <v>89</v>
      </c>
      <c r="M31" s="93" t="s">
        <v>84</v>
      </c>
      <c r="N31" s="93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1"/>
      <c r="AO31" s="70"/>
      <c r="AP31" s="70"/>
    </row>
    <row r="32" spans="3:42" x14ac:dyDescent="0.25">
      <c r="C32" s="70"/>
      <c r="D32" s="71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1"/>
      <c r="AO32" s="70"/>
      <c r="AP32" s="70"/>
    </row>
  </sheetData>
  <mergeCells count="11">
    <mergeCell ref="D31:E31"/>
    <mergeCell ref="G31:H31"/>
    <mergeCell ref="J31:K31"/>
    <mergeCell ref="M31:N31"/>
    <mergeCell ref="W2:AC2"/>
    <mergeCell ref="AE2:AF2"/>
    <mergeCell ref="AH2:AK2"/>
    <mergeCell ref="AM2:AN2"/>
    <mergeCell ref="D26:H26"/>
    <mergeCell ref="J26:N26"/>
    <mergeCell ref="P26:T26"/>
  </mergeCells>
  <hyperlinks>
    <hyperlink ref="AM2:AN2" r:id="rId1" tooltip="Click here to navigate to Support" display="Support"/>
    <hyperlink ref="AH2:AK2" r:id="rId2" tooltip="Click here to navigate to the Knowledgebase" display="Knowledgebase"/>
    <hyperlink ref="AE2:AF2" r:id="rId3" tooltip="Click here to navigate to the Blog" display="Blog"/>
    <hyperlink ref="W2:AC2" r:id="rId4" tooltip="Click here to navigate to the Sage Intelligence Community" display="Sage Intelligence Community"/>
    <hyperlink ref="M31:N31" r:id="rId5" tooltip="Click here to navigate to our Facebook page" display="Facebook"/>
    <hyperlink ref="J31:K31" r:id="rId6" tooltip="Click here to navigate to our LinkedIn page" display="LinkedIn"/>
    <hyperlink ref="G31:H31" r:id="rId7" tooltip="Click here to navigate to YouTube page" display="YouTube"/>
    <hyperlink ref="D31:E31" r:id="rId8" tooltip="Click here to navigate to our Twitter page" display="Twitter"/>
    <hyperlink ref="D26:H26" location="'Income Statement'!A1" tooltip="Income Statement" display="Income Statement"/>
    <hyperlink ref="J26:N26" location="'Balance Sheet'!A1" tooltip="Balance Sheet" display="Balance Sheet"/>
    <hyperlink ref="P26:T26" location="'Missing Accounts'!A1" tooltip="Missing Accounts" display="Missing Accounts"/>
  </hyperlinks>
  <pageMargins left="0.7" right="0.7" top="0.75" bottom="0.75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showGridLines="0" zoomScale="90" zoomScaleNormal="90" workbookViewId="0"/>
  </sheetViews>
  <sheetFormatPr defaultRowHeight="14.25" x14ac:dyDescent="0.25"/>
  <cols>
    <col min="1" max="1" width="1.7109375" customWidth="1"/>
    <col min="2" max="2" width="5.5703125" customWidth="1"/>
    <col min="3" max="3" width="15.140625" bestFit="1" customWidth="1"/>
    <col min="4" max="4" width="43.5703125" bestFit="1" customWidth="1"/>
    <col min="5" max="5" width="3.5703125" customWidth="1"/>
    <col min="6" max="6" width="14.5703125" bestFit="1" customWidth="1"/>
    <col min="7" max="7" width="14.28515625" bestFit="1" customWidth="1"/>
    <col min="8" max="8" width="3.7109375" customWidth="1"/>
    <col min="9" max="11" width="14.42578125" customWidth="1"/>
    <col min="12" max="12" width="1.28515625" customWidth="1"/>
    <col min="13" max="13" width="14.5703125" customWidth="1"/>
  </cols>
  <sheetData>
    <row r="1" spans="2:12" ht="15" customHeight="1" x14ac:dyDescent="0.25"/>
    <row r="2" spans="2:12" ht="33" customHeight="1" x14ac:dyDescent="0.65">
      <c r="B2" s="56" t="s">
        <v>79</v>
      </c>
      <c r="C2" s="13" t="str">
        <f>CONCATENATE(D4," Income Statement Forecast")</f>
        <v>SHSLTD Income Statement Forecast</v>
      </c>
    </row>
    <row r="3" spans="2:12" ht="12" customHeight="1" x14ac:dyDescent="0.25"/>
    <row r="4" spans="2:12" ht="16.5" customHeight="1" x14ac:dyDescent="0.3">
      <c r="C4" s="15" t="s">
        <v>23</v>
      </c>
      <c r="D4" s="37" t="str">
        <f>INDEX(Companies,1)</f>
        <v>SHSLTD</v>
      </c>
      <c r="I4" s="95" t="s">
        <v>102</v>
      </c>
      <c r="J4" s="95"/>
      <c r="K4" s="95"/>
      <c r="L4" s="95"/>
    </row>
    <row r="5" spans="2:12" ht="16.5" x14ac:dyDescent="0.3">
      <c r="C5" s="15" t="s">
        <v>22</v>
      </c>
      <c r="D5" s="37">
        <f>CHOOSE(B, "GLCurrentPeriod(" &amp; $D$4 &amp; ")", CellContents, 1)</f>
        <v>1</v>
      </c>
      <c r="I5" s="95"/>
      <c r="J5" s="95"/>
      <c r="K5" s="95"/>
      <c r="L5" s="95"/>
    </row>
    <row r="6" spans="2:12" ht="16.5" x14ac:dyDescent="0.25">
      <c r="C6" s="15" t="s">
        <v>24</v>
      </c>
      <c r="D6" s="16" t="str">
        <f>CHOOSE(B, "GLHomeCurrency(" &amp; $D$4 &amp; ")", CellContents, "CAD")</f>
        <v>CAD</v>
      </c>
      <c r="I6" s="95"/>
      <c r="J6" s="95"/>
      <c r="K6" s="95"/>
      <c r="L6" s="95"/>
    </row>
    <row r="7" spans="2:12" ht="16.5" x14ac:dyDescent="0.25">
      <c r="C7" s="15" t="s">
        <v>25</v>
      </c>
      <c r="D7" s="16" t="s">
        <v>26</v>
      </c>
      <c r="I7" s="95"/>
      <c r="J7" s="95"/>
      <c r="K7" s="95"/>
      <c r="L7" s="95"/>
    </row>
    <row r="10" spans="2:12" s="63" customFormat="1" ht="16.5" customHeight="1" x14ac:dyDescent="0.25">
      <c r="C10" s="96" t="s">
        <v>44</v>
      </c>
      <c r="D10" s="97" t="s">
        <v>45</v>
      </c>
      <c r="F10" s="96" t="s">
        <v>43</v>
      </c>
      <c r="G10" s="96"/>
      <c r="H10"/>
      <c r="I10" s="96" t="s">
        <v>46</v>
      </c>
      <c r="J10" s="96"/>
      <c r="K10" s="96"/>
    </row>
    <row r="11" spans="2:12" s="63" customFormat="1" ht="34.5" customHeight="1" x14ac:dyDescent="0.25">
      <c r="C11" s="96"/>
      <c r="D11" s="97"/>
      <c r="F11" s="55">
        <v>2019</v>
      </c>
      <c r="G11" s="55">
        <f>CHOOSE(B, "GLCurrentYear(" &amp; $D$4 &amp; ")", CellContents, 2020)</f>
        <v>2020</v>
      </c>
      <c r="H11"/>
      <c r="I11" s="55">
        <f>G11+1</f>
        <v>2021</v>
      </c>
      <c r="J11" s="55">
        <f>I11+1</f>
        <v>2022</v>
      </c>
      <c r="K11" s="55">
        <f>J11+1</f>
        <v>2023</v>
      </c>
    </row>
    <row r="12" spans="2:12" s="63" customFormat="1" ht="4.5" customHeight="1" x14ac:dyDescent="0.25"/>
    <row r="13" spans="2:12" x14ac:dyDescent="0.25">
      <c r="C13" s="17" t="s">
        <v>47</v>
      </c>
      <c r="D13" s="18" t="s">
        <v>38</v>
      </c>
      <c r="F13" s="20">
        <f>CHOOSE(B, "-GLActualYTD(" &amp; "Account" &amp; "," &amp; $D$4 &amp; "," &amp; F$11 &amp; "," &amp; $D$5 &amp; "," &amp; "AccountGroupCode" &amp; "," &amp; $C13 &amp; "," &amp; "AccountStructureCode" &amp; "," &amp; "AccountType" &amp; "," &amp; "BalanceType" &amp; "," &amp; $D$6 &amp; "," &amp; $D$7 &amp; ")", CellContents, 2666286.86)</f>
        <v>2666286.86</v>
      </c>
      <c r="G13" s="20">
        <f>CHOOSE(B, "-GLActualYTD(" &amp; "Account" &amp; "," &amp; $D$4 &amp; "," &amp; G$11 &amp; "," &amp; $D$5 &amp; "," &amp; "AccountGroupCode" &amp; "," &amp; $C13 &amp; "," &amp; "AccountStructureCode" &amp; "," &amp; "AccountType" &amp; "," &amp; "BalanceType" &amp; "," &amp; $D$6 &amp; "," &amp; $D$7 &amp; ")", CellContents, 1670480.55)</f>
        <v>1670480.55</v>
      </c>
      <c r="I13" s="20">
        <f>IF($F$13=0,0,G13*(1+G$28+I34))</f>
        <v>1046588.5384621753</v>
      </c>
      <c r="J13" s="20">
        <f>IF($F$13=0,0,I13*(1+I$28+J34))</f>
        <v>655708.06486815552</v>
      </c>
      <c r="K13" s="20">
        <f>IF($F$13=0,0,J13*(1+J$28+K34))</f>
        <v>410813.84950469737</v>
      </c>
    </row>
    <row r="14" spans="2:12" x14ac:dyDescent="0.25">
      <c r="C14" s="17" t="s">
        <v>48</v>
      </c>
      <c r="D14" s="18" t="s">
        <v>8</v>
      </c>
      <c r="F14" s="20">
        <f>CHOOSE(B, "GLActualYTD(" &amp; "Account" &amp; "," &amp; $D$4 &amp; "," &amp; F$11 &amp; "," &amp; $D$5 &amp; "," &amp; "AccountGroupCode" &amp; "," &amp; $C14 &amp; "," &amp; "AccountStructureCode" &amp; "," &amp; "AccountType" &amp; "," &amp; "BalanceType" &amp; "," &amp; $D$6 &amp; "," &amp; $D$7 &amp; ")", CellContents, 924267.23)</f>
        <v>924267.23</v>
      </c>
      <c r="G14" s="20">
        <f>CHOOSE(B, "GLActualYTD(" &amp; "Account" &amp; "," &amp; $D$4 &amp; "," &amp; G$11 &amp; "," &amp; $D$5 &amp; "," &amp; "AccountGroupCode" &amp; "," &amp; $C14 &amp; "," &amp; "AccountStructureCode" &amp; "," &amp; "AccountType" &amp; "," &amp; "BalanceType" &amp; "," &amp; $D$6 &amp; "," &amp; $D$7 &amp; ")", CellContents, 677189.92)</f>
        <v>677189.92</v>
      </c>
      <c r="I14" s="20">
        <f>IF($F$13=0,0,I13*(G$29+I35))</f>
        <v>424272.64934878616</v>
      </c>
      <c r="J14" s="20">
        <f>IF($F$13=0,0,J13*(I$29+J35))</f>
        <v>265815.06261262426</v>
      </c>
      <c r="K14" s="20">
        <f>IF($F$13=0,0,K13*(J$29+K35))</f>
        <v>166538.30413109451</v>
      </c>
    </row>
    <row r="15" spans="2:12" x14ac:dyDescent="0.25">
      <c r="C15" s="17"/>
      <c r="D15" s="21" t="s">
        <v>9</v>
      </c>
      <c r="F15" s="22">
        <f>F13-F14</f>
        <v>1742019.63</v>
      </c>
      <c r="G15" s="22">
        <f>G13-G14</f>
        <v>993290.63</v>
      </c>
      <c r="I15" s="22">
        <f>I13-I14</f>
        <v>622315.88911338919</v>
      </c>
      <c r="J15" s="22">
        <f>J13-J14</f>
        <v>389893.00225553126</v>
      </c>
      <c r="K15" s="22">
        <f>K13-K14</f>
        <v>244275.54537360286</v>
      </c>
    </row>
    <row r="16" spans="2:12" ht="7.5" customHeight="1" x14ac:dyDescent="0.25"/>
    <row r="17" spans="3:11" x14ac:dyDescent="0.25">
      <c r="C17" s="17" t="s">
        <v>49</v>
      </c>
      <c r="D17" s="18" t="s">
        <v>39</v>
      </c>
      <c r="F17" s="20">
        <f>CHOOSE(B, "-GLActualYTD(" &amp; "Account" &amp; "," &amp; $D$4 &amp; "," &amp; F$11 &amp; "," &amp; $D$5 &amp; "," &amp; "AccountGroupCode" &amp; "," &amp; $C17 &amp; "," &amp; "AccountStructureCode" &amp; "," &amp; "AccountType" &amp; "," &amp; "BalanceType" &amp; "," &amp; $D$6 &amp; "," &amp; $D$7 &amp; ")", CellContents, 230021.27)</f>
        <v>230021.27</v>
      </c>
      <c r="G17" s="20">
        <f>CHOOSE(B, "-GLActualYTD(" &amp; "Account" &amp; "," &amp; $D$4 &amp; "," &amp; G$11 &amp; "," &amp; $D$5 &amp; "," &amp; "AccountGroupCode" &amp; "," &amp; $C17 &amp; "," &amp; "AccountStructureCode" &amp; "," &amp; "AccountType" &amp; "," &amp; "BalanceType" &amp; "," &amp; $D$6 &amp; "," &amp; $D$7 &amp; ")", CellContents, 200806.55)</f>
        <v>200806.55</v>
      </c>
      <c r="I17" s="20">
        <f>IF($F$13=0,0,I13*$G$17/$G$13)</f>
        <v>125809.20722371279</v>
      </c>
      <c r="J17" s="20">
        <f>IF($F$13=0,0,J13*$G$17/$G$13)</f>
        <v>78821.914037460956</v>
      </c>
      <c r="K17" s="20">
        <f>IF($F$13=0,0,K13*$G$17/$G$13)</f>
        <v>49383.46143045932</v>
      </c>
    </row>
    <row r="18" spans="3:11" x14ac:dyDescent="0.25">
      <c r="C18" s="39" t="s">
        <v>100</v>
      </c>
      <c r="D18" s="18" t="s">
        <v>40</v>
      </c>
      <c r="F18" s="20">
        <f>Calculations!B16</f>
        <v>9569374.0399999991</v>
      </c>
      <c r="G18" s="20">
        <f>Calculations!C16</f>
        <v>1096486.7</v>
      </c>
      <c r="I18" s="20">
        <f>IF($F$13=0,0,I13*(G$30+I36))</f>
        <v>686970.23308425455</v>
      </c>
      <c r="J18" s="20">
        <f>IF($F$13=0,0,J13*(I$30+J36))</f>
        <v>430400.20562386658</v>
      </c>
      <c r="K18" s="20">
        <f>IF($F$13=0,0,K13*(J$30+K36))</f>
        <v>269654.09573772183</v>
      </c>
    </row>
    <row r="19" spans="3:11" x14ac:dyDescent="0.25">
      <c r="C19" s="17"/>
      <c r="D19" s="21" t="s">
        <v>50</v>
      </c>
      <c r="F19" s="22">
        <f>F15+F17-F18</f>
        <v>-7597333.1399999987</v>
      </c>
      <c r="G19" s="22">
        <f>G15+G17-G18</f>
        <v>97610.479999999981</v>
      </c>
      <c r="I19" s="22">
        <f>+I15+I17-I18</f>
        <v>61154.863252847455</v>
      </c>
      <c r="J19" s="22">
        <f>+J15+J17-J18</f>
        <v>38314.710669125605</v>
      </c>
      <c r="K19" s="22">
        <f>+K15+K17-K18</f>
        <v>24004.911066340341</v>
      </c>
    </row>
    <row r="20" spans="3:11" ht="7.5" customHeight="1" x14ac:dyDescent="0.25"/>
    <row r="21" spans="3:11" x14ac:dyDescent="0.25">
      <c r="C21" s="17" t="s">
        <v>51</v>
      </c>
      <c r="D21" s="18" t="s">
        <v>41</v>
      </c>
      <c r="F21" s="20">
        <f>CHOOSE(B, "GLActualYTD(" &amp; "Account" &amp; "," &amp; $D$4 &amp; "," &amp; F$11 &amp; "," &amp; $D$5 &amp; "," &amp; "AccountGroupCode" &amp; "," &amp; $C21 &amp; "," &amp; "AccountStructureCode" &amp; "," &amp; "AccountType" &amp; "," &amp; "BalanceType" &amp; "," &amp; $D$6 &amp; "," &amp; $D$7 &amp; ")", CellContents, 1500)</f>
        <v>1500</v>
      </c>
      <c r="G21" s="20">
        <f>CHOOSE(B, "GLActualYTD(" &amp; "Account" &amp; "," &amp; $D$4 &amp; "," &amp; G$11 &amp; "," &amp; $D$5 &amp; "," &amp; "AccountGroupCode" &amp; "," &amp; $C21 &amp; "," &amp; "AccountStructureCode" &amp; "," &amp; "AccountType" &amp; "," &amp; "BalanceType" &amp; "," &amp; $D$6 &amp; "," &amp; $D$7 &amp; ")", CellContents, 1500)</f>
        <v>1500</v>
      </c>
      <c r="I21" s="20">
        <f>IF('Balance Sheet'!G34&lt;0,0,G21/'Balance Sheet'!F34*'Balance Sheet'!G34)</f>
        <v>1949.1573962746452</v>
      </c>
      <c r="J21" s="20">
        <f>IF('Balance Sheet'!I34&lt;0,0,I21/'Balance Sheet'!G34*'Balance Sheet'!I34)</f>
        <v>4031.6274621063617</v>
      </c>
      <c r="K21" s="20">
        <f>IFERROR(IF('Balance Sheet'!J34&lt;0,0,J21/'Balance Sheet'!I34*'Balance Sheet'!J34),0)</f>
        <v>5237.4824301391445</v>
      </c>
    </row>
    <row r="22" spans="3:11" x14ac:dyDescent="0.25">
      <c r="C22" s="17"/>
      <c r="D22" s="21" t="s">
        <v>52</v>
      </c>
      <c r="F22" s="22">
        <f>F19-F21</f>
        <v>-7598833.1399999987</v>
      </c>
      <c r="G22" s="22">
        <f>G19-G21</f>
        <v>96110.479999999981</v>
      </c>
      <c r="I22" s="22">
        <f>I19-I21</f>
        <v>59205.705856572808</v>
      </c>
      <c r="J22" s="22">
        <f>J19-J21</f>
        <v>34283.083207019241</v>
      </c>
      <c r="K22" s="22">
        <f>K19-K21</f>
        <v>18767.428636201195</v>
      </c>
    </row>
    <row r="23" spans="3:11" ht="7.5" customHeight="1" x14ac:dyDescent="0.25"/>
    <row r="24" spans="3:11" x14ac:dyDescent="0.25">
      <c r="C24" s="17" t="s">
        <v>53</v>
      </c>
      <c r="D24" s="18" t="s">
        <v>42</v>
      </c>
      <c r="F24" s="20">
        <f>CHOOSE(B, "GLActualYTD(" &amp; "Account" &amp; "," &amp; $D$4 &amp; "," &amp; F$11 &amp; "," &amp; $D$5 &amp; "," &amp; "AccountGroupCode" &amp; "," &amp; $C24 &amp; "," &amp; "AccountStructureCode" &amp; "," &amp; "AccountType" &amp; "," &amp; "BalanceType" &amp; "," &amp; $D$6 &amp; "," &amp; $D$7 &amp; ")", CellContents, 20000)</f>
        <v>20000</v>
      </c>
      <c r="G24" s="20">
        <f>CHOOSE(B, "GLActualYTD(" &amp; "Account" &amp; "," &amp; $D$4 &amp; "," &amp; G$11 &amp; "," &amp; $D$5 &amp; "," &amp; "AccountGroupCode" &amp; "," &amp; $C24 &amp; "," &amp; "AccountStructureCode" &amp; "," &amp; "AccountType" &amp; "," &amp; "BalanceType" &amp; "," &amp; $D$6 &amp; "," &amp; $D$7 &amp; ")", CellContents, 8000)</f>
        <v>8000</v>
      </c>
      <c r="I24" s="20">
        <f>IF(G22=0,0,$G24/$G22*I22)</f>
        <v>4928.1373566398015</v>
      </c>
      <c r="J24" s="20">
        <f>IF(I22=0,0,$G24/$G22*J22)</f>
        <v>2853.6395370843425</v>
      </c>
      <c r="K24" s="20">
        <f>IF(J22=0,0,$G24/$G22*K22)</f>
        <v>1562.1546067568238</v>
      </c>
    </row>
    <row r="25" spans="3:11" ht="7.5" customHeight="1" x14ac:dyDescent="0.25"/>
    <row r="26" spans="3:11" ht="15" x14ac:dyDescent="0.25">
      <c r="C26" s="23"/>
      <c r="D26" s="24" t="s">
        <v>54</v>
      </c>
      <c r="F26" s="35">
        <f>F22-F24</f>
        <v>-7618833.1399999987</v>
      </c>
      <c r="G26" s="35">
        <f>G22-G24</f>
        <v>88110.479999999981</v>
      </c>
      <c r="I26" s="35">
        <f>+I19-I24-I21</f>
        <v>54277.568499933004</v>
      </c>
      <c r="J26" s="35">
        <f>+J19-J24-J21</f>
        <v>31429.443669934899</v>
      </c>
      <c r="K26" s="35">
        <f>+K19-K24-K21</f>
        <v>17205.274029444372</v>
      </c>
    </row>
    <row r="27" spans="3:11" x14ac:dyDescent="0.25">
      <c r="C27" s="19"/>
      <c r="D27" s="19"/>
    </row>
    <row r="28" spans="3:11" x14ac:dyDescent="0.25">
      <c r="C28" s="18"/>
      <c r="D28" s="18" t="s">
        <v>55</v>
      </c>
      <c r="G28" s="25">
        <f>IF(G13=0,0,(G13-F13)/F13)</f>
        <v>-0.37348056015248104</v>
      </c>
      <c r="I28" s="25">
        <f>IF(I13=0,0,(I13-G13)/G13)</f>
        <v>-0.3734805601524811</v>
      </c>
      <c r="J28" s="25">
        <f>IF(J13=0,0,(J13-I13)/I13)</f>
        <v>-0.37348056015248116</v>
      </c>
      <c r="K28" s="25">
        <f>IF(K13=0,0,(K13-J13)/J13)</f>
        <v>-0.3734805601524811</v>
      </c>
    </row>
    <row r="29" spans="3:11" x14ac:dyDescent="0.25">
      <c r="C29" s="18"/>
      <c r="D29" s="18" t="s">
        <v>56</v>
      </c>
      <c r="G29" s="25">
        <f>IF(G14=0,0,G14/G13)</f>
        <v>0.40538629438097917</v>
      </c>
      <c r="I29" s="25">
        <f>IF(I14=0,0,I14/I13)</f>
        <v>0.40538629438097917</v>
      </c>
      <c r="J29" s="25">
        <f>IF(J14=0,0,J14/J13)</f>
        <v>0.40538629438097912</v>
      </c>
      <c r="K29" s="25">
        <f>IF(K14=0,0,K14/K13)</f>
        <v>0.40538629438097917</v>
      </c>
    </row>
    <row r="30" spans="3:11" x14ac:dyDescent="0.25">
      <c r="C30" s="18"/>
      <c r="D30" s="18" t="s">
        <v>57</v>
      </c>
      <c r="G30" s="25">
        <f>IF(G18=0,0,G18/G13)</f>
        <v>0.65638998310995</v>
      </c>
      <c r="I30" s="25">
        <f>IF(I18=0,0,I18/I13)</f>
        <v>0.65638998310995</v>
      </c>
      <c r="J30" s="25">
        <f>IF(J18=0,0,J18/J13)</f>
        <v>0.65638998310995</v>
      </c>
      <c r="K30" s="25">
        <f>IF(K18=0,0,K18/K13)</f>
        <v>0.65638998310995</v>
      </c>
    </row>
    <row r="31" spans="3:11" s="63" customFormat="1" x14ac:dyDescent="0.25">
      <c r="C31" s="26"/>
      <c r="D31" s="27"/>
    </row>
    <row r="32" spans="3:11" s="63" customFormat="1" ht="16.5" customHeight="1" x14ac:dyDescent="0.25">
      <c r="C32" s="26"/>
      <c r="D32" s="27"/>
      <c r="I32" s="98" t="s">
        <v>81</v>
      </c>
      <c r="J32" s="98"/>
      <c r="K32" s="98"/>
    </row>
    <row r="33" spans="3:14" s="63" customFormat="1" ht="7.5" customHeight="1" x14ac:dyDescent="0.25">
      <c r="C33" s="26"/>
      <c r="D33" s="27"/>
    </row>
    <row r="34" spans="3:14" x14ac:dyDescent="0.25">
      <c r="C34" s="26"/>
      <c r="D34" s="18" t="s">
        <v>55</v>
      </c>
      <c r="I34" s="25">
        <v>0</v>
      </c>
      <c r="J34" s="25">
        <v>0</v>
      </c>
      <c r="K34" s="25">
        <v>0</v>
      </c>
      <c r="M34" s="94" t="s">
        <v>82</v>
      </c>
      <c r="N34" s="94"/>
    </row>
    <row r="35" spans="3:14" x14ac:dyDescent="0.25">
      <c r="C35" s="26"/>
      <c r="D35" s="18" t="s">
        <v>56</v>
      </c>
      <c r="I35" s="25">
        <v>0</v>
      </c>
      <c r="J35" s="25">
        <v>0</v>
      </c>
      <c r="K35" s="25">
        <v>0</v>
      </c>
      <c r="M35" s="94"/>
      <c r="N35" s="94"/>
    </row>
    <row r="36" spans="3:14" x14ac:dyDescent="0.25">
      <c r="C36" s="26"/>
      <c r="D36" s="18" t="s">
        <v>57</v>
      </c>
      <c r="I36" s="25">
        <v>0</v>
      </c>
      <c r="J36" s="25">
        <v>0</v>
      </c>
      <c r="K36" s="25">
        <v>0</v>
      </c>
      <c r="M36" s="94"/>
      <c r="N36" s="94"/>
    </row>
    <row r="37" spans="3:14" x14ac:dyDescent="0.25">
      <c r="M37" s="94"/>
      <c r="N37" s="94"/>
    </row>
  </sheetData>
  <mergeCells count="7">
    <mergeCell ref="M34:N37"/>
    <mergeCell ref="I4:L7"/>
    <mergeCell ref="C10:C11"/>
    <mergeCell ref="D10:D11"/>
    <mergeCell ref="F10:G10"/>
    <mergeCell ref="I10:K10"/>
    <mergeCell ref="I32:K32"/>
  </mergeCells>
  <dataValidations count="3">
    <dataValidation type="list" allowBlank="1" showInputMessage="1" sqref="F11:G11 I11:K11">
      <formula1>FiscalYearsTemplate</formula1>
    </dataValidation>
    <dataValidation type="list" allowBlank="1" showInputMessage="1" sqref="D5">
      <formula1>Periods</formula1>
    </dataValidation>
    <dataValidation type="list" allowBlank="1" showInputMessage="1" showErrorMessage="1" sqref="D4">
      <formula1>CompaniesTemplate</formula1>
    </dataValidation>
  </dataValidations>
  <hyperlinks>
    <hyperlink ref="B2" location="Home!A1" tooltip="Click to navigate to the Home sheet." display="ç"/>
  </hyperlink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ProjectionTrend!B47:F47</xm:f>
              <xm:sqref>M26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ProjectionTrend!B46:F46</xm:f>
              <xm:sqref>M24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ProjectionTrend!B44:F44</xm:f>
              <xm:sqref>M22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ProjectionTrend!B43:F43</xm:f>
              <xm:sqref>M21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ProjectionTrend!B41:F41</xm:f>
              <xm:sqref>M19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ProjectionTrend!B40:F40</xm:f>
              <xm:sqref>M18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ProjectionTrend!B39:F39</xm:f>
              <xm:sqref>M17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ProjectionTrend!B37:F37</xm:f>
              <xm:sqref>M15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ProjectionTrend!B36:F36</xm:f>
              <xm:sqref>M14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ProjectionTrend!B35:F35</xm:f>
              <xm:sqref>M13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9"/>
  <sheetViews>
    <sheetView showGridLines="0" zoomScale="90" zoomScaleNormal="90" workbookViewId="0"/>
  </sheetViews>
  <sheetFormatPr defaultRowHeight="14.25" x14ac:dyDescent="0.25"/>
  <cols>
    <col min="1" max="1" width="1.7109375" customWidth="1"/>
    <col min="2" max="2" width="5.5703125" customWidth="1"/>
    <col min="3" max="3" width="13.7109375" customWidth="1"/>
    <col min="4" max="4" width="43.140625" customWidth="1"/>
    <col min="5" max="5" width="1.28515625" customWidth="1"/>
    <col min="6" max="6" width="14" bestFit="1" customWidth="1"/>
    <col min="7" max="7" width="14.28515625" bestFit="1" customWidth="1"/>
    <col min="8" max="8" width="1.28515625" customWidth="1"/>
    <col min="9" max="11" width="14.28515625" bestFit="1" customWidth="1"/>
    <col min="12" max="12" width="1" customWidth="1"/>
    <col min="13" max="13" width="16.5703125" customWidth="1"/>
  </cols>
  <sheetData>
    <row r="1" spans="2:12" ht="15" customHeight="1" x14ac:dyDescent="0.25"/>
    <row r="2" spans="2:12" s="12" customFormat="1" ht="33" customHeight="1" x14ac:dyDescent="0.7">
      <c r="B2" s="56" t="s">
        <v>79</v>
      </c>
      <c r="C2" s="13" t="str">
        <f>CONCATENATE(D4," Balance Sheet Forecast")</f>
        <v>SHSLTD Balance Sheet Forecast</v>
      </c>
      <c r="D2" s="14"/>
    </row>
    <row r="3" spans="2:12" ht="6.75" customHeight="1" x14ac:dyDescent="0.25"/>
    <row r="4" spans="2:12" s="63" customFormat="1" ht="16.5" customHeight="1" x14ac:dyDescent="0.3">
      <c r="C4" s="15" t="s">
        <v>23</v>
      </c>
      <c r="D4" s="37" t="str">
        <f>INDEX(Companies,1)</f>
        <v>SHSLTD</v>
      </c>
      <c r="I4" s="95" t="s">
        <v>102</v>
      </c>
      <c r="J4" s="95"/>
      <c r="K4" s="95"/>
      <c r="L4" s="95"/>
    </row>
    <row r="5" spans="2:12" s="63" customFormat="1" ht="16.5" customHeight="1" x14ac:dyDescent="0.3">
      <c r="C5" s="15" t="s">
        <v>22</v>
      </c>
      <c r="D5" s="37">
        <v>12</v>
      </c>
      <c r="I5" s="95"/>
      <c r="J5" s="95"/>
      <c r="K5" s="95"/>
      <c r="L5" s="95"/>
    </row>
    <row r="6" spans="2:12" s="63" customFormat="1" ht="16.5" customHeight="1" x14ac:dyDescent="0.25">
      <c r="C6" s="15" t="s">
        <v>24</v>
      </c>
      <c r="D6" s="16" t="str">
        <f>CHOOSE(B, "GLHomeCurrency(" &amp; $D$4 &amp; ")", CellContents, "CAD")</f>
        <v>CAD</v>
      </c>
      <c r="I6" s="95"/>
      <c r="J6" s="95"/>
      <c r="K6" s="95"/>
      <c r="L6" s="95"/>
    </row>
    <row r="7" spans="2:12" s="63" customFormat="1" ht="16.5" customHeight="1" x14ac:dyDescent="0.25">
      <c r="C7" s="15" t="s">
        <v>25</v>
      </c>
      <c r="D7" s="16" t="s">
        <v>26</v>
      </c>
      <c r="I7" s="95"/>
      <c r="J7" s="95"/>
      <c r="K7" s="95"/>
      <c r="L7" s="95"/>
    </row>
    <row r="8" spans="2:12" s="63" customFormat="1" ht="16.5" customHeight="1" x14ac:dyDescent="0.25"/>
    <row r="9" spans="2:12" ht="6.75" customHeight="1" x14ac:dyDescent="0.25"/>
    <row r="10" spans="2:12" s="63" customFormat="1" ht="16.5" customHeight="1" x14ac:dyDescent="0.25">
      <c r="C10" s="96" t="s">
        <v>44</v>
      </c>
      <c r="D10" s="97" t="s">
        <v>45</v>
      </c>
      <c r="F10" s="96" t="s">
        <v>43</v>
      </c>
      <c r="G10" s="96"/>
      <c r="I10" s="96" t="s">
        <v>46</v>
      </c>
      <c r="J10" s="96"/>
      <c r="K10" s="96"/>
    </row>
    <row r="11" spans="2:12" s="63" customFormat="1" ht="25.5" customHeight="1" x14ac:dyDescent="0.25">
      <c r="C11" s="96"/>
      <c r="D11" s="97"/>
      <c r="F11" s="55">
        <v>2019</v>
      </c>
      <c r="G11" s="55">
        <f>CHOOSE(B, "GLCurrentYear(" &amp; $D$4 &amp; ")", CellContents, 2020)</f>
        <v>2020</v>
      </c>
      <c r="I11" s="55">
        <f>G11+1</f>
        <v>2021</v>
      </c>
      <c r="J11" s="55">
        <f>I11+1</f>
        <v>2022</v>
      </c>
      <c r="K11" s="55">
        <f>J11+1</f>
        <v>2023</v>
      </c>
    </row>
    <row r="12" spans="2:12" s="63" customFormat="1" ht="4.5" customHeight="1" x14ac:dyDescent="0.25"/>
    <row r="13" spans="2:12" s="63" customFormat="1" ht="18" x14ac:dyDescent="0.25">
      <c r="D13" s="29" t="s">
        <v>11</v>
      </c>
    </row>
    <row r="14" spans="2:12" ht="7.5" customHeight="1" x14ac:dyDescent="0.25"/>
    <row r="15" spans="2:12" x14ac:dyDescent="0.25">
      <c r="C15" s="30">
        <v>10</v>
      </c>
      <c r="D15" s="31" t="s">
        <v>27</v>
      </c>
      <c r="F15" s="20">
        <f>CHOOSE(B, "GLClosingBalance(" &amp; "Account" &amp; "," &amp; $D$4 &amp; "," &amp; F$11 &amp; "," &amp; $D$5 &amp; "," &amp; "AccountGroupCode" &amp; "," &amp; $C15 &amp; "," &amp; "AccountStructureCode" &amp; "," &amp; "AccountType" &amp; "," &amp; "BalanceType" &amp; "," &amp; $D$6 &amp; "," &amp; $D$7 &amp; ")", CellContents, 6690727.99)</f>
        <v>6690727.9900000002</v>
      </c>
      <c r="G15" s="20">
        <f>CHOOSE(B, "GLClosingBalance(" &amp; "Account" &amp; "," &amp; $D$4 &amp; "," &amp; G$11 &amp; "," &amp; $D$5 &amp; "," &amp; "AccountGroupCode" &amp; "," &amp; $C15 &amp; "," &amp; "AccountStructureCode" &amp; "," &amp; "AccountType" &amp; "," &amp; "BalanceType" &amp; "," &amp; $D$6 &amp; "," &amp; $D$7 &amp; ")", CellContents, 11806782.75)</f>
        <v>11806782.75</v>
      </c>
      <c r="I15" s="20">
        <f>I18-I17-I16</f>
        <v>9251504.0052291304</v>
      </c>
      <c r="J15" s="20">
        <f>J18-J17-J16</f>
        <v>7856103.5614452129</v>
      </c>
      <c r="K15" s="20">
        <f>K18-K17-K16</f>
        <v>7180160.170003457</v>
      </c>
    </row>
    <row r="16" spans="2:12" x14ac:dyDescent="0.25">
      <c r="C16" s="38" t="s">
        <v>98</v>
      </c>
      <c r="D16" s="31" t="s">
        <v>28</v>
      </c>
      <c r="F16" s="20">
        <f>Calculations!F16</f>
        <v>3157085.31</v>
      </c>
      <c r="G16" s="20">
        <f>Calculations!G16</f>
        <v>2793867.69</v>
      </c>
      <c r="I16" s="20">
        <f>IF(((('Income Statement'!G13/G16)+I55))=0,0,'Income Statement'!I13/(('Income Statement'!G13/G16)+I55))</f>
        <v>1750412.4201468816</v>
      </c>
      <c r="J16" s="20">
        <f>IF(((('Income Statement'!I13/I16)+J55))=0,0,'Income Statement'!J13/(('Income Statement'!I13/I16)+J55))</f>
        <v>1096667.4089725642</v>
      </c>
      <c r="K16" s="20">
        <f>IF(((('Income Statement'!J13/J16)+K55))=0,0,'Income Statement'!K13/(('Income Statement'!J13/J16)+K55))</f>
        <v>687083.45076852071</v>
      </c>
    </row>
    <row r="17" spans="3:11" x14ac:dyDescent="0.25">
      <c r="C17" s="30">
        <v>30</v>
      </c>
      <c r="D17" s="31" t="s">
        <v>30</v>
      </c>
      <c r="F17" s="20">
        <f>CHOOSE(B, "GLClosingBalance(" &amp; "Account" &amp; "," &amp; $D$4 &amp; "," &amp; F$11 &amp; "," &amp; $D$5 &amp; "," &amp; "AccountGroupCode" &amp; "," &amp; $C17 &amp; "," &amp; "AccountStructureCode" &amp; "," &amp; "AccountType" &amp; "," &amp; "BalanceType" &amp; "," &amp; $D$6 &amp; "," &amp; $D$7 &amp; ")", CellContents, 1933888.15)</f>
        <v>1933888.15</v>
      </c>
      <c r="G17" s="20">
        <f>CHOOSE(B, "GLClosingBalance(" &amp; "Account" &amp; "," &amp; $D$4 &amp; "," &amp; G$11 &amp; "," &amp; $D$5 &amp; "," &amp; "AccountGroupCode" &amp; "," &amp; $C17 &amp; "," &amp; "AccountStructureCode" &amp; "," &amp; "AccountType" &amp; "," &amp; "BalanceType" &amp; "," &amp; $D$6 &amp; "," &amp; $D$7 &amp; ")", CellContents, 1957417.39)</f>
        <v>1957417.39</v>
      </c>
      <c r="I17" s="20">
        <f>IF(((('Income Statement'!G14/G17)+I56))=0,0,'Income Statement'!I14/(('Income Statement'!G14/G17)+I56))</f>
        <v>1226360.0467305924</v>
      </c>
      <c r="J17" s="20">
        <f>IF(((('Income Statement'!I14/I17)+J56))=0,0,'Income Statement'!J14/(('Income Statement'!I14/I17)+J56))</f>
        <v>768338.40952902776</v>
      </c>
      <c r="K17" s="20">
        <f>IF(((('Income Statement'!J14/J17)+K56))=0,0,'Income Statement'!K14/(('Income Statement'!J14/J17)+K56))</f>
        <v>481378.94995146</v>
      </c>
    </row>
    <row r="18" spans="3:11" x14ac:dyDescent="0.25">
      <c r="C18" s="30"/>
      <c r="D18" s="33" t="s">
        <v>12</v>
      </c>
      <c r="F18" s="22">
        <f>SUM(F15:F17)</f>
        <v>11781701.450000001</v>
      </c>
      <c r="G18" s="22">
        <f>SUM(G15:G17)</f>
        <v>16558067.83</v>
      </c>
      <c r="I18" s="22">
        <f>I26-I24-I22</f>
        <v>12228276.472106606</v>
      </c>
      <c r="J18" s="22">
        <f>J26-J24-J22</f>
        <v>9721109.3799468055</v>
      </c>
      <c r="K18" s="22">
        <f>K26-K24-K22</f>
        <v>8348622.5707234377</v>
      </c>
    </row>
    <row r="19" spans="3:11" ht="7.5" customHeight="1" x14ac:dyDescent="0.25"/>
    <row r="20" spans="3:11" x14ac:dyDescent="0.25">
      <c r="C20" s="30">
        <v>50</v>
      </c>
      <c r="D20" s="31" t="s">
        <v>31</v>
      </c>
      <c r="F20" s="20">
        <f>CHOOSE(B, "GLClosingBalance(" &amp; "Account" &amp; "," &amp; $D$4 &amp; "," &amp; F$11 &amp; "," &amp; $D$5 &amp; "," &amp; "AccountGroupCode" &amp; "," &amp; $C20 &amp; "," &amp; "AccountStructureCode" &amp; "," &amp; "AccountType" &amp; "," &amp; "BalanceType" &amp; "," &amp; $D$6 &amp; "," &amp; $D$7 &amp; ")", CellContents, 1062888.79)</f>
        <v>1062888.79</v>
      </c>
      <c r="G20" s="20">
        <f>CHOOSE(B, "GLClosingBalance(" &amp; "Account" &amp; "," &amp; $D$4 &amp; "," &amp; G$11 &amp; "," &amp; $D$5 &amp; "," &amp; "AccountGroupCode" &amp; "," &amp; $C20 &amp; "," &amp; "AccountStructureCode" &amp; "," &amp; "AccountType" &amp; "," &amp; "BalanceType" &amp; "," &amp; $D$6 &amp; "," &amp; $D$7 &amp; ")", CellContents, 2664054.79)</f>
        <v>2664054.79</v>
      </c>
      <c r="I20" s="79"/>
      <c r="J20" s="79"/>
      <c r="K20" s="79"/>
    </row>
    <row r="21" spans="3:11" x14ac:dyDescent="0.25">
      <c r="C21" s="30">
        <v>60</v>
      </c>
      <c r="D21" s="31" t="s">
        <v>32</v>
      </c>
      <c r="F21" s="20">
        <f>CHOOSE(B, "GLClosingBalance(" &amp; "Account" &amp; "," &amp; $D$4 &amp; "," &amp; F$11 &amp; "," &amp; $D$5 &amp; "," &amp; "AccountGroupCode" &amp; "," &amp; $C21 &amp; "," &amp; "AccountStructureCode" &amp; "," &amp; "AccountType" &amp; "," &amp; "BalanceType" &amp; "," &amp; $D$6 &amp; "," &amp; $D$7 &amp; ")", CellContents, -762426.42)</f>
        <v>-762426.42</v>
      </c>
      <c r="G21" s="20">
        <f>CHOOSE(B, "GLClosingBalance(" &amp; "Account" &amp; "," &amp; $D$4 &amp; "," &amp; G$11 &amp; "," &amp; $D$5 &amp; "," &amp; "AccountGroupCode" &amp; "," &amp; $C21 &amp; "," &amp; "AccountStructureCode" &amp; "," &amp; "AccountType" &amp; "," &amp; "BalanceType" &amp; "," &amp; $D$6 &amp; "," &amp; $D$7 &amp; ")", CellContents, -1012426.42)</f>
        <v>-1012426.42</v>
      </c>
      <c r="I21" s="79"/>
      <c r="J21" s="79"/>
      <c r="K21" s="79"/>
    </row>
    <row r="22" spans="3:11" x14ac:dyDescent="0.25">
      <c r="C22" s="30"/>
      <c r="D22" s="33" t="s">
        <v>58</v>
      </c>
      <c r="F22" s="22">
        <f>SUM(F20:F21)</f>
        <v>300462.37</v>
      </c>
      <c r="G22" s="22">
        <f>SUM(G20:G21)</f>
        <v>1651628.37</v>
      </c>
      <c r="I22" s="22">
        <f>G22</f>
        <v>1651628.37</v>
      </c>
      <c r="J22" s="22">
        <f>I22</f>
        <v>1651628.37</v>
      </c>
      <c r="K22" s="22">
        <f>J22</f>
        <v>1651628.37</v>
      </c>
    </row>
    <row r="23" spans="3:11" ht="7.5" customHeight="1" x14ac:dyDescent="0.25"/>
    <row r="24" spans="3:11" x14ac:dyDescent="0.25">
      <c r="C24" s="30">
        <v>70</v>
      </c>
      <c r="D24" s="31" t="s">
        <v>29</v>
      </c>
      <c r="F24" s="20">
        <f>CHOOSE(B, "GLClosingBalance(" &amp; "Account" &amp; "," &amp; $D$4 &amp; "," &amp; F$11 &amp; "," &amp; $D$5 &amp; "," &amp; "AccountGroupCode" &amp; "," &amp; $C24 &amp; "," &amp; "AccountStructureCode" &amp; "," &amp; "AccountType" &amp; "," &amp; "BalanceType" &amp; "," &amp; $D$6 &amp; "," &amp; $D$7 &amp; ")", CellContents, 150000)</f>
        <v>150000</v>
      </c>
      <c r="G24" s="20">
        <f>CHOOSE(B, "GLClosingBalance(" &amp; "Account" &amp; "," &amp; $D$4 &amp; "," &amp; G$11 &amp; "," &amp; $D$5 &amp; "," &amp; "AccountGroupCode" &amp; "," &amp; $C24 &amp; "," &amp; "AccountStructureCode" &amp; "," &amp; "AccountType" &amp; "," &amp; "BalanceType" &amp; "," &amp; $D$6 &amp; "," &amp; $D$7 &amp; ")", CellContents, 312710.25)</f>
        <v>312710.25</v>
      </c>
      <c r="I24" s="20">
        <f>$G$24</f>
        <v>312710.25</v>
      </c>
      <c r="J24" s="20">
        <f t="shared" ref="J24:K24" si="0">$G$24</f>
        <v>312710.25</v>
      </c>
      <c r="K24" s="20">
        <f t="shared" si="0"/>
        <v>312710.25</v>
      </c>
    </row>
    <row r="25" spans="3:11" ht="7.5" customHeight="1" x14ac:dyDescent="0.25"/>
    <row r="26" spans="3:11" ht="15" x14ac:dyDescent="0.25">
      <c r="C26" s="30"/>
      <c r="D26" s="34" t="s">
        <v>13</v>
      </c>
      <c r="F26" s="35">
        <f>F18+F22+F24</f>
        <v>12232163.82</v>
      </c>
      <c r="G26" s="35">
        <f>G18+G22+G24</f>
        <v>18522406.449999999</v>
      </c>
      <c r="I26" s="35">
        <f>IF((((G40/G26)+I59))=0,0,I40/((G40/G26)+I59))</f>
        <v>14192615.092106607</v>
      </c>
      <c r="J26" s="35">
        <f>IF((((I40/I26)+J59))=0,0,J40/((I40/I26)+J59))</f>
        <v>11685447.999946807</v>
      </c>
      <c r="K26" s="35">
        <f>IF((((J40/J26)+K59))=0,0,K40/((J40/J26)+K59))</f>
        <v>10312961.190723438</v>
      </c>
    </row>
    <row r="27" spans="3:11" ht="16.5" customHeight="1" x14ac:dyDescent="0.25"/>
    <row r="28" spans="3:11" ht="16.5" customHeight="1" x14ac:dyDescent="0.25">
      <c r="D28" s="29" t="s">
        <v>14</v>
      </c>
    </row>
    <row r="29" spans="3:11" ht="16.5" customHeight="1" x14ac:dyDescent="0.25"/>
    <row r="30" spans="3:11" x14ac:dyDescent="0.25">
      <c r="C30" s="30">
        <v>90</v>
      </c>
      <c r="D30" s="31" t="s">
        <v>33</v>
      </c>
      <c r="F30" s="20">
        <f>CHOOSE(B, "-GLClosingBalance(" &amp; "Account" &amp; "," &amp; $D$4 &amp; "," &amp; F$11 &amp; "," &amp; $D$5 &amp; "," &amp; "AccountGroupCode" &amp; "," &amp; $C30 &amp; "," &amp; "AccountStructureCode" &amp; "," &amp; "AccountType" &amp; "," &amp; "BalanceType" &amp; "," &amp; $D$6 &amp; "," &amp; $D$7 &amp; ")", CellContents, 1002896.32)</f>
        <v>1002896.32</v>
      </c>
      <c r="G30" s="20">
        <f>CHOOSE(B, "-GLClosingBalance(" &amp; "Account" &amp; "," &amp; $D$4 &amp; "," &amp; G$11 &amp; "," &amp; $D$5 &amp; "," &amp; "AccountGroupCode" &amp; "," &amp; $C30 &amp; "," &amp; "AccountStructureCode" &amp; "," &amp; "AccountType" &amp; "," &amp; "BalanceType" &amp; "," &amp; $D$6 &amp; "," &amp; $D$7 &amp; ")", CellContents, 1161410.47)</f>
        <v>1161410.47</v>
      </c>
      <c r="I30" s="20">
        <f>I32-I31</f>
        <v>2784162.1503693946</v>
      </c>
      <c r="J30" s="20">
        <f>J32-J31</f>
        <v>4028789.5977956578</v>
      </c>
      <c r="K30" s="20">
        <f>K32-K31</f>
        <v>5028497.3526382511</v>
      </c>
    </row>
    <row r="31" spans="3:11" x14ac:dyDescent="0.25">
      <c r="C31" s="30">
        <v>80</v>
      </c>
      <c r="D31" s="31" t="s">
        <v>34</v>
      </c>
      <c r="F31" s="20">
        <f>CHOOSE(B, "-GLClosingBalance(" &amp; "Account" &amp; "," &amp; $D$4 &amp; "," &amp; F$11 &amp; "," &amp; $D$5 &amp; "," &amp; "AccountGroupCode" &amp; "," &amp; $C31 &amp; "," &amp; "AccountStructureCode" &amp; "," &amp; "AccountType" &amp; "," &amp; "BalanceType" &amp; "," &amp; $D$6 &amp; "," &amp; $D$7 &amp; ")", CellContents, 12160569.35)</f>
        <v>12160569.35</v>
      </c>
      <c r="G31" s="20">
        <f>CHOOSE(B, "-GLClosingBalance(" &amp; "Account" &amp; "," &amp; $D$4 &amp; "," &amp; G$11 &amp; "," &amp; $D$5 &amp; "," &amp; "AccountGroupCode" &amp; "," &amp; $C31 &amp; "," &amp; "AccountStructureCode" &amp; "," &amp; "AccountType" &amp; "," &amp; "BalanceType" &amp; "," &amp; $D$6 &amp; "," &amp; $D$7 &amp; ")", CellContents, 17202106.35)</f>
        <v>17202106.350000001</v>
      </c>
      <c r="I31" s="20">
        <f>IF(((('Income Statement'!G14/G31)+I57))=0,0,'Income Statement'!I14/(('Income Statement'!G14/G31)+I57))</f>
        <v>10777454.034599448</v>
      </c>
      <c r="J31" s="20">
        <f>IF(((('Income Statement'!I14/I31)+J57))=0,0,'Income Statement'!J14/(('Income Statement'!I14/I31)+J57))</f>
        <v>6752284.4647396281</v>
      </c>
      <c r="K31" s="20">
        <f>IF(((('Income Statement'!J14/J31)+K57))=0,0,'Income Statement'!K14/(('Income Statement'!J14/J31)+K57))</f>
        <v>4230437.4805397755</v>
      </c>
    </row>
    <row r="32" spans="3:11" x14ac:dyDescent="0.25">
      <c r="C32" s="30"/>
      <c r="D32" s="33" t="s">
        <v>59</v>
      </c>
      <c r="F32" s="22">
        <f>SUM(F30:F31)</f>
        <v>13163465.67</v>
      </c>
      <c r="G32" s="22">
        <f>SUM(G30:G31)</f>
        <v>18363516.82</v>
      </c>
      <c r="I32" s="22">
        <f>IF((((G18/G32)+I58))=0,0,I18/((G18/G32)+I58))</f>
        <v>13561616.184968842</v>
      </c>
      <c r="J32" s="22">
        <f>IF((((I18/I32)+J58))=0,0,J18/((I18/I32)+J58))</f>
        <v>10781074.062535286</v>
      </c>
      <c r="K32" s="22">
        <f>IF((((J18/J32)+K58))=0,0,K18/((J18/J32)+K58))</f>
        <v>9258934.8331780266</v>
      </c>
    </row>
    <row r="33" spans="3:11" ht="7.5" customHeight="1" x14ac:dyDescent="0.25"/>
    <row r="34" spans="3:11" x14ac:dyDescent="0.25">
      <c r="C34" s="38">
        <v>100</v>
      </c>
      <c r="D34" s="31" t="s">
        <v>35</v>
      </c>
      <c r="F34" s="20">
        <f>CHOOSE(B, "-GLClosingBalance(" &amp; "Account" &amp; "," &amp; $D$4 &amp; "," &amp; F$11 &amp; "," &amp; $D$5 &amp; "," &amp; "AccountGroupCode" &amp; "," &amp; $C34 &amp; "," &amp; "AccountStructureCode" &amp; "," &amp; "AccountType" &amp; "," &amp; "BalanceType" &amp; "," &amp; $D$6 &amp; "," &amp; $D$7 &amp; ")", CellContents, 300963.54)</f>
        <v>300963.53999999998</v>
      </c>
      <c r="G34" s="20">
        <f>CHOOSE(B, "-GLClosingBalance(" &amp; "Account" &amp; "," &amp; $D$4 &amp; "," &amp; G$11 &amp; "," &amp; $D$5 &amp; "," &amp; "AccountGroupCode" &amp; "," &amp; $C34 &amp; "," &amp; "AccountStructureCode" &amp; "," &amp; "AccountType" &amp; "," &amp; "BalanceType" &amp; "," &amp; $D$6 &amp; "," &amp; $D$7 &amp; ")", CellContents, 391083.54)</f>
        <v>391083.54</v>
      </c>
      <c r="I34" s="20">
        <f>I35-I32</f>
        <v>808915.24863783084</v>
      </c>
      <c r="J34" s="20">
        <f>J35-J32</f>
        <v>1050860.835241653</v>
      </c>
      <c r="K34" s="20">
        <f>K35-K32</f>
        <v>1183307.9813460987</v>
      </c>
    </row>
    <row r="35" spans="3:11" x14ac:dyDescent="0.25">
      <c r="C35" s="30"/>
      <c r="D35" s="33" t="s">
        <v>61</v>
      </c>
      <c r="F35" s="22">
        <f>F32+F34</f>
        <v>13464429.209999999</v>
      </c>
      <c r="G35" s="22">
        <f>G32+G34</f>
        <v>18754600.359999999</v>
      </c>
      <c r="I35" s="22">
        <f>I26-I40</f>
        <v>14370531.433606673</v>
      </c>
      <c r="J35" s="22">
        <f>J26-J40</f>
        <v>11831934.897776939</v>
      </c>
      <c r="K35" s="22">
        <f>K26-K40</f>
        <v>10442242.814524125</v>
      </c>
    </row>
    <row r="36" spans="3:11" ht="7.5" customHeight="1" x14ac:dyDescent="0.25"/>
    <row r="37" spans="3:11" x14ac:dyDescent="0.25">
      <c r="C37" s="38" t="s">
        <v>99</v>
      </c>
      <c r="D37" s="31" t="s">
        <v>36</v>
      </c>
      <c r="F37" s="20">
        <f>Calculations!J16</f>
        <v>1990155.66</v>
      </c>
      <c r="G37" s="20">
        <f>Calculations!K16</f>
        <v>-1232265.3899999999</v>
      </c>
      <c r="I37" s="20">
        <f>G40</f>
        <v>-232193.90999999992</v>
      </c>
      <c r="J37" s="20">
        <f>I40</f>
        <v>-177916.34150006692</v>
      </c>
      <c r="K37" s="20">
        <f>J40</f>
        <v>-146486.89783013202</v>
      </c>
    </row>
    <row r="38" spans="3:11" x14ac:dyDescent="0.25">
      <c r="C38" s="38">
        <v>110</v>
      </c>
      <c r="D38" s="36" t="s">
        <v>37</v>
      </c>
      <c r="F38" s="20">
        <f>CHOOSE(B, "-GLClosingBalance(" &amp; "Account" &amp; "," &amp; $D$4 &amp; "," &amp; F$11 &amp; "," &amp; $D$5 &amp; "," &amp; "AccountGroupCode" &amp; "," &amp; $C38 &amp; "," &amp; "AccountStructureCode" &amp; "," &amp; "AccountType" &amp; "," &amp; "BalanceType" &amp; "," &amp; $D$6 &amp; "," &amp; $D$7 &amp; ")", CellContents, 0)</f>
        <v>0</v>
      </c>
      <c r="G38" s="20">
        <f>CHOOSE(B, "-GLClosingBalance(" &amp; "Account" &amp; "," &amp; $D$4 &amp; "," &amp; G$11 &amp; "," &amp; $D$5 &amp; "," &amp; "AccountGroupCode" &amp; "," &amp; $C38 &amp; "," &amp; "AccountStructureCode" &amp; "," &amp; "AccountType" &amp; "," &amp; "BalanceType" &amp; "," &amp; $D$6 &amp; "," &amp; $D$7 &amp; ")", CellContents, 0)</f>
        <v>0</v>
      </c>
      <c r="I38" s="20">
        <f>IF((((G38/'Income Statement'!G26)+I54))=0,0,'Income Statement'!I26*((G38/'Income Statement'!G26)+I54))</f>
        <v>0</v>
      </c>
      <c r="J38" s="20">
        <f>IF((((I38/'Income Statement'!I26)+J54))=0,0,'Income Statement'!J26*((I38/'Income Statement'!I26)+J54))</f>
        <v>0</v>
      </c>
      <c r="K38" s="20">
        <f>IF((((J38/'Income Statement'!J26)+K54))=0,0,'Income Statement'!K26*((J38/'Income Statement'!J26)+K54))</f>
        <v>0</v>
      </c>
    </row>
    <row r="39" spans="3:11" x14ac:dyDescent="0.25">
      <c r="C39" s="38" t="s">
        <v>73</v>
      </c>
      <c r="D39" s="31" t="s">
        <v>62</v>
      </c>
      <c r="F39" s="20">
        <f>CHOOSE(B, "-GLClosingBalance(" &amp; "Account" &amp; "," &amp; $D$4 &amp; "," &amp; F$11 &amp; "," &amp; $D$5 &amp; "," &amp; "AccountGroupCode" &amp; "," &amp; "AccountCategoryCode" &amp; "," &amp; "AccountStructureCode" &amp; "," &amp; $C39 &amp; "," &amp; "BalanceType" &amp; "," &amp; $D$6 &amp; "," &amp; $D$7 &amp; ")", CellContents, -3222421.05)</f>
        <v>-3222421.05</v>
      </c>
      <c r="G39" s="20">
        <f>CHOOSE(B, "-GLClosingBalance(" &amp; "Account" &amp; "," &amp; $D$4 &amp; "," &amp; G$11 &amp; "," &amp; $D$5 &amp; "," &amp; "AccountGroupCode" &amp; "," &amp; "AccountCategoryCode" &amp; "," &amp; "AccountStructureCode" &amp; "," &amp; $C39 &amp; "," &amp; "BalanceType" &amp; "," &amp; $D$6 &amp; "," &amp; $D$7 &amp; ")", CellContents, 1000071.48)</f>
        <v>1000071.48</v>
      </c>
      <c r="I39" s="20">
        <f>'Income Statement'!I26</f>
        <v>54277.568499933004</v>
      </c>
      <c r="J39" s="20">
        <f>'Income Statement'!J26</f>
        <v>31429.443669934899</v>
      </c>
      <c r="K39" s="20">
        <f>'Income Statement'!K26</f>
        <v>17205.274029444372</v>
      </c>
    </row>
    <row r="40" spans="3:11" x14ac:dyDescent="0.25">
      <c r="C40" s="30"/>
      <c r="D40" s="33" t="s">
        <v>63</v>
      </c>
      <c r="F40" s="22">
        <f>SUM(F37:F39)</f>
        <v>-1232265.3899999999</v>
      </c>
      <c r="G40" s="22">
        <f>SUM(G37:G39)</f>
        <v>-232193.90999999992</v>
      </c>
      <c r="I40" s="22">
        <f>+I37-I38+I39</f>
        <v>-177916.34150006692</v>
      </c>
      <c r="J40" s="22">
        <f>+J37-J38+J39</f>
        <v>-146486.89783013202</v>
      </c>
      <c r="K40" s="22">
        <f>+K37-K38+K39</f>
        <v>-129281.62380068764</v>
      </c>
    </row>
    <row r="41" spans="3:11" ht="7.5" customHeight="1" x14ac:dyDescent="0.25"/>
    <row r="42" spans="3:11" ht="15" x14ac:dyDescent="0.25">
      <c r="C42" s="30"/>
      <c r="D42" s="34" t="s">
        <v>64</v>
      </c>
      <c r="F42" s="35">
        <f>F35+F40</f>
        <v>12232163.819999998</v>
      </c>
      <c r="G42" s="35">
        <f>G35+G40</f>
        <v>18522406.449999999</v>
      </c>
      <c r="I42" s="35">
        <f>+I35+I40</f>
        <v>14192615.092106607</v>
      </c>
      <c r="J42" s="35">
        <f>+J35+J40</f>
        <v>11685447.999946807</v>
      </c>
      <c r="K42" s="35">
        <f>+K35+K40</f>
        <v>10312961.190723438</v>
      </c>
    </row>
    <row r="43" spans="3:11" ht="16.5" customHeight="1" x14ac:dyDescent="0.25">
      <c r="C43" s="30"/>
      <c r="D43" s="31"/>
    </row>
    <row r="44" spans="3:11" ht="4.5" customHeight="1" x14ac:dyDescent="0.25">
      <c r="C44" s="38"/>
      <c r="D44" s="36"/>
    </row>
    <row r="45" spans="3:11" x14ac:dyDescent="0.25">
      <c r="C45" s="28"/>
      <c r="D45" s="31" t="s">
        <v>65</v>
      </c>
      <c r="F45" s="25">
        <f>IF('Income Statement'!F26=0,0,F38/'Income Statement'!F26)</f>
        <v>0</v>
      </c>
      <c r="G45" s="25">
        <f>IF('Income Statement'!G26=0,0,G38/'Income Statement'!G26)</f>
        <v>0</v>
      </c>
      <c r="I45" s="25">
        <f>IF('Income Statement'!I26=0,0,I38/'Income Statement'!I26)</f>
        <v>0</v>
      </c>
      <c r="J45" s="25">
        <f>IF('Income Statement'!J26=0,0,J38/'Income Statement'!J26)</f>
        <v>0</v>
      </c>
      <c r="K45" s="25">
        <f>IF('Income Statement'!K26=0,0,K38/'Income Statement'!K26)</f>
        <v>0</v>
      </c>
    </row>
    <row r="46" spans="3:11" x14ac:dyDescent="0.25">
      <c r="C46" s="28"/>
      <c r="D46" s="31" t="s">
        <v>66</v>
      </c>
      <c r="F46" s="20">
        <f>IF(F16=0,0,'Income Statement'!F13/F16)</f>
        <v>0.84454064372432169</v>
      </c>
      <c r="G46" s="20">
        <f>IF(G16=0,0,'Income Statement'!G13/G16)</f>
        <v>0.59790968483550488</v>
      </c>
      <c r="I46" s="20">
        <f>IF(I16=0,0,'Income Statement'!I13/I16)</f>
        <v>0.59790968483550488</v>
      </c>
      <c r="J46" s="20">
        <f>IF(J16=0,0,'Income Statement'!J13/J16)</f>
        <v>0.59790968483550488</v>
      </c>
      <c r="K46" s="20">
        <f>IF(K16=0,0,'Income Statement'!K13/K16)</f>
        <v>0.59790968483550488</v>
      </c>
    </row>
    <row r="47" spans="3:11" x14ac:dyDescent="0.25">
      <c r="C47" s="28"/>
      <c r="D47" s="31" t="s">
        <v>67</v>
      </c>
      <c r="F47" s="20">
        <f>IF(F17=0,0,'Income Statement'!F14/F17)</f>
        <v>0.47793210274337738</v>
      </c>
      <c r="G47" s="20">
        <f>IF(G17=0,0,'Income Statement'!G14/G17)</f>
        <v>0.34596091945417939</v>
      </c>
      <c r="I47" s="20">
        <f>IF(I17=0,0,'Income Statement'!I14/I17)</f>
        <v>0.34596091945417939</v>
      </c>
      <c r="J47" s="20">
        <f>IF(J17=0,0,'Income Statement'!J14/J17)</f>
        <v>0.34596091945417939</v>
      </c>
      <c r="K47" s="20">
        <f>IF(K17=0,0,'Income Statement'!K14/K17)</f>
        <v>0.34596091945417939</v>
      </c>
    </row>
    <row r="48" spans="3:11" x14ac:dyDescent="0.25">
      <c r="C48" s="28"/>
      <c r="D48" s="31" t="s">
        <v>68</v>
      </c>
      <c r="F48" s="20">
        <f>IF(F31=0,0,'Income Statement'!F14/F31)</f>
        <v>7.6005259572817618E-2</v>
      </c>
      <c r="G48" s="20">
        <f>IF(G31=0,0,'Income Statement'!G14/G31)</f>
        <v>3.9366686045398155E-2</v>
      </c>
      <c r="I48" s="20">
        <f>IF(I31=0,0,'Income Statement'!I14/I31)</f>
        <v>3.9366686045398155E-2</v>
      </c>
      <c r="J48" s="20">
        <f>IF(J31=0,0,'Income Statement'!J14/J31)</f>
        <v>3.9366686045398155E-2</v>
      </c>
      <c r="K48" s="20">
        <f>IF(K31=0,0,'Income Statement'!K14/K31)</f>
        <v>3.9366686045398155E-2</v>
      </c>
    </row>
    <row r="49" spans="3:14" x14ac:dyDescent="0.25">
      <c r="C49" s="28"/>
      <c r="D49" s="31" t="s">
        <v>69</v>
      </c>
      <c r="F49" s="25">
        <f>IF(F32=0,0,F18/F32)</f>
        <v>0.89503036247140544</v>
      </c>
      <c r="G49" s="25">
        <f>IF(G32=0,0,G18/G32)</f>
        <v>0.90168283081628153</v>
      </c>
      <c r="I49" s="25">
        <f>IF(I32=0,0,I18/I32)</f>
        <v>0.90168283081628153</v>
      </c>
      <c r="J49" s="25">
        <f>IF(J32=0,0,J18/J32)</f>
        <v>0.90168283081628153</v>
      </c>
      <c r="K49" s="25">
        <f>IF(K32=0,0,K18/K32)</f>
        <v>0.90168283081628142</v>
      </c>
    </row>
    <row r="50" spans="3:14" x14ac:dyDescent="0.25">
      <c r="C50" s="28"/>
      <c r="D50" s="31" t="s">
        <v>70</v>
      </c>
      <c r="F50" s="25">
        <f>IF(F26=0,0,F40/F26)</f>
        <v>-0.1007397716490033</v>
      </c>
      <c r="G50" s="25">
        <f>IF(G26=0,0,G40/G26)</f>
        <v>-1.2535839261857896E-2</v>
      </c>
      <c r="I50" s="25">
        <f>IF(I26=0,0,I40/I26)</f>
        <v>-1.2535839261857896E-2</v>
      </c>
      <c r="J50" s="25">
        <f>IF(J26=0,0,J40/J26)</f>
        <v>-1.2535839261857896E-2</v>
      </c>
      <c r="K50" s="25">
        <f>IF(K26=0,0,K40/K26)</f>
        <v>-1.2535839261857896E-2</v>
      </c>
    </row>
    <row r="51" spans="3:14" x14ac:dyDescent="0.25">
      <c r="F51" s="80"/>
      <c r="G51" s="80"/>
      <c r="I51" s="80"/>
      <c r="J51" s="80"/>
      <c r="K51" s="80"/>
    </row>
    <row r="52" spans="3:14" s="63" customFormat="1" ht="16.5" customHeight="1" x14ac:dyDescent="0.25">
      <c r="F52" s="80"/>
      <c r="G52" s="80"/>
      <c r="I52" s="98" t="s">
        <v>81</v>
      </c>
      <c r="J52" s="98"/>
      <c r="K52" s="98"/>
    </row>
    <row r="53" spans="3:14" x14ac:dyDescent="0.25">
      <c r="I53" s="80"/>
      <c r="J53" s="80"/>
      <c r="K53" s="80"/>
    </row>
    <row r="54" spans="3:14" x14ac:dyDescent="0.25">
      <c r="D54" s="31" t="s">
        <v>65</v>
      </c>
      <c r="I54" s="25">
        <v>0</v>
      </c>
      <c r="J54" s="25">
        <v>0</v>
      </c>
      <c r="K54" s="25">
        <v>0</v>
      </c>
      <c r="M54" s="94" t="s">
        <v>82</v>
      </c>
      <c r="N54" s="94"/>
    </row>
    <row r="55" spans="3:14" x14ac:dyDescent="0.25">
      <c r="D55" s="31" t="s">
        <v>66</v>
      </c>
      <c r="I55" s="25">
        <v>0</v>
      </c>
      <c r="J55" s="25">
        <v>0</v>
      </c>
      <c r="K55" s="25">
        <v>0</v>
      </c>
      <c r="M55" s="94"/>
      <c r="N55" s="94"/>
    </row>
    <row r="56" spans="3:14" x14ac:dyDescent="0.25">
      <c r="D56" s="31" t="s">
        <v>67</v>
      </c>
      <c r="I56" s="25">
        <v>0</v>
      </c>
      <c r="J56" s="25">
        <v>0</v>
      </c>
      <c r="K56" s="25">
        <v>0</v>
      </c>
      <c r="M56" s="94"/>
      <c r="N56" s="94"/>
    </row>
    <row r="57" spans="3:14" x14ac:dyDescent="0.25">
      <c r="D57" s="31" t="s">
        <v>68</v>
      </c>
      <c r="I57" s="25">
        <v>0</v>
      </c>
      <c r="J57" s="25">
        <v>0</v>
      </c>
      <c r="K57" s="25">
        <v>0</v>
      </c>
      <c r="M57" s="94"/>
      <c r="N57" s="94"/>
    </row>
    <row r="58" spans="3:14" x14ac:dyDescent="0.25">
      <c r="D58" s="31" t="s">
        <v>69</v>
      </c>
      <c r="I58" s="25">
        <v>0</v>
      </c>
      <c r="J58" s="25">
        <v>0</v>
      </c>
      <c r="K58" s="25">
        <v>0</v>
      </c>
    </row>
    <row r="59" spans="3:14" x14ac:dyDescent="0.25">
      <c r="D59" s="31" t="s">
        <v>70</v>
      </c>
      <c r="I59" s="25">
        <v>0</v>
      </c>
      <c r="J59" s="25">
        <v>0</v>
      </c>
      <c r="K59" s="25">
        <v>0</v>
      </c>
    </row>
  </sheetData>
  <mergeCells count="7">
    <mergeCell ref="C10:C11"/>
    <mergeCell ref="D10:D11"/>
    <mergeCell ref="I4:L7"/>
    <mergeCell ref="M54:N57"/>
    <mergeCell ref="F10:G10"/>
    <mergeCell ref="I10:K10"/>
    <mergeCell ref="I52:K52"/>
  </mergeCells>
  <dataValidations count="3">
    <dataValidation type="list" allowBlank="1" showInputMessage="1" showErrorMessage="1" sqref="D4">
      <formula1>CompaniesTemplate</formula1>
    </dataValidation>
    <dataValidation type="list" allowBlank="1" showInputMessage="1" sqref="D5">
      <formula1>Periods</formula1>
    </dataValidation>
    <dataValidation type="list" allowBlank="1" showInputMessage="1" sqref="F11:G11 I11:K11">
      <formula1>FiscalYearsTemplate</formula1>
    </dataValidation>
  </dataValidations>
  <hyperlinks>
    <hyperlink ref="B2" location="Home!A1" tooltip="Click to navigate to the Home sheet." display="ç"/>
  </hyperlink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ProjectionTrend!B32:F32</xm:f>
              <xm:sqref>M42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ProjectionTrend!B30:F30</xm:f>
              <xm:sqref>M40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ProjectionTrend!B29:F29</xm:f>
              <xm:sqref>M39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ProjectionTrend!B28:F28</xm:f>
              <xm:sqref>M38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ProjectionTrend!B27:F27</xm:f>
              <xm:sqref>M37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ProjectionTrend!B25:F25</xm:f>
              <xm:sqref>M35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ProjectionTrend!B22:F22</xm:f>
              <xm:sqref>M34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ProjectionTrend!B20:F20</xm:f>
              <xm:sqref>M32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ProjectionTrend!B19:F19</xm:f>
              <xm:sqref>M31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ProjectionTrend!B18:F18</xm:f>
              <xm:sqref>M30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ProjectionTrend!B16:F16</xm:f>
              <xm:sqref>M26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ProjectionTrend!B15:F15</xm:f>
              <xm:sqref>M24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ProjectionTrend!B13:F13</xm:f>
              <xm:sqref>M22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ProjectionTrend!B9:F9</xm:f>
              <xm:sqref>M18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ProjectionTrend!B8:F8</xm:f>
              <xm:sqref>M17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ProjectionTrend!B7:F7</xm:f>
              <xm:sqref>M16</xm:sqref>
            </x14:sparkline>
          </x14:sparklines>
        </x14:sparklineGroup>
        <x14:sparklineGroup type="column" displayEmptyCellsAs="gap">
          <x14:colorSeries rgb="FF009FD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ProjectionTrend!B6:F6</xm:f>
              <xm:sqref>M15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B4" sqref="B4"/>
    </sheetView>
  </sheetViews>
  <sheetFormatPr defaultRowHeight="14.25" x14ac:dyDescent="0.25"/>
  <cols>
    <col min="1" max="1" width="7" style="5" customWidth="1"/>
    <col min="2" max="2" width="28.5703125" style="5" customWidth="1"/>
    <col min="3" max="3" width="20.85546875" style="5" customWidth="1"/>
    <col min="4" max="4" width="21.140625" style="5" bestFit="1" customWidth="1"/>
    <col min="5" max="5" width="15.28515625" style="5" bestFit="1" customWidth="1"/>
    <col min="6" max="6" width="14.5703125" style="5" bestFit="1" customWidth="1"/>
    <col min="7" max="7" width="21.42578125" style="5" bestFit="1" customWidth="1"/>
    <col min="8" max="8" width="27.5703125" style="5" bestFit="1" customWidth="1"/>
    <col min="9" max="16384" width="9.140625" style="5"/>
  </cols>
  <sheetData>
    <row r="1" spans="1:8" ht="38.25" x14ac:dyDescent="0.65">
      <c r="A1" s="56" t="s">
        <v>79</v>
      </c>
      <c r="B1" s="7" t="s">
        <v>7</v>
      </c>
      <c r="C1" s="8"/>
      <c r="D1" s="6"/>
      <c r="E1" s="6"/>
    </row>
    <row r="2" spans="1:8" ht="17.25" customHeight="1" x14ac:dyDescent="0.25">
      <c r="B2" s="4" t="s">
        <v>15</v>
      </c>
      <c r="C2" s="8"/>
      <c r="D2" s="6"/>
      <c r="E2" s="6"/>
    </row>
    <row r="3" spans="1:8" ht="15.75" x14ac:dyDescent="0.25">
      <c r="B3" s="9" t="s">
        <v>16</v>
      </c>
      <c r="C3" s="10" t="s">
        <v>17</v>
      </c>
      <c r="D3" s="9" t="s">
        <v>10</v>
      </c>
      <c r="E3" s="9" t="s">
        <v>95</v>
      </c>
      <c r="F3" s="9" t="s">
        <v>18</v>
      </c>
      <c r="G3" s="9" t="s">
        <v>96</v>
      </c>
      <c r="H3" s="9" t="s">
        <v>97</v>
      </c>
    </row>
    <row r="4" spans="1:8" x14ac:dyDescent="0.25">
      <c r="C4" s="6"/>
    </row>
    <row r="5" spans="1:8" x14ac:dyDescent="0.25">
      <c r="C5" s="6"/>
    </row>
    <row r="6" spans="1:8" x14ac:dyDescent="0.25">
      <c r="C6" s="6"/>
    </row>
    <row r="7" spans="1:8" x14ac:dyDescent="0.25">
      <c r="C7" s="6"/>
    </row>
    <row r="8" spans="1:8" x14ac:dyDescent="0.25">
      <c r="C8" s="6"/>
    </row>
    <row r="9" spans="1:8" x14ac:dyDescent="0.25">
      <c r="C9" s="6"/>
    </row>
    <row r="10" spans="1:8" x14ac:dyDescent="0.25">
      <c r="C10" s="6"/>
    </row>
    <row r="11" spans="1:8" x14ac:dyDescent="0.25">
      <c r="C11" s="6"/>
    </row>
    <row r="12" spans="1:8" x14ac:dyDescent="0.25">
      <c r="C12" s="6"/>
    </row>
    <row r="13" spans="1:8" x14ac:dyDescent="0.25">
      <c r="C13" s="6"/>
    </row>
    <row r="14" spans="1:8" x14ac:dyDescent="0.25">
      <c r="C14" s="6"/>
    </row>
    <row r="15" spans="1:8" x14ac:dyDescent="0.25">
      <c r="C15" s="6"/>
    </row>
    <row r="16" spans="1:8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  <row r="24" spans="3:3" x14ac:dyDescent="0.25">
      <c r="C24" s="6"/>
    </row>
    <row r="25" spans="3:3" x14ac:dyDescent="0.25">
      <c r="C25" s="6"/>
    </row>
    <row r="26" spans="3:3" x14ac:dyDescent="0.25">
      <c r="C26" s="6"/>
    </row>
    <row r="27" spans="3:3" x14ac:dyDescent="0.25">
      <c r="C27" s="6"/>
    </row>
    <row r="28" spans="3:3" x14ac:dyDescent="0.25">
      <c r="C28" s="6"/>
    </row>
    <row r="29" spans="3:3" x14ac:dyDescent="0.25">
      <c r="C29" s="6"/>
    </row>
    <row r="30" spans="3:3" x14ac:dyDescent="0.25">
      <c r="C30" s="6"/>
    </row>
    <row r="31" spans="3:3" x14ac:dyDescent="0.25">
      <c r="C31" s="6"/>
    </row>
    <row r="32" spans="3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</sheetData>
  <hyperlinks>
    <hyperlink ref="A1" location="Home!A1" tooltip="Click to navigate to the Home sheet." display="ç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B5D92A31364E4EB82BB0A43C17A7C9" ma:contentTypeVersion="0" ma:contentTypeDescription="Create a new document." ma:contentTypeScope="" ma:versionID="802809ef1e66a142c2a2780d2c3e68b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B8B332B-B0AC-47C5-BCB8-074A3C2716B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7A87D1F-041A-4E03-9555-23EEB3F80F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38EA9B-D33A-4B47-84CC-343E12032F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Go! Internal</vt:lpstr>
      <vt:lpstr>Lookup Data</vt:lpstr>
      <vt:lpstr>Calculations</vt:lpstr>
      <vt:lpstr>ProjectionTrend</vt:lpstr>
      <vt:lpstr>Home</vt:lpstr>
      <vt:lpstr>Income Statement</vt:lpstr>
      <vt:lpstr>Balance Sheet</vt:lpstr>
      <vt:lpstr>Missing Accounts</vt:lpstr>
      <vt:lpstr>AutoRefresh</vt:lpstr>
      <vt:lpstr>AutoRefresh1</vt:lpstr>
      <vt:lpstr>AutoRefresh2</vt:lpstr>
      <vt:lpstr>AutoRefresh3</vt:lpstr>
      <vt:lpstr>AutoRefresh4</vt:lpstr>
      <vt:lpstr>AutoRefresh5</vt:lpstr>
      <vt:lpstr>B</vt:lpstr>
      <vt:lpstr>Companies</vt:lpstr>
      <vt:lpstr>CompaniesBudgets</vt:lpstr>
      <vt:lpstr>Decimal</vt:lpstr>
      <vt:lpstr>Delimiter</vt:lpstr>
      <vt:lpstr>FiscalYears</vt:lpstr>
      <vt:lpstr>MissingAccounts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Brennan, Michael</dc:creator>
  <cp:lastModifiedBy>Greaves, Jessica</cp:lastModifiedBy>
  <cp:lastPrinted>2015-01-18T12:37:00Z</cp:lastPrinted>
  <dcterms:created xsi:type="dcterms:W3CDTF">2014-03-14T08:42:55Z</dcterms:created>
  <dcterms:modified xsi:type="dcterms:W3CDTF">2015-04-21T11:57:05Z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0x0101004FB5D92A31364E4EB82BB0A43C17A7C9</vt:lpwstr>
  </property>
</Properties>
</file>