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xl/charts/chart21.xml" ContentType="application/vnd.openxmlformats-officedocument.drawingml.chart+xml"/>
  <Override PartName="/xl/theme/themeOverride19.xml" ContentType="application/vnd.openxmlformats-officedocument.themeOverride+xml"/>
  <Override PartName="/xl/charts/chart22.xml" ContentType="application/vnd.openxmlformats-officedocument.drawingml.chart+xml"/>
  <Override PartName="/xl/theme/themeOverride20.xml" ContentType="application/vnd.openxmlformats-officedocument.themeOverride+xml"/>
  <Override PartName="/xl/charts/chart23.xml" ContentType="application/vnd.openxmlformats-officedocument.drawingml.chart+xml"/>
  <Override PartName="/xl/theme/themeOverride21.xml" ContentType="application/vnd.openxmlformats-officedocument.themeOverride+xml"/>
  <Override PartName="/xl/charts/chart24.xml" ContentType="application/vnd.openxmlformats-officedocument.drawingml.chart+xml"/>
  <Override PartName="/xl/theme/themeOverride22.xml" ContentType="application/vnd.openxmlformats-officedocument.themeOverride+xml"/>
  <Override PartName="/xl/charts/chart25.xml" ContentType="application/vnd.openxmlformats-officedocument.drawingml.chart+xml"/>
  <Override PartName="/xl/theme/themeOverride23.xml" ContentType="application/vnd.openxmlformats-officedocument.themeOverride+xml"/>
  <Override PartName="/xl/charts/chart26.xml" ContentType="application/vnd.openxmlformats-officedocument.drawingml.chart+xml"/>
  <Override PartName="/xl/theme/themeOverride24.xml" ContentType="application/vnd.openxmlformats-officedocument.themeOverride+xml"/>
  <Override PartName="/xl/charts/chart27.xml" ContentType="application/vnd.openxmlformats-officedocument.drawingml.chart+xml"/>
  <Override PartName="/xl/theme/themeOverride25.xml" ContentType="application/vnd.openxmlformats-officedocument.themeOverride+xml"/>
  <Override PartName="/xl/charts/chart28.xml" ContentType="application/vnd.openxmlformats-officedocument.drawingml.chart+xml"/>
  <Override PartName="/xl/theme/themeOverride26.xml" ContentType="application/vnd.openxmlformats-officedocument.themeOverride+xml"/>
  <Override PartName="/xl/charts/chart29.xml" ContentType="application/vnd.openxmlformats-officedocument.drawingml.chart+xml"/>
  <Override PartName="/xl/theme/themeOverride27.xml" ContentType="application/vnd.openxmlformats-officedocument.themeOverrid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theme/themeOverride28.xml" ContentType="application/vnd.openxmlformats-officedocument.themeOverride+xml"/>
  <Override PartName="/xl/charts/chart31.xml" ContentType="application/vnd.openxmlformats-officedocument.drawingml.chart+xml"/>
  <Override PartName="/xl/theme/themeOverride29.xml" ContentType="application/vnd.openxmlformats-officedocument.themeOverride+xml"/>
  <Override PartName="/xl/charts/chart32.xml" ContentType="application/vnd.openxmlformats-officedocument.drawingml.chart+xml"/>
  <Override PartName="/xl/theme/themeOverride30.xml" ContentType="application/vnd.openxmlformats-officedocument.themeOverride+xml"/>
  <Override PartName="/xl/charts/chart33.xml" ContentType="application/vnd.openxmlformats-officedocument.drawingml.chart+xml"/>
  <Override PartName="/xl/theme/themeOverride31.xml" ContentType="application/vnd.openxmlformats-officedocument.themeOverride+xml"/>
  <Override PartName="/xl/charts/chart34.xml" ContentType="application/vnd.openxmlformats-officedocument.drawingml.chart+xml"/>
  <Override PartName="/xl/theme/themeOverride32.xml" ContentType="application/vnd.openxmlformats-officedocument.themeOverride+xml"/>
  <Override PartName="/xl/charts/chart35.xml" ContentType="application/vnd.openxmlformats-officedocument.drawingml.chart+xml"/>
  <Override PartName="/xl/theme/themeOverride33.xml" ContentType="application/vnd.openxmlformats-officedocument.themeOverrid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theme/themeOverride34.xml" ContentType="application/vnd.openxmlformats-officedocument.themeOverride+xml"/>
  <Override PartName="/xl/charts/chart37.xml" ContentType="application/vnd.openxmlformats-officedocument.drawingml.chart+xml"/>
  <Override PartName="/xl/theme/themeOverride35.xml" ContentType="application/vnd.openxmlformats-officedocument.themeOverride+xml"/>
  <Override PartName="/xl/charts/chart38.xml" ContentType="application/vnd.openxmlformats-officedocument.drawingml.chart+xml"/>
  <Override PartName="/xl/theme/themeOverride36.xml" ContentType="application/vnd.openxmlformats-officedocument.themeOverride+xml"/>
  <Override PartName="/xl/charts/chart39.xml" ContentType="application/vnd.openxmlformats-officedocument.drawingml.chart+xml"/>
  <Override PartName="/xl/theme/themeOverride37.xml" ContentType="application/vnd.openxmlformats-officedocument.themeOverride+xml"/>
  <Override PartName="/xl/charts/chart40.xml" ContentType="application/vnd.openxmlformats-officedocument.drawingml.chart+xml"/>
  <Override PartName="/xl/theme/themeOverride38.xml" ContentType="application/vnd.openxmlformats-officedocument.themeOverride+xml"/>
  <Override PartName="/xl/charts/chart41.xml" ContentType="application/vnd.openxmlformats-officedocument.drawingml.chart+xml"/>
  <Override PartName="/xl/theme/themeOverride39.xml" ContentType="application/vnd.openxmlformats-officedocument.themeOverride+xml"/>
  <Override PartName="/xl/charts/chart42.xml" ContentType="application/vnd.openxmlformats-officedocument.drawingml.chart+xml"/>
  <Override PartName="/xl/theme/themeOverride40.xml" ContentType="application/vnd.openxmlformats-officedocument.themeOverride+xml"/>
  <Override PartName="/xl/charts/chart43.xml" ContentType="application/vnd.openxmlformats-officedocument.drawingml.chart+xml"/>
  <Override PartName="/xl/theme/themeOverride41.xml" ContentType="application/vnd.openxmlformats-officedocument.themeOverride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theme/themeOverride42.xml" ContentType="application/vnd.openxmlformats-officedocument.themeOverride+xml"/>
  <Override PartName="/xl/charts/chart45.xml" ContentType="application/vnd.openxmlformats-officedocument.drawingml.chart+xml"/>
  <Override PartName="/xl/theme/themeOverride43.xml" ContentType="application/vnd.openxmlformats-officedocument.themeOverride+xml"/>
  <Override PartName="/xl/charts/chart46.xml" ContentType="application/vnd.openxmlformats-officedocument.drawingml.chart+xml"/>
  <Override PartName="/xl/theme/themeOverride44.xml" ContentType="application/vnd.openxmlformats-officedocument.themeOverride+xml"/>
  <Override PartName="/xl/charts/chart47.xml" ContentType="application/vnd.openxmlformats-officedocument.drawingml.chart+xml"/>
  <Override PartName="/xl/theme/themeOverride45.xml" ContentType="application/vnd.openxmlformats-officedocument.themeOverride+xml"/>
  <Override PartName="/xl/drawings/drawing8.xml" ContentType="application/vnd.openxmlformats-officedocument.drawing+xml"/>
  <Override PartName="/xl/charts/chart48.xml" ContentType="application/vnd.openxmlformats-officedocument.drawingml.chart+xml"/>
  <Override PartName="/xl/theme/themeOverride46.xml" ContentType="application/vnd.openxmlformats-officedocument.themeOverride+xml"/>
  <Override PartName="/xl/charts/chart49.xml" ContentType="application/vnd.openxmlformats-officedocument.drawingml.chart+xml"/>
  <Override PartName="/xl/theme/themeOverride47.xml" ContentType="application/vnd.openxmlformats-officedocument.themeOverride+xml"/>
  <Override PartName="/xl/charts/chart50.xml" ContentType="application/vnd.openxmlformats-officedocument.drawingml.chart+xml"/>
  <Override PartName="/xl/theme/themeOverride48.xml" ContentType="application/vnd.openxmlformats-officedocument.themeOverride+xml"/>
  <Override PartName="/xl/charts/chart51.xml" ContentType="application/vnd.openxmlformats-officedocument.drawingml.chart+xml"/>
  <Override PartName="/xl/theme/themeOverride49.xml" ContentType="application/vnd.openxmlformats-officedocument.themeOverride+xml"/>
  <Override PartName="/xl/charts/chart52.xml" ContentType="application/vnd.openxmlformats-officedocument.drawingml.chart+xml"/>
  <Override PartName="/xl/theme/themeOverride50.xml" ContentType="application/vnd.openxmlformats-officedocument.themeOverride+xml"/>
  <Override PartName="/xl/drawings/drawing9.xml" ContentType="application/vnd.openxmlformats-officedocument.drawing+xml"/>
  <Override PartName="/xl/charts/chart53.xml" ContentType="application/vnd.openxmlformats-officedocument.drawingml.chart+xml"/>
  <Override PartName="/xl/theme/themeOverride51.xml" ContentType="application/vnd.openxmlformats-officedocument.themeOverride+xml"/>
  <Override PartName="/xl/charts/chart54.xml" ContentType="application/vnd.openxmlformats-officedocument.drawingml.chart+xml"/>
  <Override PartName="/xl/theme/themeOverride52.xml" ContentType="application/vnd.openxmlformats-officedocument.themeOverride+xml"/>
  <Override PartName="/xl/charts/chart55.xml" ContentType="application/vnd.openxmlformats-officedocument.drawingml.chart+xml"/>
  <Override PartName="/xl/theme/themeOverride53.xml" ContentType="application/vnd.openxmlformats-officedocument.themeOverride+xml"/>
  <Override PartName="/xl/charts/chart56.xml" ContentType="application/vnd.openxmlformats-officedocument.drawingml.chart+xml"/>
  <Override PartName="/xl/theme/themeOverride5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ssica.greaves\Desktop\Integration\Columbus NA\Final Templates\"/>
    </mc:Choice>
  </mc:AlternateContent>
  <bookViews>
    <workbookView xWindow="0" yWindow="0" windowWidth="28800" windowHeight="12435" tabRatio="763" firstSheet="5" activeTab="5"/>
  </bookViews>
  <sheets>
    <sheet name="Go! Internal" sheetId="1" state="hidden" r:id="rId1"/>
    <sheet name="Calculations" sheetId="46" state="hidden" r:id="rId2"/>
    <sheet name="RatioOptions" sheetId="39" state="hidden" r:id="rId3"/>
    <sheet name="Names" sheetId="48" state="hidden" r:id="rId4"/>
    <sheet name="Lookup Data" sheetId="2" state="hidden" r:id="rId5"/>
    <sheet name="Home" sheetId="55" r:id="rId6"/>
    <sheet name="Dashboard" sheetId="49" r:id="rId7"/>
    <sheet name="Ratio Charts" sheetId="45" state="hidden" r:id="rId8"/>
    <sheet name="Financial Ratio Report" sheetId="44" r:id="rId9"/>
    <sheet name="Ratio Trend" sheetId="41" r:id="rId10"/>
    <sheet name="Financial Data" sheetId="42" r:id="rId11"/>
    <sheet name="Ratio Benchmarking" sheetId="40" r:id="rId12"/>
    <sheet name="Financial Report Settings" sheetId="43" r:id="rId13"/>
    <sheet name="Charts" sheetId="47" state="hidden" r:id="rId14"/>
    <sheet name="Profitability" sheetId="50" state="hidden" r:id="rId15"/>
    <sheet name="Asset Utilization" sheetId="51" state="hidden" r:id="rId16"/>
    <sheet name="Liquidity" sheetId="52" state="hidden" r:id="rId17"/>
    <sheet name="Debt Utilization" sheetId="53" state="hidden" r:id="rId18"/>
    <sheet name="Growth" sheetId="54" state="hidden" r:id="rId19"/>
    <sheet name="Missing Accounts" sheetId="13" r:id="rId20"/>
  </sheets>
  <externalReferences>
    <externalReference r:id="rId21"/>
    <externalReference r:id="rId22"/>
  </externalReferences>
  <definedNames>
    <definedName name="ALCHEMEX_DRILL_SET">"GL_001"</definedName>
    <definedName name="AutoRefresh">'Lookup Data'!$D$2:$D$32</definedName>
    <definedName name="AutoRefresh1">'Financial Data'!$D$4:$D$6</definedName>
    <definedName name="AutoRefresh2">'Financial Data'!$E$10:$I$43</definedName>
    <definedName name="AveCollPer" localSheetId="15">'Asset Utilization'!$H$4:$N$14</definedName>
    <definedName name="AveCollPer">Charts!$G$30:$M$40</definedName>
    <definedName name="B">'Go! Internal'!$A$2</definedName>
    <definedName name="CellContents">_xlfn.FORMULATEXT(INDIRECT(ADDRESS(ROW(), COLUMN())))</definedName>
    <definedName name="chtAccPayPer" localSheetId="15">'Asset Utilization'!$N$16:$T$26</definedName>
    <definedName name="chtAccPayPer" localSheetId="3">Charts!$M$42:$S$52</definedName>
    <definedName name="chtAccPayPer">Charts!$M$42:$S$52</definedName>
    <definedName name="chtAccPayTO" localSheetId="15">'Asset Utilization'!$H$16:$N$26</definedName>
    <definedName name="chtAccPayTO" localSheetId="3">Charts!$G$42:$M$52</definedName>
    <definedName name="chtAccPayTO">Charts!$G$42:$M$52</definedName>
    <definedName name="chtAssetGrow" localSheetId="18">Growth!$N$4:$T$14</definedName>
    <definedName name="chtAssetGrow" localSheetId="3">Charts!$M$120:$S$130</definedName>
    <definedName name="chtAssetGrow">Charts!$M$120:$S$130</definedName>
    <definedName name="chtAveCollPer" localSheetId="15">'Asset Utilization'!$H$4:$N$14</definedName>
    <definedName name="chtAveCollPer" localSheetId="3">Charts!$G$30:$M$40</definedName>
    <definedName name="chtAveCollPer">Charts!$G$30:$M$40</definedName>
    <definedName name="chtCapAssetTO" localSheetId="15">'Asset Utilization'!$B$28:$H$38</definedName>
    <definedName name="chtCapAssetTO" localSheetId="3">Charts!$A$54:$G$64</definedName>
    <definedName name="chtCapAssetTO">Charts!$A$54:$G$64</definedName>
    <definedName name="chtDebtEquity" localSheetId="17">'Debt Utilization'!$B$16:$H$26</definedName>
    <definedName name="chtDebtEquity" localSheetId="3">Charts!$A$106:$G$116</definedName>
    <definedName name="chtDebtEquity">Charts!$A$106:$G$116</definedName>
    <definedName name="chtDebtTotAsset" localSheetId="17">'Debt Utilization'!$B$4:$H$14</definedName>
    <definedName name="chtDebtTotAsset" localSheetId="3">Charts!$A$94:$G$104</definedName>
    <definedName name="chtDebtTotAsset">Charts!$A$94:$G$104</definedName>
    <definedName name="chtDivCover" localSheetId="3">Charts!$A$16:$G$26</definedName>
    <definedName name="chtDivCover" localSheetId="14">Profitability!$B$16:$H$26</definedName>
    <definedName name="chtDivCover">Charts!$A$16:$G$26</definedName>
    <definedName name="chtEquityAsset" localSheetId="17">'Debt Utilization'!$H$16:$N$26</definedName>
    <definedName name="chtEquityAsset" localSheetId="3">Charts!$G$106:$M$116</definedName>
    <definedName name="chtEquityAsset">Charts!$G$106:$M$116</definedName>
    <definedName name="chtFixChgCov" localSheetId="17">'Debt Utilization'!$N$4:$T$14</definedName>
    <definedName name="chtFixChgCov" localSheetId="3">Charts!$M$94:$S$104</definedName>
    <definedName name="chtFixChgCov">Charts!$M$94:$S$104</definedName>
    <definedName name="chtGrossMargin" localSheetId="3">Charts!$G$16:$M$26</definedName>
    <definedName name="chtGrossMargin" localSheetId="14">Profitability!$H$16:$N$26</definedName>
    <definedName name="chtGrossMargin">Charts!$G$16:$M$26</definedName>
    <definedName name="chtInvHoldPer" localSheetId="15">'Asset Utilization'!$B$16:$H$26</definedName>
    <definedName name="chtInvHoldPer" localSheetId="3">Charts!$A$42:$G$52</definedName>
    <definedName name="chtInvHoldPer">Charts!$A$42:$G$52</definedName>
    <definedName name="chtInvTO" localSheetId="15">'Asset Utilization'!$N$4:$T$14</definedName>
    <definedName name="chtInvTO" localSheetId="3">Charts!$M$30:$S$40</definedName>
    <definedName name="chtInvTO">Charts!$M$30:$S$40</definedName>
    <definedName name="chtLiabGrow" localSheetId="18">Growth!$B$16:$H$26</definedName>
    <definedName name="chtLiabGrow" localSheetId="3">Charts!$A$132:$G$142</definedName>
    <definedName name="chtLiabGrow">Charts!$A$132:$G$142</definedName>
    <definedName name="chtNetIncGrow" localSheetId="18">Growth!$H$4:$N$14</definedName>
    <definedName name="chtNetIncGrow" localSheetId="3">Charts!$G$120:$M$130</definedName>
    <definedName name="chtNetIncGrow">Charts!$G$120:$M$130</definedName>
    <definedName name="chtProfitMargin" localSheetId="3">Charts!$A$4:$G$14</definedName>
    <definedName name="chtProfitMargin" localSheetId="14">Profitability!$B$4:$H$14</definedName>
    <definedName name="chtProfitMargin">Charts!$A$4:$G$14</definedName>
    <definedName name="chtQuickRatio" localSheetId="16">Liquidity!$B$16:$H$26</definedName>
    <definedName name="chtQuickRatio" localSheetId="3">Charts!$A$80:$G$90</definedName>
    <definedName name="chtQuickRatio">Charts!$A$80:$G$90</definedName>
    <definedName name="chtRecTO" localSheetId="15">'Asset Utilization'!$B$4:$H$14</definedName>
    <definedName name="chtRecTO" localSheetId="3">Charts!$A$30:$G$40</definedName>
    <definedName name="chtRecTO">Charts!$A$30:$G$40</definedName>
    <definedName name="chtRevGrow" localSheetId="18">Growth!$B$4:$H$14</definedName>
    <definedName name="chtRevGrow" localSheetId="3">Charts!$A$120:$G$130</definedName>
    <definedName name="chtRevGrow">Charts!$A$120:$G$130</definedName>
    <definedName name="chtROA" localSheetId="3">Charts!$G$4:$M$14</definedName>
    <definedName name="chtROA" localSheetId="14">Profitability!$H$4:$N$14</definedName>
    <definedName name="chtROA">Charts!$G$4:$M$14</definedName>
    <definedName name="chtROCE" localSheetId="3">Charts!$M$16:$S$26</definedName>
    <definedName name="chtROCE" localSheetId="14">Profitability!$N$16:$T$26</definedName>
    <definedName name="chtROCE">Charts!$M$16:$S$26</definedName>
    <definedName name="chtROE" localSheetId="3">Charts!$M$3:$S$14</definedName>
    <definedName name="chtROE" localSheetId="14">Profitability!$N$3:$T$14</definedName>
    <definedName name="chtROE">Charts!$M$3:$S$14</definedName>
    <definedName name="chtTimesIntEarn" localSheetId="17">'Debt Utilization'!$H$4:$N$14</definedName>
    <definedName name="chtTimesIntEarn" localSheetId="3">Charts!$G$94:$M$104</definedName>
    <definedName name="chtTimesIntEarn">Charts!$G$94:$M$104</definedName>
    <definedName name="chtTotAssetTO" localSheetId="15">'Asset Utilization'!$H$28:$N$38</definedName>
    <definedName name="chtTotAssetTO" localSheetId="3">Charts!$G$54:$M$64</definedName>
    <definedName name="chtTotAssetTO">Charts!$G$54:$M$64</definedName>
    <definedName name="chtWorkCap" localSheetId="16">Liquidity!$B$4:$H$14</definedName>
    <definedName name="chtWorkCap" localSheetId="3">Charts!$A$68:$G$78</definedName>
    <definedName name="chtWorkCap">Charts!$A$68:$G$78</definedName>
    <definedName name="chtWorkCapRatio" localSheetId="16">Liquidity!$H$4:$N$14</definedName>
    <definedName name="chtWorkCapRatio" localSheetId="3">Charts!$G$68:$M$78</definedName>
    <definedName name="chtWorkCapRatio">Charts!$G$68:$M$78</definedName>
    <definedName name="chtWorkCapTO" localSheetId="16">Liquidity!$N$4:$T$14</definedName>
    <definedName name="chtWorkCapTO" localSheetId="3">Charts!$M$68:$S$78</definedName>
    <definedName name="chtWorkCapTO">Charts!$M$68:$S$78</definedName>
    <definedName name="Companies">'Lookup Data'!$A$2:$A$39</definedName>
    <definedName name="CompaniesBudgets">'Lookup Data'!$E$2:$G$39</definedName>
    <definedName name="CompaniesTemplate">'Lookup Data'!$A$2:INDEX('Lookup Data'!$A$2:$A$40,COUNTA('Lookup Data'!$A$2:$A$40))</definedName>
    <definedName name="d">'[1]Go! Internal'!$A$2</definedName>
    <definedName name="Decimal">'Go! Internal'!$A$6</definedName>
    <definedName name="Delimiter">'Go! Internal'!$A$4</definedName>
    <definedName name="ENG_BI_CORE_LOCATION">"C:\Program Files (x86)\Sage\Sage 300 ERP\BX62A\"</definedName>
    <definedName name="ENG_BI_EXE_FULL_PATH">"C:\Program Files (x86)\Sage\Sage 300 ERP\BX62A\BICORE.EXE"</definedName>
    <definedName name="ENG_BI_EXE_NAME" hidden="1">"BICORE.EXE"</definedName>
    <definedName name="ENG_BI_EXEC_CMD_ARGS" hidden="1">"03304607806507208207308704104507303704607512708407308306508709109606708806907006608306908207308707612512707306708509308007306605313413009611212310611910211610507306609207808209007408306211905105205310511805612612310411311511011810112110107707506706908"</definedName>
    <definedName name="ENG_BI_EXEC_CMD_ARGS_2" localSheetId="15" hidden="1">"90660770830710651200971181121110991341240961171141091230971251100680700900840700860611191021251321021131141141190981211010720710800740920830910840830690650830710870650860650580530680500520580590530560570680580570630550500490630490580640500610610600490"</definedName>
    <definedName name="ENG_BI_EXEC_CMD_ARGS_2" localSheetId="1" hidden="1">"90660770830710651200971181121110991341240961171141091230971251100680700900840700860611191021251321021131141141190981211010720710800740920830910840830690650830710870650860650580530680500520580590530560570680580570630550500490630490580640500610610600490"</definedName>
    <definedName name="ENG_BI_EXEC_CMD_ARGS_2" localSheetId="13" hidden="1">"90660770830710651200971181121110991341240961171141091230971251100680700900840700860611191021251321021131141141190981211010720710800740920830910840830690650830710870650860650580530680500520580590530560570680580570630550500490630490580640500610610600490"</definedName>
    <definedName name="ENG_BI_EXEC_CMD_ARGS_2" localSheetId="17" hidden="1">"90660770830710651200971181121110991341240961171141091230971251100680700900840700860611191021251321021131141141190981211010720710800740920830910840830690650830710870650860650580530680500520580590530560570680580570630550500490630490580640500610610600490"</definedName>
    <definedName name="ENG_BI_EXEC_CMD_ARGS_2" localSheetId="10" hidden="1">"90660770830710651200971181121110991341240961171141091230971251100680700900840700860611191021251321021131141141190981211010720710800740920830910840830690650830710870650860650580530680500520580590530560570680580570630550500490630490580640500610610600490"</definedName>
    <definedName name="ENG_BI_EXEC_CMD_ARGS_2" localSheetId="8" hidden="1">"90660770830710651200971181121110991341240961171141091230971251100680700900840700860611191021251321021131141141190981211010720710800740920830910840830690650830710870650860650580530680500520580590530560570680580570630550500490630490580640500610610600490"</definedName>
    <definedName name="ENG_BI_EXEC_CMD_ARGS_2" localSheetId="12" hidden="1">"90660770830710651200971181121110991341240961171141091230971251100680700900840700860611191021251321021131141141190981211010720710800740920830910840830690650830710870650860650580530680500520580590530560570680580570630550500490630490580640500610610600490"</definedName>
    <definedName name="ENG_BI_EXEC_CMD_ARGS_2" localSheetId="18" hidden="1">"90660770830710651200971181121110991341240961171141091230971251100680700900840700860611191021251321021131141141190981211010720710800740920830910840830690650830710870650860650580530680500520580590530560570680580570630550500490630490580640500610610600490"</definedName>
    <definedName name="ENG_BI_EXEC_CMD_ARGS_2" localSheetId="16" hidden="1">"90660770830710651200971181121110991341240961171141091230971251100680700900840700860611191021251321021131141141190981211010720710800740920830910840830690650830710870650860650580530680500520580590530560570680580570630550500490630490580640500610610600490"</definedName>
    <definedName name="ENG_BI_EXEC_CMD_ARGS_2" localSheetId="3" hidden="1">"90660770830710651200971181121110991341240961171141091230971251100680700900840700860611191021251321021131141141190981211010720710800740920830910840830690650830710870650860650580530680500520580590530560570680580570630550500490630490580640500610610600490"</definedName>
    <definedName name="ENG_BI_EXEC_CMD_ARGS_2" localSheetId="14" hidden="1">"90660770830710651200971181121110991341240961171141091230971251100680700900840700860611191021251321021131141141190981211010720710800740920830910840830690650830710870650860650580530680500520580590530560570680580570630550500490630490580640500610610600490"</definedName>
    <definedName name="ENG_BI_EXEC_CMD_ARGS_2" localSheetId="11" hidden="1">"90660770830710651200971181121110991341240961171141091230971251100680700900840700860611191021251321021131141141190981211010720710800740920830910840830690650830710870650860650580530680500520580590530560570680580570630550500490630490580640500610610600490"</definedName>
    <definedName name="ENG_BI_EXEC_CMD_ARGS_2" localSheetId="7" hidden="1">"90660770830710651200971181121110991341240961171141091230971251100680700900840700860611191021251321021131141141190981211010720710800740920830910840830690650830710870650860650580530680500520580590530560570680580570630550500490630490580640500610610600490"</definedName>
    <definedName name="ENG_BI_EXEC_CMD_ARGS_2" localSheetId="9" hidden="1">"90660770830710651200971181121110991341240961171141091230971251100680700900840700860611191021251321021131141141190981211010720710800740920830910840830690650830710870650860650580530680500520580590530560570680580570630550500490630490580640500610610600490"</definedName>
    <definedName name="ENG_BI_EXEC_CMD_ARGS_2" localSheetId="2" hidden="1">"90660770830710651200971181121110991341240961171141091230971251100680700900840700860611191021251321021131141141190981211010720710800740920830910840830690650830710870650860650580530680500520580590530560570680580570630550500490630490580640500610610600490"</definedName>
    <definedName name="ENG_BI_EXEC_CMD_ARGS_2" hidden="1">"90660770830710651200971181121110991341240961171141091230971251100680700900840700860611191021251321021131141141190981211010720710800740920830910840830690650830710870650860650510510580600500590510630540520610680510530640510580630500540570590590580490590"</definedName>
    <definedName name="ENG_BI_EXEC_CMD_ARGS_3" localSheetId="15" hidden="1">"59058060058053063059054068058050054064050056058059061061059063058060049066058060056050063054049061068050057056060058056059053055057068057053054068051049053059058062059058066049129128096113121098112110099085072079071076080069074061105115125132104112121"</definedName>
    <definedName name="ENG_BI_EXEC_CMD_ARGS_3" localSheetId="1" hidden="1">"59058060058053063059054068058050054064050056058059061061059063058060049066058060056050063054049061068050057056060058056059053055057068057053054068051049053059058062059058066049129128096113121098112110099085072079071076080069074061105115125132104112121"</definedName>
    <definedName name="ENG_BI_EXEC_CMD_ARGS_3" localSheetId="13" hidden="1">"59058060058053063059054068058050054064050056058059061061059063058060049066058060056050063054049061068050057056060058056059053055057068057053054068051049053059058062059058066049129128096113121098112110099085072079071076080069074061105115125132104112121"</definedName>
    <definedName name="ENG_BI_EXEC_CMD_ARGS_3" localSheetId="17" hidden="1">"59058060058053063059054068058050054064050056058059061061059063058060049066058060056050063054049061068050057056060058056059053055057068057053054068051049053059058062059058066049129128096113121098112110099085072079071076080069074061105115125132104112121"</definedName>
    <definedName name="ENG_BI_EXEC_CMD_ARGS_3" localSheetId="10" hidden="1">"59058060058053063059054068058050054064050056058059061061059063058060049066058060056050063054049061068050057056060058056059053055057068057053054068051049053059058062059058066049129128096113121098112110099085072079071076080069074061105115125132104112121"</definedName>
    <definedName name="ENG_BI_EXEC_CMD_ARGS_3" localSheetId="8" hidden="1">"59058060058053063059054068058050054064050056058059061061059063058060049066058060056050063054049061068050057056060058056059053055057068057053054068051049053059058062059058066049129128096113121098112110099085072079071076080069074061105115125132104112121"</definedName>
    <definedName name="ENG_BI_EXEC_CMD_ARGS_3" localSheetId="12" hidden="1">"59058060058053063059054068058050054064050056058059061061059063058060049066058060056050063054049061068050057056060058056059053055057068057053054068051049053059058062059058066049129128096113121098112110099085072079071076080069074061105115125132104112121"</definedName>
    <definedName name="ENG_BI_EXEC_CMD_ARGS_3" localSheetId="18" hidden="1">"59058060058053063059054068058050054064050056058059061061059063058060049066058060056050063054049061068050057056060058056059053055057068057053054068051049053059058062059058066049129128096113121098112110099085072079071076080069074061105115125132104112121"</definedName>
    <definedName name="ENG_BI_EXEC_CMD_ARGS_3" localSheetId="16" hidden="1">"59058060058053063059054068058050054064050056058059061061059063058060049066058060056050063054049061068050057056060058056059053055057068057053054068051049053059058062059058066049129128096113121098112110099085072079071076080069074061105115125132104112121"</definedName>
    <definedName name="ENG_BI_EXEC_CMD_ARGS_3" localSheetId="3" hidden="1">"59058060058053063059054068058050054064050056058059061061059063058060049066058060056050063054049061068050057056060058056059053055057068057053054068051049053059058062059058066049129128096113121098112110099085072079071076080069074061105115125132104112121"</definedName>
    <definedName name="ENG_BI_EXEC_CMD_ARGS_3" localSheetId="14" hidden="1">"59058060058053063059054068058050054064050056058059061061059063058060049066058060056050063054049061068050057056060058056059053055057068057053054068051049053059058062059058066049129128096113121098112110099085072079071076080069074061105115125132104112121"</definedName>
    <definedName name="ENG_BI_EXEC_CMD_ARGS_3" localSheetId="11" hidden="1">"59058060058053063059054068058050054064050056058059061061059063058060049066058060056050063054049061068050057056060058056059053055057068057053054068051049053059058062059058066049129128096113121098112110099085072079071076080069074061105115125132104112121"</definedName>
    <definedName name="ENG_BI_EXEC_CMD_ARGS_3" localSheetId="7" hidden="1">"59058060058053063059054068058050054064050056058059061061059063058060049066058060056050063054049061068050057056060058056059053055057068057053054068051049053059058062059058066049129128096113121098112110099085072079071076080069074061105115125132104112121"</definedName>
    <definedName name="ENG_BI_EXEC_CMD_ARGS_3" localSheetId="9" hidden="1">"59058060058053063059054068058050054064050056058059061061059063058060049066058060056050063054049061068050057056060058056059053055057068057053054068051049053059058062059058066049129128096113121098112110099085072079071076080069074061105115125132104112121"</definedName>
    <definedName name="ENG_BI_EXEC_CMD_ARGS_3" localSheetId="2" hidden="1">"59058060058053063059054068058050054064050056058059061061059063058060049066058060056050063054049061068050057056060058056059053055057068057053054068051049053059058062059058066049129128096113121098112110099085072079071076080069074061105115125132104112121"</definedName>
    <definedName name="ENG_BI_EXEC_CMD_ARGS_3" hidden="1">"60053060055053054064049060057059053061052060053052054064049066059060054059060058056059054056048068059050052064052050063049061058059059058049059059052060055055055064049061066059054057055126127095116122098117112100076074079072072079072074061110119125127"</definedName>
    <definedName name="ENG_BI_EXEC_CMD_ARGS_4" localSheetId="15" hidden="1">"103109106103065071072080074074069066093090081074061057130123104121117102113106100069067071085065076083080071088079086088069086066065077086073082130124080086068073087069077087066082074078084066049129"</definedName>
    <definedName name="ENG_BI_EXEC_CMD_ARGS_4" localSheetId="1" hidden="1">"103109106103065071072080074074069066093090081074061057130123104121117102113106100069067071085065076083080071088079086088069086066065077086073082130124080086068073087069077087066082074078084066049129"</definedName>
    <definedName name="ENG_BI_EXEC_CMD_ARGS_4" localSheetId="13" hidden="1">"103109106103065071072080074074069066093090081074061057130123104121117102113106100069067071085065076083080071088079086088069086066065077086073082130124080086068073087069077087066082074078084066049129"</definedName>
    <definedName name="ENG_BI_EXEC_CMD_ARGS_4" localSheetId="17" hidden="1">"103109106103065071072080074074069066093090081074061057130123104121117102113106100069067071085065076083080071088079086088069086066065077086073082130124080086068073087069077087066082074078084066049129"</definedName>
    <definedName name="ENG_BI_EXEC_CMD_ARGS_4" localSheetId="10" hidden="1">"103109106103065071072080074074069066093090081074061057130123104121117102113106100069067071085065076083080071088079086088069086066065077086073082130124080086068073087069077087066082074078084066049129"</definedName>
    <definedName name="ENG_BI_EXEC_CMD_ARGS_4" localSheetId="8" hidden="1">"103109106103065071072080074074069066093090081074061057130123104121117102113106100069067071085065076083080071088079086088069086066065077086073082130124080086068073087069077087066082074078084066049129"</definedName>
    <definedName name="ENG_BI_EXEC_CMD_ARGS_4" localSheetId="12" hidden="1">"103109106103065071072080074074069066093090081074061057130123104121117102113106100069067071085065076083080071088079086088069086066065077086073082130124080086068073087069077087066082074078084066049129"</definedName>
    <definedName name="ENG_BI_EXEC_CMD_ARGS_4" localSheetId="18" hidden="1">"103109106103065071072080074074069066093090081074061057130123104121117102113106100069067071085065076083080071088079086088069086066065077086073082130124080086068073087069077087066082074078084066049129"</definedName>
    <definedName name="ENG_BI_EXEC_CMD_ARGS_4" localSheetId="16" hidden="1">"103109106103065071072080074074069066093090081074061057130123104121117102113106100069067071085065076083080071088079086088069086066065077086073082130124080086068073087069077087066082074078084066049129"</definedName>
    <definedName name="ENG_BI_EXEC_CMD_ARGS_4" localSheetId="3" hidden="1">"103109106103065071072080074074069066093090081074061057130123104121117102113106100069067071085065076083080071088079086088069086066065077086073082130124080086068073087069077087066082074078084066049129"</definedName>
    <definedName name="ENG_BI_EXEC_CMD_ARGS_4" localSheetId="14" hidden="1">"103109106103065071072080074074069066093090081074061057130123104121117102113106100069067071085065076083080071088079086088069086066065077086073082130124080086068073087069077087066082074078084066049129"</definedName>
    <definedName name="ENG_BI_EXEC_CMD_ARGS_4" localSheetId="11" hidden="1">"103109106103065071072080074074069066093090081074061057130123104121117102113106100069067071085065076083080071088079086088069086066065077086073082130124080086068073087069077087066082074078084066049129"</definedName>
    <definedName name="ENG_BI_EXEC_CMD_ARGS_4" localSheetId="7" hidden="1">"103109106103065071072080074074069066093090081074061057130123104121117102113106100069067071085065076083080071088079086088069086066065077086073082130124080086068073087069077087066082074078084066049129"</definedName>
    <definedName name="ENG_BI_EXEC_CMD_ARGS_4" localSheetId="9" hidden="1">"103109106103065071072080074074069066093090081074061057130123104121117102113106100069067071085065076083080071088079086088069086066065077086073082130124080086068073087069077087066082074078084066049129"</definedName>
    <definedName name="ENG_BI_EXEC_CMD_ARGS_4" localSheetId="2" hidden="1">"103109106103065071072080074074069066093090081074061057130123104121117102113106100069067071085065076083080071088079086088069086066065077086073082130124080086068073087069077087066082074078084066049129"</definedName>
    <definedName name="ENG_BI_EXEC_CMD_ARGS_4" hidden="1">"100113118102108109104065076074081065076069067089089084074061062134123099117118099112105103070067076087066067085080072084078089088069091070065072082074079129123083087068078089070068089066083070077087066049134"</definedName>
    <definedName name="ENG_BI_GEN_LIC" hidden="1">"0"</definedName>
    <definedName name="ENG_BI_GEN_LIC_WS" hidden="1">"True"</definedName>
    <definedName name="ENG_BI_LANG_CODE" hidden="1">"en"</definedName>
    <definedName name="ENG_BI_LBI" localSheetId="15" hidden="1">"9NHBKRFF6W"</definedName>
    <definedName name="ENG_BI_LBI" localSheetId="1" hidden="1">"9NHBKRFF6W"</definedName>
    <definedName name="ENG_BI_LBI" localSheetId="13" hidden="1">"9NHBKRFF6W"</definedName>
    <definedName name="ENG_BI_LBI" localSheetId="17" hidden="1">"9NHBKRFF6W"</definedName>
    <definedName name="ENG_BI_LBI" localSheetId="10" hidden="1">"9NHBKRFF6W"</definedName>
    <definedName name="ENG_BI_LBI" localSheetId="8" hidden="1">"9NHBKRFF6W"</definedName>
    <definedName name="ENG_BI_LBI" localSheetId="12" hidden="1">"9NHBKRFF6W"</definedName>
    <definedName name="ENG_BI_LBI" localSheetId="18" hidden="1">"9NHBKRFF6W"</definedName>
    <definedName name="ENG_BI_LBI" localSheetId="16" hidden="1">"9NHBKRFF6W"</definedName>
    <definedName name="ENG_BI_LBI" localSheetId="3" hidden="1">"9NHBKRFF6W"</definedName>
    <definedName name="ENG_BI_LBI" localSheetId="14" hidden="1">"9NHBKRFF6W"</definedName>
    <definedName name="ENG_BI_LBI" localSheetId="11" hidden="1">"9NHBKRFF6W"</definedName>
    <definedName name="ENG_BI_LBI" localSheetId="7" hidden="1">"9NHBKRFF6W"</definedName>
    <definedName name="ENG_BI_LBI" localSheetId="9" hidden="1">"9NHBKRFF6W"</definedName>
    <definedName name="ENG_BI_LBI" localSheetId="2" hidden="1">"9NHBKRFF6W"</definedName>
    <definedName name="ENG_BI_LBI" hidden="1">"O2VPZ6UULC"</definedName>
    <definedName name="ENG_BI_PROFILE_PATH" localSheetId="15" hidden="1">"C:\ProgramData\Alchemex\AlchemexSmartReporting\MetaData\Financial Ratio S300SQL 1-0-0\BICORE_profiler_20130606_122100.csv"</definedName>
    <definedName name="ENG_BI_PROFILE_PATH" localSheetId="1" hidden="1">"C:\ProgramData\Alchemex\AlchemexSmartReporting\MetaData\ReportDesignerAdd-In S300SQL DEMO (C50-0-1)\BICORE_profiler_20130521_122309.csv"</definedName>
    <definedName name="ENG_BI_PROFILE_PATH" localSheetId="13" hidden="1">"C:\ProgramData\Alchemex\AlchemexSmartReporting\MetaData\Financial Ratio S300SQL 1-0-0\BICORE_profiler_20130606_122100.csv"</definedName>
    <definedName name="ENG_BI_PROFILE_PATH" localSheetId="17" hidden="1">"C:\ProgramData\Alchemex\AlchemexSmartReporting\MetaData\Financial Ratio S300SQL 1-0-0\BICORE_profiler_20130606_122100.csv"</definedName>
    <definedName name="ENG_BI_PROFILE_PATH" localSheetId="10" hidden="1">"C:\ProgramData\Alchemex\AlchemexSmartReporting\MetaData\ReportDesignerAdd-In S300SQL DEMO (C50-0-1)\BICORE_profiler_20130521_122309.csv"</definedName>
    <definedName name="ENG_BI_PROFILE_PATH" localSheetId="8" hidden="1">"C:\ProgramData\Alchemex\AlchemexSmartReporting\MetaData\ReportDesignerAdd-In S300SQL DEMO (C50-0-1)\BICORE_profiler_20130521_122309.csv"</definedName>
    <definedName name="ENG_BI_PROFILE_PATH" localSheetId="12" hidden="1">"C:\ProgramData\Alchemex\AlchemexSmartReporting\MetaData\Financial Ratio S300SQL 1-0-0\BICORE_profiler_20130606_122100.csv"</definedName>
    <definedName name="ENG_BI_PROFILE_PATH" localSheetId="18" hidden="1">"C:\ProgramData\Alchemex\AlchemexSmartReporting\MetaData\Financial Ratio S300SQL 1-0-0\BICORE_profiler_20130606_122100.csv"</definedName>
    <definedName name="ENG_BI_PROFILE_PATH" localSheetId="16" hidden="1">"C:\ProgramData\Alchemex\AlchemexSmartReporting\MetaData\Financial Ratio S300SQL 1-0-0\BICORE_profiler_20130606_122100.csv"</definedName>
    <definedName name="ENG_BI_PROFILE_PATH" localSheetId="3" hidden="1">"C:\ProgramData\Alchemex\AlchemexSmartReporting\MetaData\Financial Ratio S300SQL 1-0-0\BICORE_profiler_20130606_122100.csv"</definedName>
    <definedName name="ENG_BI_PROFILE_PATH" localSheetId="14" hidden="1">"C:\ProgramData\Alchemex\AlchemexSmartReporting\MetaData\Financial Ratio S300SQL 1-0-0\BICORE_profiler_20130606_122100.csv"</definedName>
    <definedName name="ENG_BI_PROFILE_PATH" localSheetId="11" hidden="1">"C:\ProgramData\Alchemex\AlchemexSmartReporting\MetaData\ReportDesignerAdd-In S300SQL DEMO (C50-0-1)\BICORE_profiler_20130521_122309.csv"</definedName>
    <definedName name="ENG_BI_PROFILE_PATH" localSheetId="7" hidden="1">"C:\ProgramData\Alchemex\AlchemexSmartReporting\MetaData\Financial Ratio S300SQL 1-0-0\BICORE_profiler_20130606_122100.csv"</definedName>
    <definedName name="ENG_BI_PROFILE_PATH" localSheetId="9" hidden="1">"C:\ProgramData\Alchemex\AlchemexSmartReporting\MetaData\ReportDesignerAdd-In S300SQL DEMO (C50-0-1)\BICORE_profiler_20130521_122309.csv"</definedName>
    <definedName name="ENG_BI_PROFILE_PATH" localSheetId="2" hidden="1">"C:\ProgramData\Alchemex\AlchemexSmartReporting\MetaData\Financial Ratio S300SQL 1-0-0\BICORE_profiler_20130606_122100.csv"</definedName>
    <definedName name="ENG_BI_PROFILE_PATH" hidden="1">"C:\ProgramData\Alchemex\AlchemexSmartReporting\MetaData\Financial Income Statement S300SQL 1-0\BICORE_profiler_20130618_190845.csv"</definedName>
    <definedName name="ENG_BI_REPOS_FILE" hidden="1">"C:\Program Files (x86)\Sage\Sage 300 ERP\BXDATA\SQL\alchemex.svd"</definedName>
    <definedName name="ENG_BI_REPOS_PATH" hidden="1">"C:\Program Files (x86)\Sage\Sage 300 ERP\BXDATA\SQL\"</definedName>
    <definedName name="ENG_BI_TLA" localSheetId="15" hidden="1">"150;211;72;152;258;46;48;57;196;64;226;237;249;121;263;199;136;266;232;182;64;98;242;127;207;48;45;59;68;247;138;113"</definedName>
    <definedName name="ENG_BI_TLA" localSheetId="1" hidden="1">"150;211;72;152;258;46;48;57;196;64;226;237;249;121;263;199;136;266;232;182;64;98;242;127;207;48;45;59;68;247;138;113"</definedName>
    <definedName name="ENG_BI_TLA" localSheetId="13" hidden="1">"150;211;72;152;258;46;48;57;196;64;226;237;249;121;263;199;136;266;232;182;64;98;242;127;207;48;45;59;68;247;138;113"</definedName>
    <definedName name="ENG_BI_TLA" localSheetId="17" hidden="1">"150;211;72;152;258;46;48;57;196;64;226;237;249;121;263;199;136;266;232;182;64;98;242;127;207;48;45;59;68;247;138;113"</definedName>
    <definedName name="ENG_BI_TLA" localSheetId="10" hidden="1">"150;211;72;152;258;46;48;57;196;64;226;237;249;121;263;199;136;266;232;182;64;98;242;127;207;48;45;59;68;247;138;113"</definedName>
    <definedName name="ENG_BI_TLA" localSheetId="8" hidden="1">"150;211;72;152;258;46;48;57;196;64;226;237;249;121;263;199;136;266;232;182;64;98;242;127;207;48;45;59;68;247;138;113"</definedName>
    <definedName name="ENG_BI_TLA" localSheetId="12" hidden="1">"150;211;72;152;258;46;48;57;196;64;226;237;249;121;263;199;136;266;232;182;64;98;242;127;207;48;45;59;68;247;138;113"</definedName>
    <definedName name="ENG_BI_TLA" localSheetId="18" hidden="1">"150;211;72;152;258;46;48;57;196;64;226;237;249;121;263;199;136;266;232;182;64;98;242;127;207;48;45;59;68;247;138;113"</definedName>
    <definedName name="ENG_BI_TLA" localSheetId="16" hidden="1">"150;211;72;152;258;46;48;57;196;64;226;237;249;121;263;199;136;266;232;182;64;98;242;127;207;48;45;59;68;247;138;113"</definedName>
    <definedName name="ENG_BI_TLA" localSheetId="3" hidden="1">"150;211;72;152;258;46;48;57;196;64;226;237;249;121;263;199;136;266;232;182;64;98;242;127;207;48;45;59;68;247;138;113"</definedName>
    <definedName name="ENG_BI_TLA" localSheetId="14" hidden="1">"150;211;72;152;258;46;48;57;196;64;226;237;249;121;263;199;136;266;232;182;64;98;242;127;207;48;45;59;68;247;138;113"</definedName>
    <definedName name="ENG_BI_TLA" localSheetId="11" hidden="1">"150;211;72;152;258;46;48;57;196;64;226;237;249;121;263;199;136;266;232;182;64;98;242;127;207;48;45;59;68;247;138;113"</definedName>
    <definedName name="ENG_BI_TLA" localSheetId="7" hidden="1">"150;211;72;152;258;46;48;57;196;64;226;237;249;121;263;199;136;266;232;182;64;98;242;127;207;48;45;59;68;247;138;113"</definedName>
    <definedName name="ENG_BI_TLA" localSheetId="9" hidden="1">"150;211;72;152;258;46;48;57;196;64;226;237;249;121;263;199;136;266;232;182;64;98;242;127;207;48;45;59;68;247;138;113"</definedName>
    <definedName name="ENG_BI_TLA" localSheetId="2" hidden="1">"150;211;72;152;258;46;48;57;196;64;226;237;249;121;263;199;136;266;232;182;64;98;242;127;207;48;45;59;68;247;138;113"</definedName>
    <definedName name="ENG_BI_TLA" hidden="1">"43;232;61;140;258;236;90;48;67;37;95;167;21;46;265;53;258;156;248;61;269;80;62;25;241;186;265;177;182;58;266;245"</definedName>
    <definedName name="ENG_BI_TLA2" localSheetId="15" hidden="1">"93;92;8;129;147;243;100;246;53;74;200;96;104;74;207;188;127;167;235;5;46;175;178;116;53;230;203;25;59;79;91;143"</definedName>
    <definedName name="ENG_BI_TLA2" localSheetId="1" hidden="1">"93;92;8;129;147;243;100;246;53;74;200;96;104;74;207;188;127;167;235;5;46;175;178;116;53;230;203;25;59;79;91;143"</definedName>
    <definedName name="ENG_BI_TLA2" localSheetId="13" hidden="1">"93;92;8;129;147;243;100;246;53;74;200;96;104;74;207;188;127;167;235;5;46;175;178;116;53;230;203;25;59;79;91;143"</definedName>
    <definedName name="ENG_BI_TLA2" localSheetId="17" hidden="1">"93;92;8;129;147;243;100;246;53;74;200;96;104;74;207;188;127;167;235;5;46;175;178;116;53;230;203;25;59;79;91;143"</definedName>
    <definedName name="ENG_BI_TLA2" localSheetId="10" hidden="1">"93;92;8;129;147;243;100;246;53;74;200;96;104;74;207;188;127;167;235;5;46;175;178;116;53;230;203;25;59;79;91;143"</definedName>
    <definedName name="ENG_BI_TLA2" localSheetId="8" hidden="1">"93;92;8;129;147;243;100;246;53;74;200;96;104;74;207;188;127;167;235;5;46;175;178;116;53;230;203;25;59;79;91;143"</definedName>
    <definedName name="ENG_BI_TLA2" localSheetId="12" hidden="1">"93;92;8;129;147;243;100;246;53;74;200;96;104;74;207;188;127;167;235;5;46;175;178;116;53;230;203;25;59;79;91;143"</definedName>
    <definedName name="ENG_BI_TLA2" localSheetId="18" hidden="1">"93;92;8;129;147;243;100;246;53;74;200;96;104;74;207;188;127;167;235;5;46;175;178;116;53;230;203;25;59;79;91;143"</definedName>
    <definedName name="ENG_BI_TLA2" localSheetId="16" hidden="1">"93;92;8;129;147;243;100;246;53;74;200;96;104;74;207;188;127;167;235;5;46;175;178;116;53;230;203;25;59;79;91;143"</definedName>
    <definedName name="ENG_BI_TLA2" localSheetId="3" hidden="1">"93;92;8;129;147;243;100;246;53;74;200;96;104;74;207;188;127;167;235;5;46;175;178;116;53;230;203;25;59;79;91;143"</definedName>
    <definedName name="ENG_BI_TLA2" localSheetId="14" hidden="1">"93;92;8;129;147;243;100;246;53;74;200;96;104;74;207;188;127;167;235;5;46;175;178;116;53;230;203;25;59;79;91;143"</definedName>
    <definedName name="ENG_BI_TLA2" localSheetId="11" hidden="1">"93;92;8;129;147;243;100;246;53;74;200;96;104;74;207;188;127;167;235;5;46;175;178;116;53;230;203;25;59;79;91;143"</definedName>
    <definedName name="ENG_BI_TLA2" localSheetId="7" hidden="1">"93;92;8;129;147;243;100;246;53;74;200;96;104;74;207;188;127;167;235;5;46;175;178;116;53;230;203;25;59;79;91;143"</definedName>
    <definedName name="ENG_BI_TLA2" localSheetId="9" hidden="1">"93;92;8;129;147;243;100;246;53;74;200;96;104;74;207;188;127;167;235;5;46;175;178;116;53;230;203;25;59;79;91;143"</definedName>
    <definedName name="ENG_BI_TLA2" localSheetId="2" hidden="1">"93;92;8;129;147;243;100;246;53;74;200;96;104;74;207;188;127;167;235;5;46;175;178;116;53;230;203;25;59;79;91;143"</definedName>
    <definedName name="ENG_BI_TLA2" hidden="1">"161;29;159;161;72;197;165;62;216;174;245;130;167;202;80;118;85;211;131;187;207;208;122;124;127;48;53;255;195;176;151;230"</definedName>
    <definedName name="FirstMetrics" localSheetId="15">OFFSET('Financial Data'!$D$11,0,0,COUNTA('Financial Data'!$D$11:$D$65000),1)</definedName>
    <definedName name="FirstMetrics" localSheetId="13">OFFSET('Financial Data'!$D$11,0,0,COUNTA('Financial Data'!$D$11:$D$65000),1)</definedName>
    <definedName name="FirstMetrics" localSheetId="17">OFFSET('Financial Data'!$D$11,0,0,COUNTA('Financial Data'!$D$11:$D$65000),1)</definedName>
    <definedName name="FirstMetrics" localSheetId="18">OFFSET('Financial Data'!$D$11,0,0,COUNTA('Financial Data'!$D$11:$D$65000),1)</definedName>
    <definedName name="FirstMetrics" localSheetId="16">OFFSET('Financial Data'!$D$11,0,0,COUNTA('Financial Data'!$D$11:$D$65000),1)</definedName>
    <definedName name="FirstMetrics" localSheetId="3">OFFSET('Financial Data'!$D$11,0,0,COUNTA('Financial Data'!$D$11:$D$65000),1)</definedName>
    <definedName name="FirstMetrics" localSheetId="14">OFFSET('Financial Data'!$D$11,0,0,COUNTA('Financial Data'!$D$11:$D$65000),1)</definedName>
    <definedName name="FirstMetrics">OFFSET('Financial Data'!$D$11,0,0,COUNTA('Financial Data'!$D$11:$D$65000),1)</definedName>
    <definedName name="FirstYears" localSheetId="15">OFFSET('Financial Data'!$D$10:$I$10,0,1,1,COUNTA('Financial Data'!$D$10:$I$10)-1)</definedName>
    <definedName name="FirstYears" localSheetId="13">OFFSET('Financial Data'!$D$10:$I$10,0,1,1,COUNTA('Financial Data'!$D$10:$I$10)-1)</definedName>
    <definedName name="FirstYears" localSheetId="17">OFFSET('Financial Data'!$D$10:$I$10,0,1,1,COUNTA('Financial Data'!$D$10:$I$10)-1)</definedName>
    <definedName name="FirstYears" localSheetId="18">OFFSET('Financial Data'!$D$10:$I$10,0,1,1,COUNTA('Financial Data'!$D$10:$I$10)-1)</definedName>
    <definedName name="FirstYears" localSheetId="16">OFFSET('Financial Data'!$D$10:$I$10,0,1,1,COUNTA('Financial Data'!$D$10:$I$10)-1)</definedName>
    <definedName name="FirstYears" localSheetId="3">OFFSET('Financial Data'!$D$10:$I$10,0,1,1,COUNTA('Financial Data'!$D$10:$I$10)-1)</definedName>
    <definedName name="FirstYears" localSheetId="14">OFFSET('Financial Data'!$D$10:$I$10,0,1,1,COUNTA('Financial Data'!$D$10:$I$10)-1)</definedName>
    <definedName name="FirstYears">OFFSET('Financial Data'!$D$10:$I$10,0,1,1,COUNTA('Financial Data'!$D$10:$I$10)-1)</definedName>
    <definedName name="FiscalYears">'Lookup Data'!$B$2:$B$39</definedName>
    <definedName name="FiscalYearsTemplate">'Lookup Data'!$B$2:INDEX('Lookup Data'!$B$2:$B$40,COUNTA('Lookup Data'!$B$2:$B$40))</definedName>
    <definedName name="INFO_BI_EXE_NAME" hidden="1">"BICORE.EXE"</definedName>
    <definedName name="INFO_EXE_SERVER_PATH" hidden="1">"C:\Program Files (x86)\Sage\Sage 300 ERP\BX62A\BICORE.EXE"</definedName>
    <definedName name="INFO_INSTANCE_ID" hidden="1">"0"</definedName>
    <definedName name="INFO_INSTANCE_NAME" localSheetId="15" hidden="1">"Report Designer Add-In S300SQL DEMO 1-0-2_20121218_15_26_18_2626.xls"</definedName>
    <definedName name="INFO_INSTANCE_NAME" localSheetId="1" hidden="1">"Report Designer Add-In S300SQL DEMO 1-0-2_20121218_15_26_18_2626.xls"</definedName>
    <definedName name="INFO_INSTANCE_NAME" localSheetId="13" hidden="1">"Report Designer Add-In S300SQL DEMO 1-0-2_20121218_15_26_18_2626.xls"</definedName>
    <definedName name="INFO_INSTANCE_NAME" localSheetId="17" hidden="1">"Report Designer Add-In S300SQL DEMO 1-0-2_20121218_15_26_18_2626.xls"</definedName>
    <definedName name="INFO_INSTANCE_NAME" localSheetId="10" hidden="1">"Report Designer Add-In S300SQL DEMO 1-0-2_20121218_15_26_18_2626.xls"</definedName>
    <definedName name="INFO_INSTANCE_NAME" localSheetId="8" hidden="1">"Report Designer Add-In S300SQL DEMO 1-0-2_20121218_15_26_18_2626.xls"</definedName>
    <definedName name="INFO_INSTANCE_NAME" localSheetId="12" hidden="1">"Report Designer Add-In S300SQL DEMO 1-0-2_20121218_15_26_18_2626.xls"</definedName>
    <definedName name="INFO_INSTANCE_NAME" localSheetId="18" hidden="1">"Report Designer Add-In S300SQL DEMO 1-0-2_20121218_15_26_18_2626.xls"</definedName>
    <definedName name="INFO_INSTANCE_NAME" localSheetId="16" hidden="1">"Report Designer Add-In S300SQL DEMO 1-0-2_20121218_15_26_18_2626.xls"</definedName>
    <definedName name="INFO_INSTANCE_NAME" localSheetId="3" hidden="1">"Report Designer Add-In S300SQL DEMO 1-0-2_20121218_15_26_18_2626.xls"</definedName>
    <definedName name="INFO_INSTANCE_NAME" localSheetId="14" hidden="1">"Report Designer Add-In S300SQL DEMO 1-0-2_20121218_15_26_18_2626.xls"</definedName>
    <definedName name="INFO_INSTANCE_NAME" localSheetId="11" hidden="1">"Report Designer Add-In S300SQL DEMO 1-0-2_20121218_15_26_18_2626.xls"</definedName>
    <definedName name="INFO_INSTANCE_NAME" localSheetId="7" hidden="1">"Report Designer Add-In S300SQL DEMO 1-0-2_20121218_15_26_18_2626.xls"</definedName>
    <definedName name="INFO_INSTANCE_NAME" localSheetId="9" hidden="1">"Report Designer Add-In S300SQL DEMO 1-0-2_20121218_15_26_18_2626.xls"</definedName>
    <definedName name="INFO_INSTANCE_NAME" localSheetId="2" hidden="1">"Report Designer Add-In S300SQL DEMO 1-0-2_20121218_15_26_18_2626.xls"</definedName>
    <definedName name="INFO_INSTANCE_NAME" hidden="1">"Financial Income Statement S300SQL 1-0-0_20130605_11_27_28_2727.xls"</definedName>
    <definedName name="INFO_REPORT_CODE" localSheetId="15" hidden="1">"S300-SQL-AI01-1-0"</definedName>
    <definedName name="INFO_REPORT_CODE" localSheetId="1" hidden="1">"S300-SQL-AI01-1-0"</definedName>
    <definedName name="INFO_REPORT_CODE" localSheetId="13" hidden="1">"S300-SQL-AI01-1-0"</definedName>
    <definedName name="INFO_REPORT_CODE" localSheetId="17" hidden="1">"S300-SQL-AI01-1-0"</definedName>
    <definedName name="INFO_REPORT_CODE" localSheetId="10" hidden="1">"S300-SQL-AI01-1-0"</definedName>
    <definedName name="INFO_REPORT_CODE" localSheetId="8" hidden="1">"S300-SQL-AI01-1-0"</definedName>
    <definedName name="INFO_REPORT_CODE" localSheetId="12" hidden="1">"S300-SQL-AI01-1-0"</definedName>
    <definedName name="INFO_REPORT_CODE" localSheetId="18" hidden="1">"S300-SQL-AI01-1-0"</definedName>
    <definedName name="INFO_REPORT_CODE" localSheetId="16" hidden="1">"S300-SQL-AI01-1-0"</definedName>
    <definedName name="INFO_REPORT_CODE" localSheetId="3" hidden="1">"S300-SQL-AI01-1-0"</definedName>
    <definedName name="INFO_REPORT_CODE" localSheetId="14" hidden="1">"S300-SQL-AI01-1-0"</definedName>
    <definedName name="INFO_REPORT_CODE" localSheetId="11" hidden="1">"S300-SQL-AI01-1-0"</definedName>
    <definedName name="INFO_REPORT_CODE" localSheetId="7" hidden="1">"S300-SQL-AI01-1-0"</definedName>
    <definedName name="INFO_REPORT_CODE" localSheetId="9" hidden="1">"S300-SQL-AI01-1-0"</definedName>
    <definedName name="INFO_REPORT_CODE" localSheetId="2" hidden="1">"S300-SQL-AI01-1-0"</definedName>
    <definedName name="INFO_REPORT_CODE" hidden="1">"S300-SQL-AI25-1-0"</definedName>
    <definedName name="INFO_REPORT_ID" hidden="1">"12"</definedName>
    <definedName name="INFO_REPORT_NAME" localSheetId="15" hidden="1">"Report Designer Add-In S300SQL DEMO 1-0-2"</definedName>
    <definedName name="INFO_REPORT_NAME" localSheetId="1" hidden="1">"Report Designer Add-In S300SQL DEMO 1-0-2"</definedName>
    <definedName name="INFO_REPORT_NAME" localSheetId="13" hidden="1">"Report Designer Add-In S300SQL DEMO 1-0-2"</definedName>
    <definedName name="INFO_REPORT_NAME" localSheetId="17" hidden="1">"Report Designer Add-In S300SQL DEMO 1-0-2"</definedName>
    <definedName name="INFO_REPORT_NAME" localSheetId="10" hidden="1">"Report Designer Add-In S300SQL DEMO 1-0-2"</definedName>
    <definedName name="INFO_REPORT_NAME" localSheetId="8" hidden="1">"Report Designer Add-In S300SQL DEMO 1-0-2"</definedName>
    <definedName name="INFO_REPORT_NAME" localSheetId="12" hidden="1">"Report Designer Add-In S300SQL DEMO 1-0-2"</definedName>
    <definedName name="INFO_REPORT_NAME" localSheetId="18" hidden="1">"Report Designer Add-In S300SQL DEMO 1-0-2"</definedName>
    <definedName name="INFO_REPORT_NAME" localSheetId="16" hidden="1">"Report Designer Add-In S300SQL DEMO 1-0-2"</definedName>
    <definedName name="INFO_REPORT_NAME" localSheetId="3" hidden="1">"Report Designer Add-In S300SQL DEMO 1-0-2"</definedName>
    <definedName name="INFO_REPORT_NAME" localSheetId="14" hidden="1">"Report Designer Add-In S300SQL DEMO 1-0-2"</definedName>
    <definedName name="INFO_REPORT_NAME" localSheetId="11" hidden="1">"Report Designer Add-In S300SQL DEMO 1-0-2"</definedName>
    <definedName name="INFO_REPORT_NAME" localSheetId="7" hidden="1">"Report Designer Add-In S300SQL DEMO 1-0-2"</definedName>
    <definedName name="INFO_REPORT_NAME" localSheetId="9" hidden="1">"Report Designer Add-In S300SQL DEMO 1-0-2"</definedName>
    <definedName name="INFO_REPORT_NAME" localSheetId="2" hidden="1">"Report Designer Add-In S300SQL DEMO 1-0-2"</definedName>
    <definedName name="INFO_REPORT_NAME" hidden="1">"Financial Income Statement S300SQL 1-0-0"</definedName>
    <definedName name="INFO_RUN_USER" hidden="1">""</definedName>
    <definedName name="INFO_RUN_WORKSTATION" hidden="1">"S300IM1"</definedName>
    <definedName name="lstRatios">Names!$A$2:$A$28</definedName>
    <definedName name="MissingAccounts">'Missing Accounts'!$B$4:$H$600</definedName>
    <definedName name="Periods">'Lookup Data'!$C$2:$C$13</definedName>
    <definedName name="PeriodsInYear">[2]Sheet1!$G$6</definedName>
    <definedName name="_xlnm.Print_Area" localSheetId="6">Dashboard!$C$1:$V$24</definedName>
    <definedName name="_xlnm.Print_Area" localSheetId="10">'Financial Data'!$C$1:$I$43</definedName>
    <definedName name="_xlnm.Print_Area" localSheetId="8">'Financial Ratio Report'!$C$1:$M$50</definedName>
    <definedName name="_xlnm.Print_Area" localSheetId="11">'Ratio Benchmarking'!$C$1:$G$47</definedName>
    <definedName name="_xlnm.Print_Area" localSheetId="9">'Ratio Trend'!$C$1:$J$47</definedName>
    <definedName name="RatioYears" localSheetId="15">OFFSET('Ratio Trend'!$E$10:$J$10,0,1,1,COUNTA('Ratio Trend'!$E$10:$J$10)-1)</definedName>
    <definedName name="RatioYears" localSheetId="13">OFFSET('Ratio Trend'!$E$10:$J$10,0,1,1,COUNTA('Ratio Trend'!$E$10:$J$10)-1)</definedName>
    <definedName name="RatioYears" localSheetId="17">OFFSET('Ratio Trend'!$E$10:$J$10,0,1,1,COUNTA('Ratio Trend'!$E$10:$J$10)-1)</definedName>
    <definedName name="RatioYears" localSheetId="18">OFFSET('Ratio Trend'!$E$10:$J$10,0,1,1,COUNTA('Ratio Trend'!$E$10:$J$10)-1)</definedName>
    <definedName name="RatioYears" localSheetId="16">OFFSET('Ratio Trend'!$E$10:$J$10,0,1,1,COUNTA('Ratio Trend'!$E$10:$J$10)-1)</definedName>
    <definedName name="RatioYears" localSheetId="3">OFFSET('Ratio Trend'!$E$10:$J$10,0,1,1,COUNTA('Ratio Trend'!$E$10:$J$10)-1)</definedName>
    <definedName name="RatioYears" localSheetId="14">OFFSET('Ratio Trend'!$E$10:$J$10,0,1,1,COUNTA('Ratio Trend'!$E$10:$J$10)-1)</definedName>
    <definedName name="RatioYears">OFFSET('Ratio Trend'!$E$10:$J$10,0,1,1,COUNTA('Ratio Trend'!$E$10:$J$10)-1)</definedName>
    <definedName name="SelectedYear">'Financial Ratio Report'!$K$2</definedName>
    <definedName name="SelRatio1" localSheetId="15">CHOOSE('Ratio Charts'!$Z$3,'Asset Utilization'!chtAccPayPer,'Asset Utilization'!chtAccPayTO,[0]!chtAssetGrow,'Asset Utilization'!chtAveCollPer,'Asset Utilization'!chtCapAssetTO,[0]!chtDebtEquity,[0]!chtDebtTotAsset,[0]!chtDivCover,[0]!chtEquityAsset,[0]!chtFixChgCov,[0]!chtGrossMargin,'Asset Utilization'!chtInvHoldPer,'Asset Utilization'!chtInvTO,[0]!chtLiabGrow,[0]!chtNetIncGrow,[0]!chtProfitMargin,[0]!chtQuickRatio,'Asset Utilization'!chtRecTO,[0]!chtROA,[0]!chtROCE,[0]!chtROE,[0]!chtRevGrow,[0]!chtTimesIntEarn,'Asset Utilization'!chtTotAssetTO,[0]!chtWorkCap,[0]!chtWorkCapRatio,[0]!chtWorkCapTO)</definedName>
    <definedName name="SelRatio1" localSheetId="13">CHOOSE('Ratio Charts'!$Z$3,chtAccPayPer,chtAccPayTO,chtAssetGrow,chtAveCollPer,chtCapAssetTO,chtDebtEquity,chtDebtTotAsset,chtDivCover,chtEquityAsset,chtFixChgCov,chtGrossMargin,chtInvHoldPer,chtInvTO,chtLiabGrow,chtNetIncGrow,chtProfitMargin,chtQuickRatio,chtRecTO,chtROA,chtROCE,chtROE,chtRevGrow,chtTimesIntEarn,chtTotAssetTO,chtWorkCap,chtWorkCapRatio,chtWorkCapTO)</definedName>
    <definedName name="SelRatio1" localSheetId="17">CHOOSE('Ratio Charts'!$Z$3,[0]!chtAccPayPer,[0]!chtAccPayTO,[0]!chtAssetGrow,[0]!chtAveCollPer,[0]!chtCapAssetTO,'Debt Utilization'!chtDebtEquity,'Debt Utilization'!chtDebtTotAsset,[0]!chtDivCover,'Debt Utilization'!chtEquityAsset,'Debt Utilization'!chtFixChgCov,[0]!chtGrossMargin,[0]!chtInvHoldPer,[0]!chtInvTO,[0]!chtLiabGrow,[0]!chtNetIncGrow,[0]!chtProfitMargin,[0]!chtQuickRatio,[0]!chtRecTO,[0]!chtROA,[0]!chtROCE,[0]!chtROE,[0]!chtRevGrow,'Debt Utilization'!chtTimesIntEarn,[0]!chtTotAssetTO,[0]!chtWorkCap,[0]!chtWorkCapRatio,[0]!chtWorkCapTO)</definedName>
    <definedName name="SelRatio1" localSheetId="18">CHOOSE('Ratio Charts'!$Z$3,[0]!chtAccPayPer,[0]!chtAccPayTO,Growth!chtAssetGrow,[0]!chtAveCollPer,[0]!chtCapAssetTO,[0]!chtDebtEquity,[0]!chtDebtTotAsset,[0]!chtDivCover,[0]!chtEquityAsset,[0]!chtFixChgCov,[0]!chtGrossMargin,[0]!chtInvHoldPer,[0]!chtInvTO,Growth!chtLiabGrow,Growth!chtNetIncGrow,[0]!chtProfitMargin,[0]!chtQuickRatio,[0]!chtRecTO,[0]!chtROA,[0]!chtROCE,[0]!chtROE,Growth!chtRevGrow,[0]!chtTimesIntEarn,[0]!chtTotAssetTO,[0]!chtWorkCap,[0]!chtWorkCapRatio,[0]!chtWorkCapTO)</definedName>
    <definedName name="SelRatio1" localSheetId="16">CHOOSE('Ratio Charts'!$Z$3,[0]!chtAccPayPer,[0]!chtAccPayTO,[0]!chtAssetGrow,[0]!chtAveCollPer,[0]!chtCapAssetTO,[0]!chtDebtEquity,[0]!chtDebtTotAsset,[0]!chtDivCover,[0]!chtEquityAsset,[0]!chtFixChgCov,[0]!chtGrossMargin,[0]!chtInvHoldPer,[0]!chtInvTO,[0]!chtLiabGrow,[0]!chtNetIncGrow,[0]!chtProfitMargin,Liquidity!chtQuickRatio,[0]!chtRecTO,[0]!chtROA,[0]!chtROCE,[0]!chtROE,[0]!chtRevGrow,[0]!chtTimesIntEarn,[0]!chtTotAssetTO,Liquidity!chtWorkCap,Liquidity!chtWorkCapRatio,Liquidity!chtWorkCapTO)</definedName>
    <definedName name="SelRatio1" localSheetId="3">CHOOSE('Ratio Charts'!$Z$3,Names!chtAccPayPer,Names!chtAccPayTO,Names!chtAssetGrow,Names!chtAveCollPer,Names!chtCapAssetTO,Names!chtDebtEquity,Names!chtDebtTotAsset,Names!chtDivCover,Names!chtEquityAsset,Names!chtFixChgCov,Names!chtGrossMargin,Names!chtInvHoldPer,Names!chtInvTO,Names!chtLiabGrow,Names!chtNetIncGrow,Names!chtProfitMargin,Names!chtQuickRatio,Names!chtRecTO,Names!chtROA,Names!chtROCE,Names!chtROE,Names!chtRevGrow,Names!chtTimesIntEarn,Names!chtTotAssetTO,Names!chtWorkCap,Names!chtWorkCapRatio,Names!chtWorkCapTO)</definedName>
    <definedName name="SelRatio1" localSheetId="14">CHOOSE('Ratio Charts'!$Z$3,[0]!chtAccPayPer,[0]!chtAccPayTO,[0]!chtAssetGrow,[0]!chtAveCollPer,[0]!chtCapAssetTO,[0]!chtDebtEquity,[0]!chtDebtTotAsset,Profitability!chtDivCover,[0]!chtEquityAsset,[0]!chtFixChgCov,Profitability!chtGrossMargin,[0]!chtInvHoldPer,[0]!chtInvTO,[0]!chtLiabGrow,[0]!chtNetIncGrow,Profitability!chtProfitMargin,[0]!chtQuickRatio,[0]!chtRecTO,Profitability!chtROA,Profitability!chtROCE,Profitability!chtROE,[0]!chtRevGrow,[0]!chtTimesIntEarn,[0]!chtTotAssetTO,[0]!chtWorkCap,[0]!chtWorkCapRatio,[0]!chtWorkCapTO)</definedName>
    <definedName name="SelRatio1" localSheetId="11">CHOOSE('Ratio Charts'!$Z$3,chtAccPayPer,chtAccPayTO,chtAssetGrow,chtAveCollPer,chtCapAssetTO,chtDebtEquity,chtDebtTotAsset,chtDivCover,chtEquityAsset,chtFixChgCov,chtGrossMargin,chtInvHoldPer,chtInvTO,chtLiabGrow,chtNetIncGrow,chtProfitMargin,chtQuickRatio,chtRecTO,chtROA,chtROCE,chtROE,chtRevGrow,chtTimesIntEarn,chtTotAssetTO,chtWorkCap,chtWorkCapRatio,chtWorkCapTO)</definedName>
    <definedName name="SelRatio1">CHOOSE(Ratio Charts!$Z$3,chtAccPayPer,chtAccPayTO,chtAssetGrow,chtAveCollPer,chtCapAssetTO,chtDebtEquity,chtDebtTotAsset,chtDivCover,chtEquityAsset,chtFixChgCov,chtGrossMargin,chtInvHoldPer,chtInvTO,chtLiabGrow,chtNetIncGrow,chtProfitMargin,chtQuickRatio,chtRecTO,chtROA,chtROCE,chtROE,chtRevGrow,chtTimesIntEarn,chtTotAssetTO,chtWorkCap,chtWorkCapRatio,chtWorkCapTO)</definedName>
    <definedName name="SelRatio2" localSheetId="15">CHOOSE('Ratio Charts'!$Z$4,'Asset Utilization'!chtAccPayPer,'Asset Utilization'!chtAccPayTO,[0]!chtAssetGrow,'Asset Utilization'!chtAveCollPer,'Asset Utilization'!chtCapAssetTO,[0]!chtDebtEquity,[0]!chtDebtTotAsset,[0]!chtDivCover,[0]!chtEquityAsset,[0]!chtFixChgCov,chtGrowMargin,[0]!chtRevGrow,'Asset Utilization'!chtInvHoldPer,'Asset Utilization'!chtInvTO,[0]!chtLiabGrow,[0]!chtNetIncGrow,[0]!chtProfitMargin,[0]!chtQuickRatio,'Asset Utilization'!chtRecTO,[0]!chtROA,[0]!chtROCE,[0]!chtROE,[0]!chtTimesIntEarn,'Asset Utilization'!chtTotAssetTO,[0]!chtWorkCap,[0]!chtWorkCapRatio,[0]!chtWorkCapTO)</definedName>
    <definedName name="SelRatio2" localSheetId="13">CHOOSE('Ratio Charts'!$Z$4,chtAccPayPer,chtAccPayTO,chtAssetGrow,chtAveCollPer,chtCapAssetTO,chtDebtEquity,chtDebtTotAsset,chtDivCover,chtEquityAsset,chtFixChgCov,chtGrowMargin,chtRevGrow,chtInvHoldPer,chtInvTO,chtLiabGrow,chtNetIncGrow,chtProfitMargin,chtQuickRatio,chtRecTO,chtROA,chtROCE,chtROE,chtTimesIntEarn,chtTotAssetTO,chtWorkCap,chtWorkCapRatio,chtWorkCapTO)</definedName>
    <definedName name="SelRatio2" localSheetId="17">CHOOSE('Ratio Charts'!$Z$4,[0]!chtAccPayPer,[0]!chtAccPayTO,[0]!chtAssetGrow,[0]!chtAveCollPer,[0]!chtCapAssetTO,'Debt Utilization'!chtDebtEquity,'Debt Utilization'!chtDebtTotAsset,[0]!chtDivCover,'Debt Utilization'!chtEquityAsset,'Debt Utilization'!chtFixChgCov,chtGrowMargin,[0]!chtRevGrow,[0]!chtInvHoldPer,[0]!chtInvTO,[0]!chtLiabGrow,[0]!chtNetIncGrow,[0]!chtProfitMargin,[0]!chtQuickRatio,[0]!chtRecTO,[0]!chtROA,[0]!chtROCE,[0]!chtROE,'Debt Utilization'!chtTimesIntEarn,[0]!chtTotAssetTO,[0]!chtWorkCap,[0]!chtWorkCapRatio,[0]!chtWorkCapTO)</definedName>
    <definedName name="SelRatio2" localSheetId="18">CHOOSE('Ratio Charts'!$Z$4,[0]!chtAccPayPer,[0]!chtAccPayTO,Growth!chtAssetGrow,[0]!chtAveCollPer,[0]!chtCapAssetTO,[0]!chtDebtEquity,[0]!chtDebtTotAsset,[0]!chtDivCover,[0]!chtEquityAsset,[0]!chtFixChgCov,chtGrowMargin,Growth!chtRevGrow,[0]!chtInvHoldPer,[0]!chtInvTO,Growth!chtLiabGrow,Growth!chtNetIncGrow,[0]!chtProfitMargin,[0]!chtQuickRatio,[0]!chtRecTO,[0]!chtROA,[0]!chtROCE,[0]!chtROE,[0]!chtTimesIntEarn,[0]!chtTotAssetTO,[0]!chtWorkCap,[0]!chtWorkCapRatio,[0]!chtWorkCapTO)</definedName>
    <definedName name="SelRatio2" localSheetId="16">CHOOSE('Ratio Charts'!$Z$4,[0]!chtAccPayPer,[0]!chtAccPayTO,[0]!chtAssetGrow,[0]!chtAveCollPer,[0]!chtCapAssetTO,[0]!chtDebtEquity,[0]!chtDebtTotAsset,[0]!chtDivCover,[0]!chtEquityAsset,[0]!chtFixChgCov,chtGrowMargin,[0]!chtRevGrow,[0]!chtInvHoldPer,[0]!chtInvTO,[0]!chtLiabGrow,[0]!chtNetIncGrow,[0]!chtProfitMargin,Liquidity!chtQuickRatio,[0]!chtRecTO,[0]!chtROA,[0]!chtROCE,[0]!chtROE,[0]!chtTimesIntEarn,[0]!chtTotAssetTO,Liquidity!chtWorkCap,Liquidity!chtWorkCapRatio,Liquidity!chtWorkCapTO)</definedName>
    <definedName name="SelRatio2" localSheetId="3">CHOOSE('Ratio Charts'!$Z$4,Names!chtAccPayPer,Names!chtAccPayTO,Names!chtAssetGrow,Names!chtAveCollPer,Names!chtCapAssetTO,Names!chtDebtEquity,Names!chtDebtTotAsset,Names!chtDivCover,Names!chtEquityAsset,Names!chtFixChgCov,chtGrowMargin,Names!chtRevGrow,Names!chtInvHoldPer,Names!chtInvTO,Names!chtLiabGrow,Names!chtNetIncGrow,Names!chtProfitMargin,Names!chtQuickRatio,Names!chtRecTO,Names!chtROA,Names!chtROCE,Names!chtROE,Names!chtTimesIntEarn,Names!chtTotAssetTO,Names!chtWorkCap,Names!chtWorkCapRatio,Names!chtWorkCapTO)</definedName>
    <definedName name="SelRatio2" localSheetId="14">CHOOSE('Ratio Charts'!$Z$4,[0]!chtAccPayPer,[0]!chtAccPayTO,[0]!chtAssetGrow,[0]!chtAveCollPer,[0]!chtCapAssetTO,[0]!chtDebtEquity,[0]!chtDebtTotAsset,Profitability!chtDivCover,[0]!chtEquityAsset,[0]!chtFixChgCov,chtGrowMargin,[0]!chtRevGrow,[0]!chtInvHoldPer,[0]!chtInvTO,[0]!chtLiabGrow,[0]!chtNetIncGrow,Profitability!chtProfitMargin,[0]!chtQuickRatio,[0]!chtRecTO,Profitability!chtROA,Profitability!chtROCE,Profitability!chtROE,[0]!chtTimesIntEarn,[0]!chtTotAssetTO,[0]!chtWorkCap,[0]!chtWorkCapRatio,[0]!chtWorkCapTO)</definedName>
    <definedName name="SelRatio2" localSheetId="11">CHOOSE('Ratio Charts'!$Z$4,chtAccPayPer,chtAccPayTO,chtAssetGrow,chtAveCollPer,chtCapAssetTO,chtDebtEquity,chtDebtTotAsset,chtDivCover,chtEquityAsset,chtFixChgCov,chtGrowMargin,chtRevGrow,chtInvHoldPer,chtInvTO,chtLiabGrow,chtNetIncGrow,chtProfitMargin,chtQuickRatio,chtRecTO,chtROA,chtROCE,chtROE,chtTimesIntEarn,chtTotAssetTO,chtWorkCap,chtWorkCapRatio,chtWorkCapTO)</definedName>
    <definedName name="SelRatio2">CHOOSE(Ratio Charts!$Z$4,chtAccPayPer,chtAccPayTO,chtAssetGrow,chtAveCollPer,chtCapAssetTO,chtDebtEquity,chtDebtTotAsset,chtDivCover,chtEquityAsset,chtFixChgCov,chtGrowMargin,chtRevGrow,chtInvHoldPer,chtInvTO,chtLiabGrow,chtNetIncGrow,chtProfitMargin,chtQuickRatio,chtRecTO,chtROA,chtROCE,chtROE,chtTimesIntEarn,chtTotAssetTO,chtWorkCap,chtWorkCapRatio,chtWorkCapTO)</definedName>
    <definedName name="SelRatio3" localSheetId="15">CHOOSE('Ratio Charts'!$Z$5,'Asset Utilization'!chtAccPayPer,'Asset Utilization'!chtAccPayTO,[0]!chtAssetGrow,'Asset Utilization'!chtAveCollPer,'Asset Utilization'!chtCapAssetTO,[0]!chtDebtEquity,[0]!chtDebtTotAsset,[0]!chtDivCover,[0]!chtEquityAsset,[0]!chtFixChgCov,chtGrowMargin,[0]!chtRevGrow,'Asset Utilization'!chtInvHoldPer,'Asset Utilization'!chtInvTO,[0]!chtLiabGrow,[0]!chtNetIncGrow,[0]!chtProfitMargin,[0]!chtQuickRatio,'Asset Utilization'!chtRecTO,[0]!chtROA,[0]!chtROCE,[0]!chtROE,[0]!chtTimesIntEarn,'Asset Utilization'!chtTotAssetTO,[0]!chtWorkCap,[0]!chtWorkCapRatio,[0]!chtWorkCapTO)</definedName>
    <definedName name="SelRatio3" localSheetId="13">CHOOSE('Ratio Charts'!$Z$5,chtAccPayPer,chtAccPayTO,chtAssetGrow,chtAveCollPer,chtCapAssetTO,chtDebtEquity,chtDebtTotAsset,chtDivCover,chtEquityAsset,chtFixChgCov,chtGrowMargin,chtRevGrow,chtInvHoldPer,chtInvTO,chtLiabGrow,chtNetIncGrow,chtProfitMargin,chtQuickRatio,chtRecTO,chtROA,chtROCE,chtROE,chtTimesIntEarn,chtTotAssetTO,chtWorkCap,chtWorkCapRatio,chtWorkCapTO)</definedName>
    <definedName name="SelRatio3" localSheetId="17">CHOOSE('Ratio Charts'!$Z$5,[0]!chtAccPayPer,[0]!chtAccPayTO,[0]!chtAssetGrow,[0]!chtAveCollPer,[0]!chtCapAssetTO,'Debt Utilization'!chtDebtEquity,'Debt Utilization'!chtDebtTotAsset,[0]!chtDivCover,'Debt Utilization'!chtEquityAsset,'Debt Utilization'!chtFixChgCov,chtGrowMargin,[0]!chtRevGrow,[0]!chtInvHoldPer,[0]!chtInvTO,[0]!chtLiabGrow,[0]!chtNetIncGrow,[0]!chtProfitMargin,[0]!chtQuickRatio,[0]!chtRecTO,[0]!chtROA,[0]!chtROCE,[0]!chtROE,'Debt Utilization'!chtTimesIntEarn,[0]!chtTotAssetTO,[0]!chtWorkCap,[0]!chtWorkCapRatio,[0]!chtWorkCapTO)</definedName>
    <definedName name="SelRatio3" localSheetId="18">CHOOSE('Ratio Charts'!$Z$5,[0]!chtAccPayPer,[0]!chtAccPayTO,Growth!chtAssetGrow,[0]!chtAveCollPer,[0]!chtCapAssetTO,[0]!chtDebtEquity,[0]!chtDebtTotAsset,[0]!chtDivCover,[0]!chtEquityAsset,[0]!chtFixChgCov,chtGrowMargin,Growth!chtRevGrow,[0]!chtInvHoldPer,[0]!chtInvTO,Growth!chtLiabGrow,Growth!chtNetIncGrow,[0]!chtProfitMargin,[0]!chtQuickRatio,[0]!chtRecTO,[0]!chtROA,[0]!chtROCE,[0]!chtROE,[0]!chtTimesIntEarn,[0]!chtTotAssetTO,[0]!chtWorkCap,[0]!chtWorkCapRatio,[0]!chtWorkCapTO)</definedName>
    <definedName name="SelRatio3" localSheetId="16">CHOOSE('Ratio Charts'!$Z$5,[0]!chtAccPayPer,[0]!chtAccPayTO,[0]!chtAssetGrow,[0]!chtAveCollPer,[0]!chtCapAssetTO,[0]!chtDebtEquity,[0]!chtDebtTotAsset,[0]!chtDivCover,[0]!chtEquityAsset,[0]!chtFixChgCov,chtGrowMargin,[0]!chtRevGrow,[0]!chtInvHoldPer,[0]!chtInvTO,[0]!chtLiabGrow,[0]!chtNetIncGrow,[0]!chtProfitMargin,Liquidity!chtQuickRatio,[0]!chtRecTO,[0]!chtROA,[0]!chtROCE,[0]!chtROE,[0]!chtTimesIntEarn,[0]!chtTotAssetTO,Liquidity!chtWorkCap,Liquidity!chtWorkCapRatio,Liquidity!chtWorkCapTO)</definedName>
    <definedName name="SelRatio3" localSheetId="3">CHOOSE('Ratio Charts'!$Z$5,Names!chtAccPayPer,Names!chtAccPayTO,Names!chtAssetGrow,Names!chtAveCollPer,Names!chtCapAssetTO,Names!chtDebtEquity,Names!chtDebtTotAsset,Names!chtDivCover,Names!chtEquityAsset,Names!chtFixChgCov,chtGrowMargin,Names!chtRevGrow,Names!chtInvHoldPer,Names!chtInvTO,Names!chtLiabGrow,Names!chtNetIncGrow,Names!chtProfitMargin,Names!chtQuickRatio,Names!chtRecTO,Names!chtROA,Names!chtROCE,Names!chtROE,Names!chtTimesIntEarn,Names!chtTotAssetTO,Names!chtWorkCap,Names!chtWorkCapRatio,Names!chtWorkCapTO)</definedName>
    <definedName name="SelRatio3" localSheetId="14">CHOOSE('Ratio Charts'!$Z$5,[0]!chtAccPayPer,[0]!chtAccPayTO,[0]!chtAssetGrow,[0]!chtAveCollPer,[0]!chtCapAssetTO,[0]!chtDebtEquity,[0]!chtDebtTotAsset,Profitability!chtDivCover,[0]!chtEquityAsset,[0]!chtFixChgCov,chtGrowMargin,[0]!chtRevGrow,[0]!chtInvHoldPer,[0]!chtInvTO,[0]!chtLiabGrow,[0]!chtNetIncGrow,Profitability!chtProfitMargin,[0]!chtQuickRatio,[0]!chtRecTO,Profitability!chtROA,Profitability!chtROCE,Profitability!chtROE,[0]!chtTimesIntEarn,[0]!chtTotAssetTO,[0]!chtWorkCap,[0]!chtWorkCapRatio,[0]!chtWorkCapTO)</definedName>
    <definedName name="SelRatio3" localSheetId="11">CHOOSE('Ratio Charts'!$Z$5,chtAccPayPer,chtAccPayTO,chtAssetGrow,chtAveCollPer,chtCapAssetTO,chtDebtEquity,chtDebtTotAsset,chtDivCover,chtEquityAsset,chtFixChgCov,chtGrowMargin,chtRevGrow,chtInvHoldPer,chtInvTO,chtLiabGrow,chtNetIncGrow,chtProfitMargin,chtQuickRatio,chtRecTO,chtROA,chtROCE,chtROE,chtTimesIntEarn,chtTotAssetTO,chtWorkCap,chtWorkCapRatio,chtWorkCapTO)</definedName>
    <definedName name="SelRatio3">CHOOSE(Ratio Charts!$Z$5,chtAccPayPer,chtAccPayTO,chtAssetGrow,chtAveCollPer,chtCapAssetTO,chtDebtEquity,chtDebtTotAsset,chtDivCover,chtEquityAsset,chtFixChgCov,chtGrowMargin,chtRevGrow,chtInvHoldPer,chtInvTO,chtLiabGrow,chtNetIncGrow,chtProfitMargin,chtQuickRatio,chtRecTO,chtROA,chtROCE,chtROE,chtTimesIntEarn,chtTotAssetTO,chtWorkCap,chtWorkCapRatio,chtWorkCapTO)</definedName>
    <definedName name="SelRatio4" localSheetId="15">CHOOSE('Ratio Charts'!$Z$6,'Asset Utilization'!chtAccPayPer,'Asset Utilization'!chtAccPayTO,[0]!chtAssetGrow,'Asset Utilization'!chtAveCollPer,'Asset Utilization'!chtCapAssetTO,[0]!chtDebtEquity,[0]!chtDebtTotAsset,[0]!chtDivCover,[0]!chtEquityAsset,[0]!chtFixChgCov,chtGrowMargin,[0]!chtRevGrow,'Asset Utilization'!chtInvHoldPer,'Asset Utilization'!chtInvTO,[0]!chtLiabGrow,[0]!chtNetIncGrow,[0]!chtProfitMargin,[0]!chtQuickRatio,'Asset Utilization'!chtRecTO,[0]!chtROA,[0]!chtROCE,[0]!chtROE,[0]!chtTimesIntEarn,'Asset Utilization'!chtTotAssetTO,[0]!chtWorkCap,[0]!chtWorkCapRatio,[0]!chtWorkCapTO)</definedName>
    <definedName name="SelRatio4" localSheetId="13">CHOOSE('Ratio Charts'!$Z$6,chtAccPayPer,chtAccPayTO,chtAssetGrow,chtAveCollPer,chtCapAssetTO,chtDebtEquity,chtDebtTotAsset,chtDivCover,chtEquityAsset,chtFixChgCov,chtGrowMargin,chtRevGrow,chtInvHoldPer,chtInvTO,chtLiabGrow,chtNetIncGrow,chtProfitMargin,chtQuickRatio,chtRecTO,chtROA,chtROCE,chtROE,chtTimesIntEarn,chtTotAssetTO,chtWorkCap,chtWorkCapRatio,chtWorkCapTO)</definedName>
    <definedName name="SelRatio4" localSheetId="17">CHOOSE('Ratio Charts'!$Z$6,[0]!chtAccPayPer,[0]!chtAccPayTO,[0]!chtAssetGrow,[0]!chtAveCollPer,[0]!chtCapAssetTO,'Debt Utilization'!chtDebtEquity,'Debt Utilization'!chtDebtTotAsset,[0]!chtDivCover,'Debt Utilization'!chtEquityAsset,'Debt Utilization'!chtFixChgCov,chtGrowMargin,[0]!chtRevGrow,[0]!chtInvHoldPer,[0]!chtInvTO,[0]!chtLiabGrow,[0]!chtNetIncGrow,[0]!chtProfitMargin,[0]!chtQuickRatio,[0]!chtRecTO,[0]!chtROA,[0]!chtROCE,[0]!chtROE,'Debt Utilization'!chtTimesIntEarn,[0]!chtTotAssetTO,[0]!chtWorkCap,[0]!chtWorkCapRatio,[0]!chtWorkCapTO)</definedName>
    <definedName name="SelRatio4" localSheetId="18">CHOOSE('Ratio Charts'!$Z$6,[0]!chtAccPayPer,[0]!chtAccPayTO,Growth!chtAssetGrow,[0]!chtAveCollPer,[0]!chtCapAssetTO,[0]!chtDebtEquity,[0]!chtDebtTotAsset,[0]!chtDivCover,[0]!chtEquityAsset,[0]!chtFixChgCov,chtGrowMargin,Growth!chtRevGrow,[0]!chtInvHoldPer,[0]!chtInvTO,Growth!chtLiabGrow,Growth!chtNetIncGrow,[0]!chtProfitMargin,[0]!chtQuickRatio,[0]!chtRecTO,[0]!chtROA,[0]!chtROCE,[0]!chtROE,[0]!chtTimesIntEarn,[0]!chtTotAssetTO,[0]!chtWorkCap,[0]!chtWorkCapRatio,[0]!chtWorkCapTO)</definedName>
    <definedName name="SelRatio4" localSheetId="16">CHOOSE('Ratio Charts'!$Z$6,[0]!chtAccPayPer,[0]!chtAccPayTO,[0]!chtAssetGrow,[0]!chtAveCollPer,[0]!chtCapAssetTO,[0]!chtDebtEquity,[0]!chtDebtTotAsset,[0]!chtDivCover,[0]!chtEquityAsset,[0]!chtFixChgCov,chtGrowMargin,[0]!chtRevGrow,[0]!chtInvHoldPer,[0]!chtInvTO,[0]!chtLiabGrow,[0]!chtNetIncGrow,[0]!chtProfitMargin,Liquidity!chtQuickRatio,[0]!chtRecTO,[0]!chtROA,[0]!chtROCE,[0]!chtROE,[0]!chtTimesIntEarn,[0]!chtTotAssetTO,Liquidity!chtWorkCap,Liquidity!chtWorkCapRatio,Liquidity!chtWorkCapTO)</definedName>
    <definedName name="SelRatio4" localSheetId="3">CHOOSE('Ratio Charts'!$Z$6,Names!chtAccPayPer,Names!chtAccPayTO,Names!chtAssetGrow,Names!chtAveCollPer,Names!chtCapAssetTO,Names!chtDebtEquity,Names!chtDebtTotAsset,Names!chtDivCover,Names!chtEquityAsset,Names!chtFixChgCov,chtGrowMargin,Names!chtRevGrow,Names!chtInvHoldPer,Names!chtInvTO,Names!chtLiabGrow,Names!chtNetIncGrow,Names!chtProfitMargin,Names!chtQuickRatio,Names!chtRecTO,Names!chtROA,Names!chtROCE,Names!chtROE,Names!chtTimesIntEarn,Names!chtTotAssetTO,Names!chtWorkCap,Names!chtWorkCapRatio,Names!chtWorkCapTO)</definedName>
    <definedName name="SelRatio4" localSheetId="14">CHOOSE('Ratio Charts'!$Z$6,[0]!chtAccPayPer,[0]!chtAccPayTO,[0]!chtAssetGrow,[0]!chtAveCollPer,[0]!chtCapAssetTO,[0]!chtDebtEquity,[0]!chtDebtTotAsset,Profitability!chtDivCover,[0]!chtEquityAsset,[0]!chtFixChgCov,chtGrowMargin,[0]!chtRevGrow,[0]!chtInvHoldPer,[0]!chtInvTO,[0]!chtLiabGrow,[0]!chtNetIncGrow,Profitability!chtProfitMargin,[0]!chtQuickRatio,[0]!chtRecTO,Profitability!chtROA,Profitability!chtROCE,Profitability!chtROE,[0]!chtTimesIntEarn,[0]!chtTotAssetTO,[0]!chtWorkCap,[0]!chtWorkCapRatio,[0]!chtWorkCapTO)</definedName>
    <definedName name="SelRatio4" localSheetId="11">CHOOSE('Ratio Charts'!$Z$6,chtAccPayPer,chtAccPayTO,chtAssetGrow,chtAveCollPer,chtCapAssetTO,chtDebtEquity,chtDebtTotAsset,chtDivCover,chtEquityAsset,chtFixChgCov,chtGrowMargin,chtRevGrow,chtInvHoldPer,chtInvTO,chtLiabGrow,chtNetIncGrow,chtProfitMargin,chtQuickRatio,chtRecTO,chtROA,chtROCE,chtROE,chtTimesIntEarn,chtTotAssetTO,chtWorkCap,chtWorkCapRatio,chtWorkCapTO)</definedName>
    <definedName name="SelRatio4">CHOOSE(Ratio Charts!$Z$6,chtAccPayPer,chtAccPayTO,chtAssetGrow,chtAveCollPer,chtCapAssetTO,chtDebtEquity,chtDebtTotAsset,chtDivCover,chtEquityAsset,chtFixChgCov,chtGrowMargin,chtRevGrow,chtInvHoldPer,chtInvTO,chtLiabGrow,chtNetIncGrow,chtProfitMargin,chtQuickRatio,chtRecTO,chtROA,chtROCE,chtROE,chtTimesIntEarn,chtTotAssetTO,chtWorkCap,chtWorkCapRatio,chtWorkCapTO)</definedName>
    <definedName name="SV_AUTO_CONN_CATALOG" hidden="1">"saminc"</definedName>
    <definedName name="SV_AUTO_CONN_SERVER" hidden="1">"s300im1"</definedName>
    <definedName name="SV_DBTYPE">"5"</definedName>
    <definedName name="SV_ENCPT_AUTO_CONN_PASSWORD" hidden="1">"083096084083070086065116117119052116100"</definedName>
    <definedName name="SV_ENCPT_AUTO_CONN_USER" hidden="1">"095094088070084121098"</definedName>
    <definedName name="SV_ENCPT_LOGON_PWD" hidden="1">"078104085088070"</definedName>
    <definedName name="SV_ENCPT_LOGON_USER" hidden="1">"095094088070084071069078075078"</definedName>
    <definedName name="SV_REPORT_CODE" localSheetId="15">"S300-SQL-AI27-1-0"</definedName>
    <definedName name="SV_REPORT_CODE" localSheetId="13">"S300-SQL-AI27-1-0"</definedName>
    <definedName name="SV_REPORT_CODE" localSheetId="17">"S300-SQL-AI27-1-0"</definedName>
    <definedName name="SV_REPORT_CODE" localSheetId="18">"S300-SQL-AI27-1-0"</definedName>
    <definedName name="SV_REPORT_CODE" localSheetId="16">"S300-SQL-AI27-1-0"</definedName>
    <definedName name="SV_REPORT_CODE" localSheetId="3">"S300-SQL-AI27-1-0"</definedName>
    <definedName name="SV_REPORT_CODE" localSheetId="14">"S300-SQL-AI27-1-0"</definedName>
    <definedName name="SV_REPORT_CODE" localSheetId="11">"S300-SQL-AI27-1-0"</definedName>
    <definedName name="SV_REPORT_CODE" localSheetId="2">"S300-SQL-AI27-1-0"</definedName>
    <definedName name="SV_REPORT_CODE">"S300-SQL-AI25-1-0"</definedName>
    <definedName name="SV_REPORT_ID">"12"</definedName>
    <definedName name="SV_REPORT_NAME" localSheetId="15">"Financial Ratio S300SQL 1-0"</definedName>
    <definedName name="SV_REPORT_NAME" localSheetId="13">"Financial Ratio S300SQL 1-0"</definedName>
    <definedName name="SV_REPORT_NAME" localSheetId="17">"Financial Ratio S300SQL 1-0"</definedName>
    <definedName name="SV_REPORT_NAME" localSheetId="18">"Financial Ratio S300SQL 1-0"</definedName>
    <definedName name="SV_REPORT_NAME" localSheetId="16">"Financial Ratio S300SQL 1-0"</definedName>
    <definedName name="SV_REPORT_NAME" localSheetId="3">"Financial Ratio S300SQL 1-0"</definedName>
    <definedName name="SV_REPORT_NAME" localSheetId="14">"Financial Ratio S300SQL 1-0"</definedName>
    <definedName name="SV_REPORT_NAME" localSheetId="11">"Financial Ratio S300SQL 1-0"</definedName>
    <definedName name="SV_REPORT_NAME" localSheetId="2">"Financial Ratio S300SQL 1-0"</definedName>
    <definedName name="SV_REPORT_NAME">"Financial Income Statement S300SQL 1-0"</definedName>
    <definedName name="SV_REPOSCODE">""</definedName>
    <definedName name="SV_SOLUTION_ID">"33"</definedName>
    <definedName name="SV_TENANT_CODE">"SAMINC"</definedName>
    <definedName name="v">'[1]Go! Internal'!$A$2</definedName>
    <definedName name="XLGENIE_GLOBAL_PIVOT_ALLWORD">"(All)"</definedName>
    <definedName name="Years">OFFSET(RatioOptions!$A$2,0,0,COUNTA(RatioOptions!$A$2:$A$65000),1)</definedName>
  </definedNames>
  <calcPr calcId="152511"/>
  <pivotCaches>
    <pivotCache cacheId="0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2" l="1"/>
  <c r="D6" i="42"/>
  <c r="E40" i="42"/>
  <c r="F40" i="42"/>
  <c r="G40" i="42"/>
  <c r="H40" i="42"/>
  <c r="I40" i="42"/>
  <c r="E41" i="42"/>
  <c r="F41" i="42"/>
  <c r="G41" i="42"/>
  <c r="H41" i="42"/>
  <c r="I41" i="42"/>
  <c r="E36" i="42"/>
  <c r="F36" i="42"/>
  <c r="G36" i="42"/>
  <c r="H36" i="42"/>
  <c r="I36" i="42"/>
  <c r="E37" i="42"/>
  <c r="F37" i="42"/>
  <c r="G37" i="42"/>
  <c r="H37" i="42"/>
  <c r="I37" i="42"/>
  <c r="E33" i="42"/>
  <c r="F33" i="42"/>
  <c r="G33" i="42"/>
  <c r="H33" i="42"/>
  <c r="I33" i="42"/>
  <c r="E34" i="42"/>
  <c r="F34" i="42"/>
  <c r="G34" i="42"/>
  <c r="H34" i="42"/>
  <c r="I34" i="42"/>
  <c r="E28" i="42"/>
  <c r="F28" i="42"/>
  <c r="G28" i="42"/>
  <c r="H28" i="42"/>
  <c r="I28" i="42"/>
  <c r="E29" i="42"/>
  <c r="F29" i="42"/>
  <c r="G29" i="42"/>
  <c r="H29" i="42"/>
  <c r="I29" i="42"/>
  <c r="E30" i="42"/>
  <c r="F30" i="42"/>
  <c r="G30" i="42"/>
  <c r="H30" i="42"/>
  <c r="I30" i="42"/>
  <c r="E23" i="42"/>
  <c r="F23" i="42"/>
  <c r="G23" i="42"/>
  <c r="H23" i="42"/>
  <c r="I23" i="42"/>
  <c r="E24" i="42"/>
  <c r="F24" i="42"/>
  <c r="G24" i="42"/>
  <c r="H24" i="42"/>
  <c r="I24" i="42"/>
  <c r="E25" i="42"/>
  <c r="F25" i="42"/>
  <c r="G25" i="42"/>
  <c r="H25" i="42"/>
  <c r="I25" i="42"/>
  <c r="E26" i="42"/>
  <c r="F26" i="42"/>
  <c r="G26" i="42"/>
  <c r="H26" i="42"/>
  <c r="I26" i="42"/>
  <c r="E20" i="42"/>
  <c r="F20" i="42"/>
  <c r="G20" i="42"/>
  <c r="H20" i="42"/>
  <c r="I20" i="42"/>
  <c r="E21" i="42"/>
  <c r="F21" i="42"/>
  <c r="G21" i="42"/>
  <c r="H21" i="42"/>
  <c r="I21" i="42"/>
  <c r="E16" i="42"/>
  <c r="F16" i="42"/>
  <c r="G16" i="42"/>
  <c r="H16" i="42"/>
  <c r="I16" i="42"/>
  <c r="E17" i="42"/>
  <c r="F17" i="42"/>
  <c r="G17" i="42"/>
  <c r="H17" i="42"/>
  <c r="I17" i="42"/>
  <c r="E18" i="42"/>
  <c r="F18" i="42"/>
  <c r="G18" i="42"/>
  <c r="H18" i="42"/>
  <c r="I18" i="42"/>
  <c r="E14" i="42"/>
  <c r="F14" i="42"/>
  <c r="G14" i="42"/>
  <c r="H14" i="42"/>
  <c r="I14" i="42"/>
  <c r="E11" i="42"/>
  <c r="F11" i="42"/>
  <c r="G11" i="42"/>
  <c r="H11" i="42"/>
  <c r="I11" i="42"/>
  <c r="E12" i="42"/>
  <c r="F12" i="42"/>
  <c r="G12" i="42"/>
  <c r="H12" i="42"/>
  <c r="I12" i="42"/>
  <c r="I10" i="42"/>
  <c r="D7" i="40" l="1"/>
  <c r="D7" i="41"/>
  <c r="D6" i="40" l="1"/>
  <c r="D8" i="40"/>
  <c r="D5" i="41"/>
  <c r="D5" i="40"/>
  <c r="D6" i="41"/>
  <c r="E31" i="42" l="1"/>
  <c r="E35" i="42"/>
  <c r="H35" i="42"/>
  <c r="H31" i="42"/>
  <c r="H38" i="42"/>
  <c r="E38" i="42"/>
  <c r="H27" i="42"/>
  <c r="C14" i="49"/>
  <c r="G13" i="42"/>
  <c r="G15" i="42" s="1"/>
  <c r="G19" i="42" s="1"/>
  <c r="G22" i="42" s="1"/>
  <c r="G42" i="42" s="1"/>
  <c r="I13" i="42"/>
  <c r="I15" i="42" s="1"/>
  <c r="I19" i="42" s="1"/>
  <c r="I22" i="42" s="1"/>
  <c r="I42" i="42" s="1"/>
  <c r="D15" i="40" s="1"/>
  <c r="E13" i="42"/>
  <c r="E15" i="42" s="1"/>
  <c r="E19" i="42" s="1"/>
  <c r="E22" i="42" s="1"/>
  <c r="E42" i="42" s="1"/>
  <c r="F13" i="42"/>
  <c r="F15" i="42" s="1"/>
  <c r="F19" i="42" s="1"/>
  <c r="F22" i="42" s="1"/>
  <c r="F42" i="42" s="1"/>
  <c r="H13" i="42"/>
  <c r="H15" i="42" s="1"/>
  <c r="H19" i="42" s="1"/>
  <c r="H22" i="42" s="1"/>
  <c r="H42" i="42" s="1"/>
  <c r="D4" i="42"/>
  <c r="D4" i="40" l="1"/>
  <c r="D4" i="41"/>
  <c r="C2" i="44" s="1"/>
  <c r="E39" i="42"/>
  <c r="E43" i="42" s="1"/>
  <c r="H39" i="42"/>
  <c r="H43" i="42" s="1"/>
  <c r="H32" i="42"/>
  <c r="T15" i="49"/>
  <c r="S15" i="49" s="1"/>
  <c r="R15" i="49" s="1"/>
  <c r="K2" i="44"/>
  <c r="V15" i="49"/>
  <c r="H10" i="41" l="1"/>
  <c r="G10" i="41" s="1"/>
  <c r="C3" i="46"/>
  <c r="C2" i="49"/>
  <c r="G10" i="42"/>
  <c r="F10" i="42" s="1"/>
  <c r="E10" i="42" s="1"/>
  <c r="G14" i="44"/>
  <c r="B12" i="46"/>
  <c r="B11" i="46"/>
  <c r="B10" i="46"/>
  <c r="A10" i="46" s="1"/>
  <c r="B9" i="46"/>
  <c r="G7" i="44" s="1"/>
  <c r="B8" i="46"/>
  <c r="J47" i="41"/>
  <c r="J46" i="41"/>
  <c r="J45" i="41"/>
  <c r="J44" i="41"/>
  <c r="J41" i="41"/>
  <c r="J40" i="41"/>
  <c r="J39" i="41"/>
  <c r="J38" i="41"/>
  <c r="J37" i="41"/>
  <c r="J34" i="41"/>
  <c r="J33" i="41"/>
  <c r="J32" i="41"/>
  <c r="J31" i="41"/>
  <c r="J28" i="41"/>
  <c r="J27" i="41"/>
  <c r="J26" i="41"/>
  <c r="J25" i="41"/>
  <c r="J24" i="41"/>
  <c r="J23" i="41"/>
  <c r="J22" i="41"/>
  <c r="J21" i="41"/>
  <c r="J18" i="41"/>
  <c r="J17" i="41"/>
  <c r="J16" i="41"/>
  <c r="J15" i="41"/>
  <c r="J14" i="41"/>
  <c r="J13" i="41"/>
  <c r="G47" i="40"/>
  <c r="G46" i="40"/>
  <c r="G45" i="40"/>
  <c r="G44" i="40"/>
  <c r="G41" i="40"/>
  <c r="G40" i="40"/>
  <c r="G39" i="40"/>
  <c r="G38" i="40"/>
  <c r="G37" i="40"/>
  <c r="G34" i="40"/>
  <c r="G33" i="40"/>
  <c r="G32" i="40"/>
  <c r="G31" i="40"/>
  <c r="G28" i="40"/>
  <c r="G27" i="40"/>
  <c r="G26" i="40"/>
  <c r="G25" i="40"/>
  <c r="G24" i="40"/>
  <c r="G23" i="40"/>
  <c r="G22" i="40"/>
  <c r="G21" i="40"/>
  <c r="G18" i="40"/>
  <c r="G17" i="40"/>
  <c r="G16" i="40"/>
  <c r="G15" i="40"/>
  <c r="G14" i="40"/>
  <c r="G13" i="40"/>
  <c r="D47" i="41"/>
  <c r="D46" i="41"/>
  <c r="D45" i="41"/>
  <c r="D10" i="40"/>
  <c r="L16" i="49" l="1"/>
  <c r="A9" i="46"/>
  <c r="A11" i="46"/>
  <c r="I7" i="44"/>
  <c r="K7" i="44"/>
  <c r="A8" i="46"/>
  <c r="A12" i="46"/>
  <c r="E7" i="44"/>
  <c r="M7" i="44"/>
  <c r="G7" i="46"/>
  <c r="F13" i="43"/>
  <c r="F12" i="43"/>
  <c r="F11" i="43"/>
  <c r="F10" i="43"/>
  <c r="F9" i="43"/>
  <c r="D41" i="42"/>
  <c r="D40" i="42"/>
  <c r="D36" i="42"/>
  <c r="D34" i="42"/>
  <c r="D33" i="42"/>
  <c r="D30" i="42"/>
  <c r="D29" i="42"/>
  <c r="D28" i="42"/>
  <c r="D26" i="42"/>
  <c r="D25" i="42"/>
  <c r="D24" i="42"/>
  <c r="D23" i="42"/>
  <c r="C23" i="42"/>
  <c r="D21" i="42"/>
  <c r="C21" i="42"/>
  <c r="D20" i="42"/>
  <c r="D18" i="42"/>
  <c r="D17" i="42"/>
  <c r="D16" i="42"/>
  <c r="D14" i="42"/>
  <c r="D12" i="42"/>
  <c r="D11" i="42"/>
  <c r="D44" i="41" s="1"/>
  <c r="C2" i="42"/>
  <c r="F10" i="41"/>
  <c r="E10" i="41" s="1"/>
  <c r="D10" i="41" s="1"/>
  <c r="C2" i="41"/>
  <c r="C2" i="40"/>
  <c r="M42" i="44" l="1"/>
  <c r="M17" i="44"/>
  <c r="M34" i="44"/>
  <c r="M16" i="44"/>
  <c r="M30" i="44"/>
  <c r="M43" i="44"/>
  <c r="M18" i="44"/>
  <c r="M35" i="44"/>
  <c r="M47" i="44"/>
  <c r="M31" i="44"/>
  <c r="M50" i="44"/>
  <c r="M26" i="44"/>
  <c r="M36" i="44"/>
  <c r="M48" i="44"/>
  <c r="M28" i="44"/>
  <c r="M19" i="44"/>
  <c r="M27" i="44"/>
  <c r="M44" i="44"/>
  <c r="M20" i="44"/>
  <c r="M29" i="44"/>
  <c r="M40" i="44"/>
  <c r="M24" i="44"/>
  <c r="M41" i="44"/>
  <c r="M21" i="44"/>
  <c r="M37" i="44"/>
  <c r="M49" i="44"/>
  <c r="M25" i="44"/>
  <c r="E23" i="40"/>
  <c r="G23" i="41"/>
  <c r="E24" i="40"/>
  <c r="G24" i="41"/>
  <c r="E26" i="40"/>
  <c r="G26" i="41"/>
  <c r="D21" i="40"/>
  <c r="H21" i="41"/>
  <c r="H17" i="41"/>
  <c r="G20" i="44" s="1"/>
  <c r="D17" i="40"/>
  <c r="H22" i="41"/>
  <c r="D22" i="40"/>
  <c r="H44" i="41"/>
  <c r="G47" i="44" s="1"/>
  <c r="E17" i="40"/>
  <c r="G17" i="41"/>
  <c r="I20" i="44" s="1"/>
  <c r="D44" i="40"/>
  <c r="E22" i="40"/>
  <c r="G22" i="41"/>
  <c r="H24" i="41"/>
  <c r="H26" i="41"/>
  <c r="D26" i="40"/>
  <c r="D24" i="40"/>
  <c r="G21" i="41"/>
  <c r="E21" i="40"/>
  <c r="H23" i="41"/>
  <c r="D23" i="40"/>
  <c r="E27" i="40"/>
  <c r="G27" i="41"/>
  <c r="H27" i="41"/>
  <c r="D27" i="40"/>
  <c r="G25" i="41"/>
  <c r="E25" i="40"/>
  <c r="D25" i="40"/>
  <c r="H25" i="41"/>
  <c r="E10" i="40"/>
  <c r="F7" i="46"/>
  <c r="F6" i="46" s="1"/>
  <c r="C4" i="46"/>
  <c r="D4" i="46" s="1"/>
  <c r="I38" i="42"/>
  <c r="I27" i="42"/>
  <c r="I31" i="42"/>
  <c r="I35" i="42"/>
  <c r="U18" i="49" l="1"/>
  <c r="I25" i="44"/>
  <c r="U22" i="49"/>
  <c r="I29" i="44"/>
  <c r="U23" i="49"/>
  <c r="I30" i="44"/>
  <c r="V22" i="49"/>
  <c r="G29" i="44"/>
  <c r="V17" i="49"/>
  <c r="G24" i="44"/>
  <c r="U20" i="49"/>
  <c r="I27" i="44"/>
  <c r="U21" i="49"/>
  <c r="I28" i="44"/>
  <c r="U17" i="49"/>
  <c r="I24" i="44"/>
  <c r="V20" i="49"/>
  <c r="G27" i="44"/>
  <c r="V18" i="49"/>
  <c r="G25" i="44"/>
  <c r="V21" i="49"/>
  <c r="G28" i="44"/>
  <c r="U19" i="49"/>
  <c r="I26" i="44"/>
  <c r="V23" i="49"/>
  <c r="G30" i="44"/>
  <c r="V19" i="49"/>
  <c r="G26" i="44"/>
  <c r="I39" i="42"/>
  <c r="I43" i="42" s="1"/>
  <c r="I32" i="42"/>
  <c r="C19" i="49" s="1"/>
  <c r="G13" i="41"/>
  <c r="I16" i="44" s="1"/>
  <c r="H15" i="41"/>
  <c r="G18" i="44" s="1"/>
  <c r="G18" i="49"/>
  <c r="G17" i="49"/>
  <c r="F8" i="46"/>
  <c r="G16" i="41"/>
  <c r="I19" i="44" s="1"/>
  <c r="E16" i="40"/>
  <c r="G38" i="41"/>
  <c r="I41" i="44" s="1"/>
  <c r="E38" i="40"/>
  <c r="E39" i="40"/>
  <c r="G39" i="41"/>
  <c r="I42" i="44" s="1"/>
  <c r="F26" i="40"/>
  <c r="E13" i="40"/>
  <c r="H38" i="41"/>
  <c r="G41" i="44" s="1"/>
  <c r="D38" i="40"/>
  <c r="H39" i="41"/>
  <c r="G42" i="44" s="1"/>
  <c r="D39" i="40"/>
  <c r="I26" i="41"/>
  <c r="K29" i="44" s="1"/>
  <c r="F23" i="40"/>
  <c r="F27" i="40"/>
  <c r="F22" i="40"/>
  <c r="F24" i="40"/>
  <c r="F22" i="41"/>
  <c r="E44" i="40"/>
  <c r="F44" i="40" s="1"/>
  <c r="G44" i="41"/>
  <c r="I47" i="44" s="1"/>
  <c r="F17" i="41"/>
  <c r="F12" i="46"/>
  <c r="G38" i="42"/>
  <c r="F21" i="41"/>
  <c r="F26" i="41"/>
  <c r="F24" i="41"/>
  <c r="G27" i="42"/>
  <c r="F23" i="41"/>
  <c r="F27" i="41"/>
  <c r="G31" i="42"/>
  <c r="F25" i="41"/>
  <c r="G35" i="42"/>
  <c r="D31" i="40"/>
  <c r="H31" i="41"/>
  <c r="I22" i="41"/>
  <c r="K25" i="44" s="1"/>
  <c r="I17" i="41"/>
  <c r="K20" i="44" s="1"/>
  <c r="D34" i="40"/>
  <c r="H34" i="41"/>
  <c r="H32" i="41"/>
  <c r="D32" i="40"/>
  <c r="I25" i="41"/>
  <c r="K28" i="44" s="1"/>
  <c r="I21" i="41"/>
  <c r="K24" i="44" s="1"/>
  <c r="E34" i="40"/>
  <c r="E32" i="40"/>
  <c r="G34" i="41"/>
  <c r="I37" i="44" s="1"/>
  <c r="G32" i="41"/>
  <c r="I35" i="44" s="1"/>
  <c r="G31" i="41"/>
  <c r="E31" i="40"/>
  <c r="E33" i="40" s="1"/>
  <c r="F25" i="40"/>
  <c r="I27" i="41"/>
  <c r="K30" i="44" s="1"/>
  <c r="I23" i="41"/>
  <c r="K26" i="44" s="1"/>
  <c r="I24" i="41"/>
  <c r="K27" i="44" s="1"/>
  <c r="F17" i="40"/>
  <c r="F21" i="40"/>
  <c r="E7" i="46"/>
  <c r="E6" i="46" s="1"/>
  <c r="G33" i="41" l="1"/>
  <c r="I36" i="44" s="1"/>
  <c r="I34" i="44"/>
  <c r="L22" i="49"/>
  <c r="G35" i="44"/>
  <c r="L24" i="49"/>
  <c r="G37" i="44"/>
  <c r="L21" i="49"/>
  <c r="G34" i="44"/>
  <c r="G39" i="42"/>
  <c r="G43" i="42" s="1"/>
  <c r="G32" i="42"/>
  <c r="D45" i="40"/>
  <c r="H13" i="41"/>
  <c r="D16" i="40"/>
  <c r="F16" i="40" s="1"/>
  <c r="H16" i="41"/>
  <c r="G19" i="44" s="1"/>
  <c r="H45" i="41"/>
  <c r="G48" i="44" s="1"/>
  <c r="L18" i="49"/>
  <c r="L17" i="49"/>
  <c r="L19" i="49"/>
  <c r="D13" i="40"/>
  <c r="F13" i="40" s="1"/>
  <c r="G20" i="49"/>
  <c r="G16" i="49"/>
  <c r="T20" i="49"/>
  <c r="G19" i="49"/>
  <c r="T21" i="49"/>
  <c r="T23" i="49"/>
  <c r="T22" i="49"/>
  <c r="T18" i="49"/>
  <c r="T19" i="49"/>
  <c r="T17" i="49"/>
  <c r="F11" i="46"/>
  <c r="E8" i="46"/>
  <c r="F38" i="41"/>
  <c r="F39" i="41"/>
  <c r="F38" i="40"/>
  <c r="I38" i="41"/>
  <c r="K41" i="44" s="1"/>
  <c r="F39" i="40"/>
  <c r="I39" i="41"/>
  <c r="K42" i="44" s="1"/>
  <c r="D40" i="40"/>
  <c r="H40" i="41"/>
  <c r="G43" i="44" s="1"/>
  <c r="I44" i="41"/>
  <c r="K47" i="44" s="1"/>
  <c r="F32" i="40"/>
  <c r="E26" i="41"/>
  <c r="S22" i="49" s="1"/>
  <c r="E24" i="41"/>
  <c r="S20" i="49" s="1"/>
  <c r="F27" i="42"/>
  <c r="E23" i="41"/>
  <c r="S19" i="49" s="1"/>
  <c r="E27" i="41"/>
  <c r="S23" i="49" s="1"/>
  <c r="F31" i="42"/>
  <c r="E25" i="41"/>
  <c r="S21" i="49" s="1"/>
  <c r="F35" i="42"/>
  <c r="E17" i="41"/>
  <c r="F44" i="41"/>
  <c r="E22" i="41"/>
  <c r="S18" i="49" s="1"/>
  <c r="E12" i="46"/>
  <c r="E21" i="41"/>
  <c r="S17" i="49" s="1"/>
  <c r="F38" i="42"/>
  <c r="H47" i="41"/>
  <c r="G50" i="44" s="1"/>
  <c r="D47" i="40"/>
  <c r="I32" i="41"/>
  <c r="K35" i="44" s="1"/>
  <c r="I34" i="41"/>
  <c r="K37" i="44" s="1"/>
  <c r="G37" i="41"/>
  <c r="I40" i="44" s="1"/>
  <c r="E28" i="40"/>
  <c r="E18" i="40"/>
  <c r="E14" i="40"/>
  <c r="G28" i="41"/>
  <c r="G18" i="41"/>
  <c r="I21" i="44" s="1"/>
  <c r="G14" i="41"/>
  <c r="I17" i="44" s="1"/>
  <c r="D46" i="40"/>
  <c r="H46" i="41"/>
  <c r="G49" i="44" s="1"/>
  <c r="G41" i="41"/>
  <c r="I44" i="44" s="1"/>
  <c r="E41" i="40"/>
  <c r="E37" i="40"/>
  <c r="F34" i="40"/>
  <c r="H33" i="41"/>
  <c r="I31" i="41"/>
  <c r="K34" i="44" s="1"/>
  <c r="F31" i="41"/>
  <c r="F34" i="41"/>
  <c r="F32" i="41"/>
  <c r="H28" i="41"/>
  <c r="H18" i="41"/>
  <c r="G21" i="44" s="1"/>
  <c r="H14" i="41"/>
  <c r="G17" i="44" s="1"/>
  <c r="H41" i="41"/>
  <c r="G44" i="44" s="1"/>
  <c r="H37" i="41"/>
  <c r="G40" i="44" s="1"/>
  <c r="D41" i="40"/>
  <c r="D37" i="40"/>
  <c r="D28" i="40"/>
  <c r="D18" i="40"/>
  <c r="D14" i="40"/>
  <c r="G15" i="41"/>
  <c r="I18" i="44" s="1"/>
  <c r="E40" i="40"/>
  <c r="E15" i="40"/>
  <c r="G40" i="41"/>
  <c r="I43" i="44" s="1"/>
  <c r="D33" i="40"/>
  <c r="F33" i="40" s="1"/>
  <c r="F31" i="40"/>
  <c r="D7" i="46"/>
  <c r="D6" i="46" s="1"/>
  <c r="U24" i="49" l="1"/>
  <c r="I31" i="44"/>
  <c r="I13" i="41"/>
  <c r="K16" i="44" s="1"/>
  <c r="G16" i="44"/>
  <c r="V24" i="49"/>
  <c r="G31" i="44"/>
  <c r="L23" i="49"/>
  <c r="G36" i="44"/>
  <c r="F39" i="42"/>
  <c r="F43" i="42" s="1"/>
  <c r="F32" i="42"/>
  <c r="F37" i="40"/>
  <c r="F16" i="41"/>
  <c r="I16" i="41"/>
  <c r="K19" i="44" s="1"/>
  <c r="F15" i="40"/>
  <c r="C9" i="49" s="1"/>
  <c r="E10" i="46"/>
  <c r="F10" i="46"/>
  <c r="G45" i="41"/>
  <c r="I48" i="44" s="1"/>
  <c r="F9" i="46"/>
  <c r="E45" i="40"/>
  <c r="F45" i="40" s="1"/>
  <c r="F45" i="41"/>
  <c r="F13" i="41"/>
  <c r="E38" i="41"/>
  <c r="E39" i="41"/>
  <c r="E16" i="41"/>
  <c r="F40" i="40"/>
  <c r="F41" i="40"/>
  <c r="F14" i="40"/>
  <c r="F18" i="40"/>
  <c r="F28" i="40"/>
  <c r="D25" i="41"/>
  <c r="R21" i="49" s="1"/>
  <c r="D23" i="41"/>
  <c r="R19" i="49" s="1"/>
  <c r="D24" i="41"/>
  <c r="R20" i="49" s="1"/>
  <c r="D26" i="41"/>
  <c r="R22" i="49" s="1"/>
  <c r="D27" i="41"/>
  <c r="R23" i="49" s="1"/>
  <c r="E27" i="42"/>
  <c r="E32" i="42" s="1"/>
  <c r="D22" i="41"/>
  <c r="R18" i="49" s="1"/>
  <c r="D17" i="41"/>
  <c r="E44" i="41"/>
  <c r="D8" i="46"/>
  <c r="D12" i="46"/>
  <c r="D21" i="41"/>
  <c r="R17" i="49" s="1"/>
  <c r="I15" i="41"/>
  <c r="K18" i="44" s="1"/>
  <c r="F40" i="41"/>
  <c r="F15" i="41"/>
  <c r="E34" i="41"/>
  <c r="E32" i="41"/>
  <c r="D3" i="46"/>
  <c r="G6" i="46"/>
  <c r="I14" i="41"/>
  <c r="K17" i="44" s="1"/>
  <c r="I18" i="41"/>
  <c r="K21" i="44" s="1"/>
  <c r="G47" i="41"/>
  <c r="I50" i="44" s="1"/>
  <c r="E47" i="40"/>
  <c r="F47" i="40" s="1"/>
  <c r="I33" i="41"/>
  <c r="K36" i="44" s="1"/>
  <c r="I40" i="41"/>
  <c r="K43" i="44" s="1"/>
  <c r="I41" i="41"/>
  <c r="K44" i="44" s="1"/>
  <c r="E46" i="40"/>
  <c r="F46" i="40" s="1"/>
  <c r="F28" i="41"/>
  <c r="F18" i="41"/>
  <c r="F14" i="41"/>
  <c r="G46" i="41"/>
  <c r="I49" i="44" s="1"/>
  <c r="F41" i="41"/>
  <c r="F37" i="41"/>
  <c r="I37" i="41"/>
  <c r="K40" i="44" s="1"/>
  <c r="I28" i="41"/>
  <c r="K31" i="44" s="1"/>
  <c r="F33" i="41"/>
  <c r="E31" i="41"/>
  <c r="E33" i="41" s="1"/>
  <c r="C7" i="46"/>
  <c r="C6" i="46" s="1"/>
  <c r="A4" i="1"/>
  <c r="A6" i="1"/>
  <c r="C10" i="46" l="1"/>
  <c r="C4" i="49"/>
  <c r="T24" i="49"/>
  <c r="I45" i="41"/>
  <c r="K48" i="44" s="1"/>
  <c r="E9" i="46"/>
  <c r="E11" i="46"/>
  <c r="C12" i="46"/>
  <c r="C8" i="46"/>
  <c r="E13" i="41"/>
  <c r="D9" i="46"/>
  <c r="E40" i="41"/>
  <c r="D38" i="41"/>
  <c r="D39" i="41"/>
  <c r="I47" i="41"/>
  <c r="K50" i="44" s="1"/>
  <c r="F46" i="41"/>
  <c r="E41" i="41"/>
  <c r="E37" i="41"/>
  <c r="E28" i="41"/>
  <c r="S24" i="49" s="1"/>
  <c r="E18" i="41"/>
  <c r="E14" i="41"/>
  <c r="I46" i="41"/>
  <c r="K49" i="44" s="1"/>
  <c r="G9" i="46"/>
  <c r="G10" i="46"/>
  <c r="G12" i="46"/>
  <c r="G8" i="46"/>
  <c r="G11" i="46"/>
  <c r="F47" i="41"/>
  <c r="D31" i="41"/>
  <c r="D33" i="41" s="1"/>
  <c r="D34" i="41"/>
  <c r="D32" i="41"/>
  <c r="C11" i="46" l="1"/>
  <c r="D16" i="41"/>
  <c r="E45" i="41"/>
  <c r="D11" i="46"/>
  <c r="D10" i="46"/>
  <c r="E15" i="41"/>
  <c r="D13" i="41"/>
  <c r="C9" i="46"/>
  <c r="K8" i="44"/>
  <c r="H11" i="46"/>
  <c r="K9" i="44" s="1"/>
  <c r="D28" i="41"/>
  <c r="R24" i="49" s="1"/>
  <c r="D18" i="41"/>
  <c r="D14" i="41"/>
  <c r="E46" i="41"/>
  <c r="D41" i="41"/>
  <c r="D37" i="41"/>
  <c r="G8" i="44"/>
  <c r="H9" i="46"/>
  <c r="G9" i="44" s="1"/>
  <c r="E8" i="44"/>
  <c r="H8" i="46"/>
  <c r="E9" i="44" s="1"/>
  <c r="M8" i="44"/>
  <c r="H12" i="46"/>
  <c r="M9" i="44" s="1"/>
  <c r="E47" i="41"/>
  <c r="I8" i="44"/>
  <c r="H10" i="46"/>
  <c r="I9" i="44" s="1"/>
  <c r="D40" i="41"/>
  <c r="D15" i="41"/>
</calcChain>
</file>

<file path=xl/sharedStrings.xml><?xml version="1.0" encoding="utf-8"?>
<sst xmlns="http://schemas.openxmlformats.org/spreadsheetml/2006/main" count="336" uniqueCount="140">
  <si>
    <t>Bound Cell</t>
  </si>
  <si>
    <t>Delimiter</t>
  </si>
  <si>
    <t>Decimal</t>
  </si>
  <si>
    <t>Companies</t>
  </si>
  <si>
    <t>Fiscal Years</t>
  </si>
  <si>
    <t>Periods</t>
  </si>
  <si>
    <t>Formulas Ranges</t>
  </si>
  <si>
    <t>Missing Accounts</t>
  </si>
  <si>
    <t>Account Description</t>
  </si>
  <si>
    <t>If you ever need to check if there are accounts missing from your financial reports, use the Missing Accounts feature and look here.</t>
  </si>
  <si>
    <t>Company Name</t>
  </si>
  <si>
    <t>Account Number</t>
  </si>
  <si>
    <t>Account Type</t>
  </si>
  <si>
    <t>Companies Budgets</t>
  </si>
  <si>
    <t>Budgets</t>
  </si>
  <si>
    <t>Budgets ID</t>
  </si>
  <si>
    <t>Current Period:</t>
  </si>
  <si>
    <t>Company:</t>
  </si>
  <si>
    <t>Currency:</t>
  </si>
  <si>
    <t>Currency Type:</t>
  </si>
  <si>
    <t>F</t>
  </si>
  <si>
    <t>GroupCode</t>
  </si>
  <si>
    <t>GroupName</t>
  </si>
  <si>
    <t>Variance</t>
  </si>
  <si>
    <t>AutoRefresh1</t>
  </si>
  <si>
    <t>SAMLTD</t>
  </si>
  <si>
    <t>Current Assets</t>
  </si>
  <si>
    <t>Total Assets</t>
  </si>
  <si>
    <t>Total Liabilities</t>
  </si>
  <si>
    <t>Row Labels</t>
  </si>
  <si>
    <t>Benchmark</t>
  </si>
  <si>
    <t>Profitability Ratios</t>
  </si>
  <si>
    <t>Profit Margin</t>
  </si>
  <si>
    <t>Return on Assets (ROA)</t>
  </si>
  <si>
    <t>Return on Equity (ROE)</t>
  </si>
  <si>
    <t>Dividend Coverage</t>
  </si>
  <si>
    <t>Gross Margin %</t>
  </si>
  <si>
    <t>Return on Capital Employed (ROCE)</t>
  </si>
  <si>
    <t>Asset Utilization Ratios</t>
  </si>
  <si>
    <t>Receivables Turnover</t>
  </si>
  <si>
    <t>Average Collection Period</t>
  </si>
  <si>
    <t>Inventory Turnover</t>
  </si>
  <si>
    <t>Inventory Holding Period</t>
  </si>
  <si>
    <t>Accounts Payable Turnover</t>
  </si>
  <si>
    <t>Accounts Payable Period</t>
  </si>
  <si>
    <t>Capital Asset Turnover</t>
  </si>
  <si>
    <t>Total Asset Turnover</t>
  </si>
  <si>
    <t>Liquidity Ratios</t>
  </si>
  <si>
    <t>Working Capital</t>
  </si>
  <si>
    <t>Working Capital Ratio (Current Ratio)</t>
  </si>
  <si>
    <t>Working Capital Turnover</t>
  </si>
  <si>
    <t>Quick Ratio (Acid Test)</t>
  </si>
  <si>
    <t>Debt Utilization Ratios</t>
  </si>
  <si>
    <t>Debt to Total Assets</t>
  </si>
  <si>
    <t>Times Interest Earned</t>
  </si>
  <si>
    <t>Fixed Charges Coverage</t>
  </si>
  <si>
    <t>Debt to Equity</t>
  </si>
  <si>
    <t>Equity to Assets</t>
  </si>
  <si>
    <t>Growth Ratios</t>
  </si>
  <si>
    <t>Revenue Growth</t>
  </si>
  <si>
    <t>Net Income Growth</t>
  </si>
  <si>
    <t>Asset Growth</t>
  </si>
  <si>
    <t>Liabilities Growth</t>
  </si>
  <si>
    <t>140</t>
  </si>
  <si>
    <t>150</t>
  </si>
  <si>
    <t>Gross Profit (Loss)</t>
  </si>
  <si>
    <t>160</t>
  </si>
  <si>
    <t>Total Income</t>
  </si>
  <si>
    <t>170</t>
  </si>
  <si>
    <t>180</t>
  </si>
  <si>
    <t>190</t>
  </si>
  <si>
    <t>Profit Before Interest and Tax</t>
  </si>
  <si>
    <t>200</t>
  </si>
  <si>
    <t>Net Income (Loss)</t>
  </si>
  <si>
    <t>20</t>
  </si>
  <si>
    <t>30</t>
  </si>
  <si>
    <t>40</t>
  </si>
  <si>
    <t>50</t>
  </si>
  <si>
    <t>60</t>
  </si>
  <si>
    <t>70</t>
  </si>
  <si>
    <t>Non Current Assets</t>
  </si>
  <si>
    <t>80</t>
  </si>
  <si>
    <t>90</t>
  </si>
  <si>
    <t>Current Liabilities</t>
  </si>
  <si>
    <t>100</t>
  </si>
  <si>
    <t>110</t>
  </si>
  <si>
    <t>Dividends</t>
  </si>
  <si>
    <t>Non Current Liabilities</t>
  </si>
  <si>
    <t>120</t>
  </si>
  <si>
    <t>130</t>
  </si>
  <si>
    <t>Total Shareholder's Equity</t>
  </si>
  <si>
    <t>Shareholder's Equity &amp; Liabilities</t>
  </si>
  <si>
    <t>FINANCIAL REPORT SETTINGS</t>
  </si>
  <si>
    <t xml:space="preserve">                               </t>
  </si>
  <si>
    <t>DEFINE KEY METRICS HERE</t>
  </si>
  <si>
    <t>DEFINE BENCHMARK VALUES HERE</t>
  </si>
  <si>
    <t>YOU CAN SHOW UP TO 5 KEY METRICS AT THE TOP OF THE FINANCIAL REPORT</t>
  </si>
  <si>
    <t>THE BENCHMARK VALUES ARE USED IN THE FINANCIAL RATIO REPORT AND ARE USED TO COMPARE ACTUAL RATIO VALUES AGAINST</t>
  </si>
  <si>
    <t>Select the Key Metrics for your report in cells C5 through C9.</t>
  </si>
  <si>
    <t>Financial Ratio Report</t>
  </si>
  <si>
    <t>KEY METRICS</t>
  </si>
  <si>
    <t>ALL RATIOS</t>
  </si>
  <si>
    <t>Financial Ratio Charts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</si>
  <si>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</si>
  <si>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</si>
  <si>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</si>
  <si>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</si>
  <si>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</si>
  <si>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DO NOT REMOVE THIS SHEET AND ITS CONTENTS 
AS IT IS USED IN THE CHARTS</t>
  </si>
  <si>
    <t xml:space="preserve">Select the Financial Report year to display.
</t>
  </si>
  <si>
    <t>Ratio Trend</t>
  </si>
  <si>
    <t>Financial Data</t>
  </si>
  <si>
    <t>ç</t>
  </si>
  <si>
    <t>Click to change report Key Metrics</t>
  </si>
  <si>
    <t>Æ</t>
  </si>
  <si>
    <t>Do not modify the information below.   Click to enter benchmark data</t>
  </si>
  <si>
    <t>Enter  benchmark values here to compare to your financial ratios</t>
  </si>
  <si>
    <t xml:space="preserve">Select the Key Metrics for your report in cells C10 through C14.
</t>
  </si>
  <si>
    <t>Facebook</t>
  </si>
  <si>
    <t>Twitter</t>
  </si>
  <si>
    <t>LinkedIn</t>
  </si>
  <si>
    <t>YouTube</t>
  </si>
  <si>
    <t>Current Ratio</t>
  </si>
  <si>
    <t>Dashboard</t>
  </si>
  <si>
    <t>Please select values from the drop down lists for both current year and prior year. Your values will be updated once you have refreshed</t>
  </si>
  <si>
    <t>Sage Intelligence Community</t>
  </si>
  <si>
    <t>|</t>
  </si>
  <si>
    <t>Blog</t>
  </si>
  <si>
    <t>Knowledgebase</t>
  </si>
  <si>
    <t>Support</t>
  </si>
  <si>
    <t xml:space="preserve"> View Standard Reports:</t>
  </si>
  <si>
    <t>Follow us</t>
  </si>
  <si>
    <t>Ratio Benchmarking</t>
  </si>
  <si>
    <t>Financial Report Settings</t>
  </si>
  <si>
    <t>StructureCode</t>
  </si>
  <si>
    <t>AccountGroupName</t>
  </si>
  <si>
    <t>GroupCategoryDescription</t>
  </si>
  <si>
    <t>NB.  The figures below are calculated off the Financial Data worksheet and do therefore not need to be refreshed as they are automatically updated when the Financial Data is refreshed.</t>
  </si>
  <si>
    <t>AutoRefresh2</t>
  </si>
  <si>
    <t>NB.  The figures below are calculations off various worksheets and do therefore not need to be refreshed as they are automatically updated when the Financial Data worksheet is refreshed.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</si>
</sst>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.00_ ;_ * \-#,##0.00_ ;_ * &quot;-&quot;??_ ;_ @_ "/>
    <numFmt numFmtId="165" formatCode="0;\-0;;@"/>
    <numFmt numFmtId="166" formatCode="#,##0.00;\(#,##0.00\)"/>
    <numFmt numFmtId="167" formatCode="[&gt;=0]#,##0.00%;\(#,##0.00%\)"/>
    <numFmt numFmtId="168" formatCode="[&gt;=0]#,##0.00;\(#,##0.00\)"/>
    <numFmt numFmtId="169" formatCode="#,##0.00_ ;\-#,##0.00\ "/>
  </numFmts>
  <fonts count="49" x14ac:knownFonts="1"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0"/>
      <name val="Segoe UI"/>
      <family val="2"/>
    </font>
    <font>
      <sz val="26"/>
      <color theme="1"/>
      <name val="Segoe UI"/>
      <family val="2"/>
    </font>
    <font>
      <b/>
      <sz val="12"/>
      <color theme="1"/>
      <name val="Calibri"/>
      <family val="2"/>
      <scheme val="minor"/>
    </font>
    <font>
      <sz val="10"/>
      <color rgb="FF4D4F53"/>
      <name val="Segoe UI"/>
      <family val="2"/>
    </font>
    <font>
      <sz val="26"/>
      <color rgb="FF4D4F53"/>
      <name val="Segoe UI Semibold"/>
      <family val="2"/>
    </font>
    <font>
      <sz val="24"/>
      <color rgb="FF4D4F53"/>
      <name val="Segoe UI Semibold"/>
      <family val="2"/>
    </font>
    <font>
      <sz val="11"/>
      <color rgb="FF4D4F53"/>
      <name val="Segoe UI"/>
      <family val="2"/>
    </font>
    <font>
      <sz val="11"/>
      <color theme="0"/>
      <name val="Arial"/>
      <family val="2"/>
    </font>
    <font>
      <sz val="10"/>
      <color rgb="FF4D4F53"/>
      <name val="Arial"/>
      <family val="2"/>
    </font>
    <font>
      <b/>
      <sz val="11"/>
      <color rgb="FF4D4F53"/>
      <name val="Arial"/>
      <family val="2"/>
    </font>
    <font>
      <sz val="11"/>
      <color rgb="FF4D4F53"/>
      <name val="Arial"/>
      <family val="2"/>
    </font>
    <font>
      <sz val="13"/>
      <color rgb="FF4D4F53"/>
      <name val="Segoe UI Light"/>
      <family val="2"/>
    </font>
    <font>
      <sz val="12"/>
      <color theme="1"/>
      <name val="Segoe UI"/>
      <family val="2"/>
    </font>
    <font>
      <sz val="14"/>
      <color rgb="FF4D4F53"/>
      <name val="Segoe UI Light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Segoe UI"/>
      <family val="2"/>
    </font>
    <font>
      <b/>
      <sz val="10"/>
      <color rgb="FF4D4F53"/>
      <name val="Arial"/>
      <family val="2"/>
    </font>
    <font>
      <b/>
      <sz val="18"/>
      <color theme="3"/>
      <name val="Calibri Light"/>
      <family val="2"/>
      <scheme val="major"/>
    </font>
    <font>
      <sz val="20"/>
      <color rgb="FF4D4F53"/>
      <name val="Segoe UI Semibold"/>
      <family val="2"/>
    </font>
    <font>
      <sz val="10"/>
      <name val="Arial"/>
      <family val="2"/>
    </font>
    <font>
      <sz val="10.5"/>
      <color rgb="FFFFFFFF"/>
      <name val="Franklin Gothic Medium"/>
      <family val="2"/>
    </font>
    <font>
      <sz val="24"/>
      <color rgb="FF4D4F53"/>
      <name val="Segoe UI"/>
      <family val="2"/>
    </font>
    <font>
      <sz val="14"/>
      <color rgb="FF4D4F53"/>
      <name val="Arial"/>
      <family val="2"/>
    </font>
    <font>
      <sz val="12"/>
      <color rgb="FF4D4F53"/>
      <name val="Segoe UI"/>
      <family val="2"/>
    </font>
    <font>
      <b/>
      <sz val="11"/>
      <color rgb="FF4D4F53"/>
      <name val="Calibri"/>
      <family val="2"/>
      <scheme val="minor"/>
    </font>
    <font>
      <sz val="16"/>
      <color rgb="FF4D4F53"/>
      <name val="Segoe UI Semibold"/>
      <family val="2"/>
    </font>
    <font>
      <sz val="11"/>
      <color rgb="FFFF0000"/>
      <name val="Segoe UI"/>
      <family val="2"/>
    </font>
    <font>
      <sz val="24"/>
      <color theme="0"/>
      <name val="Segoe UI"/>
      <family val="2"/>
    </font>
    <font>
      <sz val="24"/>
      <color rgb="FF34B233"/>
      <name val="Wingdings"/>
      <charset val="2"/>
    </font>
    <font>
      <i/>
      <sz val="11"/>
      <color rgb="FF34B233"/>
      <name val="Segoe UI"/>
      <family val="2"/>
    </font>
    <font>
      <sz val="18"/>
      <color rgb="FF34B233"/>
      <name val="Wingdings"/>
      <charset val="2"/>
    </font>
    <font>
      <sz val="20"/>
      <color rgb="FF34B233"/>
      <name val="Wingdings 3"/>
      <family val="1"/>
      <charset val="2"/>
    </font>
    <font>
      <i/>
      <sz val="11"/>
      <color rgb="FF34B233"/>
      <name val="Calibri"/>
      <family val="2"/>
      <scheme val="minor"/>
    </font>
    <font>
      <sz val="10"/>
      <color theme="0"/>
      <name val="Arial"/>
      <family val="2"/>
    </font>
    <font>
      <sz val="14"/>
      <color theme="0"/>
      <name val="Segoe UI"/>
      <family val="2"/>
    </font>
    <font>
      <sz val="10"/>
      <color theme="1"/>
      <name val="Segoe UI"/>
      <family val="2"/>
    </font>
    <font>
      <sz val="24"/>
      <color theme="0"/>
      <name val="Segoe UI Semibold"/>
      <family val="2"/>
    </font>
    <font>
      <b/>
      <sz val="10"/>
      <color theme="0"/>
      <name val="Arial"/>
      <family val="2"/>
    </font>
    <font>
      <sz val="12"/>
      <color rgb="FF009FDA"/>
      <name val="Segoe UI"/>
      <family val="2"/>
    </font>
    <font>
      <sz val="11"/>
      <color rgb="FF4D4F53"/>
      <name val="Calibri"/>
      <family val="2"/>
      <scheme val="minor"/>
    </font>
    <font>
      <sz val="14"/>
      <color rgb="FF4D4F5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4B233"/>
        <bgColor indexed="64"/>
      </patternFill>
    </fill>
    <fill>
      <patternFill patternType="solid">
        <fgColor rgb="FFCDCDC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40B23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rgb="FFA6A6A6"/>
      </left>
      <right/>
      <top style="medium">
        <color rgb="FFA6A6A6"/>
      </top>
      <bottom/>
      <diagonal/>
    </border>
    <border>
      <left style="thin">
        <color rgb="FFCDCDCE"/>
      </left>
      <right style="medium">
        <color rgb="FFA6A6A6"/>
      </right>
      <top style="medium">
        <color rgb="FFA6A6A6"/>
      </top>
      <bottom/>
      <diagonal/>
    </border>
    <border>
      <left style="medium">
        <color rgb="FFA6A6A6"/>
      </left>
      <right/>
      <top style="thin">
        <color rgb="FFCDCDCE"/>
      </top>
      <bottom/>
      <diagonal/>
    </border>
    <border>
      <left style="thin">
        <color rgb="FFCDCDCE"/>
      </left>
      <right style="medium">
        <color rgb="FFA6A6A6"/>
      </right>
      <top style="thin">
        <color rgb="FFCDCDCE"/>
      </top>
      <bottom/>
      <diagonal/>
    </border>
    <border>
      <left style="medium">
        <color rgb="FFA6A6A6"/>
      </left>
      <right/>
      <top style="thin">
        <color rgb="FFCDCDCE"/>
      </top>
      <bottom style="medium">
        <color rgb="FFA6A6A6"/>
      </bottom>
      <diagonal/>
    </border>
    <border>
      <left style="thin">
        <color rgb="FFCDCDCE"/>
      </left>
      <right style="medium">
        <color rgb="FFA6A6A6"/>
      </right>
      <top style="thin">
        <color rgb="FFCDCDCE"/>
      </top>
      <bottom style="medium">
        <color rgb="FFA6A6A6"/>
      </bottom>
      <diagonal/>
    </border>
  </borders>
  <cellStyleXfs count="23">
    <xf numFmtId="0" fontId="0" fillId="0" borderId="0"/>
    <xf numFmtId="0" fontId="5" fillId="0" borderId="0"/>
    <xf numFmtId="0" fontId="6" fillId="0" borderId="0"/>
    <xf numFmtId="0" fontId="4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3" fillId="0" borderId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164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0"/>
    <xf numFmtId="164" fontId="27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0" fillId="0" borderId="0" xfId="0"/>
    <xf numFmtId="0" fontId="6" fillId="0" borderId="0" xfId="2"/>
    <xf numFmtId="0" fontId="6" fillId="0" borderId="0" xfId="2" applyBorder="1"/>
    <xf numFmtId="0" fontId="11" fillId="0" borderId="0" xfId="2" applyFont="1"/>
    <xf numFmtId="0" fontId="12" fillId="0" borderId="0" xfId="2" applyFont="1"/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horizontal="center" vertical="center"/>
    </xf>
    <xf numFmtId="0" fontId="13" fillId="0" borderId="0" xfId="2" applyFont="1"/>
    <xf numFmtId="166" fontId="15" fillId="0" borderId="0" xfId="2" applyNumberFormat="1" applyFont="1"/>
    <xf numFmtId="165" fontId="13" fillId="0" borderId="0" xfId="0" applyNumberFormat="1" applyFont="1" applyFill="1" applyAlignment="1">
      <alignment horizontal="center"/>
    </xf>
    <xf numFmtId="0" fontId="15" fillId="0" borderId="0" xfId="2" applyFont="1" applyBorder="1" applyAlignment="1">
      <alignment horizontal="center"/>
    </xf>
    <xf numFmtId="0" fontId="15" fillId="0" borderId="0" xfId="2" applyFont="1" applyBorder="1"/>
    <xf numFmtId="0" fontId="13" fillId="0" borderId="0" xfId="2" applyFont="1" applyAlignment="1">
      <alignment horizontal="center"/>
    </xf>
    <xf numFmtId="0" fontId="6" fillId="0" borderId="0" xfId="2" applyAlignment="1">
      <alignment horizontal="center"/>
    </xf>
    <xf numFmtId="0" fontId="14" fillId="3" borderId="0" xfId="2" applyFont="1" applyFill="1" applyBorder="1" applyAlignment="1">
      <alignment horizontal="center" vertical="center"/>
    </xf>
    <xf numFmtId="0" fontId="6" fillId="0" borderId="0" xfId="2" applyFill="1"/>
    <xf numFmtId="49" fontId="14" fillId="3" borderId="6" xfId="2" applyNumberFormat="1" applyFont="1" applyFill="1" applyBorder="1" applyAlignment="1">
      <alignment horizontal="center" vertical="center"/>
    </xf>
    <xf numFmtId="0" fontId="24" fillId="0" borderId="0" xfId="2" applyNumberFormat="1" applyFont="1" applyFill="1" applyBorder="1" applyAlignment="1"/>
    <xf numFmtId="0" fontId="15" fillId="0" borderId="0" xfId="2" applyNumberFormat="1" applyFont="1" applyFill="1" applyBorder="1" applyAlignment="1"/>
    <xf numFmtId="167" fontId="15" fillId="0" borderId="0" xfId="5" applyNumberFormat="1" applyFont="1"/>
    <xf numFmtId="167" fontId="15" fillId="0" borderId="0" xfId="2" applyNumberFormat="1" applyFont="1"/>
    <xf numFmtId="168" fontId="15" fillId="0" borderId="0" xfId="2" applyNumberFormat="1" applyFont="1"/>
    <xf numFmtId="0" fontId="15" fillId="0" borderId="0" xfId="2" applyFont="1"/>
    <xf numFmtId="168" fontId="15" fillId="0" borderId="0" xfId="15" applyNumberFormat="1" applyFont="1"/>
    <xf numFmtId="167" fontId="15" fillId="0" borderId="0" xfId="15" applyNumberFormat="1" applyFont="1"/>
    <xf numFmtId="166" fontId="15" fillId="0" borderId="0" xfId="15" applyNumberFormat="1" applyFont="1"/>
    <xf numFmtId="166" fontId="15" fillId="0" borderId="0" xfId="5" applyNumberFormat="1" applyFont="1"/>
    <xf numFmtId="0" fontId="13" fillId="0" borderId="0" xfId="2" applyFont="1" applyFill="1"/>
    <xf numFmtId="10" fontId="15" fillId="0" borderId="0" xfId="5" applyNumberFormat="1" applyFont="1"/>
    <xf numFmtId="0" fontId="7" fillId="3" borderId="0" xfId="2" applyFont="1" applyFill="1" applyBorder="1" applyAlignment="1">
      <alignment horizontal="center" vertical="center"/>
    </xf>
    <xf numFmtId="49" fontId="14" fillId="3" borderId="0" xfId="2" applyNumberFormat="1" applyFont="1" applyFill="1" applyBorder="1" applyAlignment="1">
      <alignment horizontal="center" vertical="center"/>
    </xf>
    <xf numFmtId="168" fontId="15" fillId="0" borderId="0" xfId="2" applyNumberFormat="1" applyFont="1" applyBorder="1"/>
    <xf numFmtId="0" fontId="24" fillId="4" borderId="0" xfId="2" applyFont="1" applyFill="1" applyBorder="1"/>
    <xf numFmtId="168" fontId="24" fillId="4" borderId="0" xfId="2" applyNumberFormat="1" applyFont="1" applyFill="1" applyBorder="1"/>
    <xf numFmtId="0" fontId="24" fillId="4" borderId="0" xfId="2" applyFont="1" applyFill="1" applyBorder="1" applyAlignment="1">
      <alignment horizontal="left"/>
    </xf>
    <xf numFmtId="0" fontId="11" fillId="0" borderId="0" xfId="16" applyFont="1" applyAlignment="1">
      <alignment horizontal="left"/>
    </xf>
    <xf numFmtId="0" fontId="26" fillId="0" borderId="0" xfId="16" applyFont="1"/>
    <xf numFmtId="0" fontId="26" fillId="0" borderId="0" xfId="17" applyFont="1"/>
    <xf numFmtId="0" fontId="6" fillId="0" borderId="0" xfId="2" applyAlignment="1">
      <alignment vertical="center"/>
    </xf>
    <xf numFmtId="0" fontId="6" fillId="0" borderId="0" xfId="2" applyAlignment="1">
      <alignment horizontal="left" vertical="center" indent="2"/>
    </xf>
    <xf numFmtId="0" fontId="27" fillId="0" borderId="0" xfId="17"/>
    <xf numFmtId="0" fontId="28" fillId="0" borderId="0" xfId="2" applyFont="1" applyAlignment="1">
      <alignment horizontal="left" vertical="center"/>
    </xf>
    <xf numFmtId="0" fontId="16" fillId="0" borderId="0" xfId="17" applyNumberFormat="1" applyFont="1" applyBorder="1" applyAlignment="1"/>
    <xf numFmtId="0" fontId="15" fillId="0" borderId="0" xfId="17" applyFont="1"/>
    <xf numFmtId="0" fontId="17" fillId="4" borderId="7" xfId="2" applyFont="1" applyFill="1" applyBorder="1" applyAlignment="1">
      <alignment horizontal="center"/>
    </xf>
    <xf numFmtId="0" fontId="17" fillId="4" borderId="8" xfId="2" applyFont="1" applyFill="1" applyBorder="1"/>
    <xf numFmtId="0" fontId="17" fillId="4" borderId="7" xfId="17" applyNumberFormat="1" applyFont="1" applyFill="1" applyBorder="1" applyAlignment="1"/>
    <xf numFmtId="167" fontId="17" fillId="4" borderId="8" xfId="17" applyNumberFormat="1" applyFont="1" applyFill="1" applyBorder="1" applyAlignment="1"/>
    <xf numFmtId="168" fontId="17" fillId="4" borderId="8" xfId="17" applyNumberFormat="1" applyFont="1" applyFill="1" applyBorder="1" applyAlignment="1"/>
    <xf numFmtId="0" fontId="17" fillId="0" borderId="9" xfId="2" applyFont="1" applyBorder="1" applyAlignment="1">
      <alignment horizontal="center"/>
    </xf>
    <xf numFmtId="0" fontId="17" fillId="0" borderId="10" xfId="2" applyFont="1" applyBorder="1"/>
    <xf numFmtId="0" fontId="17" fillId="0" borderId="9" xfId="17" applyNumberFormat="1" applyFont="1" applyBorder="1" applyAlignment="1"/>
    <xf numFmtId="167" fontId="17" fillId="0" borderId="10" xfId="17" applyNumberFormat="1" applyFont="1" applyBorder="1" applyAlignment="1"/>
    <xf numFmtId="168" fontId="17" fillId="0" borderId="10" xfId="17" applyNumberFormat="1" applyFont="1" applyBorder="1" applyAlignment="1"/>
    <xf numFmtId="0" fontId="17" fillId="4" borderId="9" xfId="2" applyFont="1" applyFill="1" applyBorder="1" applyAlignment="1">
      <alignment horizontal="center"/>
    </xf>
    <xf numFmtId="0" fontId="17" fillId="4" borderId="10" xfId="2" applyFont="1" applyFill="1" applyBorder="1"/>
    <xf numFmtId="0" fontId="17" fillId="4" borderId="9" xfId="17" applyNumberFormat="1" applyFont="1" applyFill="1" applyBorder="1" applyAlignment="1"/>
    <xf numFmtId="167" fontId="17" fillId="4" borderId="10" xfId="17" applyNumberFormat="1" applyFont="1" applyFill="1" applyBorder="1" applyAlignment="1"/>
    <xf numFmtId="168" fontId="17" fillId="4" borderId="10" xfId="17" applyNumberFormat="1" applyFont="1" applyFill="1" applyBorder="1" applyAlignment="1"/>
    <xf numFmtId="0" fontId="17" fillId="4" borderId="11" xfId="2" applyFont="1" applyFill="1" applyBorder="1" applyAlignment="1">
      <alignment horizontal="center"/>
    </xf>
    <xf numFmtId="0" fontId="17" fillId="4" borderId="12" xfId="2" applyFont="1" applyFill="1" applyBorder="1"/>
    <xf numFmtId="0" fontId="17" fillId="0" borderId="11" xfId="17" applyNumberFormat="1" applyFont="1" applyBorder="1" applyAlignment="1"/>
    <xf numFmtId="167" fontId="17" fillId="0" borderId="12" xfId="17" applyNumberFormat="1" applyFont="1" applyBorder="1" applyAlignment="1"/>
    <xf numFmtId="168" fontId="17" fillId="0" borderId="12" xfId="17" applyNumberFormat="1" applyFont="1" applyBorder="1" applyAlignment="1"/>
    <xf numFmtId="168" fontId="17" fillId="4" borderId="8" xfId="18" applyNumberFormat="1" applyFont="1" applyFill="1" applyBorder="1"/>
    <xf numFmtId="0" fontId="15" fillId="0" borderId="0" xfId="17" applyNumberFormat="1" applyFont="1" applyBorder="1" applyAlignment="1"/>
    <xf numFmtId="167" fontId="15" fillId="0" borderId="0" xfId="17" applyNumberFormat="1" applyFont="1"/>
    <xf numFmtId="0" fontId="17" fillId="4" borderId="11" xfId="17" applyNumberFormat="1" applyFont="1" applyFill="1" applyBorder="1" applyAlignment="1"/>
    <xf numFmtId="167" fontId="17" fillId="4" borderId="12" xfId="17" applyNumberFormat="1" applyFont="1" applyFill="1" applyBorder="1" applyAlignment="1"/>
    <xf numFmtId="0" fontId="27" fillId="0" borderId="0" xfId="17" applyFont="1"/>
    <xf numFmtId="0" fontId="11" fillId="0" borderId="0" xfId="16" applyFont="1"/>
    <xf numFmtId="0" fontId="29" fillId="0" borderId="0" xfId="2" applyFont="1" applyBorder="1" applyAlignment="1">
      <alignment horizontal="center" vertical="center"/>
    </xf>
    <xf numFmtId="0" fontId="30" fillId="0" borderId="0" xfId="13" applyFont="1" applyFill="1" applyBorder="1"/>
    <xf numFmtId="0" fontId="21" fillId="0" borderId="0" xfId="13" applyBorder="1"/>
    <xf numFmtId="0" fontId="15" fillId="0" borderId="0" xfId="2" applyFont="1" applyBorder="1" applyAlignment="1"/>
    <xf numFmtId="4" fontId="31" fillId="0" borderId="0" xfId="15" applyNumberFormat="1" applyFont="1" applyBorder="1" applyAlignment="1">
      <alignment vertical="center"/>
    </xf>
    <xf numFmtId="9" fontId="15" fillId="0" borderId="0" xfId="2" applyNumberFormat="1" applyFont="1" applyBorder="1" applyAlignment="1"/>
    <xf numFmtId="0" fontId="6" fillId="0" borderId="0" xfId="2" applyBorder="1" applyAlignment="1">
      <alignment vertical="center"/>
    </xf>
    <xf numFmtId="0" fontId="21" fillId="0" borderId="0" xfId="13" applyFill="1" applyBorder="1"/>
    <xf numFmtId="0" fontId="13" fillId="0" borderId="0" xfId="2" applyFont="1" applyFill="1" applyBorder="1" applyAlignment="1">
      <alignment vertical="center"/>
    </xf>
    <xf numFmtId="0" fontId="13" fillId="0" borderId="0" xfId="2" applyFont="1" applyFill="1" applyAlignment="1">
      <alignment vertical="center"/>
    </xf>
    <xf numFmtId="0" fontId="32" fillId="0" borderId="0" xfId="2" applyFont="1" applyFill="1" applyBorder="1" applyAlignment="1">
      <alignment horizontal="left" vertical="center" indent="1"/>
    </xf>
    <xf numFmtId="0" fontId="32" fillId="0" borderId="0" xfId="2" applyFont="1" applyFill="1" applyBorder="1" applyAlignment="1">
      <alignment horizontal="right" vertical="center"/>
    </xf>
    <xf numFmtId="0" fontId="32" fillId="0" borderId="0" xfId="2" applyFont="1" applyFill="1" applyBorder="1" applyAlignment="1">
      <alignment vertical="center"/>
    </xf>
    <xf numFmtId="0" fontId="24" fillId="0" borderId="0" xfId="2" applyNumberFormat="1" applyFont="1" applyFill="1" applyBorder="1" applyAlignment="1">
      <alignment horizontal="left"/>
    </xf>
    <xf numFmtId="0" fontId="15" fillId="0" borderId="0" xfId="2" applyNumberFormat="1" applyFont="1" applyFill="1" applyBorder="1" applyAlignment="1">
      <alignment horizontal="left"/>
    </xf>
    <xf numFmtId="167" fontId="15" fillId="0" borderId="0" xfId="2" applyNumberFormat="1" applyFont="1" applyBorder="1"/>
    <xf numFmtId="167" fontId="6" fillId="0" borderId="0" xfId="2" applyNumberFormat="1" applyBorder="1"/>
    <xf numFmtId="0" fontId="17" fillId="0" borderId="0" xfId="2" applyFont="1" applyAlignment="1">
      <alignment vertical="center"/>
    </xf>
    <xf numFmtId="0" fontId="15" fillId="0" borderId="0" xfId="2" applyFont="1" applyAlignment="1">
      <alignment horizontal="center"/>
    </xf>
    <xf numFmtId="0" fontId="15" fillId="0" borderId="0" xfId="2" applyFont="1" applyAlignment="1">
      <alignment vertical="center"/>
    </xf>
    <xf numFmtId="0" fontId="15" fillId="0" borderId="0" xfId="2" quotePrefix="1" applyNumberFormat="1" applyFont="1" applyAlignment="1">
      <alignment horizontal="center"/>
    </xf>
    <xf numFmtId="0" fontId="6" fillId="0" borderId="0" xfId="2" quotePrefix="1"/>
    <xf numFmtId="0" fontId="15" fillId="0" borderId="0" xfId="2" applyFont="1" applyAlignment="1">
      <alignment horizontal="right"/>
    </xf>
    <xf numFmtId="0" fontId="16" fillId="0" borderId="0" xfId="13" applyFont="1" applyBorder="1"/>
    <xf numFmtId="0" fontId="16" fillId="0" borderId="0" xfId="13" applyFont="1" applyBorder="1" applyAlignment="1">
      <alignment horizontal="right"/>
    </xf>
    <xf numFmtId="0" fontId="33" fillId="0" borderId="0" xfId="2" applyNumberFormat="1" applyFont="1" applyFill="1" applyBorder="1" applyAlignment="1"/>
    <xf numFmtId="0" fontId="23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165" fontId="13" fillId="0" borderId="0" xfId="0" applyNumberFormat="1" applyFont="1" applyFill="1" applyAlignment="1">
      <alignment horizontal="center" vertical="center"/>
    </xf>
    <xf numFmtId="165" fontId="14" fillId="3" borderId="0" xfId="0" applyNumberFormat="1" applyFont="1" applyFill="1" applyAlignment="1">
      <alignment horizontal="center" vertical="center"/>
    </xf>
    <xf numFmtId="165" fontId="35" fillId="3" borderId="0" xfId="0" applyNumberFormat="1" applyFont="1" applyFill="1" applyAlignment="1">
      <alignment horizontal="center" vertical="center"/>
    </xf>
    <xf numFmtId="0" fontId="7" fillId="3" borderId="0" xfId="2" applyFont="1" applyFill="1" applyBorder="1" applyAlignment="1">
      <alignment horizontal="center" vertical="top" wrapText="1"/>
    </xf>
    <xf numFmtId="0" fontId="36" fillId="0" borderId="0" xfId="9" applyFont="1" applyAlignment="1">
      <alignment horizontal="center" vertical="center"/>
    </xf>
    <xf numFmtId="0" fontId="6" fillId="0" borderId="0" xfId="2" applyBorder="1" applyAlignment="1"/>
    <xf numFmtId="0" fontId="38" fillId="0" borderId="0" xfId="2" applyFont="1" applyBorder="1"/>
    <xf numFmtId="0" fontId="37" fillId="0" borderId="0" xfId="2" applyFont="1" applyBorder="1" applyAlignment="1">
      <alignment vertical="center"/>
    </xf>
    <xf numFmtId="0" fontId="39" fillId="0" borderId="0" xfId="9" applyFont="1" applyBorder="1"/>
    <xf numFmtId="0" fontId="17" fillId="0" borderId="0" xfId="14" applyFont="1" applyFill="1" applyBorder="1" applyAlignment="1">
      <alignment horizontal="left" vertical="center" wrapText="1"/>
    </xf>
    <xf numFmtId="0" fontId="6" fillId="0" borderId="0" xfId="2" applyFill="1" applyAlignment="1">
      <alignment vertical="center"/>
    </xf>
    <xf numFmtId="0" fontId="17" fillId="0" borderId="0" xfId="2" applyFont="1" applyFill="1" applyBorder="1"/>
    <xf numFmtId="0" fontId="27" fillId="0" borderId="0" xfId="17" applyFill="1"/>
    <xf numFmtId="0" fontId="15" fillId="0" borderId="0" xfId="17" applyFont="1" applyFill="1"/>
    <xf numFmtId="167" fontId="17" fillId="0" borderId="0" xfId="17" applyNumberFormat="1" applyFont="1" applyFill="1" applyBorder="1" applyAlignment="1"/>
    <xf numFmtId="168" fontId="17" fillId="0" borderId="0" xfId="17" applyNumberFormat="1" applyFont="1" applyFill="1" applyBorder="1" applyAlignment="1"/>
    <xf numFmtId="168" fontId="17" fillId="0" borderId="0" xfId="18" applyNumberFormat="1" applyFont="1" applyFill="1" applyBorder="1"/>
    <xf numFmtId="167" fontId="15" fillId="0" borderId="0" xfId="17" applyNumberFormat="1" applyFont="1" applyFill="1"/>
    <xf numFmtId="0" fontId="27" fillId="0" borderId="0" xfId="17" applyFont="1" applyFill="1"/>
    <xf numFmtId="0" fontId="17" fillId="0" borderId="0" xfId="14" applyFont="1" applyBorder="1" applyAlignment="1">
      <alignment vertical="center" wrapText="1"/>
    </xf>
    <xf numFmtId="0" fontId="41" fillId="0" borderId="0" xfId="2" applyFont="1" applyFill="1" applyAlignment="1">
      <alignment wrapText="1"/>
    </xf>
    <xf numFmtId="9" fontId="0" fillId="0" borderId="0" xfId="19" applyFont="1"/>
    <xf numFmtId="0" fontId="45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center" vertical="center"/>
    </xf>
    <xf numFmtId="165" fontId="14" fillId="0" borderId="0" xfId="0" applyNumberFormat="1" applyFont="1" applyFill="1" applyAlignment="1">
      <alignment horizontal="center" vertical="center"/>
    </xf>
    <xf numFmtId="0" fontId="24" fillId="5" borderId="0" xfId="2" applyFont="1" applyFill="1" applyBorder="1" applyAlignment="1">
      <alignment horizontal="center" vertical="center" wrapText="1"/>
    </xf>
    <xf numFmtId="169" fontId="15" fillId="5" borderId="0" xfId="15" applyNumberFormat="1" applyFont="1" applyFill="1" applyBorder="1" applyAlignment="1">
      <alignment horizontal="center" vertical="center"/>
    </xf>
    <xf numFmtId="9" fontId="15" fillId="5" borderId="0" xfId="2" applyNumberFormat="1" applyFont="1" applyFill="1" applyBorder="1" applyAlignment="1">
      <alignment horizontal="center"/>
    </xf>
    <xf numFmtId="4" fontId="15" fillId="5" borderId="0" xfId="2" applyNumberFormat="1" applyFont="1" applyFill="1" applyBorder="1" applyAlignment="1">
      <alignment horizontal="center" vertical="center"/>
    </xf>
    <xf numFmtId="0" fontId="6" fillId="5" borderId="0" xfId="2" applyFill="1" applyBorder="1"/>
    <xf numFmtId="4" fontId="15" fillId="5" borderId="0" xfId="15" applyNumberFormat="1" applyFont="1" applyFill="1" applyBorder="1" applyAlignment="1">
      <alignment horizontal="center" vertical="center"/>
    </xf>
    <xf numFmtId="9" fontId="15" fillId="5" borderId="0" xfId="2" applyNumberFormat="1" applyFont="1" applyFill="1" applyBorder="1" applyAlignment="1">
      <alignment horizontal="center" vertical="center"/>
    </xf>
    <xf numFmtId="0" fontId="39" fillId="0" borderId="0" xfId="9" applyFont="1" applyFill="1" applyBorder="1" applyAlignment="1">
      <alignment vertical="top"/>
    </xf>
    <xf numFmtId="0" fontId="1" fillId="7" borderId="0" xfId="20" applyFill="1"/>
    <xf numFmtId="0" fontId="1" fillId="7" borderId="0" xfId="20" applyFill="1" applyBorder="1"/>
    <xf numFmtId="0" fontId="1" fillId="8" borderId="0" xfId="20" applyFill="1"/>
    <xf numFmtId="0" fontId="47" fillId="7" borderId="0" xfId="20" applyFont="1" applyFill="1" applyAlignment="1">
      <alignment horizontal="right" vertical="top"/>
    </xf>
    <xf numFmtId="0" fontId="47" fillId="7" borderId="0" xfId="20" applyFont="1" applyFill="1" applyAlignment="1">
      <alignment vertical="top"/>
    </xf>
    <xf numFmtId="0" fontId="1" fillId="7" borderId="0" xfId="20" applyFill="1" applyAlignment="1">
      <alignment vertical="top"/>
    </xf>
    <xf numFmtId="0" fontId="1" fillId="2" borderId="0" xfId="20" applyFill="1"/>
    <xf numFmtId="0" fontId="1" fillId="2" borderId="0" xfId="20" applyFill="1" applyBorder="1"/>
    <xf numFmtId="0" fontId="29" fillId="2" borderId="0" xfId="20" applyFont="1" applyFill="1" applyBorder="1" applyAlignment="1">
      <alignment horizontal="left"/>
    </xf>
    <xf numFmtId="0" fontId="6" fillId="2" borderId="0" xfId="20" applyFont="1" applyFill="1" applyBorder="1"/>
    <xf numFmtId="0" fontId="6" fillId="2" borderId="0" xfId="20" applyFont="1" applyFill="1"/>
    <xf numFmtId="0" fontId="13" fillId="2" borderId="0" xfId="20" applyFont="1" applyFill="1" applyBorder="1" applyAlignment="1">
      <alignment horizontal="left"/>
    </xf>
    <xf numFmtId="0" fontId="31" fillId="2" borderId="0" xfId="20" applyFont="1" applyFill="1" applyAlignment="1">
      <alignment horizontal="center" vertical="center"/>
    </xf>
    <xf numFmtId="0" fontId="19" fillId="2" borderId="0" xfId="20" applyFont="1" applyFill="1"/>
    <xf numFmtId="0" fontId="1" fillId="8" borderId="0" xfId="20" applyFill="1" applyBorder="1"/>
    <xf numFmtId="165" fontId="13" fillId="0" borderId="0" xfId="0" applyNumberFormat="1" applyFont="1" applyFill="1" applyAlignment="1">
      <alignment horizontal="center" vertical="top"/>
    </xf>
    <xf numFmtId="0" fontId="34" fillId="0" borderId="0" xfId="2" applyFont="1" applyAlignment="1">
      <alignment horizontal="center" vertical="top" wrapText="1"/>
    </xf>
    <xf numFmtId="0" fontId="46" fillId="2" borderId="0" xfId="21" applyFill="1" applyBorder="1" applyAlignment="1">
      <alignment horizontal="center"/>
    </xf>
    <xf numFmtId="0" fontId="46" fillId="2" borderId="0" xfId="21" applyFill="1" applyAlignment="1">
      <alignment horizontal="center"/>
    </xf>
    <xf numFmtId="0" fontId="46" fillId="2" borderId="0" xfId="22" applyFill="1" applyAlignment="1">
      <alignment horizontal="center"/>
    </xf>
    <xf numFmtId="0" fontId="48" fillId="7" borderId="0" xfId="9" applyFont="1" applyFill="1" applyAlignment="1">
      <alignment horizontal="center" vertical="center" wrapText="1"/>
    </xf>
    <xf numFmtId="0" fontId="46" fillId="7" borderId="0" xfId="21" applyFill="1" applyAlignment="1">
      <alignment horizontal="center" vertical="top"/>
    </xf>
    <xf numFmtId="0" fontId="46" fillId="7" borderId="0" xfId="21" applyFill="1" applyAlignment="1">
      <alignment horizontal="left" vertical="top"/>
    </xf>
    <xf numFmtId="0" fontId="42" fillId="3" borderId="0" xfId="9" applyFont="1" applyFill="1" applyBorder="1" applyAlignment="1">
      <alignment horizontal="center" vertical="center" wrapText="1"/>
    </xf>
    <xf numFmtId="0" fontId="15" fillId="5" borderId="0" xfId="2" applyNumberFormat="1" applyFont="1" applyFill="1" applyBorder="1" applyAlignment="1">
      <alignment horizontal="center" vertical="center" wrapText="1"/>
    </xf>
    <xf numFmtId="0" fontId="44" fillId="3" borderId="0" xfId="0" applyFont="1" applyFill="1" applyAlignment="1">
      <alignment horizontal="center" vertical="center"/>
    </xf>
    <xf numFmtId="0" fontId="15" fillId="0" borderId="0" xfId="2" applyNumberFormat="1" applyFont="1" applyFill="1" applyBorder="1" applyAlignment="1">
      <alignment horizontal="left"/>
    </xf>
    <xf numFmtId="0" fontId="45" fillId="3" borderId="0" xfId="2" applyNumberFormat="1" applyFont="1" applyFill="1" applyBorder="1" applyAlignment="1">
      <alignment horizontal="left"/>
    </xf>
    <xf numFmtId="0" fontId="11" fillId="0" borderId="0" xfId="16" applyFont="1" applyAlignment="1">
      <alignment horizontal="center" vertical="center"/>
    </xf>
    <xf numFmtId="0" fontId="24" fillId="0" borderId="0" xfId="2" applyNumberFormat="1" applyFont="1" applyFill="1" applyBorder="1" applyAlignment="1">
      <alignment horizontal="left"/>
    </xf>
    <xf numFmtId="0" fontId="7" fillId="6" borderId="0" xfId="2" applyFont="1" applyFill="1" applyAlignment="1">
      <alignment horizontal="left" vertical="top" wrapText="1"/>
    </xf>
    <xf numFmtId="0" fontId="40" fillId="0" borderId="0" xfId="13" applyFont="1" applyFill="1" applyBorder="1" applyAlignment="1">
      <alignment horizontal="left" wrapText="1"/>
    </xf>
    <xf numFmtId="0" fontId="41" fillId="3" borderId="0" xfId="2" applyFont="1" applyFill="1" applyAlignment="1">
      <alignment horizontal="left" vertical="top" wrapText="1"/>
    </xf>
    <xf numFmtId="0" fontId="17" fillId="0" borderId="0" xfId="14" applyFont="1" applyBorder="1" applyAlignment="1">
      <alignment horizontal="left" vertical="center" wrapText="1"/>
    </xf>
    <xf numFmtId="0" fontId="7" fillId="3" borderId="0" xfId="2" applyFont="1" applyFill="1" applyAlignment="1">
      <alignment horizontal="center" vertical="top" wrapText="1"/>
    </xf>
  </cellXfs>
  <cellStyles count="23">
    <cellStyle name="Comma 2" xfId="4"/>
    <cellStyle name="Comma 2 2" xfId="18"/>
    <cellStyle name="Comma 3" xfId="15"/>
    <cellStyle name="Followed Hyperlink" xfId="12" builtinId="9" customBuiltin="1"/>
    <cellStyle name="Followed Hyperlink 2" xfId="22"/>
    <cellStyle name="Heading 1" xfId="13" builtinId="16"/>
    <cellStyle name="Heading 3" xfId="14" builtinId="18"/>
    <cellStyle name="Hyperlink" xfId="9" builtinId="8" customBuiltin="1"/>
    <cellStyle name="Hyperlink 2" xfId="11"/>
    <cellStyle name="Hyperlink 3" xfId="8"/>
    <cellStyle name="Hyperlink 4" xfId="21"/>
    <cellStyle name="Normal" xfId="0" builtinId="0" customBuiltin="1"/>
    <cellStyle name="Normal 2" xfId="6"/>
    <cellStyle name="Normal 2 2" xfId="17"/>
    <cellStyle name="Normal 3" xfId="20"/>
    <cellStyle name="Normal 6" xfId="2"/>
    <cellStyle name="Normal 6 2 2" xfId="1"/>
    <cellStyle name="Normal 6 2 2 2" xfId="3"/>
    <cellStyle name="Normal 6 2 2 3" xfId="7"/>
    <cellStyle name="Normal 6 2 2 4" xfId="10"/>
    <cellStyle name="Percent" xfId="19" builtinId="5"/>
    <cellStyle name="Percent 2" xfId="5"/>
    <cellStyle name="Title 2" xfId="16"/>
  </cellStyles>
  <dxfs count="10">
    <dxf>
      <fill>
        <patternFill>
          <bgColor rgb="FFE7E6E6"/>
        </patternFill>
      </fill>
    </dxf>
    <dxf>
      <font>
        <color theme="0"/>
      </font>
      <fill>
        <patternFill>
          <bgColor rgb="FF4D4F53"/>
        </patternFill>
      </fill>
    </dxf>
    <dxf>
      <font>
        <sz val="10"/>
        <color theme="0"/>
        <name val="Segoe UI"/>
      </font>
      <fill>
        <patternFill>
          <bgColor rgb="FF4D4F53"/>
        </patternFill>
      </fill>
      <border>
        <vertical/>
        <horizontal/>
      </border>
    </dxf>
    <dxf>
      <border>
        <left style="thin">
          <color rgb="FF4D4F53"/>
        </left>
        <right style="thin">
          <color rgb="FF4D4F53"/>
        </right>
        <top style="thin">
          <color rgb="FF4D4F53"/>
        </top>
        <bottom style="thin">
          <color rgb="FF4D4F53"/>
        </bottom>
        <vertical/>
        <horizontal/>
      </border>
    </dxf>
    <dxf>
      <fill>
        <patternFill>
          <bgColor rgb="FF4D4F53"/>
        </patternFill>
      </fill>
    </dxf>
    <dxf>
      <font>
        <sz val="10"/>
        <color theme="0"/>
        <name val="Segoe UI"/>
        <scheme val="none"/>
      </font>
      <border>
        <left style="thin">
          <color rgb="FF4D4F53"/>
        </left>
        <right style="thin">
          <color rgb="FF4D4F53"/>
        </right>
        <top style="thin">
          <color rgb="FF4D4F53"/>
        </top>
        <bottom style="thin">
          <color rgb="FF4D4F53"/>
        </bottom>
      </border>
    </dxf>
    <dxf>
      <font>
        <b/>
        <i val="0"/>
      </font>
      <fill>
        <patternFill>
          <bgColor rgb="FFF2F2F2"/>
        </patternFill>
      </fill>
    </dxf>
    <dxf>
      <font>
        <b/>
        <i val="0"/>
      </font>
      <fill>
        <patternFill>
          <bgColor rgb="FFE7E6E6"/>
        </patternFill>
      </fill>
    </dxf>
    <dxf>
      <font>
        <b/>
        <i val="0"/>
      </font>
      <fill>
        <patternFill>
          <bgColor rgb="FFD9D9D9"/>
        </patternFill>
      </fill>
    </dxf>
    <dxf>
      <font>
        <color theme="0"/>
      </font>
      <fill>
        <patternFill>
          <bgColor rgb="FF4D4F53"/>
        </patternFill>
      </fill>
    </dxf>
  </dxfs>
  <tableStyles count="4" defaultTableStyle="TableStyleMedium4" defaultPivotStyle="Sage Pivot Style">
    <tableStyle name="Sage Pivot Style" table="0" count="4">
      <tableStyleElement type="headerRow" dxfId="9"/>
      <tableStyleElement type="totalRow" dxfId="8"/>
      <tableStyleElement type="firstRowSubheading" dxfId="7"/>
      <tableStyleElement type="thirdRowSubheading" dxfId="6"/>
    </tableStyle>
    <tableStyle name="Sage Slicer Style" pivot="0" table="0" count="10">
      <tableStyleElement type="wholeTable" dxfId="5"/>
      <tableStyleElement type="headerRow" dxfId="4"/>
    </tableStyle>
    <tableStyle name="Sage Style" pivot="0" table="0" count="9">
      <tableStyleElement type="wholeTable" dxfId="3"/>
      <tableStyleElement type="headerRow" dxfId="2"/>
    </tableStyle>
    <tableStyle name="Sage Table Style" pivot="0" count="2">
      <tableStyleElement type="headerRow" dxfId="1"/>
      <tableStyleElement type="secondRowStripe" dxfId="0"/>
    </tableStyle>
  </tableStyles>
  <colors>
    <mruColors>
      <color rgb="FF4D4F53"/>
      <color rgb="FFD9D9D9"/>
      <color rgb="FF34B233"/>
      <color rgb="FF009FDA"/>
      <color rgb="FF9A9B9C"/>
      <color rgb="FF007F64"/>
      <color rgb="FF6639B7"/>
      <color rgb="FFFF5800"/>
      <color rgb="FF0098D4"/>
      <color rgb="FF2AB428"/>
    </mruColors>
  </colors>
  <extLst>
    <ext xmlns:x14="http://schemas.microsoft.com/office/spreadsheetml/2009/9/main" uri="{46F421CA-312F-682f-3DD2-61675219B42D}">
      <x14:dxfs count="8">
        <dxf>
          <fill>
            <patternFill>
              <bgColor rgb="FF44C75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44C75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44C75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44C75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93DD9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36B34A"/>
            </patternFill>
          </fill>
          <border>
            <left/>
            <right/>
            <top/>
            <bottom/>
          </border>
        </dxf>
        <dxf>
          <font>
            <color theme="0" tint="-0.499984740745262"/>
          </font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</border>
        </dxf>
        <dxf>
          <font>
            <color theme="1" tint="0.24994659260841701"/>
          </font>
          <fill>
            <patternFill patternType="none">
              <bgColor auto="1"/>
            </patternFill>
          </fill>
          <border diagonalUp="0" diagonalDown="0">
            <left style="thin">
              <color theme="1" tint="0.34998626667073579"/>
            </left>
            <right style="thin">
              <color theme="1" tint="0.34998626667073579"/>
            </right>
            <top style="thin">
              <color theme="1" tint="0.34998626667073579"/>
            </top>
            <bottom style="thin">
              <color theme="1" tint="0.34998626667073579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age Slicer Style">
        <x14:slicerStyle name="Sage Slicer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4" tint="0.39991454817346722"/>
              <bgColor rgb="FFC2ECC9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patternFill patternType="solid">
              <fgColor auto="1"/>
              <bgColor rgb="FF36B34A"/>
            </patternFill>
          </fill>
          <border>
            <vertical/>
            <horizontal/>
          </border>
        </dxf>
        <dxf>
          <font>
            <sz val="9"/>
            <color theme="1" tint="0.34998626667073579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34998626667073579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34998626667073579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rgb="FF40B23F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Sage Style">
        <x15:timelineStyle name="Sage Styl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8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60278384304017"/>
          <c:y val="7.5993132875379968E-2"/>
          <c:w val="0.7220577899199585"/>
          <c:h val="0.6735733200458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'Ratio Trend'!$C$22</c:f>
              <c:strCache>
                <c:ptCount val="1"/>
                <c:pt idx="0">
                  <c:v>Average Collection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'Ratio Trend'!$D$10:$H$10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;\-0;;@">
                  <c:v>2019</c:v>
                </c:pt>
                <c:pt idx="4" formatCode="0;\-0;;@">
                  <c:v>2020</c:v>
                </c:pt>
              </c:numCache>
            </c:numRef>
          </c:cat>
          <c:val>
            <c:numRef>
              <c:f>'Ratio Trend'!$D$22:$H$22</c:f>
              <c:numCache>
                <c:formatCode>[&gt;=0]#,##0.00;\(#,##0.00\)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264.22973754503454</c:v>
                </c:pt>
                <c:pt idx="4">
                  <c:v>648.78439729897991</c:v>
                </c:pt>
              </c:numCache>
            </c:numRef>
          </c:val>
        </c:ser>
        <c:ser>
          <c:idx val="1"/>
          <c:order val="1"/>
          <c:tx>
            <c:strRef>
              <c:f>'Ratio Trend'!$C$26</c:f>
              <c:strCache>
                <c:ptCount val="1"/>
                <c:pt idx="0">
                  <c:v>Accounts Payable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'Ratio Trend'!$D$10:$H$10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;\-0;;@">
                  <c:v>2019</c:v>
                </c:pt>
                <c:pt idx="4" formatCode="0;\-0;;@">
                  <c:v>2020</c:v>
                </c:pt>
              </c:numCache>
            </c:numRef>
          </c:cat>
          <c:val>
            <c:numRef>
              <c:f>'Ratio Trend'!$D$26:$H$26</c:f>
              <c:numCache>
                <c:formatCode>[&gt;=0]#,##0.00;\(#,##0.00\)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4438.9549556567526</c:v>
                </c:pt>
                <c:pt idx="4">
                  <c:v>7003.1567184345877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50448"/>
        <c:axId val="393551624"/>
      </c:barChart>
      <c:catAx>
        <c:axId val="3935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1624"/>
        <c:crosses val="autoZero"/>
        <c:auto val="1"/>
        <c:lblAlgn val="ctr"/>
        <c:lblOffset val="100"/>
        <c:noMultiLvlLbl val="0"/>
      </c:catAx>
      <c:valAx>
        <c:axId val="393551624"/>
        <c:scaling>
          <c:orientation val="minMax"/>
        </c:scaling>
        <c:delete val="0"/>
        <c:axPos val="l"/>
        <c:numFmt formatCode="[&gt;=0]#,##0.00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rnd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Average Collection Period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792096"/>
        <c:axId val="395797192"/>
      </c:barChart>
      <c:catAx>
        <c:axId val="39579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7192"/>
        <c:crosses val="autoZero"/>
        <c:auto val="1"/>
        <c:lblAlgn val="ctr"/>
        <c:lblOffset val="100"/>
        <c:noMultiLvlLbl val="0"/>
      </c:catAx>
      <c:valAx>
        <c:axId val="39579719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20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Inventory Turnover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794840"/>
        <c:axId val="395794448"/>
      </c:barChart>
      <c:catAx>
        <c:axId val="39579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4448"/>
        <c:crosses val="autoZero"/>
        <c:auto val="1"/>
        <c:lblAlgn val="ctr"/>
        <c:lblOffset val="100"/>
        <c:noMultiLvlLbl val="0"/>
      </c:catAx>
      <c:valAx>
        <c:axId val="3957944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48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Inventory Holding Period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790136"/>
        <c:axId val="395796800"/>
      </c:barChart>
      <c:catAx>
        <c:axId val="39579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6800"/>
        <c:crosses val="autoZero"/>
        <c:auto val="1"/>
        <c:lblAlgn val="ctr"/>
        <c:lblOffset val="100"/>
        <c:noMultiLvlLbl val="0"/>
      </c:catAx>
      <c:valAx>
        <c:axId val="3957968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01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Accounts Payable Turnover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791704"/>
        <c:axId val="395795624"/>
      </c:barChart>
      <c:catAx>
        <c:axId val="39579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5624"/>
        <c:crosses val="autoZero"/>
        <c:auto val="1"/>
        <c:lblAlgn val="ctr"/>
        <c:lblOffset val="100"/>
        <c:noMultiLvlLbl val="0"/>
      </c:catAx>
      <c:valAx>
        <c:axId val="39579562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17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Accounts Payable Period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792488"/>
        <c:axId val="395797584"/>
      </c:barChart>
      <c:catAx>
        <c:axId val="39579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7584"/>
        <c:crosses val="autoZero"/>
        <c:auto val="1"/>
        <c:lblAlgn val="ctr"/>
        <c:lblOffset val="100"/>
        <c:noMultiLvlLbl val="0"/>
      </c:catAx>
      <c:valAx>
        <c:axId val="39579758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24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Capital Asset Turnover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5.4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793272"/>
        <c:axId val="395797976"/>
      </c:barChart>
      <c:catAx>
        <c:axId val="39579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7976"/>
        <c:crosses val="autoZero"/>
        <c:auto val="1"/>
        <c:lblAlgn val="ctr"/>
        <c:lblOffset val="100"/>
        <c:noMultiLvlLbl val="0"/>
      </c:catAx>
      <c:valAx>
        <c:axId val="39579797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3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 Asset Turnover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1.5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798368"/>
        <c:axId val="395799936"/>
      </c:barChart>
      <c:catAx>
        <c:axId val="3957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9936"/>
        <c:crosses val="autoZero"/>
        <c:auto val="1"/>
        <c:lblAlgn val="ctr"/>
        <c:lblOffset val="100"/>
        <c:noMultiLvlLbl val="0"/>
      </c:catAx>
      <c:valAx>
        <c:axId val="39579993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8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Working Capital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500000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802680"/>
        <c:axId val="395802288"/>
      </c:barChart>
      <c:catAx>
        <c:axId val="39580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802288"/>
        <c:crosses val="autoZero"/>
        <c:auto val="1"/>
        <c:lblAlgn val="ctr"/>
        <c:lblOffset val="100"/>
        <c:noMultiLvlLbl val="0"/>
      </c:catAx>
      <c:valAx>
        <c:axId val="3958022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8026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Working Capital Ratio (Current Ratio)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2.6700000000000002E-2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803856"/>
        <c:axId val="395804248"/>
      </c:barChart>
      <c:catAx>
        <c:axId val="3958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804248"/>
        <c:crosses val="autoZero"/>
        <c:auto val="1"/>
        <c:lblAlgn val="ctr"/>
        <c:lblOffset val="100"/>
        <c:noMultiLvlLbl val="0"/>
      </c:catAx>
      <c:valAx>
        <c:axId val="3958042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8038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Working Capital Turnover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803072"/>
        <c:axId val="395804640"/>
      </c:barChart>
      <c:catAx>
        <c:axId val="3958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804640"/>
        <c:crosses val="autoZero"/>
        <c:auto val="1"/>
        <c:lblAlgn val="ctr"/>
        <c:lblOffset val="100"/>
        <c:noMultiLvlLbl val="0"/>
      </c:catAx>
      <c:valAx>
        <c:axId val="39580464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8030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r>
              <a:rPr lang="en-ZA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Profitability</a:t>
            </a:r>
          </a:p>
        </c:rich>
      </c:tx>
      <c:layout>
        <c:manualLayout>
          <c:xMode val="edge"/>
          <c:yMode val="edge"/>
          <c:x val="0.736069335083114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3065843621399"/>
          <c:y val="0.26714270152505443"/>
          <c:w val="0.84562448559670778"/>
          <c:h val="0.46549509803921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'Ratio Trend'!$H$10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('Ratio Trend'!$C$13:$C$15,'Ratio Trend'!$C$17:$C$18)</c:f>
              <c:strCache>
                <c:ptCount val="5"/>
                <c:pt idx="0">
                  <c:v>Profit Margin</c:v>
                </c:pt>
                <c:pt idx="1">
                  <c:v>Return on Assets (ROA)</c:v>
                </c:pt>
                <c:pt idx="2">
                  <c:v>Return on Equity (ROE)</c:v>
                </c:pt>
                <c:pt idx="3">
                  <c:v>Gross Margin %</c:v>
                </c:pt>
                <c:pt idx="4">
                  <c:v>Return on Capital Employed (ROCE)</c:v>
                </c:pt>
              </c:strCache>
            </c:strRef>
          </c:cat>
          <c:val>
            <c:numRef>
              <c:f>('Ratio Trend'!$H$13,'Ratio Trend'!$H$14,'Ratio Trend'!$H$15,'Ratio Trend'!$H$17,'Ratio Trend'!$H$18)</c:f>
              <c:numCache>
                <c:formatCode>[&gt;=0]#,##0.00%;\(#,##0.00%\)</c:formatCode>
                <c:ptCount val="5"/>
                <c:pt idx="0">
                  <c:v>5.2745917341123508E-2</c:v>
                </c:pt>
                <c:pt idx="1">
                  <c:v>6.7210425972419555E-3</c:v>
                </c:pt>
                <c:pt idx="2">
                  <c:v>-7.7009738199578029E-2</c:v>
                </c:pt>
                <c:pt idx="3">
                  <c:v>0.59461412288683491</c:v>
                </c:pt>
                <c:pt idx="4">
                  <c:v>-0.11413914753745645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3919152"/>
        <c:axId val="393919544"/>
      </c:barChart>
      <c:lineChart>
        <c:grouping val="standard"/>
        <c:varyColors val="0"/>
        <c:ser>
          <c:idx val="1"/>
          <c:order val="1"/>
          <c:tx>
            <c:strRef>
              <c:f>'Ratio Trend'!$J$10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('Ratio Trend'!$C$13:$C$15,'Ratio Trend'!$C$17:$C$18)</c:f>
              <c:strCache>
                <c:ptCount val="5"/>
                <c:pt idx="0">
                  <c:v>Profit Margin</c:v>
                </c:pt>
                <c:pt idx="1">
                  <c:v>Return on Assets (ROA)</c:v>
                </c:pt>
                <c:pt idx="2">
                  <c:v>Return on Equity (ROE)</c:v>
                </c:pt>
                <c:pt idx="3">
                  <c:v>Gross Margin %</c:v>
                </c:pt>
                <c:pt idx="4">
                  <c:v>Return on Capital Employed (ROCE)</c:v>
                </c:pt>
              </c:strCache>
            </c:strRef>
          </c:cat>
          <c:val>
            <c:numRef>
              <c:f>('Ratio Trend'!$J$13,'Ratio Trend'!$J$14,'Ratio Trend'!$J$15,'Ratio Trend'!$J$17,'Ratio Trend'!$J$18)</c:f>
              <c:numCache>
                <c:formatCode>[&gt;=0]#,##0.00%;\(#,##0.00%\)</c:formatCode>
                <c:ptCount val="5"/>
                <c:pt idx="0">
                  <c:v>6.5000000000000002E-2</c:v>
                </c:pt>
                <c:pt idx="1">
                  <c:v>0.1</c:v>
                </c:pt>
                <c:pt idx="2">
                  <c:v>0.15</c:v>
                </c:pt>
                <c:pt idx="3">
                  <c:v>0.3</c:v>
                </c:pt>
                <c:pt idx="4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19152"/>
        <c:axId val="393919544"/>
      </c:lineChart>
      <c:catAx>
        <c:axId val="39391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4D4F5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3919544"/>
        <c:crosses val="autoZero"/>
        <c:auto val="1"/>
        <c:lblAlgn val="ctr"/>
        <c:lblOffset val="100"/>
        <c:noMultiLvlLbl val="0"/>
      </c:catAx>
      <c:valAx>
        <c:axId val="393919544"/>
        <c:scaling>
          <c:orientation val="minMax"/>
          <c:max val="2.5"/>
          <c:min val="-0.5"/>
        </c:scaling>
        <c:delete val="0"/>
        <c:axPos val="l"/>
        <c:numFmt formatCode="[&gt;=0]#,##0.00%;\(#,##0.00%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4D4F53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39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rnd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Quick Ratio (Acid Test)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0.02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918368"/>
        <c:axId val="393920328"/>
      </c:barChart>
      <c:catAx>
        <c:axId val="3939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3920328"/>
        <c:crosses val="autoZero"/>
        <c:auto val="1"/>
        <c:lblAlgn val="ctr"/>
        <c:lblOffset val="100"/>
        <c:noMultiLvlLbl val="0"/>
      </c:catAx>
      <c:valAx>
        <c:axId val="39392032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3918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Debt to Total Assets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1"/>
          <c:dPt>
            <c:idx val="0"/>
            <c:invertIfNegative val="1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1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1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1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1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1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1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1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1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1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1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1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1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0.33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922680"/>
        <c:axId val="397244936"/>
      </c:barChart>
      <c:catAx>
        <c:axId val="39392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44936"/>
        <c:crosses val="autoZero"/>
        <c:auto val="1"/>
        <c:lblAlgn val="ctr"/>
        <c:lblOffset val="100"/>
        <c:noMultiLvlLbl val="0"/>
      </c:catAx>
      <c:valAx>
        <c:axId val="39724493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39226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Times Interest Earned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1"/>
          <c:dPt>
            <c:idx val="0"/>
            <c:invertIfNegative val="1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1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1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1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1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1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1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1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1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1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1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1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1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245328"/>
        <c:axId val="397246112"/>
      </c:barChart>
      <c:catAx>
        <c:axId val="39724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46112"/>
        <c:crosses val="autoZero"/>
        <c:auto val="1"/>
        <c:lblAlgn val="ctr"/>
        <c:lblOffset val="100"/>
        <c:noMultiLvlLbl val="0"/>
      </c:catAx>
      <c:valAx>
        <c:axId val="39724611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453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Fixed Charges Coverage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5.5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246504"/>
        <c:axId val="397246896"/>
      </c:barChart>
      <c:catAx>
        <c:axId val="39724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46896"/>
        <c:crosses val="autoZero"/>
        <c:auto val="1"/>
        <c:lblAlgn val="ctr"/>
        <c:lblOffset val="100"/>
        <c:noMultiLvlLbl val="0"/>
      </c:catAx>
      <c:valAx>
        <c:axId val="39724689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465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Debt to Equity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0.49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248072"/>
        <c:axId val="397239056"/>
      </c:barChart>
      <c:catAx>
        <c:axId val="39724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39056"/>
        <c:crosses val="autoZero"/>
        <c:auto val="1"/>
        <c:lblAlgn val="ctr"/>
        <c:lblOffset val="100"/>
        <c:noMultiLvlLbl val="0"/>
      </c:catAx>
      <c:valAx>
        <c:axId val="39723905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480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Equity to Assets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0.67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232392"/>
        <c:axId val="397239448"/>
      </c:barChart>
      <c:catAx>
        <c:axId val="39723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39448"/>
        <c:crosses val="autoZero"/>
        <c:auto val="1"/>
        <c:lblAlgn val="ctr"/>
        <c:lblOffset val="100"/>
        <c:noMultiLvlLbl val="0"/>
      </c:catAx>
      <c:valAx>
        <c:axId val="3972394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323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Revenue Growth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0.11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234744"/>
        <c:axId val="397244152"/>
      </c:barChart>
      <c:catAx>
        <c:axId val="39723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44152"/>
        <c:crosses val="autoZero"/>
        <c:auto val="1"/>
        <c:lblAlgn val="ctr"/>
        <c:lblOffset val="100"/>
        <c:noMultiLvlLbl val="0"/>
      </c:catAx>
      <c:valAx>
        <c:axId val="39724415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347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Net Income Growth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7.0000000000000007E-2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237096"/>
        <c:axId val="397237488"/>
      </c:barChart>
      <c:catAx>
        <c:axId val="3972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37488"/>
        <c:crosses val="autoZero"/>
        <c:auto val="1"/>
        <c:lblAlgn val="ctr"/>
        <c:lblOffset val="100"/>
        <c:noMultiLvlLbl val="0"/>
      </c:catAx>
      <c:valAx>
        <c:axId val="3972374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370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Asset Growth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243368"/>
        <c:axId val="397235528"/>
      </c:barChart>
      <c:catAx>
        <c:axId val="39724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35528"/>
        <c:crosses val="autoZero"/>
        <c:auto val="1"/>
        <c:lblAlgn val="ctr"/>
        <c:lblOffset val="100"/>
        <c:noMultiLvlLbl val="0"/>
      </c:catAx>
      <c:valAx>
        <c:axId val="39723552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43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600" b="0" i="0" u="none" strike="noStrike" kern="1200" baseline="0">
                <a:solidFill>
                  <a:srgbClr val="7F7F7F"/>
                </a:solidFill>
                <a:latin typeface="Segoe UI Semibold" pitchFamily="34" charset="0"/>
                <a:ea typeface="+mn-ea"/>
                <a:cs typeface="+mn-cs"/>
              </a:rPr>
              <a:t>Liabilities</a:t>
            </a:r>
            <a:r>
              <a:rPr lang="en-US" b="0"/>
              <a:t> Growth</a:t>
            </a:r>
          </a:p>
        </c:rich>
      </c:tx>
      <c:overlay val="0"/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Liabilities Growth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244544"/>
        <c:axId val="397235136"/>
      </c:barChart>
      <c:catAx>
        <c:axId val="3972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35136"/>
        <c:crosses val="autoZero"/>
        <c:auto val="1"/>
        <c:lblAlgn val="ctr"/>
        <c:lblOffset val="100"/>
        <c:noMultiLvlLbl val="0"/>
      </c:catAx>
      <c:valAx>
        <c:axId val="39723513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445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600" b="0">
              <a:latin typeface="Segoe UI Semibold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Profit Margin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6.5000000000000002E-2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919936"/>
        <c:axId val="393922288"/>
      </c:barChart>
      <c:catAx>
        <c:axId val="3939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3922288"/>
        <c:crosses val="autoZero"/>
        <c:auto val="1"/>
        <c:lblAlgn val="ctr"/>
        <c:lblOffset val="100"/>
        <c:noMultiLvlLbl val="0"/>
      </c:catAx>
      <c:valAx>
        <c:axId val="3939222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39199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600" b="0">
              <a:latin typeface="Segoe UI Semibold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Profit Margin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6.5000000000000002E-2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242976"/>
        <c:axId val="397232784"/>
      </c:barChart>
      <c:catAx>
        <c:axId val="3972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32784"/>
        <c:crosses val="autoZero"/>
        <c:auto val="1"/>
        <c:lblAlgn val="ctr"/>
        <c:lblOffset val="100"/>
        <c:noMultiLvlLbl val="0"/>
      </c:catAx>
      <c:valAx>
        <c:axId val="39723278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429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Return on Assets (ROA)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238272"/>
        <c:axId val="397238664"/>
      </c:barChart>
      <c:catAx>
        <c:axId val="3972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38664"/>
        <c:crosses val="autoZero"/>
        <c:auto val="1"/>
        <c:lblAlgn val="ctr"/>
        <c:lblOffset val="100"/>
        <c:noMultiLvlLbl val="0"/>
      </c:catAx>
      <c:valAx>
        <c:axId val="39723866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38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Return on Equity (ROE)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242584"/>
        <c:axId val="397236704"/>
      </c:barChart>
      <c:catAx>
        <c:axId val="39724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36704"/>
        <c:crosses val="autoZero"/>
        <c:auto val="1"/>
        <c:lblAlgn val="ctr"/>
        <c:lblOffset val="100"/>
        <c:noMultiLvlLbl val="0"/>
      </c:catAx>
      <c:valAx>
        <c:axId val="39723670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425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Dividend Coverage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239840"/>
        <c:axId val="397242192"/>
      </c:barChart>
      <c:catAx>
        <c:axId val="3972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42192"/>
        <c:crosses val="autoZero"/>
        <c:auto val="1"/>
        <c:lblAlgn val="ctr"/>
        <c:lblOffset val="100"/>
        <c:noMultiLvlLbl val="0"/>
      </c:catAx>
      <c:valAx>
        <c:axId val="39724219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3984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Gross Margin %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241016"/>
        <c:axId val="397243760"/>
      </c:barChart>
      <c:catAx>
        <c:axId val="39724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43760"/>
        <c:crosses val="autoZero"/>
        <c:auto val="1"/>
        <c:lblAlgn val="ctr"/>
        <c:lblOffset val="100"/>
        <c:noMultiLvlLbl val="0"/>
      </c:catAx>
      <c:valAx>
        <c:axId val="39724376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24101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Return on Capital Employed (ROCE)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0.19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872936"/>
        <c:axId val="397869800"/>
      </c:barChart>
      <c:catAx>
        <c:axId val="39787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69800"/>
        <c:crosses val="autoZero"/>
        <c:auto val="1"/>
        <c:lblAlgn val="ctr"/>
        <c:lblOffset val="100"/>
        <c:noMultiLvlLbl val="0"/>
      </c:catAx>
      <c:valAx>
        <c:axId val="3978698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29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Receivables Turnover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870976"/>
        <c:axId val="397874112"/>
      </c:barChart>
      <c:catAx>
        <c:axId val="3978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4112"/>
        <c:crosses val="autoZero"/>
        <c:auto val="1"/>
        <c:lblAlgn val="ctr"/>
        <c:lblOffset val="100"/>
        <c:noMultiLvlLbl val="0"/>
      </c:catAx>
      <c:valAx>
        <c:axId val="39787411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09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Average Collection Period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870584"/>
        <c:axId val="397871368"/>
      </c:barChart>
      <c:catAx>
        <c:axId val="3978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1368"/>
        <c:crosses val="autoZero"/>
        <c:auto val="1"/>
        <c:lblAlgn val="ctr"/>
        <c:lblOffset val="100"/>
        <c:noMultiLvlLbl val="0"/>
      </c:catAx>
      <c:valAx>
        <c:axId val="39787136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05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Inventory Turnover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866272"/>
        <c:axId val="397873328"/>
      </c:barChart>
      <c:catAx>
        <c:axId val="3978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3328"/>
        <c:crosses val="autoZero"/>
        <c:auto val="1"/>
        <c:lblAlgn val="ctr"/>
        <c:lblOffset val="100"/>
        <c:noMultiLvlLbl val="0"/>
      </c:catAx>
      <c:valAx>
        <c:axId val="39787332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66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Inventory Holding Period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874896"/>
        <c:axId val="397871760"/>
      </c:barChart>
      <c:catAx>
        <c:axId val="3978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1760"/>
        <c:crosses val="autoZero"/>
        <c:auto val="1"/>
        <c:lblAlgn val="ctr"/>
        <c:lblOffset val="100"/>
        <c:noMultiLvlLbl val="0"/>
      </c:catAx>
      <c:valAx>
        <c:axId val="39787176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48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Return on Assets (ROA)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921504"/>
        <c:axId val="393924640"/>
      </c:barChart>
      <c:catAx>
        <c:axId val="3939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3924640"/>
        <c:crosses val="autoZero"/>
        <c:auto val="1"/>
        <c:lblAlgn val="ctr"/>
        <c:lblOffset val="100"/>
        <c:noMultiLvlLbl val="0"/>
      </c:catAx>
      <c:valAx>
        <c:axId val="39392464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39215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Accounts Payable Turnover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874504"/>
        <c:axId val="397872152"/>
      </c:barChart>
      <c:catAx>
        <c:axId val="39787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2152"/>
        <c:crosses val="autoZero"/>
        <c:auto val="1"/>
        <c:lblAlgn val="ctr"/>
        <c:lblOffset val="100"/>
        <c:noMultiLvlLbl val="0"/>
      </c:catAx>
      <c:valAx>
        <c:axId val="39787215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45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Accounts Payable Period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872544"/>
        <c:axId val="397875288"/>
      </c:barChart>
      <c:catAx>
        <c:axId val="3978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5288"/>
        <c:crosses val="autoZero"/>
        <c:auto val="1"/>
        <c:lblAlgn val="ctr"/>
        <c:lblOffset val="100"/>
        <c:noMultiLvlLbl val="0"/>
      </c:catAx>
      <c:valAx>
        <c:axId val="3978752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25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Capital Asset Turnover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5.4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866664"/>
        <c:axId val="397876072"/>
      </c:barChart>
      <c:catAx>
        <c:axId val="39786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6072"/>
        <c:crosses val="autoZero"/>
        <c:auto val="1"/>
        <c:lblAlgn val="ctr"/>
        <c:lblOffset val="100"/>
        <c:noMultiLvlLbl val="0"/>
      </c:catAx>
      <c:valAx>
        <c:axId val="39787607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666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 Asset Turnover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1.5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877248"/>
        <c:axId val="397865096"/>
      </c:barChart>
      <c:catAx>
        <c:axId val="3978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65096"/>
        <c:crosses val="autoZero"/>
        <c:auto val="1"/>
        <c:lblAlgn val="ctr"/>
        <c:lblOffset val="100"/>
        <c:noMultiLvlLbl val="0"/>
      </c:catAx>
      <c:valAx>
        <c:axId val="39786509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72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Working Capital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500000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867056"/>
        <c:axId val="397870192"/>
      </c:barChart>
      <c:catAx>
        <c:axId val="3978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0192"/>
        <c:crosses val="autoZero"/>
        <c:auto val="1"/>
        <c:lblAlgn val="ctr"/>
        <c:lblOffset val="100"/>
        <c:noMultiLvlLbl val="0"/>
      </c:catAx>
      <c:valAx>
        <c:axId val="39787019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670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Working Capital Ratio (Current Ratio)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2.6700000000000002E-2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867840"/>
        <c:axId val="397868232"/>
      </c:barChart>
      <c:catAx>
        <c:axId val="3978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68232"/>
        <c:crosses val="autoZero"/>
        <c:auto val="1"/>
        <c:lblAlgn val="ctr"/>
        <c:lblOffset val="100"/>
        <c:noMultiLvlLbl val="0"/>
      </c:catAx>
      <c:valAx>
        <c:axId val="39786823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678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Working Capital Turnover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879992"/>
        <c:axId val="397880384"/>
      </c:barChart>
      <c:catAx>
        <c:axId val="39787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80384"/>
        <c:crosses val="autoZero"/>
        <c:auto val="1"/>
        <c:lblAlgn val="ctr"/>
        <c:lblOffset val="100"/>
        <c:noMultiLvlLbl val="0"/>
      </c:catAx>
      <c:valAx>
        <c:axId val="39788038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9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Quick Ratio (Acid Test)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0.02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880776"/>
        <c:axId val="397878424"/>
      </c:barChart>
      <c:catAx>
        <c:axId val="39788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8424"/>
        <c:crosses val="autoZero"/>
        <c:auto val="1"/>
        <c:lblAlgn val="ctr"/>
        <c:lblOffset val="100"/>
        <c:noMultiLvlLbl val="0"/>
      </c:catAx>
      <c:valAx>
        <c:axId val="39787842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807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Debt to Total Assets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1"/>
          <c:dPt>
            <c:idx val="0"/>
            <c:invertIfNegative val="1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1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1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1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1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1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1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1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1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1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1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1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1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0.33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879208"/>
        <c:axId val="397877640"/>
      </c:barChart>
      <c:catAx>
        <c:axId val="39787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7640"/>
        <c:crosses val="autoZero"/>
        <c:auto val="1"/>
        <c:lblAlgn val="ctr"/>
        <c:lblOffset val="100"/>
        <c:noMultiLvlLbl val="0"/>
      </c:catAx>
      <c:valAx>
        <c:axId val="39787764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8792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Times Interest Earned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1"/>
          <c:dPt>
            <c:idx val="0"/>
            <c:invertIfNegative val="1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1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1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1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1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1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1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1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1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1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1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1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1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24864"/>
        <c:axId val="399415456"/>
      </c:barChart>
      <c:catAx>
        <c:axId val="3994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9415456"/>
        <c:crosses val="autoZero"/>
        <c:auto val="1"/>
        <c:lblAlgn val="ctr"/>
        <c:lblOffset val="100"/>
        <c:noMultiLvlLbl val="0"/>
      </c:catAx>
      <c:valAx>
        <c:axId val="39941545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94248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Return on Equity (ROE)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925032"/>
        <c:axId val="393923072"/>
      </c:barChart>
      <c:catAx>
        <c:axId val="39392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3923072"/>
        <c:crosses val="autoZero"/>
        <c:auto val="1"/>
        <c:lblAlgn val="ctr"/>
        <c:lblOffset val="100"/>
        <c:noMultiLvlLbl val="0"/>
      </c:catAx>
      <c:valAx>
        <c:axId val="39392307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39250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Fixed Charges Coverage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5.5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17808"/>
        <c:axId val="399421728"/>
      </c:barChart>
      <c:catAx>
        <c:axId val="3994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9421728"/>
        <c:crosses val="autoZero"/>
        <c:auto val="1"/>
        <c:lblAlgn val="ctr"/>
        <c:lblOffset val="100"/>
        <c:noMultiLvlLbl val="0"/>
      </c:catAx>
      <c:valAx>
        <c:axId val="39942172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9417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Debt to Equity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0.49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26432"/>
        <c:axId val="399425648"/>
      </c:barChart>
      <c:catAx>
        <c:axId val="39942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9425648"/>
        <c:crosses val="autoZero"/>
        <c:auto val="1"/>
        <c:lblAlgn val="ctr"/>
        <c:lblOffset val="100"/>
        <c:noMultiLvlLbl val="0"/>
      </c:catAx>
      <c:valAx>
        <c:axId val="3994256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94264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Equity to Assets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0.67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20944"/>
        <c:axId val="399416632"/>
      </c:barChart>
      <c:catAx>
        <c:axId val="3994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9416632"/>
        <c:crosses val="autoZero"/>
        <c:auto val="1"/>
        <c:lblAlgn val="ctr"/>
        <c:lblOffset val="100"/>
        <c:noMultiLvlLbl val="0"/>
      </c:catAx>
      <c:valAx>
        <c:axId val="39941663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94209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Revenue Growth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0.11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26040"/>
        <c:axId val="399419376"/>
      </c:barChart>
      <c:catAx>
        <c:axId val="39942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9419376"/>
        <c:crosses val="autoZero"/>
        <c:auto val="1"/>
        <c:lblAlgn val="ctr"/>
        <c:lblOffset val="100"/>
        <c:noMultiLvlLbl val="0"/>
      </c:catAx>
      <c:valAx>
        <c:axId val="39941937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94260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Net Income Growth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7.0000000000000007E-2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27216"/>
        <c:axId val="399427608"/>
      </c:barChart>
      <c:catAx>
        <c:axId val="3994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9427608"/>
        <c:crosses val="autoZero"/>
        <c:auto val="1"/>
        <c:lblAlgn val="ctr"/>
        <c:lblOffset val="100"/>
        <c:noMultiLvlLbl val="0"/>
      </c:catAx>
      <c:valAx>
        <c:axId val="39942760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94272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Asset Growth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23688"/>
        <c:axId val="399415848"/>
      </c:barChart>
      <c:catAx>
        <c:axId val="39942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9415848"/>
        <c:crosses val="autoZero"/>
        <c:auto val="1"/>
        <c:lblAlgn val="ctr"/>
        <c:lblOffset val="100"/>
        <c:noMultiLvlLbl val="0"/>
      </c:catAx>
      <c:valAx>
        <c:axId val="399415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94236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600" b="0" i="0" u="none" strike="noStrike" kern="1200" baseline="0">
                <a:solidFill>
                  <a:srgbClr val="7F7F7F"/>
                </a:solidFill>
                <a:latin typeface="Segoe UI Semibold" pitchFamily="34" charset="0"/>
                <a:ea typeface="+mn-ea"/>
                <a:cs typeface="+mn-cs"/>
              </a:rPr>
              <a:t>Liabilities</a:t>
            </a:r>
            <a:r>
              <a:rPr lang="en-US" b="0"/>
              <a:t> Growth</a:t>
            </a:r>
          </a:p>
        </c:rich>
      </c:tx>
      <c:overlay val="0"/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Liabilities Growth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19768"/>
        <c:axId val="399418592"/>
      </c:barChart>
      <c:catAx>
        <c:axId val="39941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9418592"/>
        <c:crosses val="autoZero"/>
        <c:auto val="1"/>
        <c:lblAlgn val="ctr"/>
        <c:lblOffset val="100"/>
        <c:noMultiLvlLbl val="0"/>
      </c:catAx>
      <c:valAx>
        <c:axId val="39941859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94197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Dividend Coverage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799152"/>
        <c:axId val="395801112"/>
      </c:barChart>
      <c:catAx>
        <c:axId val="3957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801112"/>
        <c:crosses val="autoZero"/>
        <c:auto val="1"/>
        <c:lblAlgn val="ctr"/>
        <c:lblOffset val="100"/>
        <c:noMultiLvlLbl val="0"/>
      </c:catAx>
      <c:valAx>
        <c:axId val="39580111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915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Gross Margin %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800328"/>
        <c:axId val="395800720"/>
      </c:barChart>
      <c:catAx>
        <c:axId val="39580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800720"/>
        <c:crosses val="autoZero"/>
        <c:auto val="1"/>
        <c:lblAlgn val="ctr"/>
        <c:lblOffset val="100"/>
        <c:noMultiLvlLbl val="0"/>
      </c:catAx>
      <c:valAx>
        <c:axId val="39580072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80032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Return on Capital Employed (ROCE)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0.19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801504"/>
        <c:axId val="395795232"/>
      </c:barChart>
      <c:catAx>
        <c:axId val="3958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5232"/>
        <c:crosses val="autoZero"/>
        <c:auto val="1"/>
        <c:lblAlgn val="ctr"/>
        <c:lblOffset val="100"/>
        <c:noMultiLvlLbl val="0"/>
      </c:catAx>
      <c:valAx>
        <c:axId val="39579523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8015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 algn="ctr" rtl="0">
            <a:defRPr lang="en-US" sz="1600" b="0" i="0" u="none" strike="noStrike" kern="1200" baseline="0">
              <a:solidFill>
                <a:srgbClr val="7F7F7F"/>
              </a:solidFill>
              <a:latin typeface="Segoe UI Semibold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</c:pivotFmt>
      <c:pivotFmt>
        <c:idx val="1"/>
        <c:spPr>
          <a:solidFill>
            <a:srgbClr val="007F64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2"/>
        <c:spPr>
          <a:solidFill>
            <a:srgbClr val="34B23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solidFill>
            <a:srgbClr val="4D4F53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solidFill>
            <a:srgbClr val="9A9B9C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5"/>
        <c:spPr>
          <a:solidFill>
            <a:srgbClr val="FF5800"/>
          </a:solidFill>
          <a:effectLst>
            <a:outerShdw blurRad="50800" dist="38100" dir="2700000" algn="tl" rotWithShape="0">
              <a:schemeClr val="tx1">
                <a:lumMod val="75000"/>
                <a:alpha val="40000"/>
              </a:schemeClr>
            </a:outerShd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Receivables Turnover</c:v>
          </c:tx>
          <c:spPr>
            <a:effectLst>
              <a:outerShdw blurRad="50800" dist="38100" dir="2700000" algn="tl" rotWithShape="0">
                <a:schemeClr val="tx1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F64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"/>
            <c:invertIfNegative val="0"/>
            <c:bubble3D val="0"/>
            <c:spPr>
              <a:solidFill>
                <a:srgbClr val="34B23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2"/>
            <c:invertIfNegative val="0"/>
            <c:bubble3D val="0"/>
            <c:spPr>
              <a:solidFill>
                <a:srgbClr val="4D4F53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3"/>
            <c:invertIfNegative val="0"/>
            <c:bubble3D val="0"/>
            <c:spPr>
              <a:solidFill>
                <a:srgbClr val="9A9B9C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4"/>
            <c:invertIfNegative val="0"/>
            <c:bubble3D val="0"/>
            <c:spPr>
              <a:solidFill>
                <a:srgbClr val="FF580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5"/>
            <c:invertIfNegative val="0"/>
            <c:bubble3D val="0"/>
            <c:spPr>
              <a:solidFill>
                <a:srgbClr val="009FDA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6"/>
            <c:invertIfNegative val="0"/>
            <c:bubble3D val="0"/>
            <c:spPr>
              <a:solidFill>
                <a:srgbClr val="6639B7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7"/>
            <c:invertIfNegative val="0"/>
            <c:bubble3D val="0"/>
            <c:spPr>
              <a:solidFill>
                <a:srgbClr val="80BFB2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8"/>
            <c:invertIfNegative val="0"/>
            <c:bubble3D val="0"/>
            <c:spPr>
              <a:solidFill>
                <a:srgbClr val="9AD985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9"/>
            <c:invertIfNegative val="0"/>
            <c:bubble3D val="0"/>
            <c:spPr>
              <a:solidFill>
                <a:srgbClr val="A6A7A9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0"/>
            <c:invertIfNegative val="0"/>
            <c:bubble3D val="0"/>
            <c:spPr>
              <a:solidFill>
                <a:srgbClr val="CDCDCE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1"/>
            <c:invertIfNegative val="0"/>
            <c:bubble3D val="0"/>
            <c:spPr>
              <a:solidFill>
                <a:srgbClr val="FFAC80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2"/>
            <c:invertIfNegative val="0"/>
            <c:bubble3D val="0"/>
            <c:spPr>
              <a:solidFill>
                <a:srgbClr val="80CFED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dPt>
            <c:idx val="13"/>
            <c:invertIfNegative val="0"/>
            <c:bubble3D val="0"/>
            <c:spPr>
              <a:solidFill>
                <a:srgbClr val="B39CDB"/>
              </a:solidFill>
              <a:effectLst>
                <a:outerShdw blurRad="50800" dist="38100" dir="2700000" algn="tl" rotWithShape="0">
                  <a:schemeClr val="tx1">
                    <a:lumMod val="75000"/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</c:dPt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Benchmark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789744"/>
        <c:axId val="395794056"/>
      </c:barChart>
      <c:catAx>
        <c:axId val="3957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1200000"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94056"/>
        <c:crosses val="autoZero"/>
        <c:auto val="1"/>
        <c:lblAlgn val="ctr"/>
        <c:lblOffset val="100"/>
        <c:noMultiLvlLbl val="0"/>
      </c:catAx>
      <c:valAx>
        <c:axId val="39579405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4D4F53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57897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 cap="rnd">
      <a:solidFill>
        <a:srgbClr val="CDCDCE"/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Z$3" fmlaRange="lstRatios" noThreeD="1" sel="1" val="0"/>
</file>

<file path=xl/ctrlProps/ctrlProp2.xml><?xml version="1.0" encoding="utf-8"?>
<formControlPr xmlns="http://schemas.microsoft.com/office/spreadsheetml/2009/9/main" objectType="Drop" dropStyle="combo" dx="16" fmlaLink="$Z$4" fmlaRange="lstRatios" noThreeD="1" sel="10" val="4"/>
</file>

<file path=xl/ctrlProps/ctrlProp3.xml><?xml version="1.0" encoding="utf-8"?>
<formControlPr xmlns="http://schemas.microsoft.com/office/spreadsheetml/2009/9/main" objectType="Drop" dropStyle="combo" dx="16" fmlaLink="$Z$5" fmlaRange="lstRatios" noThreeD="1" sel="9" val="5"/>
</file>

<file path=xl/ctrlProps/ctrlProp4.xml><?xml version="1.0" encoding="utf-8"?>
<formControlPr xmlns="http://schemas.microsoft.com/office/spreadsheetml/2009/9/main" objectType="Drop" dropStyle="combo" dx="16" fmlaLink="$Z$6" fmlaRange="lstRatios" noThreeD="1" sel="13" val="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NULL"/><Relationship Id="rId1" Type="http://schemas.openxmlformats.org/officeDocument/2006/relationships/image" Target="../media/image5.emf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142875</xdr:rowOff>
    </xdr:from>
    <xdr:ext cx="964868" cy="33337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142875"/>
          <a:ext cx="964868" cy="333375"/>
        </a:xfrm>
        <a:prstGeom prst="rect">
          <a:avLst/>
        </a:prstGeom>
      </xdr:spPr>
    </xdr:pic>
    <xdr:clientData/>
  </xdr:oneCellAnchor>
  <xdr:twoCellAnchor editAs="oneCell">
    <xdr:from>
      <xdr:col>3</xdr:col>
      <xdr:colOff>11905</xdr:colOff>
      <xdr:row>5</xdr:row>
      <xdr:rowOff>71435</xdr:rowOff>
    </xdr:from>
    <xdr:to>
      <xdr:col>39</xdr:col>
      <xdr:colOff>3467</xdr:colOff>
      <xdr:row>18</xdr:row>
      <xdr:rowOff>97307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905" y="1233485"/>
          <a:ext cx="10288087" cy="2502372"/>
        </a:xfrm>
        <a:prstGeom prst="rect">
          <a:avLst/>
        </a:prstGeom>
      </xdr:spPr>
    </xdr:pic>
    <xdr:clientData/>
  </xdr:twoCellAnchor>
  <xdr:twoCellAnchor editAs="oneCell">
    <xdr:from>
      <xdr:col>2</xdr:col>
      <xdr:colOff>345280</xdr:colOff>
      <xdr:row>19</xdr:row>
      <xdr:rowOff>142875</xdr:rowOff>
    </xdr:from>
    <xdr:to>
      <xdr:col>4</xdr:col>
      <xdr:colOff>190499</xdr:colOff>
      <xdr:row>22</xdr:row>
      <xdr:rowOff>47625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44" t="15000" r="16185" b="16810"/>
        <a:stretch/>
      </xdr:blipFill>
      <xdr:spPr>
        <a:xfrm>
          <a:off x="1107280" y="3971925"/>
          <a:ext cx="607219" cy="590550"/>
        </a:xfrm>
        <a:prstGeom prst="rect">
          <a:avLst/>
        </a:prstGeom>
      </xdr:spPr>
    </xdr:pic>
    <xdr:clientData/>
  </xdr:twoCellAnchor>
  <xdr:twoCellAnchor editAs="oneCell">
    <xdr:from>
      <xdr:col>2</xdr:col>
      <xdr:colOff>369094</xdr:colOff>
      <xdr:row>2</xdr:row>
      <xdr:rowOff>0</xdr:rowOff>
    </xdr:from>
    <xdr:to>
      <xdr:col>15</xdr:col>
      <xdr:colOff>6701</xdr:colOff>
      <xdr:row>3</xdr:row>
      <xdr:rowOff>369040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094" y="571500"/>
          <a:ext cx="3542857" cy="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26459</xdr:colOff>
      <xdr:row>2</xdr:row>
      <xdr:rowOff>57150</xdr:rowOff>
    </xdr:from>
    <xdr:to>
      <xdr:col>12</xdr:col>
      <xdr:colOff>571499</xdr:colOff>
      <xdr:row>13</xdr:row>
      <xdr:rowOff>19049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103717</xdr:colOff>
      <xdr:row>2</xdr:row>
      <xdr:rowOff>71967</xdr:rowOff>
    </xdr:from>
    <xdr:to>
      <xdr:col>21</xdr:col>
      <xdr:colOff>572692</xdr:colOff>
      <xdr:row>13</xdr:row>
      <xdr:rowOff>22017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28575</xdr:colOff>
          <xdr:row>3</xdr:row>
          <xdr:rowOff>19050</xdr:rowOff>
        </xdr:from>
        <xdr:to>
          <xdr:col>4</xdr:col>
          <xdr:colOff>47625</xdr:colOff>
          <xdr:row>3</xdr:row>
          <xdr:rowOff>219075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504825</xdr:colOff>
          <xdr:row>4</xdr:row>
          <xdr:rowOff>57151</xdr:rowOff>
        </xdr:from>
        <xdr:to>
          <xdr:col>6</xdr:col>
          <xdr:colOff>447675</xdr:colOff>
          <xdr:row>15</xdr:row>
          <xdr:rowOff>57151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SelRatio1" spid="_x0000_s141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04825" y="1171576"/>
              <a:ext cx="3600450" cy="23050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28575</xdr:colOff>
          <xdr:row>3</xdr:row>
          <xdr:rowOff>19050</xdr:rowOff>
        </xdr:from>
        <xdr:to>
          <xdr:col>11</xdr:col>
          <xdr:colOff>0</xdr:colOff>
          <xdr:row>3</xdr:row>
          <xdr:rowOff>219075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4</xdr:row>
          <xdr:rowOff>57151</xdr:rowOff>
        </xdr:from>
        <xdr:to>
          <xdr:col>13</xdr:col>
          <xdr:colOff>209550</xdr:colOff>
          <xdr:row>15</xdr:row>
          <xdr:rowOff>57151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elRatio2" spid="_x0000_s1415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264025" y="1178984"/>
              <a:ext cx="3470275" cy="232833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15</xdr:row>
          <xdr:rowOff>47625</xdr:rowOff>
        </xdr:from>
        <xdr:to>
          <xdr:col>4</xdr:col>
          <xdr:colOff>38100</xdr:colOff>
          <xdr:row>16</xdr:row>
          <xdr:rowOff>38100</xdr:rowOff>
        </xdr:to>
        <xdr:sp macro="" textlink="">
          <xdr:nvSpPr>
            <xdr:cNvPr id="13315" name="Drop Down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16</xdr:row>
          <xdr:rowOff>152400</xdr:rowOff>
        </xdr:from>
        <xdr:to>
          <xdr:col>6</xdr:col>
          <xdr:colOff>438150</xdr:colOff>
          <xdr:row>27</xdr:row>
          <xdr:rowOff>152400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SelRatio3" spid="_x0000_s1415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95300" y="3781425"/>
              <a:ext cx="3600450" cy="23050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15</xdr:row>
          <xdr:rowOff>9525</xdr:rowOff>
        </xdr:from>
        <xdr:to>
          <xdr:col>11</xdr:col>
          <xdr:colOff>28575</xdr:colOff>
          <xdr:row>16</xdr:row>
          <xdr:rowOff>0</xdr:rowOff>
        </xdr:to>
        <xdr:sp macro="" textlink="">
          <xdr:nvSpPr>
            <xdr:cNvPr id="13316" name="Drop Down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142875</xdr:rowOff>
        </xdr:from>
        <xdr:to>
          <xdr:col>13</xdr:col>
          <xdr:colOff>247650</xdr:colOff>
          <xdr:row>27</xdr:row>
          <xdr:rowOff>142875</xdr:rowOff>
        </xdr:to>
        <xdr:pic>
          <xdr:nvPicPr>
            <xdr:cNvPr id="9" name="Picture 8"/>
            <xdr:cNvPicPr>
              <a:picLocks noChangeAspect="1" noChangeArrowheads="1"/>
              <a:extLst>
                <a:ext uri="{84589F7E-364E-4C9E-8A38-B11213B215E9}">
                  <a14:cameraTool cellRange="SelRatio4" spid="_x0000_s1415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276725" y="3771900"/>
              <a:ext cx="3448050" cy="23050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11642</xdr:colOff>
      <xdr:row>3</xdr:row>
      <xdr:rowOff>25399</xdr:rowOff>
    </xdr:from>
    <xdr:to>
      <xdr:col>6</xdr:col>
      <xdr:colOff>2642</xdr:colOff>
      <xdr:row>13</xdr:row>
      <xdr:rowOff>89899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656167</xdr:colOff>
      <xdr:row>3</xdr:row>
      <xdr:rowOff>23282</xdr:rowOff>
    </xdr:from>
    <xdr:to>
      <xdr:col>11</xdr:col>
      <xdr:colOff>647167</xdr:colOff>
      <xdr:row>13</xdr:row>
      <xdr:rowOff>87782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70909</xdr:colOff>
      <xdr:row>3</xdr:row>
      <xdr:rowOff>19049</xdr:rowOff>
    </xdr:from>
    <xdr:to>
      <xdr:col>18</xdr:col>
      <xdr:colOff>61909</xdr:colOff>
      <xdr:row>13</xdr:row>
      <xdr:rowOff>83549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198967</xdr:colOff>
      <xdr:row>15</xdr:row>
      <xdr:rowOff>21166</xdr:rowOff>
    </xdr:from>
    <xdr:to>
      <xdr:col>5</xdr:col>
      <xdr:colOff>675742</xdr:colOff>
      <xdr:row>25</xdr:row>
      <xdr:rowOff>85666</xdr:rowOff>
    </xdr:to>
    <xdr:graphicFrame macro="">
      <xdr:nvGraphicFramePr>
        <xdr:cNvPr id="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27517</xdr:colOff>
      <xdr:row>15</xdr:row>
      <xdr:rowOff>49741</xdr:rowOff>
    </xdr:from>
    <xdr:to>
      <xdr:col>12</xdr:col>
      <xdr:colOff>18517</xdr:colOff>
      <xdr:row>25</xdr:row>
      <xdr:rowOff>114241</xdr:rowOff>
    </xdr:to>
    <xdr:graphicFrame macro="">
      <xdr:nvGraphicFramePr>
        <xdr:cNvPr id="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46567</xdr:colOff>
      <xdr:row>15</xdr:row>
      <xdr:rowOff>59266</xdr:rowOff>
    </xdr:from>
    <xdr:to>
      <xdr:col>18</xdr:col>
      <xdr:colOff>37567</xdr:colOff>
      <xdr:row>25</xdr:row>
      <xdr:rowOff>123766</xdr:rowOff>
    </xdr:to>
    <xdr:graphicFrame macro="">
      <xdr:nvGraphicFramePr>
        <xdr:cNvPr id="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29</xdr:row>
      <xdr:rowOff>9525</xdr:rowOff>
    </xdr:from>
    <xdr:to>
      <xdr:col>5</xdr:col>
      <xdr:colOff>629175</xdr:colOff>
      <xdr:row>39</xdr:row>
      <xdr:rowOff>74025</xdr:rowOff>
    </xdr:to>
    <xdr:graphicFrame macro="">
      <xdr:nvGraphicFramePr>
        <xdr:cNvPr id="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11</xdr:col>
      <xdr:colOff>676800</xdr:colOff>
      <xdr:row>39</xdr:row>
      <xdr:rowOff>64500</xdr:rowOff>
    </xdr:to>
    <xdr:graphicFrame macro="">
      <xdr:nvGraphicFramePr>
        <xdr:cNvPr id="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29</xdr:row>
      <xdr:rowOff>0</xdr:rowOff>
    </xdr:from>
    <xdr:to>
      <xdr:col>17</xdr:col>
      <xdr:colOff>676800</xdr:colOff>
      <xdr:row>39</xdr:row>
      <xdr:rowOff>64500</xdr:rowOff>
    </xdr:to>
    <xdr:graphicFrame macro="">
      <xdr:nvGraphicFramePr>
        <xdr:cNvPr id="1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676800</xdr:colOff>
      <xdr:row>51</xdr:row>
      <xdr:rowOff>64500</xdr:rowOff>
    </xdr:to>
    <xdr:graphicFrame macro="">
      <xdr:nvGraphicFramePr>
        <xdr:cNvPr id="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11</xdr:col>
      <xdr:colOff>676800</xdr:colOff>
      <xdr:row>51</xdr:row>
      <xdr:rowOff>64500</xdr:rowOff>
    </xdr:to>
    <xdr:graphicFrame macro="">
      <xdr:nvGraphicFramePr>
        <xdr:cNvPr id="1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17</xdr:col>
      <xdr:colOff>676800</xdr:colOff>
      <xdr:row>51</xdr:row>
      <xdr:rowOff>64500</xdr:rowOff>
    </xdr:to>
    <xdr:graphicFrame macro="">
      <xdr:nvGraphicFramePr>
        <xdr:cNvPr id="1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5</xdr:col>
      <xdr:colOff>676800</xdr:colOff>
      <xdr:row>63</xdr:row>
      <xdr:rowOff>64500</xdr:rowOff>
    </xdr:to>
    <xdr:graphicFrame macro="">
      <xdr:nvGraphicFramePr>
        <xdr:cNvPr id="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11</xdr:col>
      <xdr:colOff>676800</xdr:colOff>
      <xdr:row>63</xdr:row>
      <xdr:rowOff>64500</xdr:rowOff>
    </xdr:to>
    <xdr:graphicFrame macro="">
      <xdr:nvGraphicFramePr>
        <xdr:cNvPr id="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5</xdr:col>
      <xdr:colOff>676800</xdr:colOff>
      <xdr:row>77</xdr:row>
      <xdr:rowOff>64500</xdr:rowOff>
    </xdr:to>
    <xdr:graphicFrame macro="">
      <xdr:nvGraphicFramePr>
        <xdr:cNvPr id="1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11</xdr:col>
      <xdr:colOff>676800</xdr:colOff>
      <xdr:row>77</xdr:row>
      <xdr:rowOff>64500</xdr:rowOff>
    </xdr:to>
    <xdr:graphicFrame macro="">
      <xdr:nvGraphicFramePr>
        <xdr:cNvPr id="1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67</xdr:row>
      <xdr:rowOff>0</xdr:rowOff>
    </xdr:from>
    <xdr:to>
      <xdr:col>17</xdr:col>
      <xdr:colOff>676800</xdr:colOff>
      <xdr:row>77</xdr:row>
      <xdr:rowOff>64500</xdr:rowOff>
    </xdr:to>
    <xdr:graphicFrame macro="">
      <xdr:nvGraphicFramePr>
        <xdr:cNvPr id="1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5</xdr:col>
      <xdr:colOff>676800</xdr:colOff>
      <xdr:row>89</xdr:row>
      <xdr:rowOff>64500</xdr:rowOff>
    </xdr:to>
    <xdr:graphicFrame macro="">
      <xdr:nvGraphicFramePr>
        <xdr:cNvPr id="1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5</xdr:col>
      <xdr:colOff>676800</xdr:colOff>
      <xdr:row>103</xdr:row>
      <xdr:rowOff>64500</xdr:rowOff>
    </xdr:to>
    <xdr:graphicFrame macro="">
      <xdr:nvGraphicFramePr>
        <xdr:cNvPr id="2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11</xdr:col>
      <xdr:colOff>676800</xdr:colOff>
      <xdr:row>103</xdr:row>
      <xdr:rowOff>64500</xdr:rowOff>
    </xdr:to>
    <xdr:graphicFrame macro="">
      <xdr:nvGraphicFramePr>
        <xdr:cNvPr id="2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93</xdr:row>
      <xdr:rowOff>0</xdr:rowOff>
    </xdr:from>
    <xdr:to>
      <xdr:col>17</xdr:col>
      <xdr:colOff>676800</xdr:colOff>
      <xdr:row>103</xdr:row>
      <xdr:rowOff>64500</xdr:rowOff>
    </xdr:to>
    <xdr:graphicFrame macro="">
      <xdr:nvGraphicFramePr>
        <xdr:cNvPr id="2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5</xdr:col>
      <xdr:colOff>676800</xdr:colOff>
      <xdr:row>115</xdr:row>
      <xdr:rowOff>64500</xdr:rowOff>
    </xdr:to>
    <xdr:graphicFrame macro="">
      <xdr:nvGraphicFramePr>
        <xdr:cNvPr id="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105</xdr:row>
      <xdr:rowOff>0</xdr:rowOff>
    </xdr:from>
    <xdr:to>
      <xdr:col>11</xdr:col>
      <xdr:colOff>676800</xdr:colOff>
      <xdr:row>115</xdr:row>
      <xdr:rowOff>64500</xdr:rowOff>
    </xdr:to>
    <xdr:graphicFrame macro="">
      <xdr:nvGraphicFramePr>
        <xdr:cNvPr id="2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5</xdr:col>
      <xdr:colOff>676800</xdr:colOff>
      <xdr:row>129</xdr:row>
      <xdr:rowOff>64500</xdr:rowOff>
    </xdr:to>
    <xdr:graphicFrame macro="">
      <xdr:nvGraphicFramePr>
        <xdr:cNvPr id="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119</xdr:row>
      <xdr:rowOff>0</xdr:rowOff>
    </xdr:from>
    <xdr:to>
      <xdr:col>11</xdr:col>
      <xdr:colOff>676800</xdr:colOff>
      <xdr:row>129</xdr:row>
      <xdr:rowOff>64500</xdr:rowOff>
    </xdr:to>
    <xdr:graphicFrame macro="">
      <xdr:nvGraphicFramePr>
        <xdr:cNvPr id="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119</xdr:row>
      <xdr:rowOff>0</xdr:rowOff>
    </xdr:from>
    <xdr:to>
      <xdr:col>17</xdr:col>
      <xdr:colOff>676800</xdr:colOff>
      <xdr:row>129</xdr:row>
      <xdr:rowOff>64500</xdr:rowOff>
    </xdr:to>
    <xdr:graphicFrame macro="">
      <xdr:nvGraphicFramePr>
        <xdr:cNvPr id="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5</xdr:col>
      <xdr:colOff>676800</xdr:colOff>
      <xdr:row>141</xdr:row>
      <xdr:rowOff>64500</xdr:rowOff>
    </xdr:to>
    <xdr:graphicFrame macro="">
      <xdr:nvGraphicFramePr>
        <xdr:cNvPr id="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11642</xdr:colOff>
      <xdr:row>3</xdr:row>
      <xdr:rowOff>25399</xdr:rowOff>
    </xdr:from>
    <xdr:to>
      <xdr:col>7</xdr:col>
      <xdr:colOff>2642</xdr:colOff>
      <xdr:row>13</xdr:row>
      <xdr:rowOff>89899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656167</xdr:colOff>
      <xdr:row>3</xdr:row>
      <xdr:rowOff>23282</xdr:rowOff>
    </xdr:from>
    <xdr:to>
      <xdr:col>12</xdr:col>
      <xdr:colOff>647167</xdr:colOff>
      <xdr:row>13</xdr:row>
      <xdr:rowOff>87782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70909</xdr:colOff>
      <xdr:row>3</xdr:row>
      <xdr:rowOff>19049</xdr:rowOff>
    </xdr:from>
    <xdr:to>
      <xdr:col>19</xdr:col>
      <xdr:colOff>61909</xdr:colOff>
      <xdr:row>13</xdr:row>
      <xdr:rowOff>83549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198967</xdr:colOff>
      <xdr:row>15</xdr:row>
      <xdr:rowOff>21166</xdr:rowOff>
    </xdr:from>
    <xdr:to>
      <xdr:col>6</xdr:col>
      <xdr:colOff>675742</xdr:colOff>
      <xdr:row>25</xdr:row>
      <xdr:rowOff>85666</xdr:rowOff>
    </xdr:to>
    <xdr:graphicFrame macro="">
      <xdr:nvGraphicFramePr>
        <xdr:cNvPr id="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27517</xdr:colOff>
      <xdr:row>15</xdr:row>
      <xdr:rowOff>49741</xdr:rowOff>
    </xdr:from>
    <xdr:to>
      <xdr:col>13</xdr:col>
      <xdr:colOff>18517</xdr:colOff>
      <xdr:row>25</xdr:row>
      <xdr:rowOff>114241</xdr:rowOff>
    </xdr:to>
    <xdr:graphicFrame macro="">
      <xdr:nvGraphicFramePr>
        <xdr:cNvPr id="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46567</xdr:colOff>
      <xdr:row>15</xdr:row>
      <xdr:rowOff>59266</xdr:rowOff>
    </xdr:from>
    <xdr:to>
      <xdr:col>19</xdr:col>
      <xdr:colOff>37567</xdr:colOff>
      <xdr:row>25</xdr:row>
      <xdr:rowOff>123766</xdr:rowOff>
    </xdr:to>
    <xdr:graphicFrame macro="">
      <xdr:nvGraphicFramePr>
        <xdr:cNvPr id="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</xdr:row>
      <xdr:rowOff>9525</xdr:rowOff>
    </xdr:from>
    <xdr:to>
      <xdr:col>6</xdr:col>
      <xdr:colOff>629175</xdr:colOff>
      <xdr:row>13</xdr:row>
      <xdr:rowOff>74025</xdr:rowOff>
    </xdr:to>
    <xdr:graphicFrame macro="">
      <xdr:nvGraphicFramePr>
        <xdr:cNvPr id="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12</xdr:col>
      <xdr:colOff>676800</xdr:colOff>
      <xdr:row>13</xdr:row>
      <xdr:rowOff>64500</xdr:rowOff>
    </xdr:to>
    <xdr:graphicFrame macro="">
      <xdr:nvGraphicFramePr>
        <xdr:cNvPr id="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18</xdr:col>
      <xdr:colOff>676800</xdr:colOff>
      <xdr:row>13</xdr:row>
      <xdr:rowOff>64500</xdr:rowOff>
    </xdr:to>
    <xdr:graphicFrame macro="">
      <xdr:nvGraphicFramePr>
        <xdr:cNvPr id="1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6</xdr:col>
      <xdr:colOff>676800</xdr:colOff>
      <xdr:row>25</xdr:row>
      <xdr:rowOff>64500</xdr:rowOff>
    </xdr:to>
    <xdr:graphicFrame macro="">
      <xdr:nvGraphicFramePr>
        <xdr:cNvPr id="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12</xdr:col>
      <xdr:colOff>676800</xdr:colOff>
      <xdr:row>25</xdr:row>
      <xdr:rowOff>64500</xdr:rowOff>
    </xdr:to>
    <xdr:graphicFrame macro="">
      <xdr:nvGraphicFramePr>
        <xdr:cNvPr id="1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18</xdr:col>
      <xdr:colOff>676800</xdr:colOff>
      <xdr:row>25</xdr:row>
      <xdr:rowOff>64500</xdr:rowOff>
    </xdr:to>
    <xdr:graphicFrame macro="">
      <xdr:nvGraphicFramePr>
        <xdr:cNvPr id="1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6</xdr:col>
      <xdr:colOff>676800</xdr:colOff>
      <xdr:row>37</xdr:row>
      <xdr:rowOff>64500</xdr:rowOff>
    </xdr:to>
    <xdr:graphicFrame macro="">
      <xdr:nvGraphicFramePr>
        <xdr:cNvPr id="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12</xdr:col>
      <xdr:colOff>676800</xdr:colOff>
      <xdr:row>37</xdr:row>
      <xdr:rowOff>64500</xdr:rowOff>
    </xdr:to>
    <xdr:graphicFrame macro="">
      <xdr:nvGraphicFramePr>
        <xdr:cNvPr id="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6</xdr:col>
      <xdr:colOff>676800</xdr:colOff>
      <xdr:row>13</xdr:row>
      <xdr:rowOff>64500</xdr:rowOff>
    </xdr:to>
    <xdr:graphicFrame macro="">
      <xdr:nvGraphicFramePr>
        <xdr:cNvPr id="1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12</xdr:col>
      <xdr:colOff>676800</xdr:colOff>
      <xdr:row>13</xdr:row>
      <xdr:rowOff>64500</xdr:rowOff>
    </xdr:to>
    <xdr:graphicFrame macro="">
      <xdr:nvGraphicFramePr>
        <xdr:cNvPr id="1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18</xdr:col>
      <xdr:colOff>676800</xdr:colOff>
      <xdr:row>13</xdr:row>
      <xdr:rowOff>64500</xdr:rowOff>
    </xdr:to>
    <xdr:graphicFrame macro="">
      <xdr:nvGraphicFramePr>
        <xdr:cNvPr id="1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6</xdr:col>
      <xdr:colOff>676800</xdr:colOff>
      <xdr:row>25</xdr:row>
      <xdr:rowOff>64500</xdr:rowOff>
    </xdr:to>
    <xdr:graphicFrame macro="">
      <xdr:nvGraphicFramePr>
        <xdr:cNvPr id="1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6</xdr:col>
      <xdr:colOff>676800</xdr:colOff>
      <xdr:row>13</xdr:row>
      <xdr:rowOff>64500</xdr:rowOff>
    </xdr:to>
    <xdr:graphicFrame macro="">
      <xdr:nvGraphicFramePr>
        <xdr:cNvPr id="2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12</xdr:col>
      <xdr:colOff>676800</xdr:colOff>
      <xdr:row>13</xdr:row>
      <xdr:rowOff>64500</xdr:rowOff>
    </xdr:to>
    <xdr:graphicFrame macro="">
      <xdr:nvGraphicFramePr>
        <xdr:cNvPr id="2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18</xdr:col>
      <xdr:colOff>676800</xdr:colOff>
      <xdr:row>13</xdr:row>
      <xdr:rowOff>64500</xdr:rowOff>
    </xdr:to>
    <xdr:graphicFrame macro="">
      <xdr:nvGraphicFramePr>
        <xdr:cNvPr id="2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6</xdr:col>
      <xdr:colOff>676800</xdr:colOff>
      <xdr:row>25</xdr:row>
      <xdr:rowOff>64500</xdr:rowOff>
    </xdr:to>
    <xdr:graphicFrame macro="">
      <xdr:nvGraphicFramePr>
        <xdr:cNvPr id="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12</xdr:col>
      <xdr:colOff>676800</xdr:colOff>
      <xdr:row>25</xdr:row>
      <xdr:rowOff>64500</xdr:rowOff>
    </xdr:to>
    <xdr:graphicFrame macro="">
      <xdr:nvGraphicFramePr>
        <xdr:cNvPr id="2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6</xdr:col>
      <xdr:colOff>676800</xdr:colOff>
      <xdr:row>13</xdr:row>
      <xdr:rowOff>64500</xdr:rowOff>
    </xdr:to>
    <xdr:graphicFrame macro="">
      <xdr:nvGraphicFramePr>
        <xdr:cNvPr id="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12</xdr:col>
      <xdr:colOff>676800</xdr:colOff>
      <xdr:row>13</xdr:row>
      <xdr:rowOff>64500</xdr:rowOff>
    </xdr:to>
    <xdr:graphicFrame macro="">
      <xdr:nvGraphicFramePr>
        <xdr:cNvPr id="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18</xdr:col>
      <xdr:colOff>676800</xdr:colOff>
      <xdr:row>13</xdr:row>
      <xdr:rowOff>64500</xdr:rowOff>
    </xdr:to>
    <xdr:graphicFrame macro="">
      <xdr:nvGraphicFramePr>
        <xdr:cNvPr id="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6</xdr:col>
      <xdr:colOff>676800</xdr:colOff>
      <xdr:row>25</xdr:row>
      <xdr:rowOff>64500</xdr:rowOff>
    </xdr:to>
    <xdr:graphicFrame macro="">
      <xdr:nvGraphicFramePr>
        <xdr:cNvPr id="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%20-%20Data/0%20-%20CNA%20-%20Sage%20300/To%20be%20sent%20to%20QA/15%20July%202014/Financial%20Income%20Statement%20S300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! Internal"/>
      <sheetName val="Lookup Data"/>
      <sheetName val="Missing Accounts"/>
      <sheetName val="Home"/>
      <sheetName val="IS - Actual YTD"/>
      <sheetName val="IS - Actual vs Prior"/>
      <sheetName val="IS - Actual vs Budget"/>
    </sheetNames>
    <sheetDataSet>
      <sheetData sheetId="0">
        <row r="2">
          <cell r="A2">
            <v>3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ynnis Boyens" refreshedDate="41836.598951967593" createdVersion="5" refreshedVersion="5" minRefreshableVersion="3" recordCount="13">
  <cacheSource type="worksheet">
    <worksheetSource ref="B1:B1048576" sheet="Lookup Data"/>
  </cacheSource>
  <cacheFields count="1">
    <cacheField name="Fiscal Years" numFmtId="0">
      <sharedItems containsString="0" containsBlank="1" containsNumber="1" containsInteger="1" minValue="2018" maxValue="2019" count="3">
        <n v="2018"/>
        <n v="20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asteriskTotals="1" useAutoFormatting="1" rowGrandTotals="0" colGrandTotals="0" itemPrintTitles="1" createdVersion="4" indent="0" outline="1" outlineData="1" multipleFieldFilters="0">
  <location ref="A1:A3" firstHeaderRow="1" firstDataRow="1" firstDataCol="1"/>
  <pivotFields count="1">
    <pivotField axis="axisRow" showAll="0" defaultSubtotal="0">
      <items count="3">
        <item x="0"/>
        <item x="1"/>
        <item h="1" x="2"/>
      </items>
    </pivotField>
  </pivotFields>
  <rowFields count="1">
    <field x="0"/>
  </rowFields>
  <rowItems count="2">
    <i>
      <x/>
    </i>
    <i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6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7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8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9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0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1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2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3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4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Sage Business Intelligence Theme">
    <a:dk1>
      <a:srgbClr val="7F7F7F"/>
    </a:dk1>
    <a:lt1>
      <a:sysClr val="window" lastClr="FFFFFF"/>
    </a:lt1>
    <a:dk2>
      <a:srgbClr val="008469"/>
    </a:dk2>
    <a:lt2>
      <a:srgbClr val="F2F2F2"/>
    </a:lt2>
    <a:accent1>
      <a:srgbClr val="008469"/>
    </a:accent1>
    <a:accent2>
      <a:srgbClr val="A8B400"/>
    </a:accent2>
    <a:accent3>
      <a:srgbClr val="CDE6A0"/>
    </a:accent3>
    <a:accent4>
      <a:srgbClr val="69923A"/>
    </a:accent4>
    <a:accent5>
      <a:srgbClr val="4D4F53"/>
    </a:accent5>
    <a:accent6>
      <a:srgbClr val="024731"/>
    </a:accent6>
    <a:hlink>
      <a:srgbClr val="393B3E"/>
    </a:hlink>
    <a:folHlink>
      <a:srgbClr val="008469"/>
    </a:folHlink>
  </a:clrScheme>
  <a:fontScheme name="Sage Business Intelligence">
    <a:majorFont>
      <a:latin typeface="Segoe UI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953F84-809C-4E95-AC46-7C83AF9170F0}">
  <we:reference id="wa104379397" version="1.0.0.2" store="en-US" storeType="OMEX"/>
  <we:alternateReferences/>
  <we:properties/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sagealchemex" TargetMode="External"/><Relationship Id="rId3" Type="http://schemas.openxmlformats.org/officeDocument/2006/relationships/hyperlink" Target="http://sageintelligence.com/blog" TargetMode="External"/><Relationship Id="rId7" Type="http://schemas.openxmlformats.org/officeDocument/2006/relationships/hyperlink" Target="http://www.youtube.com/user/sageintelligence" TargetMode="External"/><Relationship Id="rId2" Type="http://schemas.openxmlformats.org/officeDocument/2006/relationships/hyperlink" Target="http://kb.sageintelligence.com/index.php?title=Main_Page" TargetMode="External"/><Relationship Id="rId1" Type="http://schemas.openxmlformats.org/officeDocument/2006/relationships/hyperlink" Target="https://www.sageintelligence.com/support/" TargetMode="External"/><Relationship Id="rId6" Type="http://schemas.openxmlformats.org/officeDocument/2006/relationships/hyperlink" Target="http://www.linkedin.com/company/sage-alchemex" TargetMode="External"/><Relationship Id="rId5" Type="http://schemas.openxmlformats.org/officeDocument/2006/relationships/hyperlink" Target="https://www.facebook.com/SageIntelligence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sageintelligencecommunity.com/" TargetMode="External"/><Relationship Id="rId9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6"/>
  <sheetViews>
    <sheetView showGridLines="0" workbookViewId="0"/>
  </sheetViews>
  <sheetFormatPr defaultRowHeight="14.25" x14ac:dyDescent="0.25"/>
  <cols>
    <col min="1" max="1" width="10.5703125" customWidth="1"/>
  </cols>
  <sheetData>
    <row r="1" spans="1:1" x14ac:dyDescent="0.25">
      <c r="A1" s="1" t="s">
        <v>0</v>
      </c>
    </row>
    <row r="2" spans="1:1" ht="15" thickBot="1" x14ac:dyDescent="0.3">
      <c r="A2" s="2">
        <v>3</v>
      </c>
    </row>
    <row r="3" spans="1:1" x14ac:dyDescent="0.25">
      <c r="A3" s="1" t="s">
        <v>1</v>
      </c>
    </row>
    <row r="4" spans="1:1" ht="15" thickBot="1" x14ac:dyDescent="0.3">
      <c r="A4" s="2" t="str">
        <f ca="1">CHOOSE(1,MID(CellContents,10,1), 3)</f>
        <v>,</v>
      </c>
    </row>
    <row r="5" spans="1:1" x14ac:dyDescent="0.25">
      <c r="A5" s="1" t="s">
        <v>2</v>
      </c>
    </row>
    <row r="6" spans="1:1" ht="15" thickBot="1" x14ac:dyDescent="0.3">
      <c r="A6" s="3" t="str">
        <f ca="1">CHOOSE(1,MID(CellContents,36,1), 3.5)</f>
        <v>.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J48"/>
  <sheetViews>
    <sheetView showGridLines="0" zoomScale="90" zoomScaleNormal="90" workbookViewId="0"/>
  </sheetViews>
  <sheetFormatPr defaultRowHeight="16.5" x14ac:dyDescent="0.3"/>
  <cols>
    <col min="1" max="1" width="2.85546875" style="12" customWidth="1"/>
    <col min="2" max="2" width="5.5703125" style="12" customWidth="1"/>
    <col min="3" max="3" width="43.42578125" style="26" customWidth="1"/>
    <col min="4" max="10" width="13.85546875" style="12" customWidth="1"/>
    <col min="11" max="16384" width="9.140625" style="12"/>
  </cols>
  <sheetData>
    <row r="1" spans="2:10" ht="15" customHeight="1" x14ac:dyDescent="0.3"/>
    <row r="2" spans="2:10" ht="33.75" customHeight="1" x14ac:dyDescent="0.7">
      <c r="B2" s="115" t="s">
        <v>112</v>
      </c>
      <c r="C2" s="14" t="str">
        <f>CONCATENATE(D4," Financial Ratio Report Data")</f>
        <v>SAMLTD Financial Ratio Report Data</v>
      </c>
      <c r="E2" s="15"/>
    </row>
    <row r="3" spans="2:10" ht="6.95" customHeight="1" x14ac:dyDescent="0.7">
      <c r="C3" s="15"/>
      <c r="E3" s="15"/>
    </row>
    <row r="4" spans="2:10" ht="16.5" customHeight="1" x14ac:dyDescent="0.7">
      <c r="C4" s="16" t="s">
        <v>17</v>
      </c>
      <c r="D4" s="159" t="str">
        <f>'Financial Data'!D4</f>
        <v>SAMLTD</v>
      </c>
      <c r="E4" s="15"/>
      <c r="G4" s="174" t="s">
        <v>137</v>
      </c>
      <c r="H4" s="174"/>
      <c r="I4" s="174"/>
      <c r="J4" s="174"/>
    </row>
    <row r="5" spans="2:10" x14ac:dyDescent="0.3">
      <c r="C5" s="16" t="s">
        <v>16</v>
      </c>
      <c r="D5" s="20">
        <f>'Financial Data'!D5</f>
        <v>1</v>
      </c>
      <c r="G5" s="174"/>
      <c r="H5" s="174"/>
      <c r="I5" s="174"/>
      <c r="J5" s="174"/>
    </row>
    <row r="6" spans="2:10" x14ac:dyDescent="0.3">
      <c r="C6" s="16" t="s">
        <v>18</v>
      </c>
      <c r="D6" s="17" t="str">
        <f>'Financial Data'!D6</f>
        <v>CAD</v>
      </c>
      <c r="G6" s="174"/>
      <c r="H6" s="174"/>
      <c r="I6" s="174"/>
      <c r="J6" s="174"/>
    </row>
    <row r="7" spans="2:10" x14ac:dyDescent="0.3">
      <c r="C7" s="16" t="s">
        <v>19</v>
      </c>
      <c r="D7" s="17" t="str">
        <f>'Financial Data'!D7</f>
        <v>F</v>
      </c>
      <c r="G7" s="174"/>
      <c r="H7" s="174"/>
      <c r="I7" s="174"/>
      <c r="J7" s="174"/>
    </row>
    <row r="8" spans="2:10" x14ac:dyDescent="0.3">
      <c r="C8"/>
      <c r="D8"/>
    </row>
    <row r="9" spans="2:10" ht="6.95" customHeight="1" x14ac:dyDescent="0.3"/>
    <row r="10" spans="2:10" ht="27.75" customHeight="1" x14ac:dyDescent="0.3">
      <c r="D10" s="40">
        <f>E10-1</f>
        <v>2016</v>
      </c>
      <c r="E10" s="40">
        <f t="shared" ref="E10" si="0">F10-1</f>
        <v>2017</v>
      </c>
      <c r="F10" s="40">
        <f>G10-1</f>
        <v>2018</v>
      </c>
      <c r="G10" s="112">
        <f>H10-1</f>
        <v>2019</v>
      </c>
      <c r="H10" s="112">
        <f>SelectedYear</f>
        <v>2020</v>
      </c>
      <c r="I10" s="41" t="s">
        <v>23</v>
      </c>
      <c r="J10" s="41" t="s">
        <v>30</v>
      </c>
    </row>
    <row r="11" spans="2:10" ht="6.95" customHeight="1" x14ac:dyDescent="0.3">
      <c r="D11" s="26"/>
      <c r="E11" s="26"/>
    </row>
    <row r="12" spans="2:10" x14ac:dyDescent="0.3">
      <c r="C12" s="28" t="s">
        <v>31</v>
      </c>
      <c r="D12" s="28"/>
      <c r="E12" s="28"/>
      <c r="F12" s="18"/>
      <c r="G12" s="18"/>
      <c r="H12" s="18"/>
      <c r="I12" s="18"/>
    </row>
    <row r="13" spans="2:10" x14ac:dyDescent="0.3">
      <c r="C13" s="29" t="s">
        <v>32</v>
      </c>
      <c r="D13" s="30">
        <f>IF('Financial Data'!E11=0,0,'Financial Data'!E22/'Financial Data'!E11)</f>
        <v>0</v>
      </c>
      <c r="E13" s="30">
        <f>IF('Financial Data'!F11=0,0,'Financial Data'!F22/'Financial Data'!F11)</f>
        <v>0</v>
      </c>
      <c r="F13" s="30">
        <f>IF('Financial Data'!G11=0,0,'Financial Data'!G22/'Financial Data'!G11)</f>
        <v>0</v>
      </c>
      <c r="G13" s="30">
        <f>IF('Financial Data'!H11=0,0,'Financial Data'!H22/'Financial Data'!H11)</f>
        <v>-2.8574706539358492</v>
      </c>
      <c r="H13" s="30">
        <f>IF('Financial Data'!I11=0,0,'Financial Data'!I22/'Financial Data'!I11)</f>
        <v>5.2745917341123508E-2</v>
      </c>
      <c r="I13" s="30">
        <f t="shared" ref="I13:I18" si="1">H13-G13</f>
        <v>2.9102165712769725</v>
      </c>
      <c r="J13" s="30">
        <f>'Financial Report Settings'!L10</f>
        <v>6.5000000000000002E-2</v>
      </c>
    </row>
    <row r="14" spans="2:10" x14ac:dyDescent="0.3">
      <c r="C14" s="29" t="s">
        <v>33</v>
      </c>
      <c r="D14" s="30">
        <f>IF('Financial Data'!E32=0,0,'Financial Data'!E22/'Financial Data'!E32)</f>
        <v>0</v>
      </c>
      <c r="E14" s="30">
        <f>IF('Financial Data'!F32=0,0,'Financial Data'!F22/'Financial Data'!F32)</f>
        <v>0</v>
      </c>
      <c r="F14" s="30">
        <f>IF('Financial Data'!G32=0,0,'Financial Data'!G22/'Financial Data'!G32)</f>
        <v>0</v>
      </c>
      <c r="G14" s="30">
        <f>IF('Financial Data'!H32=0,0,'Financial Data'!H22/'Financial Data'!H32)</f>
        <v>-1.0843856591533239</v>
      </c>
      <c r="H14" s="30">
        <f>IF('Financial Data'!I32=0,0,'Financial Data'!I22/'Financial Data'!I32)</f>
        <v>6.7210425972419555E-3</v>
      </c>
      <c r="I14" s="30">
        <f t="shared" si="1"/>
        <v>1.0911067017505658</v>
      </c>
      <c r="J14" s="30">
        <f>'Financial Report Settings'!L11</f>
        <v>0.1</v>
      </c>
    </row>
    <row r="15" spans="2:10" x14ac:dyDescent="0.3">
      <c r="C15" s="29" t="s">
        <v>34</v>
      </c>
      <c r="D15" s="30">
        <f>IF('Financial Data'!E42=0,0,'Financial Data'!E22/'Financial Data'!E42)</f>
        <v>0</v>
      </c>
      <c r="E15" s="30">
        <f>IF('Financial Data'!F42=0,0,'Financial Data'!F22/'Financial Data'!F42)</f>
        <v>0</v>
      </c>
      <c r="F15" s="30">
        <f>IF('Financial Data'!G42=0,0,'Financial Data'!G22/'Financial Data'!G42)</f>
        <v>0</v>
      </c>
      <c r="G15" s="30">
        <f>IF('Financial Data'!H42=0,0,'Financial Data'!H22/'Financial Data'!H42)</f>
        <v>1.3535740801704983</v>
      </c>
      <c r="H15" s="30">
        <f>IF('Financial Data'!I42=0,0,'Financial Data'!I22/'Financial Data'!I42)</f>
        <v>-7.7009738199578029E-2</v>
      </c>
      <c r="I15" s="30">
        <f t="shared" si="1"/>
        <v>-1.4305838183700763</v>
      </c>
      <c r="J15" s="30">
        <f>'Financial Report Settings'!L12</f>
        <v>0.15</v>
      </c>
    </row>
    <row r="16" spans="2:10" x14ac:dyDescent="0.3">
      <c r="C16" s="29" t="s">
        <v>35</v>
      </c>
      <c r="D16" s="34">
        <f>IF('Financial Data'!E37=0,0,'Financial Data'!E22/'Financial Data'!E37)</f>
        <v>0</v>
      </c>
      <c r="E16" s="34">
        <f>IF('Financial Data'!F37=0,0,'Financial Data'!F22/'Financial Data'!F37)</f>
        <v>0</v>
      </c>
      <c r="F16" s="34">
        <f>IF('Financial Data'!G37=0,0,'Financial Data'!G22/'Financial Data'!G37)</f>
        <v>0</v>
      </c>
      <c r="G16" s="34">
        <f>IF('Financial Data'!H37=0,0,'Financial Data'!H22/'Financial Data'!H37)</f>
        <v>0</v>
      </c>
      <c r="H16" s="34">
        <f>IF('Financial Data'!I37=0,0,'Financial Data'!I22/'Financial Data'!I37)</f>
        <v>0</v>
      </c>
      <c r="I16" s="34">
        <f t="shared" si="1"/>
        <v>0</v>
      </c>
      <c r="J16" s="34">
        <f>'Financial Report Settings'!L13</f>
        <v>2</v>
      </c>
    </row>
    <row r="17" spans="3:10" x14ac:dyDescent="0.3">
      <c r="C17" s="29" t="s">
        <v>36</v>
      </c>
      <c r="D17" s="30">
        <f>IF('Financial Data'!E11=0,0,('Financial Data'!E11-'Financial Data'!E12)/'Financial Data'!E11)</f>
        <v>0</v>
      </c>
      <c r="E17" s="30">
        <f>IF('Financial Data'!F11=0,0,('Financial Data'!F11-'Financial Data'!F12)/'Financial Data'!F11)</f>
        <v>0</v>
      </c>
      <c r="F17" s="30">
        <f>IF('Financial Data'!G11=0,0,('Financial Data'!G11-'Financial Data'!G12)/'Financial Data'!G11)</f>
        <v>0</v>
      </c>
      <c r="G17" s="30">
        <f>IF('Financial Data'!H11=0,0,('Financial Data'!H11-'Financial Data'!H12)/'Financial Data'!H11)</f>
        <v>0.65335039076828216</v>
      </c>
      <c r="H17" s="30">
        <f>IF('Financial Data'!I11=0,0,('Financial Data'!I11-'Financial Data'!I12)/'Financial Data'!I11)</f>
        <v>0.59461412288683491</v>
      </c>
      <c r="I17" s="30">
        <f t="shared" si="1"/>
        <v>-5.8736267881447257E-2</v>
      </c>
      <c r="J17" s="30">
        <f>'Financial Report Settings'!L14</f>
        <v>0.3</v>
      </c>
    </row>
    <row r="18" spans="3:10" x14ac:dyDescent="0.3">
      <c r="C18" s="29" t="s">
        <v>37</v>
      </c>
      <c r="D18" s="30">
        <f>IF('Financial Data'!E32='Financial Data'!E35,0,'Financial Data'!E19/('Financial Data'!E32-'Financial Data'!E35))</f>
        <v>0</v>
      </c>
      <c r="E18" s="30">
        <f>IF('Financial Data'!F32='Financial Data'!F35,0,'Financial Data'!F19/('Financial Data'!F32-'Financial Data'!F35))</f>
        <v>0</v>
      </c>
      <c r="F18" s="30">
        <f>IF('Financial Data'!G32='Financial Data'!G35,0,'Financial Data'!G19/('Financial Data'!G32-'Financial Data'!G35))</f>
        <v>0</v>
      </c>
      <c r="G18" s="30">
        <f>IF('Financial Data'!H32='Financial Data'!H35,0,'Financial Data'!H19/('Financial Data'!H32-'Financial Data'!H35))</f>
        <v>1.4622307035701534</v>
      </c>
      <c r="H18" s="30">
        <f>IF('Financial Data'!I32='Financial Data'!I35,0,'Financial Data'!I19/('Financial Data'!I32-'Financial Data'!I35))</f>
        <v>-0.11413914753745645</v>
      </c>
      <c r="I18" s="30">
        <f t="shared" si="1"/>
        <v>-1.5763698511076099</v>
      </c>
      <c r="J18" s="30">
        <f>'Financial Report Settings'!L15</f>
        <v>0.19</v>
      </c>
    </row>
    <row r="19" spans="3:10" ht="6.95" customHeight="1" x14ac:dyDescent="0.3">
      <c r="C19" s="29"/>
      <c r="D19" s="33"/>
      <c r="E19" s="33"/>
      <c r="F19" s="33"/>
      <c r="G19" s="33"/>
      <c r="H19" s="33"/>
      <c r="I19" s="33"/>
    </row>
    <row r="20" spans="3:10" x14ac:dyDescent="0.3">
      <c r="C20" s="28" t="s">
        <v>38</v>
      </c>
      <c r="D20" s="33"/>
      <c r="E20" s="33"/>
      <c r="F20" s="33"/>
      <c r="G20" s="33"/>
      <c r="H20" s="33"/>
      <c r="I20" s="33"/>
    </row>
    <row r="21" spans="3:10" x14ac:dyDescent="0.3">
      <c r="C21" s="29" t="s">
        <v>39</v>
      </c>
      <c r="D21" s="34">
        <f>IF('Financial Data'!E24=0,0,'Financial Data'!E11/'Financial Data'!E24)</f>
        <v>0</v>
      </c>
      <c r="E21" s="34">
        <f>IF('Financial Data'!F24=0,0,'Financial Data'!F11/'Financial Data'!F24)</f>
        <v>0</v>
      </c>
      <c r="F21" s="34">
        <f>IF('Financial Data'!G24=0,0,'Financial Data'!G11/'Financial Data'!G24)</f>
        <v>0</v>
      </c>
      <c r="G21" s="34">
        <f>IF('Financial Data'!H24=0,0,'Financial Data'!H11/'Financial Data'!H24)</f>
        <v>1.3813736613873389</v>
      </c>
      <c r="H21" s="34">
        <f>IF('Financial Data'!I24=0,0,'Financial Data'!I11/'Financial Data'!I24)</f>
        <v>0.56259059484101115</v>
      </c>
      <c r="I21" s="34">
        <f t="shared" ref="I21:I28" si="2">H21-G21</f>
        <v>-0.81878306654632771</v>
      </c>
      <c r="J21" s="34">
        <f>'Financial Report Settings'!P10</f>
        <v>10</v>
      </c>
    </row>
    <row r="22" spans="3:10" x14ac:dyDescent="0.3">
      <c r="C22" s="29" t="s">
        <v>40</v>
      </c>
      <c r="D22" s="34">
        <f>IF('Financial Data'!E11=0,0,'Financial Data'!E24/('Financial Data'!E11/365))</f>
        <v>0</v>
      </c>
      <c r="E22" s="34">
        <f>IF('Financial Data'!F11=0,0,'Financial Data'!F24/('Financial Data'!F11/365))</f>
        <v>0</v>
      </c>
      <c r="F22" s="34">
        <f>IF('Financial Data'!G11=0,0,'Financial Data'!G24/('Financial Data'!G11/365))</f>
        <v>0</v>
      </c>
      <c r="G22" s="34">
        <f>IF('Financial Data'!H11=0,0,'Financial Data'!H24/('Financial Data'!H11/365))</f>
        <v>264.22973754503454</v>
      </c>
      <c r="H22" s="34">
        <f>IF('Financial Data'!I11=0,0,'Financial Data'!I24/('Financial Data'!I11/365))</f>
        <v>648.78439729897991</v>
      </c>
      <c r="I22" s="34">
        <f t="shared" si="2"/>
        <v>384.55465975394537</v>
      </c>
      <c r="J22" s="34">
        <f>'Financial Report Settings'!P11</f>
        <v>36</v>
      </c>
    </row>
    <row r="23" spans="3:10" x14ac:dyDescent="0.3">
      <c r="C23" s="29" t="s">
        <v>41</v>
      </c>
      <c r="D23" s="34">
        <f>IF('Financial Data'!E25=0,0,'Financial Data'!E12/'Financial Data'!E25)</f>
        <v>0</v>
      </c>
      <c r="E23" s="34">
        <f>IF('Financial Data'!F25=0,0,'Financial Data'!F12/'Financial Data'!F25)</f>
        <v>0</v>
      </c>
      <c r="F23" s="34">
        <f>IF('Financial Data'!G25=0,0,'Financial Data'!G12/'Financial Data'!G25)</f>
        <v>0</v>
      </c>
      <c r="G23" s="34">
        <f>IF('Financial Data'!H25=0,0,'Financial Data'!H12/'Financial Data'!H25)</f>
        <v>0.49343320155781617</v>
      </c>
      <c r="H23" s="34">
        <f>IF('Financial Data'!I25=0,0,'Financial Data'!I12/'Financial Data'!I25)</f>
        <v>0.3510610281713944</v>
      </c>
      <c r="I23" s="34">
        <f t="shared" si="2"/>
        <v>-0.14237217338642177</v>
      </c>
      <c r="J23" s="34">
        <f>'Financial Report Settings'!P12</f>
        <v>7</v>
      </c>
    </row>
    <row r="24" spans="3:10" x14ac:dyDescent="0.3">
      <c r="C24" s="29" t="s">
        <v>42</v>
      </c>
      <c r="D24" s="34">
        <f>IF('Financial Data'!E12=0,0,'Financial Data'!E25/('Financial Data'!E12/365))</f>
        <v>0</v>
      </c>
      <c r="E24" s="34">
        <f>IF('Financial Data'!F12=0,0,'Financial Data'!F25/('Financial Data'!F12/365))</f>
        <v>0</v>
      </c>
      <c r="F24" s="34">
        <f>IF('Financial Data'!G12=0,0,'Financial Data'!G25/('Financial Data'!G12/365))</f>
        <v>0</v>
      </c>
      <c r="G24" s="34">
        <f>IF('Financial Data'!H12=0,0,'Financial Data'!H25/('Financial Data'!H12/365))</f>
        <v>739.71512019795136</v>
      </c>
      <c r="H24" s="34">
        <f>IF('Financial Data'!I12=0,0,'Financial Data'!I25/('Financial Data'!I12/365))</f>
        <v>1039.7052669195748</v>
      </c>
      <c r="I24" s="34">
        <f t="shared" si="2"/>
        <v>299.99014672162343</v>
      </c>
      <c r="J24" s="34">
        <f>'Financial Report Settings'!P13</f>
        <v>52</v>
      </c>
    </row>
    <row r="25" spans="3:10" x14ac:dyDescent="0.3">
      <c r="C25" s="29" t="s">
        <v>43</v>
      </c>
      <c r="D25" s="34">
        <f>IF('Financial Data'!E33=0,0,'Financial Data'!E12/'Financial Data'!E33)</f>
        <v>0</v>
      </c>
      <c r="E25" s="34">
        <f>IF('Financial Data'!F33=0,0,'Financial Data'!F12/'Financial Data'!F33)</f>
        <v>0</v>
      </c>
      <c r="F25" s="34">
        <f>IF('Financial Data'!G33=0,0,'Financial Data'!G12/'Financial Data'!G33)</f>
        <v>0</v>
      </c>
      <c r="G25" s="34">
        <f>IF('Financial Data'!H33=0,0,'Financial Data'!H12/'Financial Data'!H33)</f>
        <v>8.2226560901426729E-2</v>
      </c>
      <c r="H25" s="34">
        <f>IF('Financial Data'!I33=0,0,'Financial Data'!I12/'Financial Data'!I33)</f>
        <v>5.2119353410898434E-2</v>
      </c>
      <c r="I25" s="34">
        <f t="shared" si="2"/>
        <v>-3.0107207490528295E-2</v>
      </c>
      <c r="J25" s="34">
        <f>'Financial Report Settings'!P14</f>
        <v>12</v>
      </c>
    </row>
    <row r="26" spans="3:10" x14ac:dyDescent="0.3">
      <c r="C26" s="29" t="s">
        <v>44</v>
      </c>
      <c r="D26" s="34">
        <f>IF('Financial Data'!E12=0,0,'Financial Data'!E33/('Financial Data'!E12/365))</f>
        <v>0</v>
      </c>
      <c r="E26" s="34">
        <f>IF('Financial Data'!F12=0,0,'Financial Data'!F33/('Financial Data'!F12/365))</f>
        <v>0</v>
      </c>
      <c r="F26" s="34">
        <f>IF('Financial Data'!G12=0,0,'Financial Data'!G33/('Financial Data'!G12/365))</f>
        <v>0</v>
      </c>
      <c r="G26" s="34">
        <f>IF('Financial Data'!H12=0,0,'Financial Data'!H33/('Financial Data'!H12/365))</f>
        <v>4438.9549556567526</v>
      </c>
      <c r="H26" s="34">
        <f>IF('Financial Data'!I12=0,0,'Financial Data'!I33/('Financial Data'!I12/365))</f>
        <v>7003.1567184345877</v>
      </c>
      <c r="I26" s="34">
        <f t="shared" si="2"/>
        <v>2564.201762777835</v>
      </c>
      <c r="J26" s="34">
        <f>'Financial Report Settings'!P15</f>
        <v>30</v>
      </c>
    </row>
    <row r="27" spans="3:10" x14ac:dyDescent="0.3">
      <c r="C27" s="29" t="s">
        <v>45</v>
      </c>
      <c r="D27" s="34">
        <f>IF('Financial Data'!E28=0,0,'Financial Data'!E11/'Financial Data'!E28)</f>
        <v>0</v>
      </c>
      <c r="E27" s="34">
        <f>IF('Financial Data'!F28=0,0,'Financial Data'!F11/'Financial Data'!F28)</f>
        <v>0</v>
      </c>
      <c r="F27" s="34">
        <f>IF('Financial Data'!G28=0,0,'Financial Data'!G11/'Financial Data'!G28)</f>
        <v>0</v>
      </c>
      <c r="G27" s="34">
        <f>IF('Financial Data'!H28=0,0,'Financial Data'!H11/'Financial Data'!H28)</f>
        <v>3.4949900902884825</v>
      </c>
      <c r="H27" s="34">
        <f>IF('Financial Data'!I28=0,0,'Financial Data'!I11/'Financial Data'!I28)</f>
        <v>1.5716425437110966</v>
      </c>
      <c r="I27" s="34">
        <f t="shared" si="2"/>
        <v>-1.9233475465773859</v>
      </c>
      <c r="J27" s="34">
        <f>'Financial Report Settings'!P16</f>
        <v>5.4</v>
      </c>
    </row>
    <row r="28" spans="3:10" x14ac:dyDescent="0.3">
      <c r="C28" s="29" t="s">
        <v>46</v>
      </c>
      <c r="D28" s="34">
        <f>IF('Financial Data'!E32=0,0,'Financial Data'!E11/'Financial Data'!E32)</f>
        <v>0</v>
      </c>
      <c r="E28" s="34">
        <f>IF('Financial Data'!F32=0,0,'Financial Data'!F11/'Financial Data'!F32)</f>
        <v>0</v>
      </c>
      <c r="F28" s="34">
        <f>IF('Financial Data'!G32=0,0,'Financial Data'!G11/'Financial Data'!G32)</f>
        <v>0</v>
      </c>
      <c r="G28" s="34">
        <f>IF('Financial Data'!H32=0,0,'Financial Data'!H11/'Financial Data'!H32)</f>
        <v>0.37949144207647512</v>
      </c>
      <c r="H28" s="34">
        <f>IF('Financial Data'!I32=0,0,'Financial Data'!I11/'Financial Data'!I32)</f>
        <v>0.1274229918834282</v>
      </c>
      <c r="I28" s="34">
        <f t="shared" si="2"/>
        <v>-0.25206845019304691</v>
      </c>
      <c r="J28" s="34">
        <f>'Financial Report Settings'!P17</f>
        <v>1.5</v>
      </c>
    </row>
    <row r="29" spans="3:10" ht="6.95" customHeight="1" x14ac:dyDescent="0.3">
      <c r="C29" s="29"/>
      <c r="D29" s="33"/>
      <c r="E29" s="33"/>
      <c r="F29" s="33"/>
      <c r="G29" s="33"/>
      <c r="H29" s="33"/>
      <c r="I29" s="33"/>
    </row>
    <row r="30" spans="3:10" x14ac:dyDescent="0.3">
      <c r="C30" s="28" t="s">
        <v>47</v>
      </c>
      <c r="D30" s="33"/>
      <c r="E30" s="33"/>
      <c r="F30" s="33"/>
      <c r="G30" s="33"/>
      <c r="H30" s="33"/>
      <c r="I30" s="33"/>
    </row>
    <row r="31" spans="3:10" x14ac:dyDescent="0.3">
      <c r="C31" s="29" t="s">
        <v>48</v>
      </c>
      <c r="D31" s="34">
        <f>'Financial Data'!E27-'Financial Data'!E35</f>
        <v>0</v>
      </c>
      <c r="E31" s="34">
        <f>'Financial Data'!F27-'Financial Data'!F35</f>
        <v>0</v>
      </c>
      <c r="F31" s="34">
        <f>'Financial Data'!G27-'Financial Data'!G35</f>
        <v>0</v>
      </c>
      <c r="G31" s="34">
        <f>'Financial Data'!H27-'Financial Data'!H35</f>
        <v>-5631177</v>
      </c>
      <c r="H31" s="34">
        <f>'Financial Data'!I27-'Financial Data'!I35</f>
        <v>-1115655</v>
      </c>
      <c r="I31" s="34">
        <f>H31-G31</f>
        <v>4515522</v>
      </c>
      <c r="J31" s="34">
        <f>'Financial Report Settings'!L20</f>
        <v>500000</v>
      </c>
    </row>
    <row r="32" spans="3:10" x14ac:dyDescent="0.3">
      <c r="C32" s="29" t="s">
        <v>49</v>
      </c>
      <c r="D32" s="30">
        <f>IF('Financial Data'!E35=0,0,'Financial Data'!E27/'Financial Data'!E35)</f>
        <v>0</v>
      </c>
      <c r="E32" s="30">
        <f>IF('Financial Data'!F35=0,0,'Financial Data'!F27/'Financial Data'!F35)</f>
        <v>0</v>
      </c>
      <c r="F32" s="30">
        <f>IF('Financial Data'!G35=0,0,'Financial Data'!G27/'Financial Data'!G35)</f>
        <v>0</v>
      </c>
      <c r="G32" s="30">
        <f>IF('Financial Data'!H35=0,0,'Financial Data'!H27/'Financial Data'!H35)</f>
        <v>0.53924614168615392</v>
      </c>
      <c r="H32" s="30">
        <f>IF('Financial Data'!I35=0,0,'Financial Data'!I27/'Financial Data'!I35)</f>
        <v>0.92011014746598885</v>
      </c>
      <c r="I32" s="30">
        <f>H32-G32</f>
        <v>0.38086400577983492</v>
      </c>
      <c r="J32" s="30">
        <f>'Financial Report Settings'!L21</f>
        <v>2.6700000000000002E-2</v>
      </c>
    </row>
    <row r="33" spans="3:10" x14ac:dyDescent="0.3">
      <c r="C33" s="29" t="s">
        <v>50</v>
      </c>
      <c r="D33" s="34">
        <f>IF(D31=0,0,'Financial Data'!E11/'Ratio Trend'!D31)</f>
        <v>0</v>
      </c>
      <c r="E33" s="34">
        <f>IF(E31=0,0,'Financial Data'!F11/'Ratio Trend'!E31)</f>
        <v>0</v>
      </c>
      <c r="F33" s="34">
        <f>IF(F31=0,0,'Financial Data'!G11/'Ratio Trend'!F31)</f>
        <v>0</v>
      </c>
      <c r="G33" s="34">
        <f>IF(G31=0,0,'Financial Data'!H11/'Ratio Trend'!G31)</f>
        <v>-0.47348644874774848</v>
      </c>
      <c r="H33" s="34">
        <f>IF(H31=0,0,'Financial Data'!I11/'Ratio Trend'!H31)</f>
        <v>-1.4973087558429801</v>
      </c>
      <c r="I33" s="34">
        <f>H33-G33</f>
        <v>-1.0238223070952315</v>
      </c>
      <c r="J33" s="34">
        <f>'Financial Report Settings'!L22</f>
        <v>5</v>
      </c>
    </row>
    <row r="34" spans="3:10" x14ac:dyDescent="0.3">
      <c r="C34" s="29" t="s">
        <v>51</v>
      </c>
      <c r="D34" s="30">
        <f>IF('Financial Data'!E35=0,0,('Financial Data'!E27-'Financial Data'!E25)/'Financial Data'!E35)</f>
        <v>0</v>
      </c>
      <c r="E34" s="30">
        <f>IF('Financial Data'!F35=0,0,('Financial Data'!F27-'Financial Data'!F25)/'Financial Data'!F35)</f>
        <v>0</v>
      </c>
      <c r="F34" s="30">
        <f>IF('Financial Data'!G35=0,0,('Financial Data'!G27-'Financial Data'!G25)/'Financial Data'!G35)</f>
        <v>0</v>
      </c>
      <c r="G34" s="30">
        <f>IF('Financial Data'!H35=0,0,('Financial Data'!H27-'Financial Data'!H25)/'Financial Data'!H35)</f>
        <v>0.38598259156284825</v>
      </c>
      <c r="H34" s="30">
        <f>IF('Financial Data'!I35=0,0,('Financial Data'!I27-'Financial Data'!I25)/'Financial Data'!I35)</f>
        <v>0.78197984019236777</v>
      </c>
      <c r="I34" s="30">
        <f>H34-G34</f>
        <v>0.39599724862951952</v>
      </c>
      <c r="J34" s="30">
        <f>'Financial Report Settings'!L23</f>
        <v>0.02</v>
      </c>
    </row>
    <row r="35" spans="3:10" ht="6.95" customHeight="1" x14ac:dyDescent="0.3">
      <c r="C35" s="29"/>
      <c r="D35" s="33"/>
      <c r="E35" s="33"/>
      <c r="F35" s="33"/>
      <c r="G35" s="33"/>
      <c r="H35" s="33"/>
      <c r="I35" s="33"/>
    </row>
    <row r="36" spans="3:10" x14ac:dyDescent="0.3">
      <c r="C36" s="28" t="s">
        <v>52</v>
      </c>
      <c r="D36" s="33"/>
      <c r="E36" s="33"/>
      <c r="F36" s="33"/>
      <c r="G36" s="33"/>
      <c r="H36" s="33"/>
      <c r="I36" s="33"/>
    </row>
    <row r="37" spans="3:10" x14ac:dyDescent="0.3">
      <c r="C37" s="29" t="s">
        <v>53</v>
      </c>
      <c r="D37" s="30">
        <f>IF('Financial Data'!E32=0,0,'Financial Data'!E35/'Financial Data'!E32)</f>
        <v>0</v>
      </c>
      <c r="E37" s="30">
        <f>IF('Financial Data'!F32=0,0,'Financial Data'!F35/'Financial Data'!F32)</f>
        <v>0</v>
      </c>
      <c r="F37" s="30">
        <f>IF('Financial Data'!G32=0,0,'Financial Data'!G35/'Financial Data'!G32)</f>
        <v>0</v>
      </c>
      <c r="G37" s="30">
        <f>IF('Financial Data'!H32=0,0,'Financial Data'!H35/'Financial Data'!H32)</f>
        <v>1.7395040809456948</v>
      </c>
      <c r="H37" s="30">
        <f>IF('Financial Data'!I32=0,0,'Financial Data'!I35/'Financial Data'!I32)</f>
        <v>1.0652334961794003</v>
      </c>
      <c r="I37" s="30">
        <f>H37-G37</f>
        <v>-0.67427058476629442</v>
      </c>
      <c r="J37" s="30">
        <f>'Financial Report Settings'!P20</f>
        <v>0.33</v>
      </c>
    </row>
    <row r="38" spans="3:10" x14ac:dyDescent="0.3">
      <c r="C38" s="29" t="s">
        <v>54</v>
      </c>
      <c r="D38" s="34">
        <f>IF('Financial Data'!E20=0,0,'Financial Data'!E19/'Financial Data'!E20)</f>
        <v>0</v>
      </c>
      <c r="E38" s="34">
        <f>IF('Financial Data'!F20=0,0,'Financial Data'!F19/'Financial Data'!F20)</f>
        <v>0</v>
      </c>
      <c r="F38" s="34">
        <f>IF('Financial Data'!G20=0,0,'Financial Data'!G19/'Financial Data'!G20)</f>
        <v>0</v>
      </c>
      <c r="G38" s="34">
        <f>IF('Financial Data'!H20=0,0,'Financial Data'!H19/'Financial Data'!H20)</f>
        <v>-5064.8893333333335</v>
      </c>
      <c r="H38" s="34">
        <f>IF('Financial Data'!I20=0,0,'Financial Data'!I19/'Financial Data'!I20)</f>
        <v>65.073999999999998</v>
      </c>
      <c r="I38" s="34">
        <f>H38-G38</f>
        <v>5129.9633333333331</v>
      </c>
      <c r="J38" s="34">
        <f>'Financial Report Settings'!P21</f>
        <v>15</v>
      </c>
    </row>
    <row r="39" spans="3:10" x14ac:dyDescent="0.3">
      <c r="C39" s="29" t="s">
        <v>55</v>
      </c>
      <c r="D39" s="34">
        <f>IF('Financial Data'!E17=0,0,('Financial Data'!E19-'Financial Data'!E16-'Financial Data'!E17)/'Financial Data'!E16)</f>
        <v>0</v>
      </c>
      <c r="E39" s="34">
        <f>IF('Financial Data'!F17=0,0,('Financial Data'!F19-'Financial Data'!F16-'Financial Data'!F17)/'Financial Data'!F16)</f>
        <v>0</v>
      </c>
      <c r="F39" s="34">
        <f>IF('Financial Data'!G17=0,0,('Financial Data'!G19-'Financial Data'!G16-'Financial Data'!G17)/'Financial Data'!G16)</f>
        <v>0</v>
      </c>
      <c r="G39" s="34">
        <f>IF('Financial Data'!H17=0,0,('Financial Data'!H19-'Financial Data'!H16-'Financial Data'!H17)/'Financial Data'!H16)</f>
        <v>-1.8033916223498676</v>
      </c>
      <c r="H39" s="34">
        <f>IF('Financial Data'!I17=0,0,('Financial Data'!I19-'Financial Data'!I16-'Financial Data'!I17)/'Financial Data'!I16)</f>
        <v>-0.94546566365365192</v>
      </c>
      <c r="I39" s="34">
        <f>H39-G39</f>
        <v>0.85792595869621568</v>
      </c>
      <c r="J39" s="34">
        <f>'Financial Report Settings'!P22</f>
        <v>5.5</v>
      </c>
    </row>
    <row r="40" spans="3:10" x14ac:dyDescent="0.3">
      <c r="C40" s="29" t="s">
        <v>56</v>
      </c>
      <c r="D40" s="30">
        <f>IF('Financial Data'!E42=0,0,'Financial Data'!E39/'Financial Data'!E42)</f>
        <v>0</v>
      </c>
      <c r="E40" s="30">
        <f>IF('Financial Data'!F42=0,0,'Financial Data'!F39/'Financial Data'!F42)</f>
        <v>0</v>
      </c>
      <c r="F40" s="30">
        <f>IF('Financial Data'!G42=0,0,'Financial Data'!G39/'Financial Data'!G42)</f>
        <v>0</v>
      </c>
      <c r="G40" s="30">
        <f>IF('Financial Data'!H42=0,0,'Financial Data'!H39/'Financial Data'!H42)</f>
        <v>-2.2482403064733307</v>
      </c>
      <c r="H40" s="30">
        <f>IF('Financial Data'!I42=0,0,'Financial Data'!I39/'Financial Data'!I42)</f>
        <v>-12.458006527093382</v>
      </c>
      <c r="I40" s="30">
        <f>H40-G40</f>
        <v>-10.20976622062005</v>
      </c>
      <c r="J40" s="30">
        <f>'Financial Report Settings'!P23</f>
        <v>0.49</v>
      </c>
    </row>
    <row r="41" spans="3:10" x14ac:dyDescent="0.3">
      <c r="C41" s="29" t="s">
        <v>57</v>
      </c>
      <c r="D41" s="30">
        <f>IF('Financial Data'!E32=0,0,'Financial Data'!E42/'Financial Data'!E32)</f>
        <v>0</v>
      </c>
      <c r="E41" s="30">
        <f>IF('Financial Data'!F32=0,0,'Financial Data'!F42/'Financial Data'!F32)</f>
        <v>0</v>
      </c>
      <c r="F41" s="30">
        <f>IF('Financial Data'!G32=0,0,'Financial Data'!G42/'Financial Data'!G32)</f>
        <v>0</v>
      </c>
      <c r="G41" s="30">
        <f>IF('Financial Data'!H32=0,0,'Financial Data'!H42/'Financial Data'!H32)</f>
        <v>-0.80112767748680069</v>
      </c>
      <c r="H41" s="30">
        <f>IF('Financial Data'!I32=0,0,'Financial Data'!I42/'Financial Data'!I32)</f>
        <v>-8.7275229787481381E-2</v>
      </c>
      <c r="I41" s="30">
        <f>H41-G41</f>
        <v>0.71385244769931933</v>
      </c>
      <c r="J41" s="30">
        <f>'Financial Report Settings'!P24</f>
        <v>0.67</v>
      </c>
    </row>
    <row r="42" spans="3:10" ht="6.95" customHeight="1" x14ac:dyDescent="0.3">
      <c r="C42" s="29"/>
      <c r="D42" s="33"/>
      <c r="E42" s="33"/>
      <c r="F42" s="33"/>
      <c r="G42" s="33"/>
      <c r="H42" s="33"/>
      <c r="I42" s="33"/>
    </row>
    <row r="43" spans="3:10" x14ac:dyDescent="0.3">
      <c r="C43" s="28" t="s">
        <v>58</v>
      </c>
      <c r="D43" s="33"/>
      <c r="E43" s="33"/>
      <c r="F43" s="33"/>
      <c r="G43" s="33"/>
      <c r="H43" s="33"/>
      <c r="I43" s="33"/>
    </row>
    <row r="44" spans="3:10" x14ac:dyDescent="0.3">
      <c r="C44" s="29" t="s">
        <v>59</v>
      </c>
      <c r="D44" s="30">
        <f>IF(OR('Financial Data'!D11&lt;0,'Financial Data'!D11&gt;0),0,('Financial Data'!E11-'Financial Data'!D11)/'Financial Data'!D11)</f>
        <v>0</v>
      </c>
      <c r="E44" s="30">
        <f>IF('Financial Data'!E11=0,0,('Financial Data'!F11-'Financial Data'!E11)/'Financial Data'!E11)</f>
        <v>0</v>
      </c>
      <c r="F44" s="30">
        <f>IF('Financial Data'!F11=0,0,('Financial Data'!G11-'Financial Data'!F11)/'Financial Data'!F11)</f>
        <v>0</v>
      </c>
      <c r="G44" s="30">
        <f>IF('Financial Data'!G11=0,0,('Financial Data'!H11-'Financial Data'!G11)/'Financial Data'!G11)</f>
        <v>0</v>
      </c>
      <c r="H44" s="30">
        <f>IF('Financial Data'!H11=0,0,('Financial Data'!I11-'Financial Data'!H11)/'Financial Data'!H11)</f>
        <v>-0.37348056435056104</v>
      </c>
      <c r="I44" s="30">
        <f>H44-G44</f>
        <v>-0.37348056435056104</v>
      </c>
      <c r="J44" s="30">
        <f>'Financial Report Settings'!L27</f>
        <v>0.11</v>
      </c>
    </row>
    <row r="45" spans="3:10" x14ac:dyDescent="0.3">
      <c r="C45" s="29" t="s">
        <v>60</v>
      </c>
      <c r="D45" s="30">
        <f>IF(OR('Financial Data'!D22&lt;0,'Financial Data'!D22&gt;0),0,('Financial Data'!E22-'Financial Data'!D22)/'Financial Data'!D22)</f>
        <v>0</v>
      </c>
      <c r="E45" s="30">
        <f>IF('Financial Data'!E22=0,0,('Financial Data'!F22-'Financial Data'!E22)/'Financial Data'!E22)</f>
        <v>0</v>
      </c>
      <c r="F45" s="30">
        <f>IF('Financial Data'!F22=0,0,('Financial Data'!G22-'Financial Data'!F22)/'Financial Data'!F22)</f>
        <v>0</v>
      </c>
      <c r="G45" s="30">
        <f>IF('Financial Data'!G22=0,0,('Financial Data'!H22-'Financial Data'!G22)/'Financial Data'!G22)</f>
        <v>0</v>
      </c>
      <c r="H45" s="30">
        <f>IF('Financial Data'!H22=0,0,('Financial Data'!I22-'Financial Data'!H22)/'Financial Data'!H22)</f>
        <v>-1.0115648930006875</v>
      </c>
      <c r="I45" s="30">
        <f>H45-G45</f>
        <v>-1.0115648930006875</v>
      </c>
      <c r="J45" s="30">
        <f>'Financial Report Settings'!L28</f>
        <v>7.0000000000000007E-2</v>
      </c>
    </row>
    <row r="46" spans="3:10" x14ac:dyDescent="0.3">
      <c r="C46" s="29" t="s">
        <v>61</v>
      </c>
      <c r="D46" s="30">
        <f>IF(OR('Financial Data'!D32&lt;0,'Financial Data'!D32&gt;0),0,('Financial Data'!E32-'Financial Data'!D32)/'Financial Data'!D32)</f>
        <v>0</v>
      </c>
      <c r="E46" s="30">
        <f>IF('Financial Data'!E32=0,0,('Financial Data'!F32-'Financial Data'!E32)/'Financial Data'!E32)</f>
        <v>0</v>
      </c>
      <c r="F46" s="30">
        <f>IF('Financial Data'!F32=0,0,('Financial Data'!G32-'Financial Data'!F32)/'Financial Data'!F32)</f>
        <v>0</v>
      </c>
      <c r="G46" s="30">
        <f>IF('Financial Data'!G32=0,0,('Financial Data'!H32-'Financial Data'!G32)/'Financial Data'!G32)</f>
        <v>0</v>
      </c>
      <c r="H46" s="30">
        <f>IF('Financial Data'!H32=0,0,('Financial Data'!I32-'Financial Data'!H32)/'Financial Data'!H32)</f>
        <v>0.86590159757868868</v>
      </c>
      <c r="I46" s="30">
        <f>H46-G46</f>
        <v>0.86590159757868868</v>
      </c>
      <c r="J46" s="30">
        <f>'Financial Report Settings'!L29</f>
        <v>0.12</v>
      </c>
    </row>
    <row r="47" spans="3:10" x14ac:dyDescent="0.3">
      <c r="C47" s="29" t="s">
        <v>62</v>
      </c>
      <c r="D47" s="30">
        <f>IF(OR('Financial Data'!D39&lt;0,'Financial Data'!D39&gt;0),0,('Financial Data'!E39-'Financial Data'!D39)/'Financial Data'!D39)</f>
        <v>0</v>
      </c>
      <c r="E47" s="30">
        <f>IF('Financial Data'!E39=0,0,('Financial Data'!F39-'Financial Data'!E39)/'Financial Data'!E39)</f>
        <v>0</v>
      </c>
      <c r="F47" s="30">
        <f>IF('Financial Data'!F39=0,0,('Financial Data'!G39-'Financial Data'!F39)/'Financial Data'!F39)</f>
        <v>0</v>
      </c>
      <c r="G47" s="30">
        <f>IF('Financial Data'!G39=0,0,('Financial Data'!H39-'Financial Data'!G39)/'Financial Data'!G39)</f>
        <v>0</v>
      </c>
      <c r="H47" s="30">
        <f>IF('Financial Data'!H39=0,0,('Financial Data'!I39-'Financial Data'!H39)/'Financial Data'!H39)</f>
        <v>0.1263771350596537</v>
      </c>
      <c r="I47" s="30">
        <f>H47-G47</f>
        <v>0.1263771350596537</v>
      </c>
      <c r="J47" s="30">
        <f>'Financial Report Settings'!L30</f>
        <v>0.1</v>
      </c>
    </row>
    <row r="48" spans="3:10" x14ac:dyDescent="0.3">
      <c r="C48" s="38"/>
      <c r="D48" s="33"/>
      <c r="E48" s="33"/>
      <c r="F48" s="33"/>
      <c r="G48" s="33"/>
      <c r="H48" s="39"/>
    </row>
  </sheetData>
  <mergeCells count="1">
    <mergeCell ref="G4:J7"/>
  </mergeCells>
  <dataValidations count="1">
    <dataValidation type="list" allowBlank="1" showInputMessage="1" sqref="G10:H10">
      <formula1>FiscalYearsTemplate</formula1>
    </dataValidation>
  </dataValidations>
  <hyperlinks>
    <hyperlink ref="B2" location="Home!A1" tooltip="Click to navigate to the Home sheet." display="ç"/>
  </hyperlinks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K48"/>
  <sheetViews>
    <sheetView showGridLines="0" zoomScale="90" zoomScaleNormal="90" workbookViewId="0"/>
  </sheetViews>
  <sheetFormatPr defaultRowHeight="16.5" x14ac:dyDescent="0.3"/>
  <cols>
    <col min="1" max="1" width="2.85546875" style="12" customWidth="1"/>
    <col min="2" max="2" width="5.5703125" style="12" customWidth="1"/>
    <col min="3" max="3" width="22.7109375" style="12" customWidth="1"/>
    <col min="4" max="4" width="38" style="12" customWidth="1"/>
    <col min="5" max="9" width="15" style="12" customWidth="1"/>
    <col min="10" max="16384" width="9.140625" style="12"/>
  </cols>
  <sheetData>
    <row r="1" spans="2:9" ht="15" customHeight="1" x14ac:dyDescent="0.3"/>
    <row r="2" spans="2:9" ht="33.75" customHeight="1" x14ac:dyDescent="0.7">
      <c r="B2" s="115" t="s">
        <v>112</v>
      </c>
      <c r="C2" s="14" t="str">
        <f>CONCATENATE(D4," Financial Ratio Report Data")</f>
        <v>SAMLTD Financial Ratio Report Data</v>
      </c>
      <c r="D2" s="15"/>
    </row>
    <row r="3" spans="2:9" ht="6.95" customHeight="1" x14ac:dyDescent="0.7">
      <c r="C3" s="14"/>
      <c r="D3" s="15"/>
    </row>
    <row r="4" spans="2:9" ht="16.5" customHeight="1" x14ac:dyDescent="0.3">
      <c r="C4" s="16" t="s">
        <v>17</v>
      </c>
      <c r="D4" s="111" t="str">
        <f>INDEX(Companies,1)</f>
        <v>SAMLTD</v>
      </c>
      <c r="G4" s="174" t="s">
        <v>124</v>
      </c>
      <c r="H4" s="174"/>
      <c r="I4" s="174"/>
    </row>
    <row r="5" spans="2:9" x14ac:dyDescent="0.3">
      <c r="C5" s="16" t="s">
        <v>16</v>
      </c>
      <c r="D5" s="20">
        <f>CHOOSE(B, "GLCurrentPeriod(" &amp; $D$4 &amp; ")", CellContents, 1)</f>
        <v>1</v>
      </c>
      <c r="G5" s="174"/>
      <c r="H5" s="174"/>
      <c r="I5" s="174"/>
    </row>
    <row r="6" spans="2:9" x14ac:dyDescent="0.3">
      <c r="C6" s="16" t="s">
        <v>18</v>
      </c>
      <c r="D6" s="17" t="str">
        <f>CHOOSE(B, "GLHomeCurrency(" &amp; $D$4 &amp; ")", CellContents, "CAD")</f>
        <v>CAD</v>
      </c>
      <c r="G6" s="174"/>
      <c r="H6" s="174"/>
      <c r="I6" s="174"/>
    </row>
    <row r="7" spans="2:9" x14ac:dyDescent="0.3">
      <c r="C7" s="16" t="s">
        <v>19</v>
      </c>
      <c r="D7" s="17" t="s">
        <v>20</v>
      </c>
      <c r="G7" s="174"/>
      <c r="H7" s="174"/>
      <c r="I7" s="174"/>
    </row>
    <row r="8" spans="2:9" x14ac:dyDescent="0.3">
      <c r="C8"/>
      <c r="D8"/>
    </row>
    <row r="9" spans="2:9" ht="6.95" customHeight="1" x14ac:dyDescent="0.3"/>
    <row r="10" spans="2:9" ht="33.75" customHeight="1" x14ac:dyDescent="0.3">
      <c r="C10" s="25" t="s">
        <v>21</v>
      </c>
      <c r="D10" s="25" t="s">
        <v>22</v>
      </c>
      <c r="E10" s="25">
        <f t="shared" ref="E10:F10" si="0">F10-1</f>
        <v>2016</v>
      </c>
      <c r="F10" s="25">
        <f t="shared" si="0"/>
        <v>2017</v>
      </c>
      <c r="G10" s="25">
        <f>H10-1</f>
        <v>2018</v>
      </c>
      <c r="H10" s="112">
        <v>2019</v>
      </c>
      <c r="I10" s="112">
        <f>CHOOSE(B, "GLCurrentYear(" &amp; $D$4 &amp; ")", CellContents, 2020)</f>
        <v>2020</v>
      </c>
    </row>
    <row r="11" spans="2:9" s="18" customFormat="1" ht="16.5" customHeight="1" x14ac:dyDescent="0.3">
      <c r="C11" s="21" t="s">
        <v>63</v>
      </c>
      <c r="D11" s="22" t="str">
        <f>MID("Revenue", 1, 255)</f>
        <v>Revenue</v>
      </c>
      <c r="E11" s="42">
        <f>CHOOSE(B, "-GLActualYTD(" &amp; "Account" &amp; "," &amp; $D$4 &amp; "," &amp; $E$10 &amp; "," &amp; $D$5 &amp; "," &amp; "AccountGroupCode" &amp; "," &amp; $C11 &amp; "," &amp; "AccountStructureCode" &amp; "," &amp; "AccountType" &amp; "," &amp; "BalanceType" &amp; "," &amp; $D$6 &amp; "," &amp; $D$7 &amp; ")", CellContents, 0)</f>
        <v>0</v>
      </c>
      <c r="F11" s="42">
        <f>CHOOSE(B, "-GLActualYTD(" &amp; "Account" &amp; "," &amp; $D$4 &amp; "," &amp; $F$10 &amp; "," &amp; $D$5 &amp; "," &amp; "AccountGroupCode" &amp; "," &amp; $C11 &amp; "," &amp; "AccountStructureCode" &amp; "," &amp; "AccountType" &amp; "," &amp; "BalanceType" &amp; "," &amp; $D$6 &amp; "," &amp; $D$7 &amp; ")", CellContents, 0)</f>
        <v>0</v>
      </c>
      <c r="G11" s="42">
        <f>CHOOSE(B, "-GLActualYTD(" &amp; "Account" &amp; "," &amp; $D$4 &amp; "," &amp; $G$10 &amp; "," &amp; $D$5 &amp; "," &amp; "AccountGroupCode" &amp; "," &amp; $C11 &amp; "," &amp; "AccountStructureCode" &amp; "," &amp; "AccountType" &amp; "," &amp; "BalanceType" &amp; "," &amp; $D$6 &amp; "," &amp; $D$7 &amp; ")", CellContents, 0)</f>
        <v>0</v>
      </c>
      <c r="H11" s="42">
        <f>CHOOSE(B, "-GLActualYTD(" &amp; "Account" &amp; "," &amp; $D$4 &amp; "," &amp; $H$10 &amp; "," &amp; $D$5 &amp; "," &amp; "AccountGroupCode" &amp; "," &amp; $C11 &amp; "," &amp; "AccountStructureCode" &amp; "," &amp; "AccountType" &amp; "," &amp; "BalanceType" &amp; "," &amp; $D$6 &amp; "," &amp; $D$7 &amp; ")", CellContents, 2666286,86)</f>
        <v>2666286</v>
      </c>
      <c r="I11" s="42">
        <f>CHOOSE(B, "-GLActualYTD(" &amp; "Account" &amp; "," &amp; $D$4 &amp; "," &amp; $I$10 &amp; "," &amp; $D$5 &amp; "," &amp; "AccountGroupCode" &amp; "," &amp; $C11 &amp; "," &amp; "AccountStructureCode" &amp; "," &amp; "AccountType" &amp; "," &amp; "BalanceType" &amp; "," &amp; $D$6 &amp; "," &amp; $D$7 &amp; ")", CellContents, 1670480,55)</f>
        <v>1670480</v>
      </c>
    </row>
    <row r="12" spans="2:9" s="18" customFormat="1" ht="16.5" customHeight="1" x14ac:dyDescent="0.3">
      <c r="C12" s="21" t="s">
        <v>64</v>
      </c>
      <c r="D12" s="22" t="str">
        <f>MID("Cost of Sales", 1, 255)</f>
        <v>Cost of Sales</v>
      </c>
      <c r="E12" s="42">
        <f>CHOOSE(B, "GLActualYTD(" &amp; "Account" &amp; "," &amp; $D$4 &amp; "," &amp; $E$10 &amp; "," &amp; $D$5 &amp; "," &amp; "AccountGroupCode" &amp; "," &amp; $C12 &amp; "," &amp; "AccountStructureCode" &amp; "," &amp; "AccountType" &amp; "," &amp; "BalanceType" &amp; "," &amp; $D$6 &amp; "," &amp; $D$7 &amp; ")", CellContents, 0)</f>
        <v>0</v>
      </c>
      <c r="F12" s="42">
        <f>CHOOSE(B, "GLActualYTD(" &amp; "Account" &amp; "," &amp; $D$4 &amp; "," &amp; $F$10 &amp; "," &amp; $D$5 &amp; "," &amp; "AccountGroupCode" &amp; "," &amp; $C12 &amp; "," &amp; "AccountStructureCode" &amp; "," &amp; "AccountType" &amp; "," &amp; "BalanceType" &amp; "," &amp; $D$6 &amp; "," &amp; $D$7 &amp; ")", CellContents, 0)</f>
        <v>0</v>
      </c>
      <c r="G12" s="42">
        <f>CHOOSE(B, "GLActualYTD(" &amp; "Account" &amp; "," &amp; $D$4 &amp; "," &amp; $G$10 &amp; "," &amp; $D$5 &amp; "," &amp; "AccountGroupCode" &amp; "," &amp; $C12 &amp; "," &amp; "AccountStructureCode" &amp; "," &amp; "AccountType" &amp; "," &amp; "BalanceType" &amp; "," &amp; $D$6 &amp; "," &amp; $D$7 &amp; ")", CellContents, 0)</f>
        <v>0</v>
      </c>
      <c r="H12" s="42">
        <f>CHOOSE(B, "GLActualYTD(" &amp; "Account" &amp; "," &amp; $D$4 &amp; "," &amp; $H$10 &amp; "," &amp; $D$5 &amp; "," &amp; "AccountGroupCode" &amp; "," &amp; $C12 &amp; "," &amp; "AccountStructureCode" &amp; "," &amp; "AccountType" &amp; "," &amp; "BalanceType" &amp; "," &amp; $D$6 &amp; "," &amp; $D$7 &amp; ")", CellContents, 924267,23)</f>
        <v>924267</v>
      </c>
      <c r="I12" s="42">
        <f>CHOOSE(B, "GLActualYTD(" &amp; "Account" &amp; "," &amp; $D$4 &amp; "," &amp; $I$10 &amp; "," &amp; $D$5 &amp; "," &amp; "AccountGroupCode" &amp; "," &amp; $C12 &amp; "," &amp; "AccountStructureCode" &amp; "," &amp; "AccountType" &amp; "," &amp; "BalanceType" &amp; "," &amp; $D$6 &amp; "," &amp; $D$7 &amp; ")", CellContents, 677189,92)</f>
        <v>677189</v>
      </c>
    </row>
    <row r="13" spans="2:9" s="18" customFormat="1" ht="16.5" customHeight="1" x14ac:dyDescent="0.3">
      <c r="C13" s="21"/>
      <c r="D13" s="43" t="s">
        <v>65</v>
      </c>
      <c r="E13" s="44">
        <f>E11-E12</f>
        <v>0</v>
      </c>
      <c r="F13" s="44">
        <f t="shared" ref="F13:H13" si="1">F11-F12</f>
        <v>0</v>
      </c>
      <c r="G13" s="44">
        <f t="shared" si="1"/>
        <v>0</v>
      </c>
      <c r="H13" s="44">
        <f t="shared" si="1"/>
        <v>1742019</v>
      </c>
      <c r="I13" s="44">
        <f>I11-I12</f>
        <v>993291</v>
      </c>
    </row>
    <row r="14" spans="2:9" s="18" customFormat="1" ht="16.5" customHeight="1" x14ac:dyDescent="0.3">
      <c r="C14" s="21" t="s">
        <v>66</v>
      </c>
      <c r="D14" s="22" t="str">
        <f>MID("Other Revenue", 1, 255)</f>
        <v>Other Revenue</v>
      </c>
      <c r="E14" s="42">
        <f>CHOOSE(B, "-GLActualYTD(" &amp; "Account" &amp; "," &amp; $D$4 &amp; "," &amp; $E$10 &amp; "," &amp; $D$5 &amp; "," &amp; "AccountGroupCode" &amp; "," &amp; $C14 &amp; "," &amp; "AccountStructureCode" &amp; "," &amp; "AccountType" &amp; "," &amp; "BalanceType" &amp; "," &amp; $D$6 &amp; "," &amp; $D$7 &amp; ")", CellContents, 0)</f>
        <v>0</v>
      </c>
      <c r="F14" s="42">
        <f>CHOOSE(B, "-GLActualYTD(" &amp; "Account" &amp; "," &amp; $D$4 &amp; "," &amp; $F$10 &amp; "," &amp; $D$5 &amp; "," &amp; "AccountGroupCode" &amp; "," &amp; $C14 &amp; "," &amp; "AccountStructureCode" &amp; "," &amp; "AccountType" &amp; "," &amp; "BalanceType" &amp; "," &amp; $D$6 &amp; "," &amp; $D$7 &amp; ")", CellContents, 0)</f>
        <v>0</v>
      </c>
      <c r="G14" s="42">
        <f>CHOOSE(B, "-GLActualYTD(" &amp; "Account" &amp; "," &amp; $D$4 &amp; "," &amp; $G$10 &amp; "," &amp; $D$5 &amp; "," &amp; "AccountGroupCode" &amp; "," &amp; $C14 &amp; "," &amp; "AccountStructureCode" &amp; "," &amp; "AccountType" &amp; "," &amp; "BalanceType" &amp; "," &amp; $D$6 &amp; "," &amp; $D$7 &amp; ")", CellContents, 0)</f>
        <v>0</v>
      </c>
      <c r="H14" s="42">
        <f>CHOOSE(B, "-GLActualYTD(" &amp; "Account" &amp; "," &amp; $D$4 &amp; "," &amp; $H$10 &amp; "," &amp; $D$5 &amp; "," &amp; "AccountGroupCode" &amp; "," &amp; $C14 &amp; "," &amp; "AccountStructureCode" &amp; "," &amp; "AccountType" &amp; "," &amp; "BalanceType" &amp; "," &amp; $D$6 &amp; "," &amp; $D$7 &amp; ")", CellContents, 230021,27)</f>
        <v>230021</v>
      </c>
      <c r="I14" s="42">
        <f>CHOOSE(B, "-GLActualYTD(" &amp; "Account" &amp; "," &amp; $D$4 &amp; "," &amp; $I$10 &amp; "," &amp; $D$5 &amp; "," &amp; "AccountGroupCode" &amp; "," &amp; $C14 &amp; "," &amp; "AccountStructureCode" &amp; "," &amp; "AccountType" &amp; "," &amp; "BalanceType" &amp; "," &amp; $D$6 &amp; "," &amp; $D$7 &amp; ")", CellContents, 200806,55)</f>
        <v>200806</v>
      </c>
    </row>
    <row r="15" spans="2:9" s="18" customFormat="1" ht="16.5" customHeight="1" x14ac:dyDescent="0.3">
      <c r="C15" s="21"/>
      <c r="D15" s="43" t="s">
        <v>67</v>
      </c>
      <c r="E15" s="44">
        <f>E13+E14</f>
        <v>0</v>
      </c>
      <c r="F15" s="44">
        <f t="shared" ref="F15:H15" si="2">F13+F14</f>
        <v>0</v>
      </c>
      <c r="G15" s="44">
        <f t="shared" si="2"/>
        <v>0</v>
      </c>
      <c r="H15" s="44">
        <f t="shared" si="2"/>
        <v>1972040</v>
      </c>
      <c r="I15" s="44">
        <f>I13+I14</f>
        <v>1194097</v>
      </c>
    </row>
    <row r="16" spans="2:9" s="18" customFormat="1" ht="16.5" customHeight="1" x14ac:dyDescent="0.3">
      <c r="C16" s="21" t="s">
        <v>68</v>
      </c>
      <c r="D16" s="22" t="str">
        <f>MID("Other Expenses", 1, 255)</f>
        <v>Other Expenses</v>
      </c>
      <c r="E16" s="42">
        <f>CHOOSE(B, "GLActualYTD(" &amp; "Account" &amp; "," &amp; $D$4 &amp; "," &amp; $E$10 &amp; "," &amp; $D$5 &amp; "," &amp; "AccountGroupCode" &amp; "," &amp; $C16 &amp; "," &amp; "AccountStructureCode" &amp; "," &amp; "AccountType" &amp; "," &amp; "BalanceType" &amp; "," &amp; $D$6 &amp; "," &amp; $D$7 &amp; ")", CellContents, 0)</f>
        <v>0</v>
      </c>
      <c r="F16" s="42">
        <f>CHOOSE(B, "GLActualYTD(" &amp; "Account" &amp; "," &amp; $D$4 &amp; "," &amp; $F$10 &amp; "," &amp; $D$5 &amp; "," &amp; "AccountGroupCode" &amp; "," &amp; $C16 &amp; "," &amp; "AccountStructureCode" &amp; "," &amp; "AccountType" &amp; "," &amp; "BalanceType" &amp; "," &amp; $D$6 &amp; "," &amp; $D$7 &amp; ")", CellContents, 0)</f>
        <v>0</v>
      </c>
      <c r="G16" s="42">
        <f>CHOOSE(B, "GLActualYTD(" &amp; "Account" &amp; "," &amp; $D$4 &amp; "," &amp; $G$10 &amp; "," &amp; $D$5 &amp; "," &amp; "AccountGroupCode" &amp; "," &amp; $C16 &amp; "," &amp; "AccountStructureCode" &amp; "," &amp; "AccountType" &amp; "," &amp; "BalanceType" &amp; "," &amp; $D$6 &amp; "," &amp; $D$7 &amp; ")", CellContents, 0)</f>
        <v>0</v>
      </c>
      <c r="H16" s="42">
        <f>CHOOSE(B, "GLActualYTD(" &amp; "Account" &amp; "," &amp; $D$4 &amp; "," &amp; $H$10 &amp; "," &amp; $D$5 &amp; "," &amp; "AccountGroupCode" &amp; "," &amp; $C16 &amp; "," &amp; "AccountStructureCode" &amp; "," &amp; "AccountType" &amp; "," &amp; "BalanceType" &amp; "," &amp; $D$6 &amp; "," &amp; $D$7 &amp; ")", CellContents, 9506365,3)</f>
        <v>9506365</v>
      </c>
      <c r="I16" s="42">
        <f>CHOOSE(B, "GLActualYTD(" &amp; "Account" &amp; "," &amp; $D$4 &amp; "," &amp; $I$10 &amp; "," &amp; $D$5 &amp; "," &amp; "AccountGroupCode" &amp; "," &amp; $C16 &amp; "," &amp; "AccountStructureCode" &amp; "," &amp; "AccountType" &amp; "," &amp; "BalanceType" &amp; "," &amp; $D$6 &amp; "," &amp; $D$7 &amp; ")", CellContents, 1056417,54)</f>
        <v>1056417</v>
      </c>
    </row>
    <row r="17" spans="3:9" s="18" customFormat="1" ht="16.5" customHeight="1" x14ac:dyDescent="0.3">
      <c r="C17" s="21" t="s">
        <v>69</v>
      </c>
      <c r="D17" s="22" t="str">
        <f>MID("Depreciation Expense", 1, 255)</f>
        <v>Depreciation Expense</v>
      </c>
      <c r="E17" s="42">
        <f>CHOOSE(B, "GLActualYTD(" &amp; "Account" &amp; "," &amp; $D$4 &amp; "," &amp; $E$10 &amp; "," &amp; $D$5 &amp; "," &amp; "AccountGroupCode" &amp; "," &amp; $C17 &amp; "," &amp; "AccountStructureCode" &amp; "," &amp; "AccountType" &amp; "," &amp; "BalanceType" &amp; "," &amp; $D$6 &amp; "," &amp; $D$7 &amp; ")", CellContents, 0)</f>
        <v>0</v>
      </c>
      <c r="F17" s="42">
        <f>CHOOSE(B, "GLActualYTD(" &amp; "Account" &amp; "," &amp; $D$4 &amp; "," &amp; $F$10 &amp; "," &amp; $D$5 &amp; "," &amp; "AccountGroupCode" &amp; "," &amp; $C17 &amp; "," &amp; "AccountStructureCode" &amp; "," &amp; "AccountType" &amp; "," &amp; "BalanceType" &amp; "," &amp; $D$6 &amp; "," &amp; $D$7 &amp; ")", CellContents, 0)</f>
        <v>0</v>
      </c>
      <c r="G17" s="42">
        <f>CHOOSE(B, "GLActualYTD(" &amp; "Account" &amp; "," &amp; $D$4 &amp; "," &amp; $G$10 &amp; "," &amp; $D$5 &amp; "," &amp; "AccountGroupCode" &amp; "," &amp; $C17 &amp; "," &amp; "AccountStructureCode" &amp; "," &amp; "AccountType" &amp; "," &amp; "BalanceType" &amp; "," &amp; $D$6 &amp; "," &amp; $D$7 &amp; ")", CellContents, 0)</f>
        <v>0</v>
      </c>
      <c r="H17" s="42">
        <f>CHOOSE(B, "GLActualYTD(" &amp; "Account" &amp; "," &amp; $D$4 &amp; "," &amp; $H$10 &amp; "," &amp; $D$5 &amp; "," &amp; "AccountGroupCode" &amp; "," &amp; $C17 &amp; "," &amp; "AccountStructureCode" &amp; "," &amp; "AccountType" &amp; "," &amp; "BalanceType" &amp; "," &amp; $D$6 &amp; "," &amp; $D$7 &amp; ")", CellContents, 40000)</f>
        <v>40000</v>
      </c>
      <c r="I17" s="42">
        <f>CHOOSE(B, "GLActualYTD(" &amp; "Account" &amp; "," &amp; $D$4 &amp; "," &amp; $I$10 &amp; "," &amp; $D$5 &amp; "," &amp; "AccountGroupCode" &amp; "," &amp; $C17 &amp; "," &amp; "AccountStructureCode" &amp; "," &amp; "AccountType" &amp; "," &amp; "BalanceType" &amp; "," &amp; $D$6 &amp; "," &amp; $D$7 &amp; ")", CellContents, 40000)</f>
        <v>40000</v>
      </c>
    </row>
    <row r="18" spans="3:9" s="18" customFormat="1" ht="16.5" customHeight="1" x14ac:dyDescent="0.3">
      <c r="C18" s="21" t="s">
        <v>70</v>
      </c>
      <c r="D18" s="22" t="str">
        <f>MID("Gains and Losses", 1, 255)</f>
        <v>Gains and Losses</v>
      </c>
      <c r="E18" s="42">
        <f>CHOOSE(B, "GLActualYTD(" &amp; "Account" &amp; "," &amp; $D$4 &amp; "," &amp; $E$10 &amp; "," &amp; $D$5 &amp; "," &amp; "AccountGroupCode" &amp; "," &amp; $C18 &amp; "," &amp; "AccountStructureCode" &amp; "," &amp; "AccountType" &amp; "," &amp; "BalanceType" &amp; "," &amp; $D$6 &amp; "," &amp; $D$7 &amp; ")", CellContents, 0)</f>
        <v>0</v>
      </c>
      <c r="F18" s="42">
        <f>CHOOSE(B, "GLActualYTD(" &amp; "Account" &amp; "," &amp; $D$4 &amp; "," &amp; $F$10 &amp; "," &amp; $D$5 &amp; "," &amp; "AccountGroupCode" &amp; "," &amp; $C18 &amp; "," &amp; "AccountStructureCode" &amp; "," &amp; "AccountType" &amp; "," &amp; "BalanceType" &amp; "," &amp; $D$6 &amp; "," &amp; $D$7 &amp; ")", CellContents, 0)</f>
        <v>0</v>
      </c>
      <c r="G18" s="42">
        <f>CHOOSE(B, "GLActualYTD(" &amp; "Account" &amp; "," &amp; $D$4 &amp; "," &amp; $G$10 &amp; "," &amp; $D$5 &amp; "," &amp; "AccountGroupCode" &amp; "," &amp; $C18 &amp; "," &amp; "AccountStructureCode" &amp; "," &amp; "AccountType" &amp; "," &amp; "BalanceType" &amp; "," &amp; $D$6 &amp; "," &amp; $D$7 &amp; ")", CellContents, 0)</f>
        <v>0</v>
      </c>
      <c r="H18" s="42">
        <f>CHOOSE(B, "GLActualYTD(" &amp; "Account" &amp; "," &amp; $D$4 &amp; "," &amp; $H$10 &amp; "," &amp; $D$5 &amp; "," &amp; "AccountGroupCode" &amp; "," &amp; $C18 &amp; "," &amp; "AccountStructureCode" &amp; "," &amp; "AccountType" &amp; "," &amp; "BalanceType" &amp; "," &amp; $D$6 &amp; "," &amp; $D$7 &amp; ")", CellContents, 23009,1)</f>
        <v>23009</v>
      </c>
      <c r="I18" s="42">
        <f>CHOOSE(B, "GLActualYTD(" &amp; "Account" &amp; "," &amp; $D$4 &amp; "," &amp; $I$10 &amp; "," &amp; $D$5 &amp; "," &amp; "AccountGroupCode" &amp; "," &amp; $C18 &amp; "," &amp; "AccountStructureCode" &amp; "," &amp; "AccountType" &amp; "," &amp; "BalanceType" &amp; "," &amp; $D$6 &amp; "," &amp; $D$7 &amp; ")", CellContents, 69,16)</f>
        <v>69</v>
      </c>
    </row>
    <row r="19" spans="3:9" s="18" customFormat="1" ht="16.5" customHeight="1" x14ac:dyDescent="0.3">
      <c r="C19" s="21"/>
      <c r="D19" s="45" t="s">
        <v>71</v>
      </c>
      <c r="E19" s="44">
        <f>E15-SUM(E16:E18)</f>
        <v>0</v>
      </c>
      <c r="F19" s="44">
        <f t="shared" ref="F19:H19" si="3">F15-SUM(F16:F18)</f>
        <v>0</v>
      </c>
      <c r="G19" s="44">
        <f t="shared" si="3"/>
        <v>0</v>
      </c>
      <c r="H19" s="44">
        <f t="shared" si="3"/>
        <v>-7597334</v>
      </c>
      <c r="I19" s="44">
        <f>I15-SUM(I16:I18)</f>
        <v>97611</v>
      </c>
    </row>
    <row r="20" spans="3:9" s="18" customFormat="1" ht="16.5" customHeight="1" x14ac:dyDescent="0.3">
      <c r="C20" s="21" t="s">
        <v>72</v>
      </c>
      <c r="D20" s="22" t="str">
        <f>MID("Interest Expense", 1, 255)</f>
        <v>Interest Expense</v>
      </c>
      <c r="E20" s="42">
        <f>CHOOSE(B, "GLActualYTD(" &amp; "Account" &amp; "," &amp; $D$4 &amp; "," &amp; $E$10 &amp; "," &amp; $D$5 &amp; "," &amp; "AccountGroupCode" &amp; "," &amp; $C20 &amp; "," &amp; "AccountStructureCode" &amp; "," &amp; "AccountType" &amp; "," &amp; "BalanceType" &amp; "," &amp; $D$6 &amp; "," &amp; $D$7 &amp; ")", CellContents, 0)</f>
        <v>0</v>
      </c>
      <c r="F20" s="42">
        <f>CHOOSE(B, "GLActualYTD(" &amp; "Account" &amp; "," &amp; $D$4 &amp; "," &amp; $F$10 &amp; "," &amp; $D$5 &amp; "," &amp; "AccountGroupCode" &amp; "," &amp; $C20 &amp; "," &amp; "AccountStructureCode" &amp; "," &amp; "AccountType" &amp; "," &amp; "BalanceType" &amp; "," &amp; $D$6 &amp; "," &amp; $D$7 &amp; ")", CellContents, 0)</f>
        <v>0</v>
      </c>
      <c r="G20" s="42">
        <f>CHOOSE(B, "GLActualYTD(" &amp; "Account" &amp; "," &amp; $D$4 &amp; "," &amp; $G$10 &amp; "," &amp; $D$5 &amp; "," &amp; "AccountGroupCode" &amp; "," &amp; $C20 &amp; "," &amp; "AccountStructureCode" &amp; "," &amp; "AccountType" &amp; "," &amp; "BalanceType" &amp; "," &amp; $D$6 &amp; "," &amp; $D$7 &amp; ")", CellContents, 0)</f>
        <v>0</v>
      </c>
      <c r="H20" s="42">
        <f>CHOOSE(B, "GLActualYTD(" &amp; "Account" &amp; "," &amp; $D$4 &amp; "," &amp; $H$10 &amp; "," &amp; $D$5 &amp; "," &amp; "AccountGroupCode" &amp; "," &amp; $C20 &amp; "," &amp; "AccountStructureCode" &amp; "," &amp; "AccountType" &amp; "," &amp; "BalanceType" &amp; "," &amp; $D$6 &amp; "," &amp; $D$7 &amp; ")", CellContents, 1500)</f>
        <v>1500</v>
      </c>
      <c r="I20" s="42">
        <f>CHOOSE(B, "GLActualYTD(" &amp; "Account" &amp; "," &amp; $D$4 &amp; "," &amp; $I$10 &amp; "," &amp; $D$5 &amp; "," &amp; "AccountGroupCode" &amp; "," &amp; $C20 &amp; "," &amp; "AccountStructureCode" &amp; "," &amp; "AccountType" &amp; "," &amp; "BalanceType" &amp; "," &amp; $D$6 &amp; "," &amp; $D$7 &amp; ")", CellContents, 1500)</f>
        <v>1500</v>
      </c>
    </row>
    <row r="21" spans="3:9" s="18" customFormat="1" ht="16.5" customHeight="1" x14ac:dyDescent="0.3">
      <c r="C21" s="21">
        <f>210</f>
        <v>210</v>
      </c>
      <c r="D21" s="22" t="str">
        <f>MID("Income Taxes", 1, 255)</f>
        <v>Income Taxes</v>
      </c>
      <c r="E21" s="42">
        <f>CHOOSE(B, "GLActualYTD(" &amp; "Account" &amp; "," &amp; $D$4 &amp; "," &amp; $E$10 &amp; "," &amp; $D$5 &amp; "," &amp; "AccountGroupCode" &amp; "," &amp; $C21 &amp; "," &amp; "AccountStructureCode" &amp; "," &amp; "AccountType" &amp; "," &amp; "BalanceType" &amp; "," &amp; $D$6 &amp; "," &amp; $D$7 &amp; ")", CellContents, 0)</f>
        <v>0</v>
      </c>
      <c r="F21" s="42">
        <f>CHOOSE(B, "GLActualYTD(" &amp; "Account" &amp; "," &amp; $D$4 &amp; "," &amp; $F$10 &amp; "," &amp; $D$5 &amp; "," &amp; "AccountGroupCode" &amp; "," &amp; $C21 &amp; "," &amp; "AccountStructureCode" &amp; "," &amp; "AccountType" &amp; "," &amp; "BalanceType" &amp; "," &amp; $D$6 &amp; "," &amp; $D$7 &amp; ")", CellContents, 0)</f>
        <v>0</v>
      </c>
      <c r="G21" s="42">
        <f>CHOOSE(B, "GLActualYTD(" &amp; "Account" &amp; "," &amp; $D$4 &amp; "," &amp; $G$10 &amp; "," &amp; $D$5 &amp; "," &amp; "AccountGroupCode" &amp; "," &amp; $C21 &amp; "," &amp; "AccountStructureCode" &amp; "," &amp; "AccountType" &amp; "," &amp; "BalanceType" &amp; "," &amp; $D$6 &amp; "," &amp; $D$7 &amp; ")", CellContents, 0)</f>
        <v>0</v>
      </c>
      <c r="H21" s="42">
        <f>CHOOSE(B, "GLActualYTD(" &amp; "Account" &amp; "," &amp; $D$4 &amp; "," &amp; $H$10 &amp; "," &amp; $D$5 &amp; "," &amp; "AccountGroupCode" &amp; "," &amp; $C21 &amp; "," &amp; "AccountStructureCode" &amp; "," &amp; "AccountType" &amp; "," &amp; "BalanceType" &amp; "," &amp; $D$6 &amp; "," &amp; $D$7 &amp; ")", CellContents, 20000)</f>
        <v>20000</v>
      </c>
      <c r="I21" s="42">
        <f>CHOOSE(B, "GLActualYTD(" &amp; "Account" &amp; "," &amp; $D$4 &amp; "," &amp; $I$10 &amp; "," &amp; $D$5 &amp; "," &amp; "AccountGroupCode" &amp; "," &amp; $C21 &amp; "," &amp; "AccountStructureCode" &amp; "," &amp; "AccountType" &amp; "," &amp; "BalanceType" &amp; "," &amp; $D$6 &amp; "," &amp; $D$7 &amp; ")", CellContents, 8000)</f>
        <v>8000</v>
      </c>
    </row>
    <row r="22" spans="3:9" s="18" customFormat="1" ht="16.5" customHeight="1" x14ac:dyDescent="0.3">
      <c r="C22" s="21"/>
      <c r="D22" s="45" t="s">
        <v>73</v>
      </c>
      <c r="E22" s="44">
        <f>E19-SUM(E20:E21)</f>
        <v>0</v>
      </c>
      <c r="F22" s="44">
        <f t="shared" ref="F22:I22" si="4">F19-SUM(F20:F21)</f>
        <v>0</v>
      </c>
      <c r="G22" s="44">
        <f t="shared" si="4"/>
        <v>0</v>
      </c>
      <c r="H22" s="44">
        <f t="shared" si="4"/>
        <v>-7618834</v>
      </c>
      <c r="I22" s="44">
        <f t="shared" si="4"/>
        <v>88111</v>
      </c>
    </row>
    <row r="23" spans="3:9" s="18" customFormat="1" ht="16.5" customHeight="1" x14ac:dyDescent="0.3">
      <c r="C23" s="21">
        <f>10</f>
        <v>10</v>
      </c>
      <c r="D23" s="22" t="str">
        <f>MID("Cash and Cash Equivalents", 1, 255)</f>
        <v>Cash and Cash Equivalents</v>
      </c>
      <c r="E23" s="42">
        <f t="shared" ref="E23:G26" si="5">CHOOSE(B, "GLClosingBalance(" &amp; "Account" &amp; "," &amp; $D$4 &amp; "," &amp; E$10 &amp; "," &amp; $D$5 &amp; "," &amp; "AccountGroupCode" &amp; "," &amp; $C23 &amp; "," &amp; "AccountStructureCode" &amp; "," &amp; "AccountType" &amp; "," &amp; "BalanceType" &amp; "," &amp; $D$6 &amp; "," &amp; $D$7 &amp; ")", CellContents, 0)</f>
        <v>0</v>
      </c>
      <c r="F23" s="42">
        <f t="shared" si="5"/>
        <v>0</v>
      </c>
      <c r="G23" s="42">
        <f t="shared" si="5"/>
        <v>0</v>
      </c>
      <c r="H23" s="42">
        <f>CHOOSE(B, "GLClosingBalance(" &amp; "Account" &amp; "," &amp; $D$4 &amp; "," &amp; H$10 &amp; "," &amp; $D$5 &amp; "," &amp; "AccountGroupCode" &amp; "," &amp; $C23 &amp; "," &amp; "AccountStructureCode" &amp; "," &amp; "AccountType" &amp; "," &amp; "BalanceType" &amp; "," &amp; $D$6 &amp; "," &amp; $D$7 &amp; ")", CellContents, 2748523,6)</f>
        <v>2748523</v>
      </c>
      <c r="I23" s="42">
        <f>CHOOSE(B, "GLClosingBalance(" &amp; "Account" &amp; "," &amp; $D$4 &amp; "," &amp; I$10 &amp; "," &amp; $D$5 &amp; "," &amp; "AccountGroupCode" &amp; "," &amp; $C23 &amp; "," &amp; "AccountStructureCode" &amp; "," &amp; "AccountType" &amp; "," &amp; "BalanceType" &amp; "," &amp; $D$6 &amp; "," &amp; $D$7 &amp; ")", CellContents, 7912363,97)</f>
        <v>7912363</v>
      </c>
    </row>
    <row r="24" spans="3:9" s="18" customFormat="1" ht="16.5" customHeight="1" x14ac:dyDescent="0.3">
      <c r="C24" s="21" t="s">
        <v>74</v>
      </c>
      <c r="D24" s="22" t="str">
        <f>MID("Accounts Receivable", 1, 255)</f>
        <v>Accounts Receivable</v>
      </c>
      <c r="E24" s="42">
        <f t="shared" si="5"/>
        <v>0</v>
      </c>
      <c r="F24" s="42">
        <f t="shared" si="5"/>
        <v>0</v>
      </c>
      <c r="G24" s="42">
        <f t="shared" si="5"/>
        <v>0</v>
      </c>
      <c r="H24" s="42">
        <f>CHOOSE(B, "GLClosingBalance(" &amp; "Account" &amp; "," &amp; $D$4 &amp; "," &amp; H$10 &amp; "," &amp; $D$5 &amp; "," &amp; "AccountGroupCode" &amp; "," &amp; $C24 &amp; "," &amp; "AccountStructureCode" &amp; "," &amp; "AccountType" &amp; "," &amp; "BalanceType" &amp; "," &amp; $D$6 &amp; "," &amp; $D$7 &amp; ")", CellContents, 1930170,59)</f>
        <v>1930170</v>
      </c>
      <c r="I24" s="42">
        <f>CHOOSE(B, "GLClosingBalance(" &amp; "Account" &amp; "," &amp; $D$4 &amp; "," &amp; I$10 &amp; "," &amp; $D$5 &amp; "," &amp; "AccountGroupCode" &amp; "," &amp; $C24 &amp; "," &amp; "AccountStructureCode" &amp; "," &amp; "AccountType" &amp; "," &amp; "BalanceType" &amp; "," &amp; $D$6 &amp; "," &amp; $D$7 &amp; ")", CellContents, 2969264,75)</f>
        <v>2969264</v>
      </c>
    </row>
    <row r="25" spans="3:9" s="18" customFormat="1" ht="16.5" customHeight="1" x14ac:dyDescent="0.3">
      <c r="C25" s="21" t="s">
        <v>75</v>
      </c>
      <c r="D25" s="22" t="str">
        <f>MID("Inventory", 1, 255)</f>
        <v>Inventory</v>
      </c>
      <c r="E25" s="42">
        <f t="shared" si="5"/>
        <v>0</v>
      </c>
      <c r="F25" s="42">
        <f t="shared" si="5"/>
        <v>0</v>
      </c>
      <c r="G25" s="42">
        <f t="shared" si="5"/>
        <v>0</v>
      </c>
      <c r="H25" s="42">
        <f>CHOOSE(B, "GLClosingBalance(" &amp; "Account" &amp; "," &amp; $D$4 &amp; "," &amp; H$10 &amp; "," &amp; $D$5 &amp; "," &amp; "AccountGroupCode" &amp; "," &amp; $C25 &amp; "," &amp; "AccountStructureCode" &amp; "," &amp; "AccountType" &amp; "," &amp; "BalanceType" &amp; "," &amp; $D$6 &amp; "," &amp; $D$7 &amp; ")", CellContents, 1873135,81)</f>
        <v>1873135</v>
      </c>
      <c r="I25" s="42">
        <f>CHOOSE(B, "GLClosingBalance(" &amp; "Account" &amp; "," &amp; $D$4 &amp; "," &amp; I$10 &amp; "," &amp; $D$5 &amp; "," &amp; "AccountGroupCode" &amp; "," &amp; $C25 &amp; "," &amp; "AccountStructureCode" &amp; "," &amp; "AccountType" &amp; "," &amp; "BalanceType" &amp; "," &amp; $D$6 &amp; "," &amp; $D$7 &amp; ")", CellContents, 1928978,6)</f>
        <v>1928978</v>
      </c>
    </row>
    <row r="26" spans="3:9" s="18" customFormat="1" ht="16.5" customHeight="1" x14ac:dyDescent="0.3">
      <c r="C26" s="21" t="s">
        <v>76</v>
      </c>
      <c r="D26" s="22" t="str">
        <f>MID("Other Current Assets", 1, 255)</f>
        <v>Other Current Assets</v>
      </c>
      <c r="E26" s="42">
        <f t="shared" si="5"/>
        <v>0</v>
      </c>
      <c r="F26" s="42">
        <f t="shared" si="5"/>
        <v>0</v>
      </c>
      <c r="G26" s="42">
        <f t="shared" si="5"/>
        <v>0</v>
      </c>
      <c r="H26" s="42">
        <f>CHOOSE(B, "GLClosingBalance(" &amp; "Account" &amp; "," &amp; $D$4 &amp; "," &amp; H$10 &amp; "," &amp; $D$5 &amp; "," &amp; "AccountGroupCode" &amp; "," &amp; $C26 &amp; "," &amp; "AccountStructureCode" &amp; "," &amp; "AccountType" &amp; "," &amp; "BalanceType" &amp; "," &amp; $D$6 &amp; "," &amp; $D$7 &amp; ")", CellContents, 38655,49)</f>
        <v>38655</v>
      </c>
      <c r="I26" s="42">
        <f>CHOOSE(B, "GLClosingBalance(" &amp; "Account" &amp; "," &amp; $D$4 &amp; "," &amp; I$10 &amp; "," &amp; $D$5 &amp; "," &amp; "AccountGroupCode" &amp; "," &amp; $C26 &amp; "," &amp; "AccountStructureCode" &amp; "," &amp; "AccountType" &amp; "," &amp; "BalanceType" &amp; "," &amp; $D$6 &amp; "," &amp; $D$7 &amp; ")", CellContents, 38655,49)</f>
        <v>38655</v>
      </c>
    </row>
    <row r="27" spans="3:9" s="18" customFormat="1" ht="16.5" customHeight="1" x14ac:dyDescent="0.3">
      <c r="C27" s="21"/>
      <c r="D27" s="45" t="s">
        <v>26</v>
      </c>
      <c r="E27" s="44">
        <f t="shared" ref="E27:F27" si="6">SUM(E23:E26)</f>
        <v>0</v>
      </c>
      <c r="F27" s="44">
        <f t="shared" si="6"/>
        <v>0</v>
      </c>
      <c r="G27" s="44">
        <f>SUM(G23:G26)</f>
        <v>0</v>
      </c>
      <c r="H27" s="44">
        <f>SUM(H23:H26)</f>
        <v>6590483</v>
      </c>
      <c r="I27" s="44">
        <f>SUM(I23:I26)</f>
        <v>12849260</v>
      </c>
    </row>
    <row r="28" spans="3:9" s="18" customFormat="1" ht="16.5" customHeight="1" x14ac:dyDescent="0.3">
      <c r="C28" s="21" t="s">
        <v>77</v>
      </c>
      <c r="D28" s="22" t="str">
        <f>MID("Fixed Assets", 1, 255)</f>
        <v>Fixed Assets</v>
      </c>
      <c r="E28" s="42">
        <f t="shared" ref="E28:G30" si="7">CHOOSE(B, "GLClosingBalance(" &amp; "Account" &amp; "," &amp; $D$4 &amp; "," &amp; E$10 &amp; "," &amp; $D$5 &amp; "," &amp; "AccountGroupCode" &amp; "," &amp; $C28 &amp; "," &amp; "AccountStructureCode" &amp; "," &amp; "AccountType" &amp; "," &amp; "BalanceType" &amp; "," &amp; $D$6 &amp; "," &amp; $D$7 &amp; ")", CellContents, 0)</f>
        <v>0</v>
      </c>
      <c r="F28" s="42">
        <f t="shared" si="7"/>
        <v>0</v>
      </c>
      <c r="G28" s="42">
        <f t="shared" si="7"/>
        <v>0</v>
      </c>
      <c r="H28" s="42">
        <f>CHOOSE(B, "GLClosingBalance(" &amp; "Account" &amp; "," &amp; $D$4 &amp; "," &amp; H$10 &amp; "," &amp; $D$5 &amp; "," &amp; "AccountGroupCode" &amp; "," &amp; $C28 &amp; "," &amp; "AccountStructureCode" &amp; "," &amp; "AccountType" &amp; "," &amp; "BalanceType" &amp; "," &amp; $D$6 &amp; "," &amp; $D$7 &amp; ")", CellContents, 762888,79)</f>
        <v>762888</v>
      </c>
      <c r="I28" s="42">
        <f>CHOOSE(B, "GLClosingBalance(" &amp; "Account" &amp; "," &amp; $D$4 &amp; "," &amp; I$10 &amp; "," &amp; $D$5 &amp; "," &amp; "AccountGroupCode" &amp; "," &amp; $C28 &amp; "," &amp; "AccountStructureCode" &amp; "," &amp; "AccountType" &amp; "," &amp; "BalanceType" &amp; "," &amp; $D$6 &amp; "," &amp; $D$7 &amp; ")", CellContents, 1062888,79)</f>
        <v>1062888</v>
      </c>
    </row>
    <row r="29" spans="3:9" s="18" customFormat="1" ht="16.5" customHeight="1" x14ac:dyDescent="0.3">
      <c r="C29" s="21" t="s">
        <v>78</v>
      </c>
      <c r="D29" s="22" t="str">
        <f>MID("Accumulated Depreciation", 1, 255)</f>
        <v>Accumulated Depreciation</v>
      </c>
      <c r="E29" s="42">
        <f t="shared" si="7"/>
        <v>0</v>
      </c>
      <c r="F29" s="42">
        <f t="shared" si="7"/>
        <v>0</v>
      </c>
      <c r="G29" s="42">
        <f t="shared" si="7"/>
        <v>0</v>
      </c>
      <c r="H29" s="42">
        <f>CHOOSE(B, "GLClosingBalance(" &amp; "Account" &amp; "," &amp; $D$4 &amp; "," &amp; H$10 &amp; "," &amp; $D$5 &amp; "," &amp; "AccountGroupCode" &amp; "," &amp; $C29 &amp; "," &amp; "AccountStructureCode" &amp; "," &amp; "AccountType" &amp; "," &amp; "BalanceType" &amp; "," &amp; $D$6 &amp; "," &amp; $D$7 &amp; ")", CellContents, -327426,42)</f>
        <v>-327426</v>
      </c>
      <c r="I29" s="42">
        <f>CHOOSE(B, "GLClosingBalance(" &amp; "Account" &amp; "," &amp; $D$4 &amp; "," &amp; I$10 &amp; "," &amp; $D$5 &amp; "," &amp; "AccountGroupCode" &amp; "," &amp; $C29 &amp; "," &amp; "AccountStructureCode" &amp; "," &amp; "AccountType" &amp; "," &amp; "BalanceType" &amp; "," &amp; $D$6 &amp; "," &amp; $D$7 &amp; ")", CellContents, -802426,42)</f>
        <v>-802426</v>
      </c>
    </row>
    <row r="30" spans="3:9" s="18" customFormat="1" ht="16.5" customHeight="1" x14ac:dyDescent="0.3">
      <c r="C30" s="21" t="s">
        <v>79</v>
      </c>
      <c r="D30" s="22" t="str">
        <f>MID("Other Assets", 1, 255)</f>
        <v>Other Assets</v>
      </c>
      <c r="E30" s="42">
        <f t="shared" si="7"/>
        <v>0</v>
      </c>
      <c r="F30" s="42">
        <f t="shared" si="7"/>
        <v>0</v>
      </c>
      <c r="G30" s="42">
        <f t="shared" si="7"/>
        <v>0</v>
      </c>
      <c r="H30" s="42">
        <f>CHOOSE(B, "GLClosingBalance(" &amp; "Account" &amp; "," &amp; $D$4 &amp; "," &amp; H$10 &amp; "," &amp; $D$5 &amp; "," &amp; "AccountGroupCode" &amp; "," &amp; $C30 &amp; "," &amp; "AccountStructureCode" &amp; "," &amp; "AccountType" &amp; "," &amp; "BalanceType" &amp; "," &amp; $D$6 &amp; "," &amp; $D$7 &amp; ")", CellContents, 0)</f>
        <v>0</v>
      </c>
      <c r="I30" s="42">
        <f>CHOOSE(B, "GLClosingBalance(" &amp; "Account" &amp; "," &amp; $D$4 &amp; "," &amp; I$10 &amp; "," &amp; $D$5 &amp; "," &amp; "AccountGroupCode" &amp; "," &amp; $C30 &amp; "," &amp; "AccountStructureCode" &amp; "," &amp; "AccountType" &amp; "," &amp; "BalanceType" &amp; "," &amp; $D$6 &amp; "," &amp; $D$7 &amp; ")", CellContents, 0)</f>
        <v>0</v>
      </c>
    </row>
    <row r="31" spans="3:9" s="18" customFormat="1" ht="16.5" customHeight="1" x14ac:dyDescent="0.3">
      <c r="C31" s="21"/>
      <c r="D31" s="43" t="s">
        <v>80</v>
      </c>
      <c r="E31" s="44">
        <f>SUM(E28:E30)</f>
        <v>0</v>
      </c>
      <c r="F31" s="44">
        <f t="shared" ref="F31" si="8">SUM(F28:F30)</f>
        <v>0</v>
      </c>
      <c r="G31" s="44">
        <f>SUM(G28:G30)</f>
        <v>0</v>
      </c>
      <c r="H31" s="44">
        <f>SUM(H28:H30)</f>
        <v>435462</v>
      </c>
      <c r="I31" s="44">
        <f t="shared" ref="I31" si="9">SUM(I28:I30)</f>
        <v>260462</v>
      </c>
    </row>
    <row r="32" spans="3:9" s="18" customFormat="1" ht="16.5" customHeight="1" x14ac:dyDescent="0.3">
      <c r="C32" s="21"/>
      <c r="D32" s="45" t="s">
        <v>27</v>
      </c>
      <c r="E32" s="44">
        <f>E27+E31</f>
        <v>0</v>
      </c>
      <c r="F32" s="44">
        <f t="shared" ref="F32:I32" si="10">F27+F31</f>
        <v>0</v>
      </c>
      <c r="G32" s="44">
        <f t="shared" si="10"/>
        <v>0</v>
      </c>
      <c r="H32" s="44">
        <f>H27+H31</f>
        <v>7025945</v>
      </c>
      <c r="I32" s="44">
        <f t="shared" si="10"/>
        <v>13109722</v>
      </c>
    </row>
    <row r="33" spans="3:11" s="18" customFormat="1" ht="16.5" customHeight="1" x14ac:dyDescent="0.3">
      <c r="C33" s="21" t="s">
        <v>81</v>
      </c>
      <c r="D33" s="22" t="str">
        <f>MID("Accounts Payable", 1, 255)</f>
        <v>Accounts Payable</v>
      </c>
      <c r="E33" s="42">
        <f t="shared" ref="E33:G34" si="11">CHOOSE(B, "-GLClosingBalance(" &amp; "Account" &amp; "," &amp; $D$4 &amp; "," &amp; E$10 &amp; "," &amp; $D$5 &amp; "," &amp; "AccountGroupCode" &amp; "," &amp; $C33 &amp; "," &amp; "AccountStructureCode" &amp; "," &amp; "AccountType" &amp; "," &amp; "BalanceType" &amp; "," &amp; $D$6 &amp; "," &amp; $D$7 &amp; ")", CellContents, 0)</f>
        <v>0</v>
      </c>
      <c r="F33" s="42">
        <f t="shared" si="11"/>
        <v>0</v>
      </c>
      <c r="G33" s="42">
        <f t="shared" si="11"/>
        <v>0</v>
      </c>
      <c r="H33" s="42">
        <f>CHOOSE(B, "-GLClosingBalance(" &amp; "Account" &amp; "," &amp; $D$4 &amp; "," &amp; H$10 &amp; "," &amp; $D$5 &amp; "," &amp; "AccountGroupCode" &amp; "," &amp; $C33 &amp; "," &amp; "AccountStructureCode" &amp; "," &amp; "AccountType" &amp; "," &amp; "BalanceType" &amp; "," &amp; $D$6 &amp; "," &amp; $D$7 &amp; ")", CellContents, 11240492,98)</f>
        <v>11240492</v>
      </c>
      <c r="I33" s="42">
        <f>CHOOSE(B, "-GLClosingBalance(" &amp; "Account" &amp; "," &amp; $D$4 &amp; "," &amp; I$10 &amp; "," &amp; $D$5 &amp; "," &amp; "AccountGroupCode" &amp; "," &amp; $C33 &amp; "," &amp; "AccountStructureCode" &amp; "," &amp; "AccountType" &amp; "," &amp; "BalanceType" &amp; "," &amp; $D$6 &amp; "," &amp; $D$7 &amp; ")", CellContents, 12993043,12)</f>
        <v>12993043</v>
      </c>
    </row>
    <row r="34" spans="3:11" s="18" customFormat="1" ht="16.5" customHeight="1" x14ac:dyDescent="0.3">
      <c r="C34" s="21" t="s">
        <v>82</v>
      </c>
      <c r="D34" s="22" t="str">
        <f>MID("Other Current Liabilities", 1, 255)</f>
        <v>Other Current Liabilities</v>
      </c>
      <c r="E34" s="42">
        <f t="shared" si="11"/>
        <v>0</v>
      </c>
      <c r="F34" s="42">
        <f t="shared" si="11"/>
        <v>0</v>
      </c>
      <c r="G34" s="42">
        <f t="shared" si="11"/>
        <v>0</v>
      </c>
      <c r="H34" s="42">
        <f>CHOOSE(B, "-GLClosingBalance(" &amp; "Account" &amp; "," &amp; $D$4 &amp; "," &amp; H$10 &amp; "," &amp; $D$5 &amp; "," &amp; "AccountGroupCode" &amp; "," &amp; $C34 &amp; "," &amp; "AccountStructureCode" &amp; "," &amp; "AccountType" &amp; "," &amp; "BalanceType" &amp; "," &amp; $D$6 &amp; "," &amp; $D$7 &amp; ")", CellContents, 981168,82)</f>
        <v>981168</v>
      </c>
      <c r="I34" s="42">
        <f>CHOOSE(B, "-GLClosingBalance(" &amp; "Account" &amp; "," &amp; $D$4 &amp; "," &amp; I$10 &amp; "," &amp; $D$5 &amp; "," &amp; "AccountGroupCode" &amp; "," &amp; $C34 &amp; "," &amp; "AccountStructureCode" &amp; "," &amp; "AccountType" &amp; "," &amp; "BalanceType" &amp; "," &amp; $D$6 &amp; "," &amp; $D$7 &amp; ")", CellContents, 971872,89)</f>
        <v>971872</v>
      </c>
    </row>
    <row r="35" spans="3:11" s="18" customFormat="1" ht="16.5" customHeight="1" x14ac:dyDescent="0.3">
      <c r="C35" s="21"/>
      <c r="D35" s="45" t="s">
        <v>83</v>
      </c>
      <c r="E35" s="44">
        <f>SUM(E33:E34)</f>
        <v>0</v>
      </c>
      <c r="F35" s="44">
        <f t="shared" ref="F35" si="12">SUM(F33:F34)</f>
        <v>0</v>
      </c>
      <c r="G35" s="44">
        <f>SUM(G33:G34)</f>
        <v>0</v>
      </c>
      <c r="H35" s="44">
        <f>SUM(H33:H34)</f>
        <v>12221660</v>
      </c>
      <c r="I35" s="44">
        <f>SUM(I33:I34)</f>
        <v>13964915</v>
      </c>
    </row>
    <row r="36" spans="3:11" s="18" customFormat="1" ht="16.5" customHeight="1" x14ac:dyDescent="0.3">
      <c r="C36" s="21" t="s">
        <v>84</v>
      </c>
      <c r="D36" s="22" t="str">
        <f>MID("Long Term Liabilities", 1, 255)</f>
        <v>Long Term Liabilities</v>
      </c>
      <c r="E36" s="42">
        <f t="shared" ref="E36:G37" si="13">CHOOSE(B, "-GLClosingBalance(" &amp; "Account" &amp; "," &amp; $D$4 &amp; "," &amp; E$10 &amp; "," &amp; $D$5 &amp; "," &amp; "AccountGroupCode" &amp; "," &amp; $C36 &amp; "," &amp; "AccountStructureCode" &amp; "," &amp; "AccountType" &amp; "," &amp; "BalanceType" &amp; "," &amp; $D$6 &amp; "," &amp; $D$7 &amp; ")", CellContents, 0)</f>
        <v>0</v>
      </c>
      <c r="F36" s="42">
        <f t="shared" si="13"/>
        <v>0</v>
      </c>
      <c r="G36" s="42">
        <f t="shared" si="13"/>
        <v>0</v>
      </c>
      <c r="H36" s="42">
        <f>CHOOSE(B, "-GLClosingBalance(" &amp; "Account" &amp; "," &amp; $D$4 &amp; "," &amp; H$10 &amp; "," &amp; $D$5 &amp; "," &amp; "AccountGroupCode" &amp; "," &amp; $C36 &amp; "," &amp; "AccountStructureCode" &amp; "," &amp; "AccountType" &amp; "," &amp; "BalanceType" &amp; "," &amp; $D$6 &amp; "," &amp; $D$7 &amp; ")", CellContents, 432963,54)</f>
        <v>432963</v>
      </c>
      <c r="I36" s="42">
        <f>CHOOSE(B, "-GLClosingBalance(" &amp; "Account" &amp; "," &amp; $D$4 &amp; "," &amp; I$10 &amp; "," &amp; $D$5 &amp; "," &amp; "AccountGroupCode" &amp; "," &amp; $C36 &amp; "," &amp; "AccountStructureCode" &amp; "," &amp; "AccountType" &amp; "," &amp; "BalanceType" &amp; "," &amp; $D$6 &amp; "," &amp; $D$7 &amp; ")", CellContents, 288963,54)</f>
        <v>288963</v>
      </c>
    </row>
    <row r="37" spans="3:11" s="18" customFormat="1" ht="16.5" customHeight="1" x14ac:dyDescent="0.3">
      <c r="C37" s="21" t="s">
        <v>85</v>
      </c>
      <c r="D37" s="22" t="s">
        <v>86</v>
      </c>
      <c r="E37" s="42">
        <f t="shared" si="13"/>
        <v>0</v>
      </c>
      <c r="F37" s="42">
        <f t="shared" si="13"/>
        <v>0</v>
      </c>
      <c r="G37" s="42">
        <f t="shared" si="13"/>
        <v>0</v>
      </c>
      <c r="H37" s="42">
        <f>CHOOSE(B, "-GLClosingBalance(" &amp; "Account" &amp; "," &amp; $D$4 &amp; "," &amp; H$10 &amp; "," &amp; $D$5 &amp; "," &amp; "AccountGroupCode" &amp; "," &amp; $C37 &amp; "," &amp; "AccountStructureCode" &amp; "," &amp; "AccountType" &amp; "," &amp; "BalanceType" &amp; "," &amp; $D$6 &amp; "," &amp; $D$7 &amp; ")", CellContents, 0)</f>
        <v>0</v>
      </c>
      <c r="I37" s="42">
        <f>CHOOSE(B, "-GLClosingBalance(" &amp; "Account" &amp; "," &amp; $D$4 &amp; "," &amp; I$10 &amp; "," &amp; $D$5 &amp; "," &amp; "AccountGroupCode" &amp; "," &amp; $C37 &amp; "," &amp; "AccountStructureCode" &amp; "," &amp; "AccountType" &amp; "," &amp; "BalanceType" &amp; "," &amp; $D$6 &amp; "," &amp; $D$7 &amp; ")", CellContents, 0)</f>
        <v>0</v>
      </c>
    </row>
    <row r="38" spans="3:11" s="18" customFormat="1" x14ac:dyDescent="0.3">
      <c r="C38" s="21"/>
      <c r="D38" s="43" t="s">
        <v>87</v>
      </c>
      <c r="E38" s="44">
        <f>SUM(E36:E37)</f>
        <v>0</v>
      </c>
      <c r="F38" s="44">
        <f t="shared" ref="F38" si="14">SUM(F36:F37)</f>
        <v>0</v>
      </c>
      <c r="G38" s="44">
        <f>SUM(G36:G37)</f>
        <v>0</v>
      </c>
      <c r="H38" s="44">
        <f>SUM(H36:H37)</f>
        <v>432963</v>
      </c>
      <c r="I38" s="44">
        <f t="shared" ref="I38" si="15">SUM(I36:I37)</f>
        <v>288963</v>
      </c>
    </row>
    <row r="39" spans="3:11" s="18" customFormat="1" x14ac:dyDescent="0.3">
      <c r="C39" s="21"/>
      <c r="D39" s="45" t="s">
        <v>28</v>
      </c>
      <c r="E39" s="44">
        <f>E35+E38</f>
        <v>0</v>
      </c>
      <c r="F39" s="44">
        <f t="shared" ref="F39:I39" si="16">F35+F38</f>
        <v>0</v>
      </c>
      <c r="G39" s="44">
        <f t="shared" si="16"/>
        <v>0</v>
      </c>
      <c r="H39" s="44">
        <f>H35+H38</f>
        <v>12654623</v>
      </c>
      <c r="I39" s="44">
        <f t="shared" si="16"/>
        <v>14253878</v>
      </c>
    </row>
    <row r="40" spans="3:11" s="18" customFormat="1" x14ac:dyDescent="0.3">
      <c r="C40" s="21" t="s">
        <v>88</v>
      </c>
      <c r="D40" s="22" t="str">
        <f>MID("Share Capital", 1, 255)</f>
        <v>Share Capital</v>
      </c>
      <c r="E40" s="42">
        <f t="shared" ref="E40:G41" si="17">CHOOSE(B, "-GLClosingBalance(" &amp; "Account" &amp; "," &amp; $D$4 &amp; "," &amp; E$10 &amp; "," &amp; $D$5 &amp; "," &amp; "AccountGroupCode" &amp; "," &amp; $C40 &amp; "," &amp; "AccountStructureCode" &amp; "," &amp; "AccountType" &amp; "," &amp; "BalanceType" &amp; "," &amp; $D$6 &amp; "," &amp; $D$7 &amp; ")", CellContents, 0)</f>
        <v>0</v>
      </c>
      <c r="F40" s="42">
        <f t="shared" si="17"/>
        <v>0</v>
      </c>
      <c r="G40" s="42">
        <f t="shared" si="17"/>
        <v>0</v>
      </c>
      <c r="H40" s="42">
        <f>CHOOSE(B, "-GLClosingBalance(" &amp; "Account" &amp; "," &amp; $D$4 &amp; "," &amp; H$10 &amp; "," &amp; $D$5 &amp; "," &amp; "AccountGroupCode" &amp; "," &amp; $C40 &amp; "," &amp; "AccountStructureCode" &amp; "," &amp; "AccountType" &amp; "," &amp; "BalanceType" &amp; "," &amp; $D$6 &amp; "," &amp; $D$7 &amp; ")", CellContents, 250000)</f>
        <v>250000</v>
      </c>
      <c r="I40" s="42">
        <f>CHOOSE(B, "-GLClosingBalance(" &amp; "Account" &amp; "," &amp; $D$4 &amp; "," &amp; I$10 &amp; "," &amp; $D$5 &amp; "," &amp; "AccountGroupCode" &amp; "," &amp; $C40 &amp; "," &amp; "AccountStructureCode" &amp; "," &amp; "AccountType" &amp; "," &amp; "BalanceType" &amp; "," &amp; $D$6 &amp; "," &amp; $D$7 &amp; ")", CellContents, 250000)</f>
        <v>250000</v>
      </c>
    </row>
    <row r="41" spans="3:11" s="18" customFormat="1" x14ac:dyDescent="0.3">
      <c r="C41" s="21" t="s">
        <v>89</v>
      </c>
      <c r="D41" s="22" t="str">
        <f>MID("Shareholders Equity", 1, 255)</f>
        <v>Shareholders Equity</v>
      </c>
      <c r="E41" s="42">
        <f t="shared" si="17"/>
        <v>0</v>
      </c>
      <c r="F41" s="42">
        <f t="shared" si="17"/>
        <v>0</v>
      </c>
      <c r="G41" s="42">
        <f t="shared" si="17"/>
        <v>0</v>
      </c>
      <c r="H41" s="42">
        <f>CHOOSE(B, "-GLClosingBalance(" &amp; "Account" &amp; "," &amp; $D$4 &amp; "," &amp; H$10 &amp; "," &amp; $D$5 &amp; "," &amp; "AccountGroupCode" &amp; "," &amp; $C41 &amp; "," &amp; "AccountStructureCode" &amp; "," &amp; "AccountType" &amp; "," &amp; "BalanceType" &amp; "," &amp; $D$6 &amp; "," &amp; $D$7 &amp; ")", CellContents, 1740155,66)</f>
        <v>1740155</v>
      </c>
      <c r="I41" s="42">
        <f>CHOOSE(B, "-GLClosingBalance(" &amp; "Account" &amp; "," &amp; $D$4 &amp; "," &amp; I$10 &amp; "," &amp; $D$5 &amp; "," &amp; "AccountGroupCode" &amp; "," &amp; $C41 &amp; "," &amp; "AccountStructureCode" &amp; "," &amp; "AccountType" &amp; "," &amp; "BalanceType" &amp; "," &amp; $D$6 &amp; "," &amp; $D$7 &amp; ")", CellContents, -1482265,39)</f>
        <v>-1482265</v>
      </c>
    </row>
    <row r="42" spans="3:11" x14ac:dyDescent="0.3">
      <c r="C42" s="21"/>
      <c r="D42" s="45" t="s">
        <v>90</v>
      </c>
      <c r="E42" s="44">
        <f>SUM(E40+E41+E22)</f>
        <v>0</v>
      </c>
      <c r="F42" s="44">
        <f t="shared" ref="F42:G42" si="18">SUM(F40+F41+F22)</f>
        <v>0</v>
      </c>
      <c r="G42" s="44">
        <f t="shared" si="18"/>
        <v>0</v>
      </c>
      <c r="H42" s="44">
        <f>SUM(H40+H41+H22)</f>
        <v>-5628679</v>
      </c>
      <c r="I42" s="44">
        <f>SUM(I40+I41+I22)</f>
        <v>-1144154</v>
      </c>
      <c r="K42" s="26"/>
    </row>
    <row r="43" spans="3:11" x14ac:dyDescent="0.3">
      <c r="C43" s="21"/>
      <c r="D43" s="45" t="s">
        <v>91</v>
      </c>
      <c r="E43" s="44">
        <f>E39+E42</f>
        <v>0</v>
      </c>
      <c r="F43" s="44">
        <f t="shared" ref="F43:I43" si="19">F39+F42</f>
        <v>0</v>
      </c>
      <c r="G43" s="44">
        <f t="shared" si="19"/>
        <v>0</v>
      </c>
      <c r="H43" s="44">
        <f>H39+H42</f>
        <v>7025944</v>
      </c>
      <c r="I43" s="44">
        <f t="shared" si="19"/>
        <v>13109724</v>
      </c>
    </row>
    <row r="44" spans="3:11" x14ac:dyDescent="0.3">
      <c r="C44" s="23"/>
      <c r="D44" s="18"/>
      <c r="E44" s="18"/>
      <c r="F44" s="18"/>
      <c r="G44" s="18"/>
    </row>
    <row r="45" spans="3:11" x14ac:dyDescent="0.3">
      <c r="C45" s="23"/>
      <c r="D45" s="18"/>
      <c r="E45" s="18"/>
      <c r="F45" s="18"/>
      <c r="G45" s="18"/>
    </row>
    <row r="46" spans="3:11" x14ac:dyDescent="0.3">
      <c r="C46" s="23"/>
      <c r="D46" s="18"/>
      <c r="E46" s="18"/>
      <c r="F46" s="18"/>
      <c r="G46" s="18"/>
    </row>
    <row r="47" spans="3:11" x14ac:dyDescent="0.3">
      <c r="C47" s="24"/>
    </row>
    <row r="48" spans="3:11" x14ac:dyDescent="0.3">
      <c r="C48" s="24"/>
    </row>
  </sheetData>
  <mergeCells count="1">
    <mergeCell ref="G4:I7"/>
  </mergeCells>
  <dataValidations count="3">
    <dataValidation type="list" allowBlank="1" showInputMessage="1" sqref="H10:I10">
      <formula1>FiscalYearsTemplate</formula1>
    </dataValidation>
    <dataValidation type="list" allowBlank="1" showInputMessage="1" sqref="D5">
      <formula1>Periods</formula1>
    </dataValidation>
    <dataValidation type="list" allowBlank="1" showInputMessage="1" showErrorMessage="1" sqref="D4">
      <formula1>CompaniesTemplate</formula1>
    </dataValidation>
  </dataValidations>
  <hyperlinks>
    <hyperlink ref="B2" location="Home!A1" tooltip="Click to navigate to the Home sheet." display="ç"/>
  </hyperlinks>
  <pageMargins left="0.25" right="0.25" top="0.75" bottom="0.75" header="0.3" footer="0.3"/>
  <pageSetup paperSize="9"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M48"/>
  <sheetViews>
    <sheetView showGridLines="0" zoomScale="90" zoomScaleNormal="90" workbookViewId="0"/>
  </sheetViews>
  <sheetFormatPr defaultRowHeight="16.5" x14ac:dyDescent="0.3"/>
  <cols>
    <col min="1" max="1" width="2.85546875" style="12" customWidth="1"/>
    <col min="2" max="2" width="5.5703125" style="12" customWidth="1"/>
    <col min="3" max="3" width="43.42578125" style="26" customWidth="1"/>
    <col min="4" max="6" width="14.42578125" style="12" customWidth="1"/>
    <col min="7" max="7" width="13.7109375" style="12" customWidth="1"/>
    <col min="8" max="16384" width="9.140625" style="12"/>
  </cols>
  <sheetData>
    <row r="1" spans="2:13" ht="15" customHeight="1" x14ac:dyDescent="0.3"/>
    <row r="2" spans="2:13" ht="33.75" customHeight="1" x14ac:dyDescent="0.7">
      <c r="B2" s="115" t="s">
        <v>112</v>
      </c>
      <c r="C2" s="14" t="str">
        <f>CONCATENATE(D4," Financial Ratio Report")</f>
        <v>SAMLTD Financial Ratio Report</v>
      </c>
      <c r="E2" s="15"/>
    </row>
    <row r="3" spans="2:13" ht="6.95" customHeight="1" x14ac:dyDescent="0.7">
      <c r="C3" s="15"/>
      <c r="E3" s="15"/>
    </row>
    <row r="4" spans="2:13" ht="16.5" customHeight="1" x14ac:dyDescent="0.7">
      <c r="C4" s="16" t="s">
        <v>17</v>
      </c>
      <c r="D4" s="111" t="str">
        <f>'Financial Data'!D4</f>
        <v>SAMLTD</v>
      </c>
      <c r="E4" s="15"/>
      <c r="I4" s="174" t="s">
        <v>137</v>
      </c>
      <c r="J4" s="174"/>
      <c r="K4" s="174"/>
      <c r="L4" s="174"/>
      <c r="M4" s="174"/>
    </row>
    <row r="5" spans="2:13" x14ac:dyDescent="0.3">
      <c r="C5" s="16" t="s">
        <v>16</v>
      </c>
      <c r="D5" s="20">
        <f>'Financial Data'!D5</f>
        <v>1</v>
      </c>
      <c r="I5" s="174"/>
      <c r="J5" s="174"/>
      <c r="K5" s="174"/>
      <c r="L5" s="174"/>
      <c r="M5" s="174"/>
    </row>
    <row r="6" spans="2:13" x14ac:dyDescent="0.3">
      <c r="C6" s="16" t="s">
        <v>18</v>
      </c>
      <c r="D6" s="17" t="str">
        <f>'Financial Data'!D6</f>
        <v>CAD</v>
      </c>
      <c r="I6" s="174"/>
      <c r="J6" s="174"/>
      <c r="K6" s="174"/>
      <c r="L6" s="174"/>
      <c r="M6" s="174"/>
    </row>
    <row r="7" spans="2:13" x14ac:dyDescent="0.3">
      <c r="C7" s="16" t="s">
        <v>19</v>
      </c>
      <c r="D7" s="17" t="str">
        <f>'Financial Data'!D7</f>
        <v>F</v>
      </c>
      <c r="I7" s="174"/>
      <c r="J7" s="174"/>
      <c r="K7" s="174"/>
      <c r="L7" s="174"/>
      <c r="M7" s="174"/>
    </row>
    <row r="8" spans="2:13" x14ac:dyDescent="0.3">
      <c r="C8" s="16"/>
      <c r="D8" s="111">
        <f>'Financial Data'!D8</f>
        <v>0</v>
      </c>
    </row>
    <row r="9" spans="2:13" ht="6.95" customHeight="1" x14ac:dyDescent="0.3"/>
    <row r="10" spans="2:13" ht="27.75" customHeight="1" x14ac:dyDescent="0.3">
      <c r="D10" s="27">
        <f>'Financial Data'!I10</f>
        <v>2020</v>
      </c>
      <c r="E10" s="27">
        <f>'Financial Data'!H10</f>
        <v>2019</v>
      </c>
      <c r="F10" s="27" t="s">
        <v>23</v>
      </c>
      <c r="G10" s="27" t="s">
        <v>30</v>
      </c>
    </row>
    <row r="11" spans="2:13" ht="6.95" customHeight="1" x14ac:dyDescent="0.3"/>
    <row r="12" spans="2:13" x14ac:dyDescent="0.3">
      <c r="C12" s="28" t="s">
        <v>31</v>
      </c>
      <c r="D12" s="18"/>
      <c r="E12" s="18"/>
      <c r="F12" s="18"/>
    </row>
    <row r="13" spans="2:13" x14ac:dyDescent="0.3">
      <c r="C13" s="29" t="s">
        <v>32</v>
      </c>
      <c r="D13" s="30">
        <f>IF('Financial Data'!I11=0,0,'Financial Data'!I22/'Financial Data'!I11)</f>
        <v>5.2745917341123508E-2</v>
      </c>
      <c r="E13" s="30">
        <f>IF('Financial Data'!H11=0,0,'Financial Data'!H22/'Financial Data'!H11)</f>
        <v>-2.8574706539358492</v>
      </c>
      <c r="F13" s="30">
        <f t="shared" ref="F13:F18" si="0">D13-E13</f>
        <v>2.9102165712769725</v>
      </c>
      <c r="G13" s="30">
        <f>'Financial Report Settings'!L10</f>
        <v>6.5000000000000002E-2</v>
      </c>
    </row>
    <row r="14" spans="2:13" x14ac:dyDescent="0.3">
      <c r="C14" s="29" t="s">
        <v>33</v>
      </c>
      <c r="D14" s="30">
        <f>IF('Financial Data'!I32=0,0,'Financial Data'!I22/'Financial Data'!I32)</f>
        <v>6.7210425972419555E-3</v>
      </c>
      <c r="E14" s="30">
        <f>IF('Financial Data'!H32=0,0,'Financial Data'!H22/'Financial Data'!H32)</f>
        <v>-1.0843856591533239</v>
      </c>
      <c r="F14" s="30">
        <f t="shared" si="0"/>
        <v>1.0911067017505658</v>
      </c>
      <c r="G14" s="30">
        <f>'Financial Report Settings'!L11</f>
        <v>0.1</v>
      </c>
    </row>
    <row r="15" spans="2:13" x14ac:dyDescent="0.3">
      <c r="C15" s="29" t="s">
        <v>34</v>
      </c>
      <c r="D15" s="30">
        <f>IF('Financial Data'!I42=0,0,'Financial Data'!I22/'Financial Data'!I42)</f>
        <v>-7.7009738199578029E-2</v>
      </c>
      <c r="E15" s="30">
        <f>IF('Financial Data'!H42=0,0,'Financial Data'!H22/'Financial Data'!H42)</f>
        <v>1.3535740801704983</v>
      </c>
      <c r="F15" s="30">
        <f t="shared" si="0"/>
        <v>-1.4305838183700763</v>
      </c>
      <c r="G15" s="30">
        <f>'Financial Report Settings'!L12</f>
        <v>0.15</v>
      </c>
    </row>
    <row r="16" spans="2:13" x14ac:dyDescent="0.3">
      <c r="C16" s="29" t="s">
        <v>35</v>
      </c>
      <c r="D16" s="34">
        <f>IF('Financial Data'!I37=0,0,'Financial Data'!I22/'Financial Data'!I37)</f>
        <v>0</v>
      </c>
      <c r="E16" s="34">
        <f>IF('Financial Data'!H37=0,0,'Financial Data'!H22/'Financial Data'!H37)</f>
        <v>0</v>
      </c>
      <c r="F16" s="34">
        <f t="shared" si="0"/>
        <v>0</v>
      </c>
      <c r="G16" s="19">
        <f>'Financial Report Settings'!L13</f>
        <v>2</v>
      </c>
    </row>
    <row r="17" spans="3:7" x14ac:dyDescent="0.3">
      <c r="C17" s="29" t="s">
        <v>36</v>
      </c>
      <c r="D17" s="30">
        <f>IF('Financial Data'!I11=0,0,('Financial Data'!I11-'Financial Data'!I12)/'Financial Data'!I11)</f>
        <v>0.59461412288683491</v>
      </c>
      <c r="E17" s="30">
        <f>IF('Financial Data'!H11=0,0,('Financial Data'!H11-'Financial Data'!H12)/'Financial Data'!H11)</f>
        <v>0.65335039076828216</v>
      </c>
      <c r="F17" s="31">
        <f t="shared" si="0"/>
        <v>-5.8736267881447257E-2</v>
      </c>
      <c r="G17" s="31">
        <f>'Financial Report Settings'!L14</f>
        <v>0.3</v>
      </c>
    </row>
    <row r="18" spans="3:7" x14ac:dyDescent="0.3">
      <c r="C18" s="29" t="s">
        <v>37</v>
      </c>
      <c r="D18" s="30">
        <f>IF('Financial Data'!I32='Financial Data'!I35,0,'Financial Data'!I19/('Financial Data'!I32-'Financial Data'!I35))</f>
        <v>-0.11413914753745645</v>
      </c>
      <c r="E18" s="30">
        <f>IF('Financial Data'!H32='Financial Data'!H35,0,'Financial Data'!H19/('Financial Data'!H32-'Financial Data'!H35))</f>
        <v>1.4622307035701534</v>
      </c>
      <c r="F18" s="31">
        <f t="shared" si="0"/>
        <v>-1.5763698511076099</v>
      </c>
      <c r="G18" s="31">
        <f>'Financial Report Settings'!L15</f>
        <v>0.19</v>
      </c>
    </row>
    <row r="19" spans="3:7" ht="6.95" customHeight="1" x14ac:dyDescent="0.3">
      <c r="C19" s="29"/>
      <c r="D19" s="33"/>
      <c r="E19" s="33"/>
      <c r="F19" s="33"/>
    </row>
    <row r="20" spans="3:7" x14ac:dyDescent="0.3">
      <c r="C20" s="28" t="s">
        <v>38</v>
      </c>
      <c r="D20" s="33"/>
      <c r="E20" s="33"/>
      <c r="F20" s="33"/>
    </row>
    <row r="21" spans="3:7" x14ac:dyDescent="0.3">
      <c r="C21" s="29" t="s">
        <v>39</v>
      </c>
      <c r="D21" s="34">
        <f>IF('Financial Data'!I24=0,0,'Financial Data'!I11/'Financial Data'!I24)</f>
        <v>0.56259059484101115</v>
      </c>
      <c r="E21" s="34">
        <f>IF('Financial Data'!H24=0,0,'Financial Data'!H11/'Financial Data'!H24)</f>
        <v>1.3813736613873389</v>
      </c>
      <c r="F21" s="34">
        <f t="shared" ref="F21:F28" si="1">D21-E21</f>
        <v>-0.81878306654632771</v>
      </c>
      <c r="G21" s="34">
        <f>'Financial Report Settings'!P10</f>
        <v>10</v>
      </c>
    </row>
    <row r="22" spans="3:7" x14ac:dyDescent="0.3">
      <c r="C22" s="29" t="s">
        <v>40</v>
      </c>
      <c r="D22" s="34">
        <f>IF('Financial Data'!I11=0,0,'Financial Data'!I24/('Financial Data'!I11/365))</f>
        <v>648.78439729897991</v>
      </c>
      <c r="E22" s="34">
        <f>IF('Financial Data'!H11=0,0,'Financial Data'!H24/('Financial Data'!H11/365))</f>
        <v>264.22973754503454</v>
      </c>
      <c r="F22" s="34">
        <f t="shared" si="1"/>
        <v>384.55465975394537</v>
      </c>
      <c r="G22" s="34">
        <f>'Financial Report Settings'!P11</f>
        <v>36</v>
      </c>
    </row>
    <row r="23" spans="3:7" x14ac:dyDescent="0.3">
      <c r="C23" s="29" t="s">
        <v>41</v>
      </c>
      <c r="D23" s="34">
        <f>IF('Financial Data'!I25=0,0,'Financial Data'!I12/'Financial Data'!I25)</f>
        <v>0.3510610281713944</v>
      </c>
      <c r="E23" s="34">
        <f>IF('Financial Data'!H25=0,0,'Financial Data'!H12/'Financial Data'!H25)</f>
        <v>0.49343320155781617</v>
      </c>
      <c r="F23" s="34">
        <f t="shared" si="1"/>
        <v>-0.14237217338642177</v>
      </c>
      <c r="G23" s="34">
        <f>'Financial Report Settings'!P12</f>
        <v>7</v>
      </c>
    </row>
    <row r="24" spans="3:7" x14ac:dyDescent="0.3">
      <c r="C24" s="29" t="s">
        <v>42</v>
      </c>
      <c r="D24" s="34">
        <f>IF('Financial Data'!I12=0,0,'Financial Data'!I25/('Financial Data'!I12/365))</f>
        <v>1039.7052669195748</v>
      </c>
      <c r="E24" s="34">
        <f>IF('Financial Data'!H12=0,0,'Financial Data'!H25/('Financial Data'!H12/365))</f>
        <v>739.71512019795136</v>
      </c>
      <c r="F24" s="34">
        <f t="shared" si="1"/>
        <v>299.99014672162343</v>
      </c>
      <c r="G24" s="34">
        <f>'Financial Report Settings'!P13</f>
        <v>52</v>
      </c>
    </row>
    <row r="25" spans="3:7" x14ac:dyDescent="0.3">
      <c r="C25" s="29" t="s">
        <v>43</v>
      </c>
      <c r="D25" s="34">
        <f>IF('Financial Data'!I33=0,0,'Financial Data'!I12/'Financial Data'!I33)</f>
        <v>5.2119353410898434E-2</v>
      </c>
      <c r="E25" s="34">
        <f>IF('Financial Data'!H33=0,0,'Financial Data'!H12/'Financial Data'!H33)</f>
        <v>8.2226560901426729E-2</v>
      </c>
      <c r="F25" s="34">
        <f t="shared" si="1"/>
        <v>-3.0107207490528295E-2</v>
      </c>
      <c r="G25" s="34">
        <f>'Financial Report Settings'!P14</f>
        <v>12</v>
      </c>
    </row>
    <row r="26" spans="3:7" x14ac:dyDescent="0.3">
      <c r="C26" s="29" t="s">
        <v>44</v>
      </c>
      <c r="D26" s="34">
        <f>IF('Financial Data'!I12=0,0,'Financial Data'!I33/('Financial Data'!I12/365))</f>
        <v>7003.1567184345877</v>
      </c>
      <c r="E26" s="34">
        <f>IF('Financial Data'!H12=0,0,'Financial Data'!H33/('Financial Data'!H12/365))</f>
        <v>4438.9549556567526</v>
      </c>
      <c r="F26" s="34">
        <f t="shared" si="1"/>
        <v>2564.201762777835</v>
      </c>
      <c r="G26" s="34">
        <f>'Financial Report Settings'!P15</f>
        <v>30</v>
      </c>
    </row>
    <row r="27" spans="3:7" x14ac:dyDescent="0.3">
      <c r="C27" s="29" t="s">
        <v>45</v>
      </c>
      <c r="D27" s="34">
        <f>IF('Financial Data'!I28=0,0,'Financial Data'!I11/'Financial Data'!I28)</f>
        <v>1.5716425437110966</v>
      </c>
      <c r="E27" s="34">
        <f>IF('Financial Data'!H28=0,0,'Financial Data'!H11/'Financial Data'!H28)</f>
        <v>3.4949900902884825</v>
      </c>
      <c r="F27" s="34">
        <f t="shared" si="1"/>
        <v>-1.9233475465773859</v>
      </c>
      <c r="G27" s="34">
        <f>'Financial Report Settings'!P16</f>
        <v>5.4</v>
      </c>
    </row>
    <row r="28" spans="3:7" x14ac:dyDescent="0.3">
      <c r="C28" s="29" t="s">
        <v>46</v>
      </c>
      <c r="D28" s="34">
        <f>IF('Financial Data'!I32=0,0,'Financial Data'!I11/'Financial Data'!I32)</f>
        <v>0.1274229918834282</v>
      </c>
      <c r="E28" s="34">
        <f>IF('Financial Data'!H32=0,0,'Financial Data'!H11/'Financial Data'!H32)</f>
        <v>0.37949144207647512</v>
      </c>
      <c r="F28" s="34">
        <f t="shared" si="1"/>
        <v>-0.25206845019304691</v>
      </c>
      <c r="G28" s="34">
        <f>'Financial Report Settings'!P17</f>
        <v>1.5</v>
      </c>
    </row>
    <row r="29" spans="3:7" ht="6.95" customHeight="1" x14ac:dyDescent="0.3">
      <c r="C29" s="29"/>
      <c r="D29" s="33"/>
      <c r="E29" s="33"/>
      <c r="F29" s="33"/>
    </row>
    <row r="30" spans="3:7" x14ac:dyDescent="0.3">
      <c r="C30" s="28" t="s">
        <v>47</v>
      </c>
      <c r="D30" s="33"/>
      <c r="E30" s="33"/>
      <c r="F30" s="33"/>
    </row>
    <row r="31" spans="3:7" x14ac:dyDescent="0.3">
      <c r="C31" s="29" t="s">
        <v>48</v>
      </c>
      <c r="D31" s="32">
        <f>'Financial Data'!I27-'Financial Data'!I35</f>
        <v>-1115655</v>
      </c>
      <c r="E31" s="32">
        <f>'Financial Data'!H27-'Financial Data'!H35</f>
        <v>-5631177</v>
      </c>
      <c r="F31" s="34">
        <f>D31-E31</f>
        <v>4515522</v>
      </c>
      <c r="G31" s="34">
        <f>'Financial Report Settings'!L20</f>
        <v>500000</v>
      </c>
    </row>
    <row r="32" spans="3:7" x14ac:dyDescent="0.3">
      <c r="C32" s="29" t="s">
        <v>49</v>
      </c>
      <c r="D32" s="30">
        <f>IF('Financial Data'!I35=0,0,'Financial Data'!I27/'Financial Data'!I35)</f>
        <v>0.92011014746598885</v>
      </c>
      <c r="E32" s="30">
        <f>IF('Financial Data'!H35=0,0,'Financial Data'!H27/'Financial Data'!H35)</f>
        <v>0.53924614168615392</v>
      </c>
      <c r="F32" s="30">
        <f>D32-E32</f>
        <v>0.38086400577983492</v>
      </c>
      <c r="G32" s="35">
        <f>'Financial Report Settings'!L21</f>
        <v>2.6700000000000002E-2</v>
      </c>
    </row>
    <row r="33" spans="3:7" x14ac:dyDescent="0.3">
      <c r="C33" s="29" t="s">
        <v>50</v>
      </c>
      <c r="D33" s="34">
        <f>IF(D31=0,0,'Financial Data'!I11/'Ratio Benchmarking'!D31)</f>
        <v>-1.4973087558429801</v>
      </c>
      <c r="E33" s="34">
        <f>IF(E31=0,0,'Financial Data'!H11/'Ratio Benchmarking'!E31)</f>
        <v>-0.47348644874774848</v>
      </c>
      <c r="F33" s="34">
        <f>D33-E33</f>
        <v>-1.0238223070952315</v>
      </c>
      <c r="G33" s="34">
        <f>'Financial Report Settings'!L22</f>
        <v>5</v>
      </c>
    </row>
    <row r="34" spans="3:7" x14ac:dyDescent="0.3">
      <c r="C34" s="29" t="s">
        <v>51</v>
      </c>
      <c r="D34" s="30">
        <f>IF('Financial Data'!I35=0,0,('Financial Data'!I27-'Financial Data'!I25)/'Financial Data'!I35)</f>
        <v>0.78197984019236777</v>
      </c>
      <c r="E34" s="30">
        <f>IF('Financial Data'!H35=0,0,('Financial Data'!H27-'Financial Data'!H25)/'Financial Data'!H35)</f>
        <v>0.38598259156284825</v>
      </c>
      <c r="F34" s="30">
        <f>D34-E34</f>
        <v>0.39599724862951952</v>
      </c>
      <c r="G34" s="35">
        <f>'Financial Report Settings'!L23</f>
        <v>0.02</v>
      </c>
    </row>
    <row r="35" spans="3:7" ht="6.95" customHeight="1" x14ac:dyDescent="0.3">
      <c r="C35" s="29"/>
      <c r="D35" s="33"/>
      <c r="E35" s="33"/>
      <c r="F35" s="33"/>
    </row>
    <row r="36" spans="3:7" x14ac:dyDescent="0.3">
      <c r="C36" s="28" t="s">
        <v>52</v>
      </c>
      <c r="D36" s="33"/>
      <c r="E36" s="33"/>
      <c r="F36" s="33"/>
    </row>
    <row r="37" spans="3:7" x14ac:dyDescent="0.3">
      <c r="C37" s="29" t="s">
        <v>53</v>
      </c>
      <c r="D37" s="30">
        <f>IF('Financial Data'!I32=0,0,'Financial Data'!I35/'Financial Data'!I32)</f>
        <v>1.0652334961794003</v>
      </c>
      <c r="E37" s="30">
        <f>IF('Financial Data'!H32=0,0,'Financial Data'!H35/'Financial Data'!H32)</f>
        <v>1.7395040809456948</v>
      </c>
      <c r="F37" s="30">
        <f>D37-E37</f>
        <v>-0.67427058476629442</v>
      </c>
      <c r="G37" s="30">
        <f>'Financial Report Settings'!P20</f>
        <v>0.33</v>
      </c>
    </row>
    <row r="38" spans="3:7" x14ac:dyDescent="0.3">
      <c r="C38" s="29" t="s">
        <v>54</v>
      </c>
      <c r="D38" s="36">
        <f>IF('Financial Data'!I20=0,0,'Financial Data'!I19/'Financial Data'!I20)</f>
        <v>65.073999999999998</v>
      </c>
      <c r="E38" s="36">
        <f>IF('Financial Data'!H20=0,0,'Financial Data'!H19/'Financial Data'!H20)</f>
        <v>-5064.8893333333335</v>
      </c>
      <c r="F38" s="36">
        <f>D38-E38</f>
        <v>5129.9633333333331</v>
      </c>
      <c r="G38" s="37">
        <f>'Financial Report Settings'!P21</f>
        <v>15</v>
      </c>
    </row>
    <row r="39" spans="3:7" x14ac:dyDescent="0.3">
      <c r="C39" s="29" t="s">
        <v>55</v>
      </c>
      <c r="D39" s="36">
        <f>IF('Financial Data'!I17=0,0,('Financial Data'!I19-'Financial Data'!I16-'Financial Data'!I17)/'Financial Data'!I16)</f>
        <v>-0.94546566365365192</v>
      </c>
      <c r="E39" s="36">
        <f>IF('Financial Data'!H17=0,0,('Financial Data'!H19-'Financial Data'!H16-'Financial Data'!H17)/'Financial Data'!H16)</f>
        <v>-1.8033916223498676</v>
      </c>
      <c r="F39" s="36">
        <f>D39-E39</f>
        <v>0.85792595869621568</v>
      </c>
      <c r="G39" s="37">
        <f>'Financial Report Settings'!P22</f>
        <v>5.5</v>
      </c>
    </row>
    <row r="40" spans="3:7" x14ac:dyDescent="0.3">
      <c r="C40" s="29" t="s">
        <v>56</v>
      </c>
      <c r="D40" s="30">
        <f>IF('Financial Data'!I42=0,0,'Financial Data'!I39/'Financial Data'!I42)</f>
        <v>-12.458006527093382</v>
      </c>
      <c r="E40" s="30">
        <f>IF('Financial Data'!H42=0,0,'Financial Data'!H39/'Financial Data'!H42)</f>
        <v>-2.2482403064733307</v>
      </c>
      <c r="F40" s="30">
        <f>D40-E40</f>
        <v>-10.20976622062005</v>
      </c>
      <c r="G40" s="30">
        <f>'Financial Report Settings'!P23</f>
        <v>0.49</v>
      </c>
    </row>
    <row r="41" spans="3:7" x14ac:dyDescent="0.3">
      <c r="C41" s="29" t="s">
        <v>57</v>
      </c>
      <c r="D41" s="30">
        <f>IF('Financial Data'!I32=0,0,'Financial Data'!I42/'Financial Data'!I32)</f>
        <v>-8.7275229787481381E-2</v>
      </c>
      <c r="E41" s="30">
        <f>IF('Financial Data'!H32=0,0,'Financial Data'!H42/'Financial Data'!H32)</f>
        <v>-0.80112767748680069</v>
      </c>
      <c r="F41" s="30">
        <f>D41-E41</f>
        <v>0.71385244769931933</v>
      </c>
      <c r="G41" s="30">
        <f>'Financial Report Settings'!P24</f>
        <v>0.67</v>
      </c>
    </row>
    <row r="42" spans="3:7" ht="6.95" customHeight="1" x14ac:dyDescent="0.3">
      <c r="C42" s="29"/>
      <c r="D42" s="33"/>
      <c r="E42" s="33"/>
      <c r="F42" s="33"/>
    </row>
    <row r="43" spans="3:7" x14ac:dyDescent="0.3">
      <c r="C43" s="28" t="s">
        <v>58</v>
      </c>
      <c r="D43" s="33"/>
      <c r="E43" s="33"/>
      <c r="F43" s="33"/>
    </row>
    <row r="44" spans="3:7" x14ac:dyDescent="0.3">
      <c r="C44" s="29" t="s">
        <v>59</v>
      </c>
      <c r="D44" s="30">
        <f>IF('Financial Data'!H11=0,0,('Financial Data'!I11-'Financial Data'!H11)/'Financial Data'!H11)</f>
        <v>-0.37348056435056104</v>
      </c>
      <c r="E44" s="30">
        <f>IF('Financial Data'!G11=0,0,('Financial Data'!H11-'Financial Data'!G11)/'Financial Data'!G11)</f>
        <v>0</v>
      </c>
      <c r="F44" s="30">
        <f>D44-E44</f>
        <v>-0.37348056435056104</v>
      </c>
      <c r="G44" s="30">
        <f>'Financial Report Settings'!L27</f>
        <v>0.11</v>
      </c>
    </row>
    <row r="45" spans="3:7" x14ac:dyDescent="0.3">
      <c r="C45" s="29" t="s">
        <v>60</v>
      </c>
      <c r="D45" s="30">
        <f>IF('Financial Data'!H22=0,0,('Financial Data'!I22-'Financial Data'!H22)/'Financial Data'!H22)</f>
        <v>-1.0115648930006875</v>
      </c>
      <c r="E45" s="30">
        <f>IF('Financial Data'!G22=0,0,('Financial Data'!H22-'Financial Data'!G22)/'Financial Data'!G22)</f>
        <v>0</v>
      </c>
      <c r="F45" s="30">
        <f>D45-E45</f>
        <v>-1.0115648930006875</v>
      </c>
      <c r="G45" s="30">
        <f>'Financial Report Settings'!L28</f>
        <v>7.0000000000000007E-2</v>
      </c>
    </row>
    <row r="46" spans="3:7" x14ac:dyDescent="0.3">
      <c r="C46" s="29" t="s">
        <v>61</v>
      </c>
      <c r="D46" s="30">
        <f>IF('Financial Data'!H32=0,0,('Financial Data'!I32-'Financial Data'!H32)/'Financial Data'!H32)</f>
        <v>0.86590159757868868</v>
      </c>
      <c r="E46" s="30">
        <f>IF('Financial Data'!G32=0,0,('Financial Data'!H32-'Financial Data'!G32)/'Financial Data'!G32)</f>
        <v>0</v>
      </c>
      <c r="F46" s="30">
        <f>D46-E46</f>
        <v>0.86590159757868868</v>
      </c>
      <c r="G46" s="30">
        <f>'Financial Report Settings'!L29</f>
        <v>0.12</v>
      </c>
    </row>
    <row r="47" spans="3:7" x14ac:dyDescent="0.3">
      <c r="C47" s="29" t="s">
        <v>62</v>
      </c>
      <c r="D47" s="30">
        <f>IF('Financial Data'!H39=0,0,('Financial Data'!I39-'Financial Data'!H39)/'Financial Data'!H39)</f>
        <v>0.1263771350596537</v>
      </c>
      <c r="E47" s="30">
        <f>IF('Financial Data'!G39=0,0,('Financial Data'!H39-'Financial Data'!G39)/'Financial Data'!G39)</f>
        <v>0</v>
      </c>
      <c r="F47" s="30">
        <f>D47-E47</f>
        <v>0.1263771350596537</v>
      </c>
      <c r="G47" s="30">
        <f>'Financial Report Settings'!L30</f>
        <v>0.1</v>
      </c>
    </row>
    <row r="48" spans="3:7" x14ac:dyDescent="0.3">
      <c r="C48" s="38"/>
      <c r="D48" s="33"/>
      <c r="E48" s="33"/>
      <c r="F48" s="33"/>
      <c r="G48" s="39"/>
    </row>
  </sheetData>
  <mergeCells count="1">
    <mergeCell ref="I4:M7"/>
  </mergeCells>
  <hyperlinks>
    <hyperlink ref="B2" location="Home!A1" tooltip="Click to navigate to the Home sheet." display="ç"/>
  </hyperlinks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46"/>
  <sheetViews>
    <sheetView showGridLines="0" zoomScale="80" zoomScaleNormal="80" workbookViewId="0"/>
  </sheetViews>
  <sheetFormatPr defaultRowHeight="16.5" x14ac:dyDescent="0.3"/>
  <cols>
    <col min="1" max="1" width="2.85546875" style="12" customWidth="1"/>
    <col min="2" max="2" width="5.5703125" style="12" customWidth="1"/>
    <col min="3" max="3" width="6.42578125" style="12" customWidth="1"/>
    <col min="4" max="4" width="37.42578125" style="12" customWidth="1"/>
    <col min="5" max="5" width="4.140625" style="26" customWidth="1"/>
    <col min="6" max="7" width="9.140625" style="12"/>
    <col min="8" max="10" width="3" style="12" customWidth="1"/>
    <col min="11" max="11" width="43" style="12" customWidth="1"/>
    <col min="12" max="12" width="12" style="12" customWidth="1"/>
    <col min="13" max="13" width="3.28515625" style="26" customWidth="1"/>
    <col min="14" max="14" width="9.140625" style="12"/>
    <col min="15" max="15" width="38.85546875" style="12" customWidth="1"/>
    <col min="16" max="16" width="12" style="12" customWidth="1"/>
    <col min="17" max="16384" width="9.140625" style="12"/>
  </cols>
  <sheetData>
    <row r="2" spans="1:16" ht="38.25" x14ac:dyDescent="0.65">
      <c r="B2" s="115" t="s">
        <v>112</v>
      </c>
      <c r="C2" s="46" t="s">
        <v>92</v>
      </c>
    </row>
    <row r="3" spans="1:16" ht="16.5" customHeight="1" x14ac:dyDescent="0.3"/>
    <row r="4" spans="1:16" ht="15" customHeight="1" x14ac:dyDescent="0.3">
      <c r="A4" s="12" t="s">
        <v>93</v>
      </c>
      <c r="O4" s="131"/>
    </row>
    <row r="5" spans="1:16" ht="24.75" customHeight="1" x14ac:dyDescent="0.55000000000000004">
      <c r="C5" s="47" t="s">
        <v>94</v>
      </c>
      <c r="K5" s="48" t="s">
        <v>95</v>
      </c>
    </row>
    <row r="6" spans="1:16" ht="25.5" customHeight="1" x14ac:dyDescent="0.3">
      <c r="C6" s="177" t="s">
        <v>96</v>
      </c>
      <c r="D6" s="177"/>
      <c r="E6" s="120"/>
      <c r="F6" s="178" t="s">
        <v>117</v>
      </c>
      <c r="G6" s="178"/>
      <c r="H6" s="178"/>
      <c r="I6" s="178"/>
      <c r="K6" s="177" t="s">
        <v>97</v>
      </c>
      <c r="L6" s="177"/>
      <c r="M6" s="177"/>
      <c r="N6" s="130"/>
      <c r="O6" s="176" t="s">
        <v>116</v>
      </c>
      <c r="P6" s="176"/>
    </row>
    <row r="7" spans="1:16" s="49" customFormat="1" ht="16.5" customHeight="1" x14ac:dyDescent="0.25">
      <c r="C7" s="177"/>
      <c r="D7" s="177"/>
      <c r="E7" s="120"/>
      <c r="F7" s="178"/>
      <c r="G7" s="178"/>
      <c r="H7" s="178"/>
      <c r="I7" s="178"/>
      <c r="K7" s="177"/>
      <c r="L7" s="177"/>
      <c r="M7" s="177"/>
      <c r="N7" s="130"/>
      <c r="O7" s="176"/>
      <c r="P7" s="176"/>
    </row>
    <row r="8" spans="1:16" s="49" customFormat="1" ht="20.25" customHeight="1" x14ac:dyDescent="0.2">
      <c r="C8" s="50"/>
      <c r="E8" s="121"/>
      <c r="F8" s="178"/>
      <c r="G8" s="178"/>
      <c r="H8" s="178"/>
      <c r="I8" s="178"/>
      <c r="L8" s="51"/>
      <c r="M8" s="123"/>
      <c r="N8" s="51"/>
    </row>
    <row r="9" spans="1:16" ht="23.25" customHeight="1" thickBot="1" x14ac:dyDescent="0.35">
      <c r="F9" s="33" t="str">
        <f>IF(ISBLANK(D10),"← Please select a value from drop-down",IF(COUNTIF($D$10:D10,D10)&gt;1,"You have selected "&amp;D10&amp;" twice.",""))</f>
        <v/>
      </c>
      <c r="G9" s="52" t="s">
        <v>98</v>
      </c>
      <c r="K9" s="53" t="s">
        <v>31</v>
      </c>
      <c r="L9" s="54"/>
      <c r="M9" s="124"/>
      <c r="N9" s="51"/>
      <c r="O9" s="53" t="s">
        <v>38</v>
      </c>
      <c r="P9" s="54"/>
    </row>
    <row r="10" spans="1:16" ht="19.5" customHeight="1" x14ac:dyDescent="0.3">
      <c r="C10" s="55">
        <v>1</v>
      </c>
      <c r="D10" s="56" t="s">
        <v>65</v>
      </c>
      <c r="E10" s="122"/>
      <c r="F10" s="33" t="str">
        <f>IF(ISBLANK(D11),"← Please select a value from drop-down",IF(COUNTIF($D$10:D11,D11)&gt;1,"You have selected "&amp;D11&amp;" twice.",""))</f>
        <v/>
      </c>
      <c r="K10" s="57" t="s">
        <v>32</v>
      </c>
      <c r="L10" s="58">
        <v>6.5000000000000002E-2</v>
      </c>
      <c r="M10" s="125"/>
      <c r="N10" s="51"/>
      <c r="O10" s="57" t="s">
        <v>39</v>
      </c>
      <c r="P10" s="59">
        <v>10</v>
      </c>
    </row>
    <row r="11" spans="1:16" ht="19.5" customHeight="1" x14ac:dyDescent="0.3">
      <c r="C11" s="60">
        <v>2</v>
      </c>
      <c r="D11" s="61" t="s">
        <v>73</v>
      </c>
      <c r="E11" s="122"/>
      <c r="F11" s="33" t="str">
        <f>IF(ISBLANK(D12),"← Please select a value from drop-down",IF(COUNTIF($D$10:D12,D12)&gt;1,"You have selected "&amp;D12&amp;" twice.",""))</f>
        <v/>
      </c>
      <c r="K11" s="62" t="s">
        <v>33</v>
      </c>
      <c r="L11" s="63">
        <v>0.1</v>
      </c>
      <c r="M11" s="125"/>
      <c r="N11" s="51"/>
      <c r="O11" s="62" t="s">
        <v>40</v>
      </c>
      <c r="P11" s="64">
        <v>36</v>
      </c>
    </row>
    <row r="12" spans="1:16" ht="19.5" customHeight="1" x14ac:dyDescent="0.3">
      <c r="C12" s="65">
        <v>3</v>
      </c>
      <c r="D12" s="66" t="s">
        <v>27</v>
      </c>
      <c r="E12" s="122"/>
      <c r="F12" s="33" t="str">
        <f>IF(ISBLANK(D13),"← Please select a value from drop-down",IF(COUNTIF($D$10:D13,D13)&gt;1,"You have selected "&amp;D13&amp;" twice.",""))</f>
        <v/>
      </c>
      <c r="K12" s="67" t="s">
        <v>34</v>
      </c>
      <c r="L12" s="68">
        <v>0.15</v>
      </c>
      <c r="M12" s="125"/>
      <c r="N12" s="51"/>
      <c r="O12" s="67" t="s">
        <v>41</v>
      </c>
      <c r="P12" s="69">
        <v>7</v>
      </c>
    </row>
    <row r="13" spans="1:16" ht="19.5" customHeight="1" x14ac:dyDescent="0.3">
      <c r="C13" s="60">
        <v>4</v>
      </c>
      <c r="D13" s="61" t="s">
        <v>28</v>
      </c>
      <c r="E13" s="122"/>
      <c r="F13" s="33" t="str">
        <f>IF(ISBLANK(D14),"← Please select a value from drop-down",IF(COUNTIF($D$10:D14,D14)&gt;1,"You have selected "&amp;D14&amp;" twice.",""))</f>
        <v/>
      </c>
      <c r="K13" s="62" t="s">
        <v>35</v>
      </c>
      <c r="L13" s="64">
        <v>2</v>
      </c>
      <c r="M13" s="126"/>
      <c r="N13" s="51"/>
      <c r="O13" s="62" t="s">
        <v>42</v>
      </c>
      <c r="P13" s="64">
        <v>52</v>
      </c>
    </row>
    <row r="14" spans="1:16" ht="19.5" customHeight="1" thickBot="1" x14ac:dyDescent="0.35">
      <c r="C14" s="70">
        <v>5</v>
      </c>
      <c r="D14" s="71" t="s">
        <v>71</v>
      </c>
      <c r="E14" s="122"/>
      <c r="K14" s="67" t="s">
        <v>36</v>
      </c>
      <c r="L14" s="68">
        <v>0.3</v>
      </c>
      <c r="M14" s="125"/>
      <c r="N14" s="51"/>
      <c r="O14" s="67" t="s">
        <v>43</v>
      </c>
      <c r="P14" s="69">
        <v>12</v>
      </c>
    </row>
    <row r="15" spans="1:16" ht="19.5" customHeight="1" thickBot="1" x14ac:dyDescent="0.35">
      <c r="K15" s="72" t="s">
        <v>37</v>
      </c>
      <c r="L15" s="73">
        <v>0.19</v>
      </c>
      <c r="M15" s="125"/>
      <c r="N15" s="51"/>
      <c r="O15" s="62" t="s">
        <v>44</v>
      </c>
      <c r="P15" s="64">
        <v>30</v>
      </c>
    </row>
    <row r="16" spans="1:16" ht="19.5" customHeight="1" x14ac:dyDescent="0.3">
      <c r="N16" s="51"/>
      <c r="O16" s="67" t="s">
        <v>45</v>
      </c>
      <c r="P16" s="69">
        <v>5.4</v>
      </c>
    </row>
    <row r="17" spans="11:16" ht="19.5" customHeight="1" thickBot="1" x14ac:dyDescent="0.35">
      <c r="N17" s="51"/>
      <c r="O17" s="72" t="s">
        <v>46</v>
      </c>
      <c r="P17" s="74">
        <v>1.5</v>
      </c>
    </row>
    <row r="18" spans="11:16" ht="19.5" customHeight="1" x14ac:dyDescent="0.3">
      <c r="N18" s="51"/>
    </row>
    <row r="19" spans="11:16" ht="19.5" customHeight="1" thickBot="1" x14ac:dyDescent="0.35">
      <c r="K19" s="53" t="s">
        <v>47</v>
      </c>
      <c r="L19" s="54"/>
      <c r="M19" s="124"/>
      <c r="O19" s="53" t="s">
        <v>52</v>
      </c>
      <c r="P19" s="54"/>
    </row>
    <row r="20" spans="11:16" ht="19.5" customHeight="1" x14ac:dyDescent="0.3">
      <c r="K20" s="57" t="s">
        <v>48</v>
      </c>
      <c r="L20" s="75">
        <v>500000</v>
      </c>
      <c r="M20" s="127"/>
      <c r="N20" s="51"/>
      <c r="O20" s="57" t="s">
        <v>53</v>
      </c>
      <c r="P20" s="58">
        <v>0.33</v>
      </c>
    </row>
    <row r="21" spans="11:16" ht="19.5" customHeight="1" x14ac:dyDescent="0.3">
      <c r="K21" s="62" t="s">
        <v>49</v>
      </c>
      <c r="L21" s="63">
        <v>2.6700000000000002E-2</v>
      </c>
      <c r="M21" s="125"/>
      <c r="N21" s="51"/>
      <c r="O21" s="62" t="s">
        <v>54</v>
      </c>
      <c r="P21" s="64">
        <v>15</v>
      </c>
    </row>
    <row r="22" spans="11:16" ht="19.5" customHeight="1" x14ac:dyDescent="0.3">
      <c r="K22" s="67" t="s">
        <v>50</v>
      </c>
      <c r="L22" s="69">
        <v>5</v>
      </c>
      <c r="M22" s="126"/>
      <c r="N22" s="51"/>
      <c r="O22" s="67" t="s">
        <v>55</v>
      </c>
      <c r="P22" s="69">
        <v>5.5</v>
      </c>
    </row>
    <row r="23" spans="11:16" ht="19.5" customHeight="1" thickBot="1" x14ac:dyDescent="0.35">
      <c r="K23" s="72" t="s">
        <v>51</v>
      </c>
      <c r="L23" s="73">
        <v>0.02</v>
      </c>
      <c r="M23" s="125"/>
      <c r="N23" s="51"/>
      <c r="O23" s="62" t="s">
        <v>56</v>
      </c>
      <c r="P23" s="63">
        <v>0.49</v>
      </c>
    </row>
    <row r="24" spans="11:16" ht="19.5" customHeight="1" thickBot="1" x14ac:dyDescent="0.35">
      <c r="K24" s="76"/>
      <c r="L24" s="77"/>
      <c r="M24" s="128"/>
      <c r="N24" s="51"/>
      <c r="O24" s="78" t="s">
        <v>57</v>
      </c>
      <c r="P24" s="79">
        <v>0.67</v>
      </c>
    </row>
    <row r="25" spans="11:16" ht="19.5" customHeight="1" x14ac:dyDescent="0.3">
      <c r="K25" s="76"/>
      <c r="L25" s="77"/>
      <c r="M25" s="128"/>
      <c r="N25" s="51"/>
    </row>
    <row r="26" spans="11:16" ht="19.5" customHeight="1" thickBot="1" x14ac:dyDescent="0.35">
      <c r="K26" s="53" t="s">
        <v>58</v>
      </c>
      <c r="L26" s="54"/>
      <c r="M26" s="124"/>
      <c r="N26" s="51"/>
    </row>
    <row r="27" spans="11:16" ht="19.5" customHeight="1" x14ac:dyDescent="0.3">
      <c r="K27" s="57" t="s">
        <v>59</v>
      </c>
      <c r="L27" s="58">
        <v>0.11</v>
      </c>
      <c r="M27" s="125"/>
      <c r="N27" s="51"/>
    </row>
    <row r="28" spans="11:16" ht="19.5" customHeight="1" x14ac:dyDescent="0.3">
      <c r="K28" s="62" t="s">
        <v>60</v>
      </c>
      <c r="L28" s="63">
        <v>7.0000000000000007E-2</v>
      </c>
      <c r="M28" s="125"/>
      <c r="N28" s="51"/>
    </row>
    <row r="29" spans="11:16" ht="19.5" customHeight="1" x14ac:dyDescent="0.3">
      <c r="K29" s="67" t="s">
        <v>61</v>
      </c>
      <c r="L29" s="68">
        <v>0.12</v>
      </c>
      <c r="M29" s="125"/>
      <c r="N29" s="51"/>
    </row>
    <row r="30" spans="11:16" ht="19.5" customHeight="1" thickBot="1" x14ac:dyDescent="0.35">
      <c r="K30" s="72" t="s">
        <v>62</v>
      </c>
      <c r="L30" s="73">
        <v>0.1</v>
      </c>
      <c r="M30" s="125"/>
      <c r="N30" s="51"/>
    </row>
    <row r="31" spans="11:16" ht="19.5" customHeight="1" x14ac:dyDescent="0.3">
      <c r="N31" s="51"/>
    </row>
    <row r="32" spans="11:16" ht="19.5" customHeight="1" x14ac:dyDescent="0.3">
      <c r="K32" s="76"/>
      <c r="L32" s="54"/>
      <c r="M32" s="124"/>
      <c r="N32" s="51"/>
    </row>
    <row r="33" spans="11:14" x14ac:dyDescent="0.3">
      <c r="N33" s="51"/>
    </row>
    <row r="34" spans="11:14" x14ac:dyDescent="0.3">
      <c r="N34" s="51"/>
    </row>
    <row r="35" spans="11:14" x14ac:dyDescent="0.3">
      <c r="N35" s="51"/>
    </row>
    <row r="36" spans="11:14" x14ac:dyDescent="0.3">
      <c r="N36" s="51"/>
    </row>
    <row r="37" spans="11:14" x14ac:dyDescent="0.3">
      <c r="N37" s="51"/>
    </row>
    <row r="38" spans="11:14" x14ac:dyDescent="0.3">
      <c r="N38" s="51"/>
    </row>
    <row r="39" spans="11:14" x14ac:dyDescent="0.3">
      <c r="N39" s="51"/>
    </row>
    <row r="40" spans="11:14" x14ac:dyDescent="0.3">
      <c r="N40" s="51"/>
    </row>
    <row r="41" spans="11:14" x14ac:dyDescent="0.3">
      <c r="N41" s="51"/>
    </row>
    <row r="42" spans="11:14" x14ac:dyDescent="0.3">
      <c r="N42" s="51"/>
    </row>
    <row r="43" spans="11:14" x14ac:dyDescent="0.3">
      <c r="N43" s="51"/>
    </row>
    <row r="44" spans="11:14" x14ac:dyDescent="0.3">
      <c r="N44" s="51"/>
    </row>
    <row r="45" spans="11:14" x14ac:dyDescent="0.3">
      <c r="N45" s="51"/>
    </row>
    <row r="46" spans="11:14" x14ac:dyDescent="0.3">
      <c r="K46" s="80"/>
      <c r="L46" s="80"/>
      <c r="M46" s="129"/>
    </row>
  </sheetData>
  <mergeCells count="4">
    <mergeCell ref="O6:P7"/>
    <mergeCell ref="C6:D7"/>
    <mergeCell ref="F6:I8"/>
    <mergeCell ref="K6:M7"/>
  </mergeCells>
  <dataValidations disablePrompts="1" count="1">
    <dataValidation type="list" allowBlank="1" showInputMessage="1" showErrorMessage="1" sqref="D10:E14">
      <formula1>FirstMetrics</formula1>
    </dataValidation>
  </dataValidations>
  <hyperlinks>
    <hyperlink ref="B2" location="Home!A1" tooltip="Click to navigate to the Home sheet." display="ç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N131"/>
  <sheetViews>
    <sheetView showGridLines="0" workbookViewId="0"/>
  </sheetViews>
  <sheetFormatPr defaultRowHeight="16.5" x14ac:dyDescent="0.3"/>
  <cols>
    <col min="1" max="1" width="3" style="12" customWidth="1"/>
    <col min="2" max="6" width="9.140625" style="12"/>
    <col min="7" max="7" width="3" style="12" customWidth="1"/>
    <col min="8" max="9" width="10.28515625" style="12" customWidth="1"/>
    <col min="10" max="12" width="9.140625" style="12"/>
    <col min="13" max="13" width="3" style="12" customWidth="1"/>
    <col min="14" max="18" width="9.140625" style="12"/>
    <col min="19" max="19" width="3" style="12" customWidth="1"/>
    <col min="20" max="16384" width="9.140625" style="12"/>
  </cols>
  <sheetData>
    <row r="2" spans="1:14" ht="25.5" x14ac:dyDescent="0.5">
      <c r="A2" s="28"/>
      <c r="B2" s="107" t="s">
        <v>31</v>
      </c>
    </row>
    <row r="3" spans="1:14" x14ac:dyDescent="0.3">
      <c r="H3" s="29"/>
      <c r="N3" s="29"/>
    </row>
    <row r="15" spans="1:14" x14ac:dyDescent="0.3">
      <c r="B15" s="29"/>
      <c r="H15" s="29"/>
      <c r="N15" s="29"/>
    </row>
    <row r="16" spans="1:14" x14ac:dyDescent="0.3">
      <c r="B16" s="29"/>
    </row>
    <row r="17" spans="2:14" x14ac:dyDescent="0.3">
      <c r="B17" s="29"/>
    </row>
    <row r="18" spans="2:14" x14ac:dyDescent="0.3">
      <c r="B18" s="29"/>
    </row>
    <row r="19" spans="2:14" x14ac:dyDescent="0.3">
      <c r="B19" s="29"/>
    </row>
    <row r="20" spans="2:14" x14ac:dyDescent="0.3">
      <c r="B20" s="29"/>
    </row>
    <row r="28" spans="2:14" ht="25.5" x14ac:dyDescent="0.5">
      <c r="B28" s="107" t="s">
        <v>38</v>
      </c>
    </row>
    <row r="29" spans="2:14" x14ac:dyDescent="0.3">
      <c r="B29" s="29"/>
      <c r="H29" s="29"/>
      <c r="N29" s="29"/>
    </row>
    <row r="30" spans="2:14" x14ac:dyDescent="0.3">
      <c r="B30" s="29"/>
      <c r="H30" s="29"/>
      <c r="N30" s="29"/>
    </row>
    <row r="31" spans="2:14" x14ac:dyDescent="0.3">
      <c r="B31" s="29"/>
      <c r="H31" s="29"/>
      <c r="N31" s="29"/>
    </row>
    <row r="32" spans="2:14" x14ac:dyDescent="0.3">
      <c r="B32" s="29"/>
      <c r="H32" s="29"/>
      <c r="N32" s="29"/>
    </row>
    <row r="33" spans="2:14" x14ac:dyDescent="0.3">
      <c r="B33" s="29"/>
      <c r="H33" s="29"/>
      <c r="N33" s="29"/>
    </row>
    <row r="34" spans="2:14" x14ac:dyDescent="0.3">
      <c r="B34" s="29"/>
      <c r="H34" s="29"/>
      <c r="N34" s="29"/>
    </row>
    <row r="35" spans="2:14" x14ac:dyDescent="0.3">
      <c r="B35" s="29"/>
      <c r="H35" s="29"/>
      <c r="N35" s="29"/>
    </row>
    <row r="36" spans="2:14" x14ac:dyDescent="0.3">
      <c r="B36" s="29"/>
      <c r="H36" s="29"/>
      <c r="N36" s="29"/>
    </row>
    <row r="37" spans="2:14" x14ac:dyDescent="0.3">
      <c r="B37" s="29"/>
      <c r="H37" s="29"/>
      <c r="N37" s="29"/>
    </row>
    <row r="38" spans="2:14" x14ac:dyDescent="0.3">
      <c r="B38" s="29"/>
      <c r="H38" s="29"/>
      <c r="N38" s="29"/>
    </row>
    <row r="39" spans="2:14" x14ac:dyDescent="0.3">
      <c r="B39" s="29"/>
      <c r="H39" s="29"/>
      <c r="N39" s="29"/>
    </row>
    <row r="40" spans="2:14" x14ac:dyDescent="0.3">
      <c r="B40" s="29"/>
      <c r="H40" s="29"/>
      <c r="N40" s="29"/>
    </row>
    <row r="41" spans="2:14" s="108" customFormat="1" x14ac:dyDescent="0.3">
      <c r="B41" s="28"/>
      <c r="H41" s="28"/>
      <c r="N41" s="28"/>
    </row>
    <row r="42" spans="2:14" x14ac:dyDescent="0.3">
      <c r="B42" s="29"/>
      <c r="H42" s="29"/>
      <c r="N42" s="29"/>
    </row>
    <row r="43" spans="2:14" x14ac:dyDescent="0.3">
      <c r="B43" s="29"/>
      <c r="H43" s="29"/>
      <c r="N43" s="29"/>
    </row>
    <row r="44" spans="2:14" x14ac:dyDescent="0.3">
      <c r="B44" s="29"/>
      <c r="H44" s="29"/>
      <c r="N44" s="29"/>
    </row>
    <row r="45" spans="2:14" x14ac:dyDescent="0.3">
      <c r="B45" s="29"/>
      <c r="H45" s="29"/>
      <c r="N45" s="29"/>
    </row>
    <row r="46" spans="2:14" x14ac:dyDescent="0.3">
      <c r="B46" s="29"/>
      <c r="H46" s="29"/>
      <c r="N46" s="29"/>
    </row>
    <row r="47" spans="2:14" x14ac:dyDescent="0.3">
      <c r="B47" s="29"/>
      <c r="H47" s="29"/>
      <c r="N47" s="29"/>
    </row>
    <row r="48" spans="2:14" x14ac:dyDescent="0.3">
      <c r="B48" s="29"/>
      <c r="H48" s="29"/>
      <c r="N48" s="29"/>
    </row>
    <row r="49" spans="2:14" x14ac:dyDescent="0.3">
      <c r="B49" s="29"/>
      <c r="H49" s="29"/>
      <c r="N49" s="29"/>
    </row>
    <row r="50" spans="2:14" x14ac:dyDescent="0.3">
      <c r="B50" s="29"/>
      <c r="H50" s="29"/>
      <c r="N50" s="29"/>
    </row>
    <row r="53" spans="2:14" x14ac:dyDescent="0.3">
      <c r="B53" s="29"/>
      <c r="H53" s="29"/>
    </row>
    <row r="54" spans="2:14" x14ac:dyDescent="0.3">
      <c r="B54" s="29"/>
      <c r="H54" s="29"/>
    </row>
    <row r="55" spans="2:14" x14ac:dyDescent="0.3">
      <c r="B55" s="29"/>
      <c r="H55" s="29"/>
    </row>
    <row r="56" spans="2:14" x14ac:dyDescent="0.3">
      <c r="B56" s="29"/>
      <c r="H56" s="29"/>
    </row>
    <row r="57" spans="2:14" x14ac:dyDescent="0.3">
      <c r="B57" s="29"/>
      <c r="H57" s="29"/>
    </row>
    <row r="58" spans="2:14" x14ac:dyDescent="0.3">
      <c r="B58" s="29"/>
      <c r="H58" s="29"/>
    </row>
    <row r="59" spans="2:14" x14ac:dyDescent="0.3">
      <c r="B59" s="29"/>
      <c r="H59" s="29"/>
    </row>
    <row r="60" spans="2:14" x14ac:dyDescent="0.3">
      <c r="B60" s="29"/>
      <c r="H60" s="29"/>
    </row>
    <row r="61" spans="2:14" x14ac:dyDescent="0.3">
      <c r="B61" s="29"/>
      <c r="H61" s="29"/>
    </row>
    <row r="62" spans="2:14" x14ac:dyDescent="0.3">
      <c r="B62" s="29"/>
      <c r="H62" s="29"/>
    </row>
    <row r="65" spans="2:14" x14ac:dyDescent="0.3">
      <c r="B65" s="29"/>
    </row>
    <row r="66" spans="2:14" ht="25.5" x14ac:dyDescent="0.5">
      <c r="B66" s="107" t="s">
        <v>47</v>
      </c>
    </row>
    <row r="67" spans="2:14" x14ac:dyDescent="0.3">
      <c r="B67" s="29"/>
      <c r="H67" s="29"/>
      <c r="N67" s="29"/>
    </row>
    <row r="68" spans="2:14" x14ac:dyDescent="0.3">
      <c r="B68" s="29"/>
      <c r="H68" s="29"/>
      <c r="N68" s="29"/>
    </row>
    <row r="69" spans="2:14" x14ac:dyDescent="0.3">
      <c r="B69" s="29"/>
      <c r="H69" s="29"/>
      <c r="N69" s="29"/>
    </row>
    <row r="70" spans="2:14" x14ac:dyDescent="0.3">
      <c r="B70" s="29"/>
      <c r="H70" s="29"/>
      <c r="N70" s="29"/>
    </row>
    <row r="71" spans="2:14" x14ac:dyDescent="0.3">
      <c r="B71" s="29"/>
      <c r="H71" s="29"/>
      <c r="N71" s="29"/>
    </row>
    <row r="72" spans="2:14" x14ac:dyDescent="0.3">
      <c r="B72" s="29"/>
      <c r="H72" s="29"/>
      <c r="N72" s="29"/>
    </row>
    <row r="73" spans="2:14" x14ac:dyDescent="0.3">
      <c r="B73" s="29"/>
      <c r="H73" s="29"/>
      <c r="N73" s="29"/>
    </row>
    <row r="74" spans="2:14" x14ac:dyDescent="0.3">
      <c r="B74" s="29"/>
      <c r="H74" s="29"/>
      <c r="N74" s="29"/>
    </row>
    <row r="75" spans="2:14" x14ac:dyDescent="0.3">
      <c r="B75" s="29"/>
      <c r="H75" s="29"/>
      <c r="N75" s="29"/>
    </row>
    <row r="76" spans="2:14" x14ac:dyDescent="0.3">
      <c r="B76" s="29"/>
      <c r="H76" s="29"/>
      <c r="N76" s="29"/>
    </row>
    <row r="77" spans="2:14" x14ac:dyDescent="0.3">
      <c r="B77" s="29"/>
      <c r="H77" s="29"/>
      <c r="N77" s="29"/>
    </row>
    <row r="79" spans="2:14" x14ac:dyDescent="0.3">
      <c r="B79" s="29"/>
    </row>
    <row r="80" spans="2:14" x14ac:dyDescent="0.3">
      <c r="B80" s="29"/>
    </row>
    <row r="81" spans="2:14" x14ac:dyDescent="0.3">
      <c r="B81" s="29"/>
    </row>
    <row r="82" spans="2:14" x14ac:dyDescent="0.3">
      <c r="B82" s="29"/>
    </row>
    <row r="83" spans="2:14" x14ac:dyDescent="0.3">
      <c r="B83" s="29"/>
    </row>
    <row r="84" spans="2:14" x14ac:dyDescent="0.3">
      <c r="B84" s="29"/>
    </row>
    <row r="85" spans="2:14" x14ac:dyDescent="0.3">
      <c r="B85" s="29"/>
    </row>
    <row r="86" spans="2:14" x14ac:dyDescent="0.3">
      <c r="B86" s="29"/>
    </row>
    <row r="87" spans="2:14" x14ac:dyDescent="0.3">
      <c r="B87" s="29"/>
    </row>
    <row r="88" spans="2:14" x14ac:dyDescent="0.3">
      <c r="B88" s="29"/>
    </row>
    <row r="89" spans="2:14" x14ac:dyDescent="0.3">
      <c r="B89" s="29"/>
    </row>
    <row r="90" spans="2:14" x14ac:dyDescent="0.3">
      <c r="B90" s="29"/>
    </row>
    <row r="91" spans="2:14" x14ac:dyDescent="0.3">
      <c r="B91" s="29"/>
    </row>
    <row r="92" spans="2:14" ht="25.5" x14ac:dyDescent="0.5">
      <c r="B92" s="107" t="s">
        <v>52</v>
      </c>
    </row>
    <row r="93" spans="2:14" x14ac:dyDescent="0.3">
      <c r="B93" s="29"/>
      <c r="H93" s="29"/>
      <c r="N93" s="29"/>
    </row>
    <row r="94" spans="2:14" x14ac:dyDescent="0.3">
      <c r="B94" s="29"/>
      <c r="H94" s="29"/>
      <c r="N94" s="29"/>
    </row>
    <row r="95" spans="2:14" x14ac:dyDescent="0.3">
      <c r="B95" s="29"/>
      <c r="H95" s="29"/>
      <c r="N95" s="29"/>
    </row>
    <row r="96" spans="2:14" x14ac:dyDescent="0.3">
      <c r="B96" s="29"/>
      <c r="H96" s="29"/>
      <c r="N96" s="29"/>
    </row>
    <row r="97" spans="2:14" x14ac:dyDescent="0.3">
      <c r="B97" s="29"/>
      <c r="H97" s="29"/>
      <c r="N97" s="29"/>
    </row>
    <row r="98" spans="2:14" x14ac:dyDescent="0.3">
      <c r="B98" s="29"/>
      <c r="H98" s="29"/>
      <c r="N98" s="29"/>
    </row>
    <row r="99" spans="2:14" x14ac:dyDescent="0.3">
      <c r="B99" s="29"/>
      <c r="H99" s="29"/>
      <c r="N99" s="29"/>
    </row>
    <row r="100" spans="2:14" x14ac:dyDescent="0.3">
      <c r="B100" s="29"/>
      <c r="H100" s="29"/>
      <c r="N100" s="29"/>
    </row>
    <row r="101" spans="2:14" x14ac:dyDescent="0.3">
      <c r="B101" s="29"/>
      <c r="H101" s="29"/>
      <c r="N101" s="29"/>
    </row>
    <row r="102" spans="2:14" x14ac:dyDescent="0.3">
      <c r="B102" s="29"/>
      <c r="H102" s="29"/>
      <c r="N102" s="29"/>
    </row>
    <row r="103" spans="2:14" x14ac:dyDescent="0.3">
      <c r="B103" s="29"/>
      <c r="H103" s="29"/>
      <c r="N103" s="29"/>
    </row>
    <row r="105" spans="2:14" x14ac:dyDescent="0.3">
      <c r="B105" s="29"/>
      <c r="H105" s="29"/>
    </row>
    <row r="106" spans="2:14" x14ac:dyDescent="0.3">
      <c r="B106" s="29"/>
    </row>
    <row r="107" spans="2:14" x14ac:dyDescent="0.3">
      <c r="B107" s="29"/>
    </row>
    <row r="108" spans="2:14" x14ac:dyDescent="0.3">
      <c r="B108" s="29"/>
    </row>
    <row r="109" spans="2:14" x14ac:dyDescent="0.3">
      <c r="B109" s="29"/>
    </row>
    <row r="110" spans="2:14" x14ac:dyDescent="0.3">
      <c r="B110" s="29"/>
    </row>
    <row r="111" spans="2:14" x14ac:dyDescent="0.3">
      <c r="B111" s="29"/>
    </row>
    <row r="112" spans="2:14" x14ac:dyDescent="0.3">
      <c r="B112" s="29"/>
    </row>
    <row r="113" spans="2:14" x14ac:dyDescent="0.3">
      <c r="B113" s="29"/>
    </row>
    <row r="114" spans="2:14" x14ac:dyDescent="0.3">
      <c r="B114" s="29"/>
    </row>
    <row r="115" spans="2:14" x14ac:dyDescent="0.3">
      <c r="B115" s="29"/>
    </row>
    <row r="117" spans="2:14" x14ac:dyDescent="0.3">
      <c r="B117" s="29"/>
    </row>
    <row r="118" spans="2:14" ht="25.5" x14ac:dyDescent="0.5">
      <c r="B118" s="107" t="s">
        <v>58</v>
      </c>
    </row>
    <row r="119" spans="2:14" x14ac:dyDescent="0.3">
      <c r="B119" s="29"/>
      <c r="H119" s="29"/>
      <c r="N119" s="29"/>
    </row>
    <row r="131" spans="2:2" x14ac:dyDescent="0.3">
      <c r="B131" s="29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showGridLines="0" zoomScale="90" zoomScaleNormal="90" workbookViewId="0"/>
  </sheetViews>
  <sheetFormatPr defaultRowHeight="16.5" x14ac:dyDescent="0.3"/>
  <cols>
    <col min="1" max="1" width="5.28515625" style="12" customWidth="1"/>
    <col min="2" max="2" width="1.28515625" style="12" customWidth="1"/>
    <col min="3" max="7" width="9.140625" style="12"/>
    <col min="8" max="8" width="3" style="12" customWidth="1"/>
    <col min="9" max="10" width="10.28515625" style="12" customWidth="1"/>
    <col min="11" max="13" width="9.140625" style="12"/>
    <col min="14" max="14" width="3" style="12" customWidth="1"/>
    <col min="15" max="19" width="9.140625" style="12"/>
    <col min="20" max="20" width="3" style="12" customWidth="1"/>
    <col min="21" max="16384" width="9.140625" style="12"/>
  </cols>
  <sheetData>
    <row r="2" spans="1:21" ht="30" x14ac:dyDescent="0.5">
      <c r="A2" s="115" t="s">
        <v>112</v>
      </c>
      <c r="B2" s="28"/>
      <c r="C2" s="107" t="s">
        <v>31</v>
      </c>
      <c r="U2"/>
    </row>
    <row r="3" spans="1:21" x14ac:dyDescent="0.3">
      <c r="I3" s="29"/>
      <c r="O3" s="29"/>
    </row>
    <row r="15" spans="1:21" x14ac:dyDescent="0.3">
      <c r="C15" s="29"/>
      <c r="I15" s="29"/>
      <c r="O15" s="29"/>
    </row>
    <row r="16" spans="1:21" x14ac:dyDescent="0.3">
      <c r="C16" s="29"/>
    </row>
    <row r="17" spans="3:3" x14ac:dyDescent="0.3">
      <c r="C17" s="29"/>
    </row>
    <row r="18" spans="3:3" x14ac:dyDescent="0.3">
      <c r="C18" s="29"/>
    </row>
    <row r="19" spans="3:3" x14ac:dyDescent="0.3">
      <c r="C19" s="29"/>
    </row>
    <row r="20" spans="3:3" x14ac:dyDescent="0.3">
      <c r="C20" s="29"/>
    </row>
  </sheetData>
  <hyperlinks>
    <hyperlink ref="A2" location="Home!A1" tooltip="Click to navigate to the Home sheet." display="ç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"/>
  <sheetViews>
    <sheetView showGridLines="0" zoomScale="90" zoomScaleNormal="90" workbookViewId="0"/>
  </sheetViews>
  <sheetFormatPr defaultRowHeight="16.5" x14ac:dyDescent="0.3"/>
  <cols>
    <col min="1" max="1" width="5" style="12" customWidth="1"/>
    <col min="2" max="2" width="0.7109375" style="12" customWidth="1"/>
    <col min="3" max="7" width="9.140625" style="12"/>
    <col min="8" max="8" width="3" style="12" customWidth="1"/>
    <col min="9" max="10" width="10.28515625" style="12" customWidth="1"/>
    <col min="11" max="13" width="9.140625" style="12"/>
    <col min="14" max="14" width="3" style="12" customWidth="1"/>
    <col min="15" max="19" width="9.140625" style="12"/>
    <col min="20" max="20" width="3" style="12" customWidth="1"/>
    <col min="21" max="16384" width="9.140625" style="12"/>
  </cols>
  <sheetData>
    <row r="2" spans="1:23" ht="30" x14ac:dyDescent="0.5">
      <c r="A2" s="115" t="s">
        <v>112</v>
      </c>
      <c r="C2" s="107" t="s">
        <v>38</v>
      </c>
      <c r="W2"/>
    </row>
    <row r="3" spans="1:23" x14ac:dyDescent="0.3">
      <c r="C3" s="29"/>
      <c r="I3" s="29"/>
      <c r="O3" s="29"/>
    </row>
    <row r="4" spans="1:23" x14ac:dyDescent="0.3">
      <c r="C4" s="29"/>
      <c r="I4" s="29"/>
      <c r="O4" s="29"/>
    </row>
    <row r="5" spans="1:23" x14ac:dyDescent="0.3">
      <c r="C5" s="29"/>
      <c r="I5" s="29"/>
      <c r="O5" s="29"/>
    </row>
    <row r="6" spans="1:23" x14ac:dyDescent="0.3">
      <c r="C6" s="29"/>
      <c r="I6" s="29"/>
      <c r="O6" s="29"/>
    </row>
    <row r="7" spans="1:23" x14ac:dyDescent="0.3">
      <c r="C7" s="29"/>
      <c r="I7" s="29"/>
      <c r="O7" s="29"/>
    </row>
    <row r="8" spans="1:23" x14ac:dyDescent="0.3">
      <c r="C8" s="29"/>
      <c r="I8" s="29"/>
      <c r="O8" s="29"/>
    </row>
    <row r="9" spans="1:23" x14ac:dyDescent="0.3">
      <c r="C9" s="29"/>
      <c r="I9" s="29"/>
      <c r="O9" s="29"/>
    </row>
    <row r="10" spans="1:23" x14ac:dyDescent="0.3">
      <c r="C10" s="29"/>
      <c r="I10" s="29"/>
      <c r="O10" s="29"/>
    </row>
    <row r="11" spans="1:23" x14ac:dyDescent="0.3">
      <c r="C11" s="29"/>
      <c r="I11" s="29"/>
      <c r="O11" s="29"/>
    </row>
    <row r="12" spans="1:23" x14ac:dyDescent="0.3">
      <c r="C12" s="29"/>
      <c r="I12" s="29"/>
      <c r="O12" s="29"/>
    </row>
    <row r="13" spans="1:23" x14ac:dyDescent="0.3">
      <c r="C13" s="29"/>
      <c r="I13" s="29"/>
      <c r="O13" s="29"/>
    </row>
    <row r="14" spans="1:23" x14ac:dyDescent="0.3">
      <c r="C14" s="29"/>
      <c r="I14" s="29"/>
      <c r="O14" s="29"/>
    </row>
    <row r="15" spans="1:23" s="108" customFormat="1" x14ac:dyDescent="0.3">
      <c r="C15" s="28"/>
      <c r="I15" s="28"/>
      <c r="O15" s="28"/>
    </row>
    <row r="16" spans="1:23" x14ac:dyDescent="0.3">
      <c r="C16" s="29"/>
      <c r="I16" s="29"/>
      <c r="O16" s="29"/>
    </row>
    <row r="17" spans="3:15" x14ac:dyDescent="0.3">
      <c r="C17" s="29"/>
      <c r="I17" s="29"/>
      <c r="O17" s="29"/>
    </row>
    <row r="18" spans="3:15" x14ac:dyDescent="0.3">
      <c r="C18" s="29"/>
      <c r="I18" s="29"/>
      <c r="O18" s="29"/>
    </row>
    <row r="19" spans="3:15" x14ac:dyDescent="0.3">
      <c r="C19" s="29"/>
      <c r="I19" s="29"/>
      <c r="O19" s="29"/>
    </row>
    <row r="20" spans="3:15" x14ac:dyDescent="0.3">
      <c r="C20" s="29"/>
      <c r="I20" s="29"/>
      <c r="O20" s="29"/>
    </row>
    <row r="21" spans="3:15" x14ac:dyDescent="0.3">
      <c r="C21" s="29"/>
      <c r="I21" s="29"/>
      <c r="O21" s="29"/>
    </row>
    <row r="22" spans="3:15" x14ac:dyDescent="0.3">
      <c r="C22" s="29"/>
      <c r="I22" s="29"/>
      <c r="O22" s="29"/>
    </row>
    <row r="23" spans="3:15" x14ac:dyDescent="0.3">
      <c r="C23" s="29"/>
      <c r="I23" s="29"/>
      <c r="O23" s="29"/>
    </row>
    <row r="24" spans="3:15" x14ac:dyDescent="0.3">
      <c r="C24" s="29"/>
      <c r="I24" s="29"/>
      <c r="O24" s="29"/>
    </row>
    <row r="27" spans="3:15" x14ac:dyDescent="0.3">
      <c r="C27" s="29"/>
      <c r="I27" s="29"/>
    </row>
    <row r="28" spans="3:15" x14ac:dyDescent="0.3">
      <c r="C28" s="29"/>
      <c r="I28" s="29"/>
    </row>
    <row r="29" spans="3:15" x14ac:dyDescent="0.3">
      <c r="C29" s="29"/>
      <c r="I29" s="29"/>
    </row>
    <row r="30" spans="3:15" x14ac:dyDescent="0.3">
      <c r="C30" s="29"/>
      <c r="I30" s="29"/>
    </row>
    <row r="31" spans="3:15" x14ac:dyDescent="0.3">
      <c r="C31" s="29"/>
      <c r="I31" s="29"/>
    </row>
    <row r="32" spans="3:15" x14ac:dyDescent="0.3">
      <c r="C32" s="29"/>
      <c r="I32" s="29"/>
    </row>
    <row r="33" spans="3:9" x14ac:dyDescent="0.3">
      <c r="C33" s="29"/>
      <c r="I33" s="29"/>
    </row>
    <row r="34" spans="3:9" x14ac:dyDescent="0.3">
      <c r="C34" s="29"/>
      <c r="I34" s="29"/>
    </row>
    <row r="35" spans="3:9" x14ac:dyDescent="0.3">
      <c r="C35" s="29"/>
      <c r="I35" s="29"/>
    </row>
    <row r="36" spans="3:9" x14ac:dyDescent="0.3">
      <c r="C36" s="29"/>
      <c r="I36" s="29"/>
    </row>
    <row r="39" spans="3:9" x14ac:dyDescent="0.3">
      <c r="C39" s="29"/>
    </row>
  </sheetData>
  <hyperlinks>
    <hyperlink ref="A2" location="Home!A1" tooltip="Click to navigate to the Home sheet." display="ç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7"/>
  <sheetViews>
    <sheetView showGridLines="0" zoomScale="90" zoomScaleNormal="90" workbookViewId="0"/>
  </sheetViews>
  <sheetFormatPr defaultRowHeight="16.5" x14ac:dyDescent="0.3"/>
  <cols>
    <col min="1" max="1" width="4.7109375" style="12" customWidth="1"/>
    <col min="2" max="2" width="0.5703125" style="12" customWidth="1"/>
    <col min="3" max="7" width="9.140625" style="12"/>
    <col min="8" max="8" width="3" style="12" customWidth="1"/>
    <col min="9" max="10" width="10.28515625" style="12" customWidth="1"/>
    <col min="11" max="13" width="9.140625" style="12"/>
    <col min="14" max="14" width="3" style="12" customWidth="1"/>
    <col min="15" max="19" width="9.140625" style="12"/>
    <col min="20" max="20" width="3" style="12" customWidth="1"/>
    <col min="21" max="16384" width="9.140625" style="12"/>
  </cols>
  <sheetData>
    <row r="2" spans="1:23" ht="30" x14ac:dyDescent="0.5">
      <c r="A2" s="115" t="s">
        <v>112</v>
      </c>
      <c r="C2" s="107" t="s">
        <v>47</v>
      </c>
      <c r="W2"/>
    </row>
    <row r="3" spans="1:23" x14ac:dyDescent="0.3">
      <c r="C3" s="29"/>
      <c r="I3" s="29"/>
      <c r="O3" s="29"/>
    </row>
    <row r="4" spans="1:23" x14ac:dyDescent="0.3">
      <c r="C4" s="29"/>
      <c r="I4" s="29"/>
      <c r="O4" s="29"/>
    </row>
    <row r="5" spans="1:23" x14ac:dyDescent="0.3">
      <c r="C5" s="29"/>
      <c r="I5" s="29"/>
      <c r="O5" s="29"/>
    </row>
    <row r="6" spans="1:23" x14ac:dyDescent="0.3">
      <c r="C6" s="29"/>
      <c r="I6" s="29"/>
      <c r="O6" s="29"/>
    </row>
    <row r="7" spans="1:23" x14ac:dyDescent="0.3">
      <c r="C7" s="29"/>
      <c r="I7" s="29"/>
      <c r="O7" s="29"/>
    </row>
    <row r="8" spans="1:23" x14ac:dyDescent="0.3">
      <c r="C8" s="29"/>
      <c r="I8" s="29"/>
      <c r="O8" s="29"/>
    </row>
    <row r="9" spans="1:23" x14ac:dyDescent="0.3">
      <c r="C9" s="29"/>
      <c r="I9" s="29"/>
      <c r="O9" s="29"/>
    </row>
    <row r="10" spans="1:23" x14ac:dyDescent="0.3">
      <c r="C10" s="29"/>
      <c r="I10" s="29"/>
      <c r="O10" s="29"/>
    </row>
    <row r="11" spans="1:23" x14ac:dyDescent="0.3">
      <c r="C11" s="29"/>
      <c r="I11" s="29"/>
      <c r="O11" s="29"/>
    </row>
    <row r="12" spans="1:23" x14ac:dyDescent="0.3">
      <c r="C12" s="29"/>
      <c r="I12" s="29"/>
      <c r="O12" s="29"/>
    </row>
    <row r="13" spans="1:23" x14ac:dyDescent="0.3">
      <c r="C13" s="29"/>
      <c r="I13" s="29"/>
      <c r="O13" s="29"/>
    </row>
    <row r="15" spans="1:23" x14ac:dyDescent="0.3">
      <c r="C15" s="29"/>
    </row>
    <row r="16" spans="1:23" x14ac:dyDescent="0.3">
      <c r="C16" s="29"/>
    </row>
    <row r="17" spans="3:3" x14ac:dyDescent="0.3">
      <c r="C17" s="29"/>
    </row>
    <row r="18" spans="3:3" x14ac:dyDescent="0.3">
      <c r="C18" s="29"/>
    </row>
    <row r="19" spans="3:3" x14ac:dyDescent="0.3">
      <c r="C19" s="29"/>
    </row>
    <row r="20" spans="3:3" x14ac:dyDescent="0.3">
      <c r="C20" s="29"/>
    </row>
    <row r="21" spans="3:3" x14ac:dyDescent="0.3">
      <c r="C21" s="29"/>
    </row>
    <row r="22" spans="3:3" x14ac:dyDescent="0.3">
      <c r="C22" s="29"/>
    </row>
    <row r="23" spans="3:3" x14ac:dyDescent="0.3">
      <c r="C23" s="29"/>
    </row>
    <row r="24" spans="3:3" x14ac:dyDescent="0.3">
      <c r="C24" s="29"/>
    </row>
    <row r="25" spans="3:3" x14ac:dyDescent="0.3">
      <c r="C25" s="29"/>
    </row>
    <row r="26" spans="3:3" x14ac:dyDescent="0.3">
      <c r="C26" s="29"/>
    </row>
    <row r="27" spans="3:3" x14ac:dyDescent="0.3">
      <c r="C27" s="29"/>
    </row>
  </sheetData>
  <hyperlinks>
    <hyperlink ref="A2" location="Home!A1" tooltip="Click to navigate to the Home sheet." display="ç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7"/>
  <sheetViews>
    <sheetView showGridLines="0" zoomScale="90" zoomScaleNormal="90" workbookViewId="0"/>
  </sheetViews>
  <sheetFormatPr defaultRowHeight="16.5" x14ac:dyDescent="0.3"/>
  <cols>
    <col min="1" max="1" width="4.42578125" style="12" customWidth="1"/>
    <col min="2" max="2" width="0.7109375" style="12" customWidth="1"/>
    <col min="3" max="7" width="9.140625" style="12"/>
    <col min="8" max="8" width="3" style="12" customWidth="1"/>
    <col min="9" max="10" width="10.28515625" style="12" customWidth="1"/>
    <col min="11" max="13" width="9.140625" style="12"/>
    <col min="14" max="14" width="3" style="12" customWidth="1"/>
    <col min="15" max="19" width="9.140625" style="12"/>
    <col min="20" max="20" width="3" style="12" customWidth="1"/>
    <col min="21" max="16384" width="9.140625" style="12"/>
  </cols>
  <sheetData>
    <row r="2" spans="1:22" ht="30" x14ac:dyDescent="0.5">
      <c r="A2" s="115" t="s">
        <v>112</v>
      </c>
      <c r="C2" s="107" t="s">
        <v>52</v>
      </c>
      <c r="V2"/>
    </row>
    <row r="3" spans="1:22" x14ac:dyDescent="0.3">
      <c r="C3" s="29"/>
      <c r="I3" s="29"/>
      <c r="O3" s="29"/>
    </row>
    <row r="4" spans="1:22" x14ac:dyDescent="0.3">
      <c r="C4" s="29"/>
      <c r="I4" s="29"/>
      <c r="O4" s="29"/>
    </row>
    <row r="5" spans="1:22" x14ac:dyDescent="0.3">
      <c r="C5" s="29"/>
      <c r="I5" s="29"/>
      <c r="O5" s="29"/>
    </row>
    <row r="6" spans="1:22" x14ac:dyDescent="0.3">
      <c r="C6" s="29"/>
      <c r="I6" s="29"/>
      <c r="O6" s="29"/>
    </row>
    <row r="7" spans="1:22" x14ac:dyDescent="0.3">
      <c r="C7" s="29"/>
      <c r="I7" s="29"/>
      <c r="O7" s="29"/>
    </row>
    <row r="8" spans="1:22" x14ac:dyDescent="0.3">
      <c r="C8" s="29"/>
      <c r="I8" s="29"/>
      <c r="O8" s="29"/>
    </row>
    <row r="9" spans="1:22" x14ac:dyDescent="0.3">
      <c r="C9" s="29"/>
      <c r="I9" s="29"/>
      <c r="O9" s="29"/>
    </row>
    <row r="10" spans="1:22" x14ac:dyDescent="0.3">
      <c r="C10" s="29"/>
      <c r="I10" s="29"/>
      <c r="O10" s="29"/>
    </row>
    <row r="11" spans="1:22" x14ac:dyDescent="0.3">
      <c r="C11" s="29"/>
      <c r="I11" s="29"/>
      <c r="O11" s="29"/>
    </row>
    <row r="12" spans="1:22" x14ac:dyDescent="0.3">
      <c r="C12" s="29"/>
      <c r="I12" s="29"/>
      <c r="O12" s="29"/>
    </row>
    <row r="13" spans="1:22" x14ac:dyDescent="0.3">
      <c r="C13" s="29"/>
      <c r="I13" s="29"/>
      <c r="O13" s="29"/>
    </row>
    <row r="15" spans="1:22" x14ac:dyDescent="0.3">
      <c r="C15" s="29"/>
      <c r="I15" s="29"/>
    </row>
    <row r="16" spans="1:22" x14ac:dyDescent="0.3">
      <c r="C16" s="29"/>
    </row>
    <row r="17" spans="3:3" x14ac:dyDescent="0.3">
      <c r="C17" s="29"/>
    </row>
    <row r="18" spans="3:3" x14ac:dyDescent="0.3">
      <c r="C18" s="29"/>
    </row>
    <row r="19" spans="3:3" x14ac:dyDescent="0.3">
      <c r="C19" s="29"/>
    </row>
    <row r="20" spans="3:3" x14ac:dyDescent="0.3">
      <c r="C20" s="29"/>
    </row>
    <row r="21" spans="3:3" x14ac:dyDescent="0.3">
      <c r="C21" s="29"/>
    </row>
    <row r="22" spans="3:3" x14ac:dyDescent="0.3">
      <c r="C22" s="29"/>
    </row>
    <row r="23" spans="3:3" x14ac:dyDescent="0.3">
      <c r="C23" s="29"/>
    </row>
    <row r="24" spans="3:3" x14ac:dyDescent="0.3">
      <c r="C24" s="29"/>
    </row>
    <row r="25" spans="3:3" x14ac:dyDescent="0.3">
      <c r="C25" s="29"/>
    </row>
    <row r="27" spans="3:3" x14ac:dyDescent="0.3">
      <c r="C27" s="29"/>
    </row>
  </sheetData>
  <hyperlinks>
    <hyperlink ref="A2" location="Home!A1" tooltip="Click to navigate to the Home sheet." display="ç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showGridLines="0" zoomScale="90" zoomScaleNormal="90" workbookViewId="0"/>
  </sheetViews>
  <sheetFormatPr defaultRowHeight="16.5" x14ac:dyDescent="0.3"/>
  <cols>
    <col min="1" max="1" width="4.85546875" style="12" customWidth="1"/>
    <col min="2" max="2" width="1.140625" style="12" customWidth="1"/>
    <col min="3" max="7" width="9.140625" style="12"/>
    <col min="8" max="8" width="3" style="12" customWidth="1"/>
    <col min="9" max="10" width="10.28515625" style="12" customWidth="1"/>
    <col min="11" max="13" width="9.140625" style="12"/>
    <col min="14" max="14" width="3" style="12" customWidth="1"/>
    <col min="15" max="19" width="9.140625" style="12"/>
    <col min="20" max="20" width="3" style="12" customWidth="1"/>
    <col min="21" max="16384" width="9.140625" style="12"/>
  </cols>
  <sheetData>
    <row r="2" spans="1:15" ht="30" x14ac:dyDescent="0.5">
      <c r="A2" s="115" t="s">
        <v>112</v>
      </c>
      <c r="C2" s="107" t="s">
        <v>58</v>
      </c>
    </row>
    <row r="3" spans="1:15" x14ac:dyDescent="0.3">
      <c r="C3" s="29"/>
      <c r="I3" s="29"/>
      <c r="O3" s="29"/>
    </row>
    <row r="15" spans="1:15" x14ac:dyDescent="0.3">
      <c r="C15" s="29"/>
    </row>
  </sheetData>
  <hyperlinks>
    <hyperlink ref="A2" location="Home!A1" tooltip="Click to navigate to the Home sheet." display="ç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2"/>
  <sheetViews>
    <sheetView showGridLines="0" zoomScale="90" zoomScaleNormal="90" workbookViewId="0"/>
  </sheetViews>
  <sheetFormatPr defaultRowHeight="16.5" x14ac:dyDescent="0.3"/>
  <cols>
    <col min="1" max="1" width="10.42578125" style="12" bestFit="1" customWidth="1"/>
    <col min="2" max="2" width="29.28515625" style="12" customWidth="1"/>
    <col min="3" max="8" width="14.42578125" style="12" customWidth="1"/>
    <col min="9" max="16384" width="9.140625" style="12"/>
  </cols>
  <sheetData>
    <row r="1" spans="1:11" ht="34.5" customHeight="1" x14ac:dyDescent="0.3">
      <c r="A1" s="99" t="s">
        <v>103</v>
      </c>
    </row>
    <row r="2" spans="1:11" x14ac:dyDescent="0.3">
      <c r="B2" s="33" t="s">
        <v>25</v>
      </c>
      <c r="C2" s="33"/>
      <c r="D2" s="100" t="s">
        <v>104</v>
      </c>
    </row>
    <row r="3" spans="1:11" x14ac:dyDescent="0.3">
      <c r="B3" s="101" t="s">
        <v>105</v>
      </c>
      <c r="C3" s="102">
        <f>SelectedYear</f>
        <v>2020</v>
      </c>
      <c r="D3" s="100">
        <f>MATCH(C3,'Financial Data'!$E$10:$I$10,0)+1</f>
        <v>6</v>
      </c>
    </row>
    <row r="4" spans="1:11" x14ac:dyDescent="0.3">
      <c r="B4" s="101" t="s">
        <v>106</v>
      </c>
      <c r="C4" s="100">
        <f>C3-1</f>
        <v>2019</v>
      </c>
      <c r="D4" s="100">
        <f ca="1">MATCH(C4,FirstYears,0)+1</f>
        <v>5</v>
      </c>
      <c r="K4" s="103"/>
    </row>
    <row r="6" spans="1:11" x14ac:dyDescent="0.3">
      <c r="B6" s="101" t="s">
        <v>104</v>
      </c>
      <c r="C6" s="104">
        <f ca="1">MATCH(C7,FirstYears,0)+1</f>
        <v>2</v>
      </c>
      <c r="D6" s="104">
        <f ca="1">MATCH(D7,FirstYears,0)+1</f>
        <v>3</v>
      </c>
      <c r="E6" s="104">
        <f ca="1">MATCH(E7,FirstYears,0)+1</f>
        <v>4</v>
      </c>
      <c r="F6" s="104">
        <f ca="1">MATCH(F7,FirstYears,0)+1</f>
        <v>5</v>
      </c>
      <c r="G6" s="104">
        <f>MATCH(G7,'Financial Data'!$E$10:$I$10,0)+1</f>
        <v>6</v>
      </c>
    </row>
    <row r="7" spans="1:11" x14ac:dyDescent="0.3">
      <c r="B7" s="105" t="s">
        <v>107</v>
      </c>
      <c r="C7" s="106">
        <f>D7-1</f>
        <v>2016</v>
      </c>
      <c r="D7" s="106">
        <f>E7-1</f>
        <v>2017</v>
      </c>
      <c r="E7" s="106">
        <f>F7-1</f>
        <v>2018</v>
      </c>
      <c r="F7" s="106">
        <f>G7-1</f>
        <v>2019</v>
      </c>
      <c r="G7" s="106">
        <f>C3</f>
        <v>2020</v>
      </c>
    </row>
    <row r="8" spans="1:11" x14ac:dyDescent="0.3">
      <c r="A8" s="33">
        <f>MATCH(B8,'Financial Report Settings'!$D$10:$D$14,0)</f>
        <v>1</v>
      </c>
      <c r="B8" s="33" t="str">
        <f>IF('Financial Report Settings'!$D10="","",'Financial Report Settings'!$D10)</f>
        <v>Gross Profit (Loss)</v>
      </c>
      <c r="C8" s="32">
        <f ca="1">INDEX('Financial Data'!$D$11:$I$56,MATCH($B8,'Financial Data'!$D$11:$D$56,0),C$6)</f>
        <v>0</v>
      </c>
      <c r="D8" s="32">
        <f ca="1">INDEX('Financial Data'!$D$11:$I$56,MATCH($B8,'Financial Data'!$D$11:$D$56,0),D$6)</f>
        <v>0</v>
      </c>
      <c r="E8" s="32">
        <f ca="1">INDEX('Financial Data'!$D$11:$I$56,MATCH($B8,'Financial Data'!$D$11:$D$56,0),E$6)</f>
        <v>0</v>
      </c>
      <c r="F8" s="32">
        <f ca="1">INDEX('Financial Data'!$D$11:$I$56,MATCH($B8,'Financial Data'!$D$11:$D$56,0),F$6)</f>
        <v>1742019</v>
      </c>
      <c r="G8" s="32">
        <f>INDEX('Financial Data'!$D$11:$I$56,MATCH($B8,'Financial Data'!$D$11:$D$56,0),G$6)</f>
        <v>993291</v>
      </c>
      <c r="H8" s="30">
        <f ca="1">IFERROR(G8/F8-1,"")</f>
        <v>-0.42980472658449764</v>
      </c>
    </row>
    <row r="9" spans="1:11" x14ac:dyDescent="0.3">
      <c r="A9" s="33">
        <f>MATCH(B9,'Financial Report Settings'!$D$10:$D$14,0)</f>
        <v>2</v>
      </c>
      <c r="B9" s="33" t="str">
        <f>IF('Financial Report Settings'!$D11="","",'Financial Report Settings'!$D11)</f>
        <v>Net Income (Loss)</v>
      </c>
      <c r="C9" s="32">
        <f ca="1">INDEX('Financial Data'!$D$11:$I$56,MATCH($B9,'Financial Data'!$D$11:$D$56,0),C$6)</f>
        <v>0</v>
      </c>
      <c r="D9" s="32">
        <f ca="1">INDEX('Financial Data'!$D$11:$I$56,MATCH($B9,'Financial Data'!$D$11:$D$56,0),D$6)</f>
        <v>0</v>
      </c>
      <c r="E9" s="32">
        <f ca="1">INDEX('Financial Data'!$D$11:$I$56,MATCH($B9,'Financial Data'!$D$11:$D$56,0),E$6)</f>
        <v>0</v>
      </c>
      <c r="F9" s="32">
        <f ca="1">INDEX('Financial Data'!$D$11:$I$56,MATCH($B9,'Financial Data'!$D$11:$D$56,0),F$6)</f>
        <v>-7618834</v>
      </c>
      <c r="G9" s="32">
        <f>INDEX('Financial Data'!$D$11:$I$56,MATCH($B9,'Financial Data'!$D$11:$D$56,0),G$6)</f>
        <v>88111</v>
      </c>
      <c r="H9" s="30">
        <f t="shared" ref="H9:H12" ca="1" si="0">IFERROR(G9/F9-1,"")</f>
        <v>-1.0115648930006875</v>
      </c>
    </row>
    <row r="10" spans="1:11" x14ac:dyDescent="0.3">
      <c r="A10" s="33">
        <f>MATCH(B10,'Financial Report Settings'!$D$10:$D$14,0)</f>
        <v>3</v>
      </c>
      <c r="B10" s="33" t="str">
        <f>IF('Financial Report Settings'!$D12="","",'Financial Report Settings'!$D12)</f>
        <v>Total Assets</v>
      </c>
      <c r="C10" s="32">
        <f ca="1">INDEX('Financial Data'!$D$11:$I$56,MATCH($B10,'Financial Data'!$D$11:$D$56,0),C$6)</f>
        <v>0</v>
      </c>
      <c r="D10" s="32">
        <f ca="1">INDEX('Financial Data'!$D$11:$I$56,MATCH($B10,'Financial Data'!$D$11:$D$56,0),D$6)</f>
        <v>0</v>
      </c>
      <c r="E10" s="32">
        <f ca="1">INDEX('Financial Data'!$D$11:$I$56,MATCH($B10,'Financial Data'!$D$11:$D$56,0),E$6)</f>
        <v>0</v>
      </c>
      <c r="F10" s="32">
        <f ca="1">INDEX('Financial Data'!$D$11:$I$56,MATCH($B10,'Financial Data'!$D$11:$D$56,0),F$6)</f>
        <v>7025945</v>
      </c>
      <c r="G10" s="32">
        <f>INDEX('Financial Data'!$D$11:$I$56,MATCH($B10,'Financial Data'!$D$11:$D$56,0),G$6)</f>
        <v>13109722</v>
      </c>
      <c r="H10" s="30">
        <f t="shared" ca="1" si="0"/>
        <v>0.86590159757868879</v>
      </c>
    </row>
    <row r="11" spans="1:11" x14ac:dyDescent="0.3">
      <c r="A11" s="33">
        <f>MATCH(B11,'Financial Report Settings'!$D$10:$D$14,0)</f>
        <v>4</v>
      </c>
      <c r="B11" s="33" t="str">
        <f>IF('Financial Report Settings'!$D13="","",'Financial Report Settings'!$D13)</f>
        <v>Total Liabilities</v>
      </c>
      <c r="C11" s="32">
        <f ca="1">INDEX('Financial Data'!$D$11:$I$56,MATCH($B11,'Financial Data'!$D$11:$D$56,0),C$6)</f>
        <v>0</v>
      </c>
      <c r="D11" s="32">
        <f ca="1">INDEX('Financial Data'!$D$11:$I$56,MATCH($B11,'Financial Data'!$D$11:$D$56,0),D$6)</f>
        <v>0</v>
      </c>
      <c r="E11" s="32">
        <f ca="1">INDEX('Financial Data'!$D$11:$I$56,MATCH($B11,'Financial Data'!$D$11:$D$56,0),E$6)</f>
        <v>0</v>
      </c>
      <c r="F11" s="32">
        <f ca="1">INDEX('Financial Data'!$D$11:$I$56,MATCH($B11,'Financial Data'!$D$11:$D$56,0),F$6)</f>
        <v>12654623</v>
      </c>
      <c r="G11" s="32">
        <f>INDEX('Financial Data'!$D$11:$I$56,MATCH($B11,'Financial Data'!$D$11:$D$56,0),G$6)</f>
        <v>14253878</v>
      </c>
      <c r="H11" s="30">
        <f t="shared" ca="1" si="0"/>
        <v>0.12637713505965364</v>
      </c>
    </row>
    <row r="12" spans="1:11" x14ac:dyDescent="0.3">
      <c r="A12" s="33">
        <f>MATCH(B12,'Financial Report Settings'!$D$10:$D$14,0)</f>
        <v>5</v>
      </c>
      <c r="B12" s="33" t="str">
        <f>IF('Financial Report Settings'!$D14="","",'Financial Report Settings'!$D14)</f>
        <v>Profit Before Interest and Tax</v>
      </c>
      <c r="C12" s="32">
        <f ca="1">INDEX('Financial Data'!$D$11:$I$56,MATCH($B12,'Financial Data'!$D$11:$D$56,0),C$6)</f>
        <v>0</v>
      </c>
      <c r="D12" s="32">
        <f ca="1">INDEX('Financial Data'!$D$11:$I$56,MATCH($B12,'Financial Data'!$D$11:$D$56,0),D$6)</f>
        <v>0</v>
      </c>
      <c r="E12" s="32">
        <f ca="1">INDEX('Financial Data'!$D$11:$I$56,MATCH($B12,'Financial Data'!$D$11:$D$56,0),E$6)</f>
        <v>0</v>
      </c>
      <c r="F12" s="32">
        <f ca="1">INDEX('Financial Data'!$D$11:$I$56,MATCH($B12,'Financial Data'!$D$11:$D$56,0),F$6)</f>
        <v>-7597334</v>
      </c>
      <c r="G12" s="32">
        <f>INDEX('Financial Data'!$D$11:$I$56,MATCH($B12,'Financial Data'!$D$11:$D$56,0),G$6)</f>
        <v>97611</v>
      </c>
      <c r="H12" s="30">
        <f t="shared" ca="1" si="0"/>
        <v>-1.0128480595956424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82"/>
  <sheetViews>
    <sheetView zoomScale="90" zoomScaleNormal="90" workbookViewId="0">
      <selection activeCell="B4" sqref="B4"/>
    </sheetView>
  </sheetViews>
  <sheetFormatPr defaultRowHeight="14.25" x14ac:dyDescent="0.25"/>
  <cols>
    <col min="1" max="1" width="7" style="5" customWidth="1"/>
    <col min="2" max="2" width="28.5703125" style="5" customWidth="1"/>
    <col min="3" max="3" width="20.85546875" style="5" customWidth="1"/>
    <col min="4" max="4" width="26.85546875" style="5" customWidth="1"/>
    <col min="5" max="5" width="27.28515625" style="5" customWidth="1"/>
    <col min="6" max="6" width="21.5703125" style="5" customWidth="1"/>
    <col min="7" max="7" width="21.42578125" style="5" bestFit="1" customWidth="1"/>
    <col min="8" max="8" width="24.85546875" style="5" bestFit="1" customWidth="1"/>
    <col min="9" max="16384" width="9.140625" style="5"/>
  </cols>
  <sheetData>
    <row r="1" spans="1:8" ht="38.25" x14ac:dyDescent="0.65">
      <c r="A1" s="115" t="s">
        <v>112</v>
      </c>
      <c r="B1" s="7" t="s">
        <v>7</v>
      </c>
      <c r="C1" s="8"/>
      <c r="D1" s="6"/>
      <c r="E1" s="6"/>
    </row>
    <row r="2" spans="1:8" ht="17.25" customHeight="1" x14ac:dyDescent="0.25">
      <c r="B2" s="4" t="s">
        <v>9</v>
      </c>
      <c r="C2" s="8"/>
      <c r="D2" s="6"/>
      <c r="E2" s="6"/>
    </row>
    <row r="3" spans="1:8" ht="15.75" x14ac:dyDescent="0.25">
      <c r="B3" s="9" t="s">
        <v>10</v>
      </c>
      <c r="C3" s="10" t="s">
        <v>11</v>
      </c>
      <c r="D3" s="9" t="s">
        <v>8</v>
      </c>
      <c r="E3" s="9" t="s">
        <v>134</v>
      </c>
      <c r="F3" s="9" t="s">
        <v>12</v>
      </c>
      <c r="G3" s="9" t="s">
        <v>135</v>
      </c>
      <c r="H3" s="9" t="s">
        <v>136</v>
      </c>
    </row>
    <row r="4" spans="1:8" x14ac:dyDescent="0.25">
      <c r="C4" s="6"/>
    </row>
    <row r="5" spans="1:8" x14ac:dyDescent="0.25">
      <c r="C5" s="6"/>
    </row>
    <row r="6" spans="1:8" x14ac:dyDescent="0.25">
      <c r="C6" s="6"/>
    </row>
    <row r="7" spans="1:8" x14ac:dyDescent="0.25">
      <c r="C7" s="6"/>
    </row>
    <row r="8" spans="1:8" x14ac:dyDescent="0.25">
      <c r="C8" s="6"/>
    </row>
    <row r="9" spans="1:8" x14ac:dyDescent="0.25">
      <c r="C9" s="6"/>
    </row>
    <row r="10" spans="1:8" x14ac:dyDescent="0.25">
      <c r="C10" s="6"/>
    </row>
    <row r="11" spans="1:8" x14ac:dyDescent="0.25">
      <c r="C11" s="6"/>
    </row>
    <row r="12" spans="1:8" x14ac:dyDescent="0.25">
      <c r="C12" s="6"/>
    </row>
    <row r="13" spans="1:8" x14ac:dyDescent="0.25">
      <c r="C13" s="6"/>
    </row>
    <row r="14" spans="1:8" x14ac:dyDescent="0.25">
      <c r="C14" s="6"/>
    </row>
    <row r="15" spans="1:8" x14ac:dyDescent="0.25">
      <c r="C15" s="6"/>
    </row>
    <row r="16" spans="1:8" x14ac:dyDescent="0.25">
      <c r="C16" s="6"/>
    </row>
    <row r="17" spans="3:3" x14ac:dyDescent="0.25">
      <c r="C17" s="6"/>
    </row>
    <row r="18" spans="3:3" x14ac:dyDescent="0.25">
      <c r="C18" s="6"/>
    </row>
    <row r="19" spans="3:3" x14ac:dyDescent="0.25">
      <c r="C19" s="6"/>
    </row>
    <row r="20" spans="3:3" x14ac:dyDescent="0.25">
      <c r="C20" s="6"/>
    </row>
    <row r="21" spans="3:3" x14ac:dyDescent="0.25">
      <c r="C21" s="6"/>
    </row>
    <row r="22" spans="3:3" x14ac:dyDescent="0.25">
      <c r="C22" s="6"/>
    </row>
    <row r="23" spans="3:3" x14ac:dyDescent="0.25">
      <c r="C23" s="6"/>
    </row>
    <row r="24" spans="3:3" x14ac:dyDescent="0.25">
      <c r="C24" s="6"/>
    </row>
    <row r="25" spans="3:3" x14ac:dyDescent="0.25">
      <c r="C25" s="6"/>
    </row>
    <row r="26" spans="3:3" x14ac:dyDescent="0.25">
      <c r="C26" s="6"/>
    </row>
    <row r="27" spans="3:3" x14ac:dyDescent="0.25">
      <c r="C27" s="6"/>
    </row>
    <row r="28" spans="3:3" x14ac:dyDescent="0.25">
      <c r="C28" s="6"/>
    </row>
    <row r="29" spans="3:3" x14ac:dyDescent="0.25">
      <c r="C29" s="6"/>
    </row>
    <row r="30" spans="3:3" x14ac:dyDescent="0.25">
      <c r="C30" s="6"/>
    </row>
    <row r="31" spans="3:3" x14ac:dyDescent="0.25">
      <c r="C31" s="6"/>
    </row>
    <row r="32" spans="3:3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</sheetData>
  <hyperlinks>
    <hyperlink ref="A1" location="Home!A1" tooltip="Click to navigate to the Home sheet." display="ç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8"/>
  <sheetViews>
    <sheetView showGridLines="0" workbookViewId="0"/>
  </sheetViews>
  <sheetFormatPr defaultRowHeight="16.5" x14ac:dyDescent="0.3"/>
  <cols>
    <col min="1" max="1" width="13.140625" style="12" customWidth="1"/>
    <col min="2" max="16384" width="9.140625" style="12"/>
  </cols>
  <sheetData>
    <row r="1" spans="1:3" x14ac:dyDescent="0.3">
      <c r="A1" s="109" t="s">
        <v>29</v>
      </c>
      <c r="B1"/>
      <c r="C1"/>
    </row>
    <row r="2" spans="1:3" x14ac:dyDescent="0.3">
      <c r="A2" s="110">
        <v>2018</v>
      </c>
      <c r="B2"/>
      <c r="C2"/>
    </row>
    <row r="3" spans="1:3" x14ac:dyDescent="0.3">
      <c r="A3" s="110">
        <v>2019</v>
      </c>
      <c r="B3"/>
      <c r="C3"/>
    </row>
    <row r="4" spans="1:3" x14ac:dyDescent="0.3">
      <c r="A4"/>
      <c r="B4"/>
      <c r="C4"/>
    </row>
    <row r="5" spans="1:3" x14ac:dyDescent="0.3">
      <c r="A5"/>
      <c r="B5"/>
      <c r="C5"/>
    </row>
    <row r="6" spans="1:3" x14ac:dyDescent="0.3">
      <c r="A6"/>
      <c r="B6"/>
      <c r="C6"/>
    </row>
    <row r="7" spans="1:3" x14ac:dyDescent="0.3">
      <c r="A7"/>
      <c r="B7"/>
      <c r="C7"/>
    </row>
    <row r="8" spans="1:3" x14ac:dyDescent="0.3">
      <c r="A8"/>
      <c r="B8"/>
      <c r="C8"/>
    </row>
    <row r="9" spans="1:3" x14ac:dyDescent="0.3">
      <c r="A9"/>
      <c r="B9"/>
      <c r="C9"/>
    </row>
    <row r="10" spans="1:3" x14ac:dyDescent="0.3">
      <c r="A10"/>
      <c r="B10"/>
      <c r="C10"/>
    </row>
    <row r="11" spans="1:3" x14ac:dyDescent="0.3">
      <c r="A11"/>
      <c r="B11"/>
      <c r="C11"/>
    </row>
    <row r="12" spans="1:3" x14ac:dyDescent="0.3">
      <c r="A12"/>
      <c r="B12"/>
      <c r="C12"/>
    </row>
    <row r="13" spans="1:3" x14ac:dyDescent="0.3">
      <c r="A13"/>
      <c r="B13"/>
      <c r="C13"/>
    </row>
    <row r="14" spans="1:3" x14ac:dyDescent="0.3">
      <c r="A14"/>
      <c r="B14"/>
      <c r="C14"/>
    </row>
    <row r="15" spans="1:3" x14ac:dyDescent="0.3">
      <c r="A15"/>
      <c r="B15"/>
      <c r="C15"/>
    </row>
    <row r="16" spans="1:3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8"/>
  <sheetViews>
    <sheetView showGridLines="0" workbookViewId="0"/>
  </sheetViews>
  <sheetFormatPr defaultRowHeight="16.5" x14ac:dyDescent="0.3"/>
  <cols>
    <col min="1" max="1" width="32.140625" style="33" bestFit="1" customWidth="1"/>
    <col min="2" max="2" width="56.85546875" style="12" customWidth="1"/>
    <col min="3" max="16384" width="9.140625" style="12"/>
  </cols>
  <sheetData>
    <row r="1" spans="1:2" ht="13.5" customHeight="1" x14ac:dyDescent="0.3">
      <c r="B1" s="160" t="s">
        <v>108</v>
      </c>
    </row>
    <row r="2" spans="1:2" x14ac:dyDescent="0.3">
      <c r="A2" s="33" t="s">
        <v>44</v>
      </c>
      <c r="B2" s="160"/>
    </row>
    <row r="3" spans="1:2" x14ac:dyDescent="0.3">
      <c r="A3" s="33" t="s">
        <v>43</v>
      </c>
      <c r="B3" s="160"/>
    </row>
    <row r="4" spans="1:2" x14ac:dyDescent="0.3">
      <c r="A4" s="33" t="s">
        <v>61</v>
      </c>
      <c r="B4" s="160"/>
    </row>
    <row r="5" spans="1:2" x14ac:dyDescent="0.3">
      <c r="A5" s="33" t="s">
        <v>40</v>
      </c>
      <c r="B5" s="160"/>
    </row>
    <row r="6" spans="1:2" x14ac:dyDescent="0.3">
      <c r="A6" s="33" t="s">
        <v>45</v>
      </c>
    </row>
    <row r="7" spans="1:2" x14ac:dyDescent="0.3">
      <c r="A7" s="33" t="s">
        <v>56</v>
      </c>
    </row>
    <row r="8" spans="1:2" x14ac:dyDescent="0.3">
      <c r="A8" s="33" t="s">
        <v>53</v>
      </c>
    </row>
    <row r="9" spans="1:2" x14ac:dyDescent="0.3">
      <c r="A9" s="33" t="s">
        <v>35</v>
      </c>
    </row>
    <row r="10" spans="1:2" x14ac:dyDescent="0.3">
      <c r="A10" s="33" t="s">
        <v>57</v>
      </c>
    </row>
    <row r="11" spans="1:2" x14ac:dyDescent="0.3">
      <c r="A11" s="33" t="s">
        <v>55</v>
      </c>
    </row>
    <row r="12" spans="1:2" x14ac:dyDescent="0.3">
      <c r="A12" s="33" t="s">
        <v>36</v>
      </c>
    </row>
    <row r="13" spans="1:2" x14ac:dyDescent="0.3">
      <c r="A13" s="33" t="s">
        <v>42</v>
      </c>
    </row>
    <row r="14" spans="1:2" x14ac:dyDescent="0.3">
      <c r="A14" s="33" t="s">
        <v>41</v>
      </c>
    </row>
    <row r="15" spans="1:2" x14ac:dyDescent="0.3">
      <c r="A15" s="33" t="s">
        <v>62</v>
      </c>
    </row>
    <row r="16" spans="1:2" x14ac:dyDescent="0.3">
      <c r="A16" s="33" t="s">
        <v>60</v>
      </c>
    </row>
    <row r="17" spans="1:1" x14ac:dyDescent="0.3">
      <c r="A17" s="33" t="s">
        <v>32</v>
      </c>
    </row>
    <row r="18" spans="1:1" x14ac:dyDescent="0.3">
      <c r="A18" s="33" t="s">
        <v>51</v>
      </c>
    </row>
    <row r="19" spans="1:1" x14ac:dyDescent="0.3">
      <c r="A19" s="33" t="s">
        <v>39</v>
      </c>
    </row>
    <row r="20" spans="1:1" x14ac:dyDescent="0.3">
      <c r="A20" s="33" t="s">
        <v>33</v>
      </c>
    </row>
    <row r="21" spans="1:1" x14ac:dyDescent="0.3">
      <c r="A21" s="33" t="s">
        <v>37</v>
      </c>
    </row>
    <row r="22" spans="1:1" x14ac:dyDescent="0.3">
      <c r="A22" s="33" t="s">
        <v>34</v>
      </c>
    </row>
    <row r="23" spans="1:1" x14ac:dyDescent="0.3">
      <c r="A23" s="33" t="s">
        <v>59</v>
      </c>
    </row>
    <row r="24" spans="1:1" x14ac:dyDescent="0.3">
      <c r="A24" s="33" t="s">
        <v>54</v>
      </c>
    </row>
    <row r="25" spans="1:1" x14ac:dyDescent="0.3">
      <c r="A25" s="33" t="s">
        <v>46</v>
      </c>
    </row>
    <row r="26" spans="1:1" x14ac:dyDescent="0.3">
      <c r="A26" s="33" t="s">
        <v>48</v>
      </c>
    </row>
    <row r="27" spans="1:1" x14ac:dyDescent="0.3">
      <c r="A27" s="33" t="s">
        <v>49</v>
      </c>
    </row>
    <row r="28" spans="1:1" x14ac:dyDescent="0.3">
      <c r="A28" s="33" t="s">
        <v>50</v>
      </c>
    </row>
  </sheetData>
  <mergeCells count="1">
    <mergeCell ref="B1:B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3"/>
  <sheetViews>
    <sheetView workbookViewId="0"/>
  </sheetViews>
  <sheetFormatPr defaultRowHeight="14.25" x14ac:dyDescent="0.25"/>
  <cols>
    <col min="1" max="1" width="22.42578125" customWidth="1"/>
    <col min="2" max="2" width="11" customWidth="1"/>
    <col min="4" max="4" width="15.42578125" customWidth="1"/>
    <col min="5" max="5" width="17.85546875" bestFit="1" customWidth="1"/>
    <col min="7" max="7" width="10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13</v>
      </c>
      <c r="F1" t="s">
        <v>14</v>
      </c>
      <c r="G1" t="s">
        <v>15</v>
      </c>
    </row>
    <row r="2" spans="1:7" x14ac:dyDescent="0.25">
      <c r="A2" t="s">
        <v>25</v>
      </c>
      <c r="B2">
        <v>2010</v>
      </c>
      <c r="C2">
        <v>1</v>
      </c>
      <c r="D2" t="s">
        <v>24</v>
      </c>
    </row>
    <row r="3" spans="1:7" x14ac:dyDescent="0.25">
      <c r="B3">
        <v>2011</v>
      </c>
      <c r="C3">
        <v>2</v>
      </c>
      <c r="D3" s="11" t="s">
        <v>138</v>
      </c>
    </row>
    <row r="4" spans="1:7" x14ac:dyDescent="0.25">
      <c r="B4">
        <v>2012</v>
      </c>
      <c r="C4">
        <v>3</v>
      </c>
      <c r="D4" s="11"/>
    </row>
    <row r="5" spans="1:7" x14ac:dyDescent="0.25">
      <c r="B5">
        <v>2013</v>
      </c>
      <c r="C5">
        <v>4</v>
      </c>
      <c r="D5" s="11"/>
    </row>
    <row r="6" spans="1:7" x14ac:dyDescent="0.25">
      <c r="B6">
        <v>2014</v>
      </c>
      <c r="C6">
        <v>5</v>
      </c>
    </row>
    <row r="7" spans="1:7" x14ac:dyDescent="0.25">
      <c r="B7">
        <v>2015</v>
      </c>
      <c r="C7">
        <v>6</v>
      </c>
    </row>
    <row r="8" spans="1:7" x14ac:dyDescent="0.25">
      <c r="B8">
        <v>2016</v>
      </c>
      <c r="C8">
        <v>7</v>
      </c>
    </row>
    <row r="9" spans="1:7" x14ac:dyDescent="0.25">
      <c r="B9">
        <v>2017</v>
      </c>
      <c r="C9">
        <v>8</v>
      </c>
    </row>
    <row r="10" spans="1:7" x14ac:dyDescent="0.25">
      <c r="B10">
        <v>2018</v>
      </c>
      <c r="C10">
        <v>9</v>
      </c>
    </row>
    <row r="11" spans="1:7" x14ac:dyDescent="0.25">
      <c r="B11">
        <v>2019</v>
      </c>
      <c r="C11">
        <v>10</v>
      </c>
    </row>
    <row r="12" spans="1:7" x14ac:dyDescent="0.25">
      <c r="B12">
        <v>2020</v>
      </c>
      <c r="C12">
        <v>11</v>
      </c>
    </row>
    <row r="13" spans="1:7" x14ac:dyDescent="0.25">
      <c r="C13">
        <v>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P32"/>
  <sheetViews>
    <sheetView showGridLines="0" tabSelected="1" zoomScale="80" zoomScaleNormal="80" workbookViewId="0"/>
  </sheetViews>
  <sheetFormatPr defaultColWidth="5.7109375" defaultRowHeight="15" x14ac:dyDescent="0.25"/>
  <cols>
    <col min="1" max="3" width="5.7109375" style="146"/>
    <col min="4" max="4" width="5.7109375" style="158"/>
    <col min="5" max="5" width="5.7109375" style="146"/>
    <col min="6" max="6" width="1.7109375" style="146" customWidth="1"/>
    <col min="7" max="8" width="5.7109375" style="146"/>
    <col min="9" max="9" width="1.7109375" style="146" customWidth="1"/>
    <col min="10" max="11" width="5.7109375" style="146"/>
    <col min="12" max="12" width="1.7109375" style="146" customWidth="1"/>
    <col min="13" max="14" width="5.7109375" style="146"/>
    <col min="15" max="15" width="1.7109375" style="146" customWidth="1"/>
    <col min="16" max="17" width="5.7109375" style="146"/>
    <col min="18" max="18" width="1.7109375" style="146" customWidth="1"/>
    <col min="19" max="20" width="5.7109375" style="146"/>
    <col min="21" max="21" width="1.7109375" style="146" customWidth="1"/>
    <col min="22" max="23" width="5.7109375" style="146"/>
    <col min="24" max="24" width="1.7109375" style="146" customWidth="1"/>
    <col min="25" max="26" width="5.7109375" style="146"/>
    <col min="27" max="27" width="1.7109375" style="146" customWidth="1"/>
    <col min="28" max="28" width="6.42578125" style="146" customWidth="1"/>
    <col min="29" max="29" width="5.7109375" style="146"/>
    <col min="30" max="31" width="1.7109375" style="146" customWidth="1"/>
    <col min="32" max="32" width="5.7109375" style="146"/>
    <col min="33" max="33" width="1.7109375" style="146" customWidth="1"/>
    <col min="34" max="34" width="5.7109375" style="146"/>
    <col min="35" max="35" width="1.7109375" style="146" customWidth="1"/>
    <col min="36" max="37" width="5.7109375" style="146"/>
    <col min="38" max="38" width="1.7109375" style="146" customWidth="1"/>
    <col min="39" max="39" width="5.7109375" style="146"/>
    <col min="40" max="40" width="5.7109375" style="158"/>
    <col min="41" max="42" width="1.7109375" style="146" customWidth="1"/>
    <col min="43" max="16384" width="5.7109375" style="146"/>
  </cols>
  <sheetData>
    <row r="1" spans="3:42" ht="15" customHeight="1" x14ac:dyDescent="0.25">
      <c r="C1" s="144"/>
      <c r="D1" s="145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5"/>
      <c r="AO1" s="144"/>
      <c r="AP1" s="144"/>
    </row>
    <row r="2" spans="3:42" ht="30" customHeight="1" x14ac:dyDescent="0.25">
      <c r="C2" s="144"/>
      <c r="D2" s="145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65" t="s">
        <v>125</v>
      </c>
      <c r="X2" s="165"/>
      <c r="Y2" s="165"/>
      <c r="Z2" s="165"/>
      <c r="AA2" s="165"/>
      <c r="AB2" s="165"/>
      <c r="AC2" s="165"/>
      <c r="AD2" s="147" t="s">
        <v>126</v>
      </c>
      <c r="AE2" s="165" t="s">
        <v>127</v>
      </c>
      <c r="AF2" s="165"/>
      <c r="AG2" s="147" t="s">
        <v>126</v>
      </c>
      <c r="AH2" s="165" t="s">
        <v>128</v>
      </c>
      <c r="AI2" s="165"/>
      <c r="AJ2" s="165"/>
      <c r="AK2" s="165"/>
      <c r="AL2" s="148" t="s">
        <v>126</v>
      </c>
      <c r="AM2" s="166" t="s">
        <v>129</v>
      </c>
      <c r="AN2" s="166"/>
      <c r="AO2" s="149"/>
      <c r="AP2" s="144"/>
    </row>
    <row r="3" spans="3:42" ht="5.0999999999999996" customHeight="1" x14ac:dyDescent="0.25">
      <c r="C3" s="150"/>
      <c r="D3" s="151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1"/>
      <c r="AO3" s="150"/>
      <c r="AP3" s="150"/>
    </row>
    <row r="4" spans="3:42" ht="38.1" customHeight="1" x14ac:dyDescent="0.25">
      <c r="C4" s="150"/>
      <c r="D4" s="151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1"/>
      <c r="AO4" s="150"/>
      <c r="AP4" s="150"/>
    </row>
    <row r="5" spans="3:42" ht="5.0999999999999996" customHeight="1" x14ac:dyDescent="0.25">
      <c r="C5" s="150"/>
      <c r="D5" s="151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1"/>
      <c r="AO5" s="150"/>
      <c r="AP5" s="150"/>
    </row>
    <row r="6" spans="3:42" x14ac:dyDescent="0.25">
      <c r="C6" s="150"/>
      <c r="D6" s="151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1"/>
      <c r="AO6" s="150"/>
      <c r="AP6" s="150"/>
    </row>
    <row r="7" spans="3:42" x14ac:dyDescent="0.25">
      <c r="C7" s="150"/>
      <c r="D7" s="151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1"/>
      <c r="AO7" s="150"/>
      <c r="AP7" s="150"/>
    </row>
    <row r="8" spans="3:42" x14ac:dyDescent="0.25">
      <c r="C8" s="150"/>
      <c r="D8" s="151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1"/>
      <c r="AO8" s="150"/>
      <c r="AP8" s="150"/>
    </row>
    <row r="9" spans="3:42" x14ac:dyDescent="0.25">
      <c r="C9" s="150"/>
      <c r="D9" s="151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1"/>
      <c r="AO9" s="150"/>
      <c r="AP9" s="150"/>
    </row>
    <row r="10" spans="3:42" x14ac:dyDescent="0.25">
      <c r="C10" s="150"/>
      <c r="D10" s="151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1"/>
      <c r="AO10" s="150"/>
      <c r="AP10" s="150"/>
    </row>
    <row r="11" spans="3:42" x14ac:dyDescent="0.25">
      <c r="C11" s="150"/>
      <c r="D11" s="151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1"/>
      <c r="AO11" s="150"/>
      <c r="AP11" s="150"/>
    </row>
    <row r="12" spans="3:42" x14ac:dyDescent="0.25">
      <c r="C12" s="150"/>
      <c r="D12" s="151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1"/>
      <c r="AO12" s="150"/>
      <c r="AP12" s="150"/>
    </row>
    <row r="13" spans="3:42" x14ac:dyDescent="0.25">
      <c r="C13" s="150"/>
      <c r="D13" s="151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1"/>
      <c r="AO13" s="150"/>
      <c r="AP13" s="150"/>
    </row>
    <row r="14" spans="3:42" x14ac:dyDescent="0.25">
      <c r="C14" s="150"/>
      <c r="D14" s="151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1"/>
      <c r="AO14" s="150"/>
      <c r="AP14" s="150"/>
    </row>
    <row r="15" spans="3:42" x14ac:dyDescent="0.25">
      <c r="C15" s="150"/>
      <c r="D15" s="151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1"/>
      <c r="AO15" s="150"/>
      <c r="AP15" s="150"/>
    </row>
    <row r="16" spans="3:42" x14ac:dyDescent="0.25">
      <c r="C16" s="150"/>
      <c r="D16" s="151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1"/>
      <c r="AO16" s="150"/>
      <c r="AP16" s="150"/>
    </row>
    <row r="17" spans="3:42" x14ac:dyDescent="0.25">
      <c r="C17" s="150"/>
      <c r="D17" s="151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1"/>
      <c r="AO17" s="150"/>
      <c r="AP17" s="150"/>
    </row>
    <row r="18" spans="3:42" x14ac:dyDescent="0.25">
      <c r="C18" s="150"/>
      <c r="D18" s="151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1"/>
      <c r="AO18" s="150"/>
      <c r="AP18" s="150"/>
    </row>
    <row r="19" spans="3:42" x14ac:dyDescent="0.25">
      <c r="C19" s="150"/>
      <c r="D19" s="151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1"/>
      <c r="AO19" s="150"/>
      <c r="AP19" s="150"/>
    </row>
    <row r="20" spans="3:42" x14ac:dyDescent="0.25">
      <c r="C20" s="150"/>
      <c r="D20" s="151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1"/>
      <c r="AO20" s="150"/>
      <c r="AP20" s="150"/>
    </row>
    <row r="21" spans="3:42" ht="9.6" customHeight="1" x14ac:dyDescent="0.25">
      <c r="C21" s="150"/>
      <c r="D21" s="151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1"/>
      <c r="AO21" s="150"/>
      <c r="AP21" s="150"/>
    </row>
    <row r="22" spans="3:42" ht="30" customHeight="1" x14ac:dyDescent="0.7">
      <c r="C22" s="150"/>
      <c r="D22" s="151"/>
      <c r="E22" s="152" t="s">
        <v>130</v>
      </c>
      <c r="F22" s="151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1"/>
      <c r="AO22" s="150"/>
      <c r="AP22" s="150"/>
    </row>
    <row r="23" spans="3:42" ht="4.5" customHeight="1" x14ac:dyDescent="0.25">
      <c r="C23" s="150"/>
      <c r="D23" s="151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1"/>
      <c r="AO23" s="150"/>
      <c r="AP23" s="150"/>
    </row>
    <row r="24" spans="3:42" ht="19.5" customHeight="1" x14ac:dyDescent="0.3">
      <c r="C24" s="150"/>
      <c r="D24" s="153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1"/>
      <c r="AO24" s="150"/>
      <c r="AP24" s="150"/>
    </row>
    <row r="25" spans="3:42" ht="4.5" customHeight="1" x14ac:dyDescent="0.25">
      <c r="C25" s="150"/>
      <c r="D25" s="151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1"/>
      <c r="AO25" s="150"/>
      <c r="AP25" s="150"/>
    </row>
    <row r="26" spans="3:42" ht="39.950000000000003" customHeight="1" x14ac:dyDescent="0.3">
      <c r="C26" s="150"/>
      <c r="D26" s="167" t="s">
        <v>123</v>
      </c>
      <c r="E26" s="167"/>
      <c r="F26" s="167"/>
      <c r="G26" s="167"/>
      <c r="H26" s="167"/>
      <c r="I26" s="150"/>
      <c r="J26" s="164" t="s">
        <v>99</v>
      </c>
      <c r="K26" s="164"/>
      <c r="L26" s="164"/>
      <c r="M26" s="164"/>
      <c r="N26" s="164"/>
      <c r="O26" s="154"/>
      <c r="P26" s="164" t="s">
        <v>110</v>
      </c>
      <c r="Q26" s="164"/>
      <c r="R26" s="164"/>
      <c r="S26" s="164"/>
      <c r="T26" s="164"/>
      <c r="U26" s="154"/>
      <c r="V26" s="164" t="s">
        <v>111</v>
      </c>
      <c r="W26" s="164"/>
      <c r="X26" s="164"/>
      <c r="Y26" s="164"/>
      <c r="Z26" s="164"/>
      <c r="AA26" s="154"/>
      <c r="AB26" s="164" t="s">
        <v>132</v>
      </c>
      <c r="AC26" s="164"/>
      <c r="AD26" s="164"/>
      <c r="AE26" s="164"/>
      <c r="AF26" s="164"/>
      <c r="AG26" s="154"/>
      <c r="AH26" s="164" t="s">
        <v>133</v>
      </c>
      <c r="AI26" s="164"/>
      <c r="AJ26" s="164"/>
      <c r="AK26" s="164"/>
      <c r="AL26" s="164"/>
      <c r="AM26" s="164"/>
      <c r="AN26" s="153"/>
      <c r="AO26" s="154"/>
      <c r="AP26" s="150"/>
    </row>
    <row r="27" spans="3:42" ht="4.5" customHeight="1" x14ac:dyDescent="0.3">
      <c r="C27" s="150"/>
      <c r="D27" s="151"/>
      <c r="E27" s="150"/>
      <c r="F27" s="150"/>
      <c r="G27" s="150"/>
      <c r="H27" s="150"/>
      <c r="I27" s="150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3"/>
      <c r="AO27" s="154"/>
      <c r="AP27" s="150"/>
    </row>
    <row r="28" spans="3:42" ht="39.950000000000003" customHeight="1" x14ac:dyDescent="0.3">
      <c r="C28" s="150"/>
      <c r="D28" s="164" t="s">
        <v>7</v>
      </c>
      <c r="E28" s="164"/>
      <c r="F28" s="164"/>
      <c r="G28" s="164"/>
      <c r="H28" s="164"/>
      <c r="I28" s="150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 s="154"/>
      <c r="AP28" s="150"/>
    </row>
    <row r="29" spans="3:42" ht="12.75" customHeight="1" x14ac:dyDescent="0.25">
      <c r="C29" s="150"/>
      <c r="D29" s="151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1"/>
      <c r="AO29" s="150"/>
      <c r="AP29" s="150"/>
    </row>
    <row r="30" spans="3:42" ht="16.5" x14ac:dyDescent="0.3">
      <c r="C30" s="150"/>
      <c r="D30" s="155" t="s">
        <v>131</v>
      </c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1"/>
      <c r="AO30" s="150"/>
      <c r="AP30" s="150"/>
    </row>
    <row r="31" spans="3:42" ht="20.100000000000001" customHeight="1" x14ac:dyDescent="0.3">
      <c r="C31" s="150"/>
      <c r="D31" s="161" t="s">
        <v>119</v>
      </c>
      <c r="E31" s="161"/>
      <c r="F31" s="156" t="s">
        <v>126</v>
      </c>
      <c r="G31" s="162" t="s">
        <v>121</v>
      </c>
      <c r="H31" s="162"/>
      <c r="I31" s="156" t="s">
        <v>126</v>
      </c>
      <c r="J31" s="162" t="s">
        <v>120</v>
      </c>
      <c r="K31" s="162"/>
      <c r="L31" s="156" t="s">
        <v>126</v>
      </c>
      <c r="M31" s="163" t="s">
        <v>118</v>
      </c>
      <c r="N31" s="163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1"/>
      <c r="AO31" s="150"/>
      <c r="AP31" s="150"/>
    </row>
    <row r="32" spans="3:42" x14ac:dyDescent="0.25">
      <c r="C32" s="150"/>
      <c r="D32" s="151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1"/>
      <c r="AO32" s="150"/>
      <c r="AP32" s="150"/>
    </row>
  </sheetData>
  <mergeCells count="15">
    <mergeCell ref="W2:AC2"/>
    <mergeCell ref="AE2:AF2"/>
    <mergeCell ref="AH2:AK2"/>
    <mergeCell ref="AM2:AN2"/>
    <mergeCell ref="D26:H26"/>
    <mergeCell ref="J26:N26"/>
    <mergeCell ref="P26:T26"/>
    <mergeCell ref="V26:Z26"/>
    <mergeCell ref="AB26:AF26"/>
    <mergeCell ref="AH26:AM26"/>
    <mergeCell ref="D31:E31"/>
    <mergeCell ref="G31:H31"/>
    <mergeCell ref="J31:K31"/>
    <mergeCell ref="M31:N31"/>
    <mergeCell ref="D28:H28"/>
  </mergeCells>
  <hyperlinks>
    <hyperlink ref="AM2:AN2" r:id="rId1" tooltip="Click here to navigate to Support" display="Support"/>
    <hyperlink ref="AH2:AK2" r:id="rId2" tooltip="Click here to navigate to the Knowledgebase" display="Knowledgebase"/>
    <hyperlink ref="AE2:AF2" r:id="rId3" tooltip="Click here to navigate to the Blog" display="Blog"/>
    <hyperlink ref="W2:AC2" r:id="rId4" tooltip="Click here to navigate to the Sage Intelligence Community" display="Sage Intelligence Community"/>
    <hyperlink ref="M31:N31" r:id="rId5" tooltip="Click here to navigate to our Facebook page" display="Facebook"/>
    <hyperlink ref="J31:K31" r:id="rId6" tooltip="Click here to navigate to our LinkedIn page" display="LinkedIn"/>
    <hyperlink ref="G31:H31" r:id="rId7" tooltip="Click here to navigate to YouTube page" display="YouTube"/>
    <hyperlink ref="D31:E31" r:id="rId8" tooltip="Click here to navigate to our Twitter page" display="Twitter"/>
    <hyperlink ref="D26:H26" location="Dashboard!A1" tooltip="Dashboard" display="Dashboard"/>
    <hyperlink ref="J26:N26" location="'Financial Ratio Report'!A1" tooltip="Financial Ratio Report" display="Financial Ratio Report"/>
    <hyperlink ref="P26:T26" location="'Ratio Trend'!A1" tooltip="Ratio Trend" display="Ratio Trend"/>
    <hyperlink ref="V26:Z26" location="'Financial Data'!A1" tooltip="Financial Data" display="Financial Data"/>
    <hyperlink ref="AB26:AF26" location="'Ratio Benchmarking'!A1" tooltip="Ratio Benchmarking" display="Ratio Benchmarking"/>
    <hyperlink ref="AH26:AM26" location="'Financial Report Settings'!A1" tooltip="Financial Report Settings" display="Financial Report Settings"/>
    <hyperlink ref="D28:H28" location="'Missing Accounts'!A1" tooltip="Missing Accounts" display="Missing Accounts"/>
  </hyperlinks>
  <pageMargins left="0.70866141732283472" right="0.70866141732283472" top="0.74803149606299213" bottom="0.74803149606299213" header="0.31496062992125984" footer="0.31496062992125984"/>
  <pageSetup paperSize="9" scale="80" orientation="landscape" r:id="rId9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showGridLines="0" workbookViewId="0"/>
  </sheetViews>
  <sheetFormatPr defaultRowHeight="14.25" x14ac:dyDescent="0.25"/>
  <cols>
    <col min="1" max="1" width="3.85546875" customWidth="1"/>
    <col min="2" max="2" width="0.7109375" style="11" customWidth="1"/>
    <col min="3" max="3" width="26.140625" customWidth="1"/>
    <col min="4" max="4" width="1.85546875" customWidth="1"/>
    <col min="5" max="5" width="9.28515625" customWidth="1"/>
    <col min="6" max="6" width="11.42578125" customWidth="1"/>
    <col min="7" max="7" width="11.28515625" customWidth="1"/>
    <col min="8" max="8" width="6.42578125" customWidth="1"/>
    <col min="9" max="9" width="2.140625" style="11" customWidth="1"/>
    <col min="10" max="10" width="12.85546875" customWidth="1"/>
    <col min="11" max="11" width="9.28515625" customWidth="1"/>
    <col min="12" max="12" width="14.140625" customWidth="1"/>
    <col min="13" max="13" width="6.28515625" customWidth="1"/>
    <col min="14" max="14" width="1.85546875" customWidth="1"/>
  </cols>
  <sheetData>
    <row r="1" spans="1:22" s="11" customFormat="1" ht="9" customHeight="1" x14ac:dyDescent="0.25"/>
    <row r="2" spans="1:22" ht="33" customHeight="1" x14ac:dyDescent="0.25">
      <c r="A2" s="115" t="s">
        <v>112</v>
      </c>
      <c r="B2" s="115"/>
      <c r="C2" s="169" t="str">
        <f>"FINANCIAL RATIO HEALTHCHECK - " &amp; SelectedYear</f>
        <v>FINANCIAL RATIO HEALTHCHECK - 2020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</row>
    <row r="3" spans="1:22" ht="6" customHeight="1" x14ac:dyDescent="0.25"/>
    <row r="4" spans="1:22" ht="14.25" customHeight="1" x14ac:dyDescent="0.25">
      <c r="C4" s="168" t="str">
        <f>"Return on Assets (ROA) " &amp; IF('Financial Ratio Report'!G17&gt;'Financial Ratio Report'!I17,"increased ","decreased ") &amp; "from "
&amp; ROUND((IF('Financial Data'!H32=0,0,'Financial Data'!H22/'Financial Data'!H32)*100),2) &amp; "% to " &amp; ROUND((IF('Financial Data'!I32=0,0,'Financial Data'!I22/'Financial Data'!I32)*100),2) &amp; "%"</f>
        <v>Return on Assets (ROA) increased from -108.44% to 0.67%</v>
      </c>
      <c r="E4" s="29"/>
      <c r="J4" s="32"/>
      <c r="K4" s="32"/>
    </row>
    <row r="5" spans="1:22" s="11" customFormat="1" ht="14.25" customHeight="1" x14ac:dyDescent="0.25">
      <c r="C5" s="168"/>
      <c r="E5" s="29"/>
      <c r="J5" s="39"/>
      <c r="K5" s="39"/>
    </row>
    <row r="6" spans="1:22" s="11" customFormat="1" ht="14.25" customHeight="1" x14ac:dyDescent="0.25">
      <c r="C6" s="168"/>
      <c r="E6" s="29"/>
      <c r="J6" s="32"/>
      <c r="K6" s="32"/>
    </row>
    <row r="7" spans="1:22" s="11" customFormat="1" ht="14.25" customHeight="1" x14ac:dyDescent="0.25">
      <c r="C7" s="168"/>
      <c r="E7" s="29"/>
      <c r="J7" s="39"/>
      <c r="K7" s="39"/>
    </row>
    <row r="8" spans="1:22" x14ac:dyDescent="0.25">
      <c r="C8" s="132"/>
    </row>
    <row r="9" spans="1:22" ht="14.25" customHeight="1" x14ac:dyDescent="0.25">
      <c r="C9" s="168" t="str">
        <f>"Return on Equity (ROE) "&amp;IF('Ratio Benchmarking'!D15='Ratio Benchmarking'!E15,"remained consistent ",IF('Ratio Benchmarking'!D15&gt;'Ratio Benchmarking'!E15,"increased by "&amp;ROUND((('Ratio Benchmarking'!F15)*100),2) &amp; "%","decreased by "&amp; ROUND((('Ratio Benchmarking'!F15)*100),2)*-1)&amp; "%") &amp; " when compared to the prior year"</f>
        <v>Return on Equity (ROE) decreased by 143.06% when compared to the prior year</v>
      </c>
    </row>
    <row r="10" spans="1:22" s="11" customFormat="1" ht="14.25" customHeight="1" x14ac:dyDescent="0.25">
      <c r="C10" s="168"/>
    </row>
    <row r="11" spans="1:22" s="11" customFormat="1" ht="14.25" customHeight="1" x14ac:dyDescent="0.25">
      <c r="C11" s="168"/>
    </row>
    <row r="12" spans="1:22" s="11" customFormat="1" ht="14.25" customHeight="1" x14ac:dyDescent="0.25">
      <c r="C12" s="168"/>
    </row>
    <row r="14" spans="1:22" ht="14.25" customHeight="1" x14ac:dyDescent="0.25">
      <c r="C14" s="168" t="str">
        <f>"The Gross Margin % for the current year is " &amp; ROUND((IF('Financial Data'!I11=0,0,('Financial Data'!I11-'Financial Data'!I12)/'Financial Data'!I11)*100),2) &amp; "% compared to a benchmark of " &amp;  ROUND(('Financial Report Settings'!L14*100),2) &amp; "%"</f>
        <v>The Gross Margin % for the current year is 59.46% compared to a benchmark of 30%</v>
      </c>
    </row>
    <row r="15" spans="1:22" s="11" customFormat="1" ht="14.25" customHeight="1" x14ac:dyDescent="0.25">
      <c r="C15" s="168"/>
      <c r="E15" s="28" t="s">
        <v>52</v>
      </c>
      <c r="F15" s="28"/>
      <c r="G15" s="28"/>
      <c r="H15" s="28"/>
      <c r="J15" s="28" t="s">
        <v>58</v>
      </c>
      <c r="O15" s="171" t="s">
        <v>38</v>
      </c>
      <c r="P15" s="171"/>
      <c r="Q15" s="171"/>
      <c r="R15" s="40">
        <f t="shared" ref="R15:S15" si="0">S15-1</f>
        <v>2016</v>
      </c>
      <c r="S15" s="40">
        <f t="shared" si="0"/>
        <v>2017</v>
      </c>
      <c r="T15" s="40">
        <f>U15-1</f>
        <v>2018</v>
      </c>
      <c r="U15" s="112">
        <v>2019</v>
      </c>
      <c r="V15" s="112">
        <f>CHOOSE(B, "GLCurrentYear(" &amp; $E$6 &amp; ")", CellContents, 2020)</f>
        <v>2020</v>
      </c>
    </row>
    <row r="16" spans="1:22" s="11" customFormat="1" ht="14.25" customHeight="1" x14ac:dyDescent="0.25">
      <c r="C16" s="168"/>
      <c r="E16" s="29" t="s">
        <v>53</v>
      </c>
      <c r="G16" s="30">
        <f>IF('Financial Data'!I32=0,0,'Financial Data'!I35/'Financial Data'!I32)</f>
        <v>1.0652334961794003</v>
      </c>
      <c r="J16" s="29" t="s">
        <v>59</v>
      </c>
      <c r="L16" s="30">
        <f>IF('Financial Data'!H11=0,0,('Financial Data'!I11-'Financial Data'!H11)/'Financial Data'!H11)</f>
        <v>-0.37348056435056104</v>
      </c>
      <c r="O16" s="133"/>
      <c r="P16" s="133"/>
      <c r="Q16" s="133"/>
      <c r="R16" s="134"/>
      <c r="S16" s="134"/>
      <c r="T16" s="134"/>
      <c r="U16" s="135"/>
      <c r="V16" s="135"/>
    </row>
    <row r="17" spans="3:22" s="11" customFormat="1" ht="14.25" customHeight="1" x14ac:dyDescent="0.25">
      <c r="C17" s="168"/>
      <c r="E17" s="29" t="s">
        <v>54</v>
      </c>
      <c r="G17" s="34">
        <f>IF('Financial Data'!I20=0,0,'Financial Data'!I19/'Financial Data'!I20)</f>
        <v>65.073999999999998</v>
      </c>
      <c r="J17" s="29" t="s">
        <v>60</v>
      </c>
      <c r="L17" s="30">
        <f>IF('Financial Data'!H22=0,0,('Financial Data'!I22-'Financial Data'!H22)/'Financial Data'!H22)</f>
        <v>-1.0115648930006875</v>
      </c>
      <c r="O17" s="170" t="s">
        <v>39</v>
      </c>
      <c r="P17" s="170"/>
      <c r="Q17" s="170"/>
      <c r="R17" s="34">
        <f>'Ratio Trend'!D21</f>
        <v>0</v>
      </c>
      <c r="S17" s="34">
        <f>'Ratio Trend'!E21</f>
        <v>0</v>
      </c>
      <c r="T17" s="34">
        <f>'Ratio Trend'!F21</f>
        <v>0</v>
      </c>
      <c r="U17" s="34">
        <f>'Ratio Trend'!G21</f>
        <v>1.3813736613873389</v>
      </c>
      <c r="V17" s="34">
        <f>'Ratio Trend'!H21</f>
        <v>0.56259059484101115</v>
      </c>
    </row>
    <row r="18" spans="3:22" x14ac:dyDescent="0.25">
      <c r="E18" s="29" t="s">
        <v>55</v>
      </c>
      <c r="F18" s="11"/>
      <c r="G18" s="34">
        <f>IF('Financial Data'!I17=0,0,('Financial Data'!I19-'Financial Data'!I16-'Financial Data'!I17)/'Financial Data'!I16)</f>
        <v>-0.94546566365365192</v>
      </c>
      <c r="H18" s="11"/>
      <c r="J18" s="29" t="s">
        <v>61</v>
      </c>
      <c r="K18" s="11"/>
      <c r="L18" s="30">
        <f>IF('Financial Data'!H32=0,0,('Financial Data'!I32-'Financial Data'!H32)/'Financial Data'!H32)</f>
        <v>0.86590159757868868</v>
      </c>
      <c r="M18" s="11"/>
      <c r="O18" s="170" t="s">
        <v>40</v>
      </c>
      <c r="P18" s="170"/>
      <c r="Q18" s="170"/>
      <c r="R18" s="34">
        <f>'Ratio Trend'!D22</f>
        <v>0</v>
      </c>
      <c r="S18" s="34">
        <f>'Ratio Trend'!E22</f>
        <v>0</v>
      </c>
      <c r="T18" s="34">
        <f>'Ratio Trend'!F22</f>
        <v>0</v>
      </c>
      <c r="U18" s="34">
        <f>'Ratio Trend'!G22</f>
        <v>264.22973754503454</v>
      </c>
      <c r="V18" s="34">
        <f>'Ratio Trend'!H22</f>
        <v>648.78439729897991</v>
      </c>
    </row>
    <row r="19" spans="3:22" ht="14.25" customHeight="1" x14ac:dyDescent="0.25">
      <c r="C19" s="168" t="str">
        <f>"Return on Capital Employed (ROCE) for the current year is   " &amp; ROUND((IF('Financial Data'!I32='Financial Data'!I35,0,'Financial Data'!I19/('Financial Data'!I32-'Financial Data'!I35))*100),2) &amp; "% and " &amp; ROUND((IF('Financial Data'!H32='Financial Data'!H35,0,'Financial Data'!H19/('Financial Data'!H32-'Financial Data'!H35))*100),2) &amp; "% for the prior year"</f>
        <v>Return on Capital Employed (ROCE) for the current year is   -11.41% and 146.22% for the prior year</v>
      </c>
      <c r="E19" s="29" t="s">
        <v>56</v>
      </c>
      <c r="G19" s="30">
        <f>IF('Financial Data'!I42=0,0,'Financial Data'!I39/'Financial Data'!I42)</f>
        <v>-12.458006527093382</v>
      </c>
      <c r="J19" s="29" t="s">
        <v>62</v>
      </c>
      <c r="L19" s="30">
        <f>IF('Financial Data'!H39=0,0,('Financial Data'!I39-'Financial Data'!H39)/'Financial Data'!H39)</f>
        <v>0.1263771350596537</v>
      </c>
      <c r="M19" s="11"/>
      <c r="O19" s="170" t="s">
        <v>41</v>
      </c>
      <c r="P19" s="170"/>
      <c r="Q19" s="170"/>
      <c r="R19" s="34">
        <f>'Ratio Trend'!D23</f>
        <v>0</v>
      </c>
      <c r="S19" s="34">
        <f>'Ratio Trend'!E23</f>
        <v>0</v>
      </c>
      <c r="T19" s="34">
        <f>'Ratio Trend'!F23</f>
        <v>0</v>
      </c>
      <c r="U19" s="34">
        <f>'Ratio Trend'!G23</f>
        <v>0.49343320155781617</v>
      </c>
      <c r="V19" s="34">
        <f>'Ratio Trend'!H23</f>
        <v>0.3510610281713944</v>
      </c>
    </row>
    <row r="20" spans="3:22" s="11" customFormat="1" ht="14.25" customHeight="1" x14ac:dyDescent="0.25">
      <c r="C20" s="168"/>
      <c r="E20" s="29" t="s">
        <v>57</v>
      </c>
      <c r="F20"/>
      <c r="G20" s="30">
        <f>IF('Financial Data'!I32=0,0,'Financial Data'!I42/'Financial Data'!I32)</f>
        <v>-8.7275229787481381E-2</v>
      </c>
      <c r="H20"/>
      <c r="J20" s="28" t="s">
        <v>47</v>
      </c>
      <c r="K20"/>
      <c r="L20"/>
      <c r="M20"/>
      <c r="O20" s="170" t="s">
        <v>42</v>
      </c>
      <c r="P20" s="170"/>
      <c r="Q20" s="170"/>
      <c r="R20" s="34">
        <f>'Ratio Trend'!D24</f>
        <v>0</v>
      </c>
      <c r="S20" s="34">
        <f>'Ratio Trend'!E24</f>
        <v>0</v>
      </c>
      <c r="T20" s="34">
        <f>'Ratio Trend'!F24</f>
        <v>0</v>
      </c>
      <c r="U20" s="34">
        <f>'Ratio Trend'!G24</f>
        <v>739.71512019795136</v>
      </c>
      <c r="V20" s="34">
        <f>'Ratio Trend'!H24</f>
        <v>1039.7052669195748</v>
      </c>
    </row>
    <row r="21" spans="3:22" ht="14.25" customHeight="1" x14ac:dyDescent="0.25">
      <c r="C21" s="168"/>
      <c r="E21" s="11"/>
      <c r="F21" s="11"/>
      <c r="G21" s="11"/>
      <c r="J21" s="29" t="s">
        <v>48</v>
      </c>
      <c r="K21" s="11"/>
      <c r="L21" s="32">
        <f>'Ratio Trend'!H31</f>
        <v>-1115655</v>
      </c>
      <c r="O21" s="170" t="s">
        <v>43</v>
      </c>
      <c r="P21" s="170"/>
      <c r="Q21" s="170"/>
      <c r="R21" s="34">
        <f>'Ratio Trend'!D25</f>
        <v>0</v>
      </c>
      <c r="S21" s="34">
        <f>'Ratio Trend'!E25</f>
        <v>0</v>
      </c>
      <c r="T21" s="34">
        <f>'Ratio Trend'!F25</f>
        <v>0</v>
      </c>
      <c r="U21" s="34">
        <f>'Ratio Trend'!G25</f>
        <v>8.2226560901426729E-2</v>
      </c>
      <c r="V21" s="34">
        <f>'Ratio Trend'!H25</f>
        <v>5.2119353410898434E-2</v>
      </c>
    </row>
    <row r="22" spans="3:22" ht="14.25" customHeight="1" x14ac:dyDescent="0.25">
      <c r="C22" s="168"/>
      <c r="J22" s="29" t="s">
        <v>122</v>
      </c>
      <c r="L22" s="39">
        <f>'Ratio Trend'!H32</f>
        <v>0.92011014746598885</v>
      </c>
      <c r="O22" s="170" t="s">
        <v>44</v>
      </c>
      <c r="P22" s="170"/>
      <c r="Q22" s="170"/>
      <c r="R22" s="34">
        <f>'Ratio Trend'!D26</f>
        <v>0</v>
      </c>
      <c r="S22" s="34">
        <f>'Ratio Trend'!E26</f>
        <v>0</v>
      </c>
      <c r="T22" s="34">
        <f>'Ratio Trend'!F26</f>
        <v>0</v>
      </c>
      <c r="U22" s="34">
        <f>'Ratio Trend'!G26</f>
        <v>4438.9549556567526</v>
      </c>
      <c r="V22" s="34">
        <f>'Ratio Trend'!H26</f>
        <v>7003.1567184345877</v>
      </c>
    </row>
    <row r="23" spans="3:22" x14ac:dyDescent="0.25">
      <c r="C23" s="168"/>
      <c r="J23" s="29" t="s">
        <v>50</v>
      </c>
      <c r="L23" s="32">
        <f>'Ratio Trend'!H33</f>
        <v>-1.4973087558429801</v>
      </c>
      <c r="O23" s="170" t="s">
        <v>45</v>
      </c>
      <c r="P23" s="170"/>
      <c r="Q23" s="170"/>
      <c r="R23" s="34">
        <f>'Ratio Trend'!D27</f>
        <v>0</v>
      </c>
      <c r="S23" s="34">
        <f>'Ratio Trend'!E27</f>
        <v>0</v>
      </c>
      <c r="T23" s="34">
        <f>'Ratio Trend'!F27</f>
        <v>0</v>
      </c>
      <c r="U23" s="34">
        <f>'Ratio Trend'!G27</f>
        <v>3.4949900902884825</v>
      </c>
      <c r="V23" s="34">
        <f>'Ratio Trend'!H27</f>
        <v>1.5716425437110966</v>
      </c>
    </row>
    <row r="24" spans="3:22" x14ac:dyDescent="0.25">
      <c r="C24" s="168"/>
      <c r="J24" s="29" t="s">
        <v>51</v>
      </c>
      <c r="L24" s="39">
        <f>'Ratio Trend'!H34</f>
        <v>0.78197984019236777</v>
      </c>
      <c r="O24" s="170" t="s">
        <v>46</v>
      </c>
      <c r="P24" s="170"/>
      <c r="Q24" s="170"/>
      <c r="R24" s="34">
        <f>'Ratio Trend'!D28</f>
        <v>0</v>
      </c>
      <c r="S24" s="34">
        <f>'Ratio Trend'!E28</f>
        <v>0</v>
      </c>
      <c r="T24" s="34">
        <f>'Ratio Trend'!F28</f>
        <v>0</v>
      </c>
      <c r="U24" s="34">
        <f>'Ratio Trend'!G28</f>
        <v>0.37949144207647512</v>
      </c>
      <c r="V24" s="34">
        <f>'Ratio Trend'!H28</f>
        <v>0.1274229918834282</v>
      </c>
    </row>
  </sheetData>
  <mergeCells count="14">
    <mergeCell ref="C19:C24"/>
    <mergeCell ref="C4:C7"/>
    <mergeCell ref="C9:C12"/>
    <mergeCell ref="C14:C17"/>
    <mergeCell ref="C2:V2"/>
    <mergeCell ref="O24:Q24"/>
    <mergeCell ref="O23:Q23"/>
    <mergeCell ref="O15:Q15"/>
    <mergeCell ref="O22:Q22"/>
    <mergeCell ref="O21:Q21"/>
    <mergeCell ref="O20:Q20"/>
    <mergeCell ref="O19:Q19"/>
    <mergeCell ref="O18:Q18"/>
    <mergeCell ref="O17:Q17"/>
  </mergeCells>
  <conditionalFormatting sqref="L4">
    <cfRule type="iconSet" priority="1">
      <iconSet iconSet="3Arrows">
        <cfvo type="percent" val="0"/>
        <cfvo type="percent" val="33"/>
        <cfvo type="percent" val="67"/>
      </iconSet>
    </cfRule>
  </conditionalFormatting>
  <dataValidations disablePrompts="1" count="1">
    <dataValidation type="list" allowBlank="1" showInputMessage="1" sqref="U15:V16">
      <formula1>FiscalYearsTemplate</formula1>
    </dataValidation>
  </dataValidations>
  <hyperlinks>
    <hyperlink ref="A2" location="Home!A1" tooltip="Click to navigate to the Home sheet." display="ç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5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>
          <x14:colorSeries rgb="FF34B23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Trend'!D44:H44</xm:f>
              <xm:sqref>M16</xm:sqref>
            </x14:sparkline>
          </x14:sparklines>
        </x14:sparklineGroup>
        <x14:sparklineGroup lineWeight="1.5" displayEmptyCellsAs="gap">
          <x14:colorSeries rgb="FF34B23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Trend'!D45:H45</xm:f>
              <xm:sqref>M17</xm:sqref>
            </x14:sparkline>
          </x14:sparklines>
        </x14:sparklineGroup>
        <x14:sparklineGroup lineWeight="1.5" displayEmptyCellsAs="gap">
          <x14:colorSeries rgb="FF34B23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Trend'!D46:H46</xm:f>
              <xm:sqref>M18</xm:sqref>
            </x14:sparkline>
          </x14:sparklines>
        </x14:sparklineGroup>
        <x14:sparklineGroup lineWeight="1.5" displayEmptyCellsAs="gap">
          <x14:colorSeries rgb="FF34B23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Trend'!D47:H47</xm:f>
              <xm:sqref>M19</xm:sqref>
            </x14:sparkline>
          </x14:sparklines>
        </x14:sparklineGroup>
        <x14:sparklineGroup lineWeight="1.5" displayEmptyCellsAs="gap">
          <x14:colorSeries rgb="FF34B23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Trend'!D37:H37</xm:f>
              <xm:sqref>H16</xm:sqref>
            </x14:sparkline>
          </x14:sparklines>
        </x14:sparklineGroup>
        <x14:sparklineGroup lineWeight="1.5" displayEmptyCellsAs="gap">
          <x14:colorSeries rgb="FF34B23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Trend'!D38:H38</xm:f>
              <xm:sqref>H17</xm:sqref>
            </x14:sparkline>
          </x14:sparklines>
        </x14:sparklineGroup>
        <x14:sparklineGroup lineWeight="1.5" displayEmptyCellsAs="gap">
          <x14:colorSeries rgb="FF34B23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Trend'!D39:H39</xm:f>
              <xm:sqref>H18</xm:sqref>
            </x14:sparkline>
          </x14:sparklines>
        </x14:sparklineGroup>
        <x14:sparklineGroup lineWeight="1.5" displayEmptyCellsAs="gap">
          <x14:colorSeries rgb="FF34B23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Trend'!D40:H40</xm:f>
              <xm:sqref>H19</xm:sqref>
            </x14:sparkline>
          </x14:sparklines>
        </x14:sparklineGroup>
        <x14:sparklineGroup lineWeight="1.5" displayEmptyCellsAs="gap">
          <x14:colorSeries rgb="FF34B23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Trend'!D41:H41</xm:f>
              <xm:sqref>H20</xm:sqref>
            </x14:sparkline>
          </x14:sparklines>
        </x14:sparklineGroup>
        <x14:sparklineGroup lineWeight="1.5" displayEmptyCellsAs="gap">
          <x14:colorSeries rgb="FF34B23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Trend'!D31:H31</xm:f>
              <xm:sqref>M21</xm:sqref>
            </x14:sparkline>
          </x14:sparklines>
        </x14:sparklineGroup>
        <x14:sparklineGroup lineWeight="1.5" displayEmptyCellsAs="gap">
          <x14:colorSeries rgb="FF34B23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Trend'!D32:H32</xm:f>
              <xm:sqref>M22</xm:sqref>
            </x14:sparkline>
          </x14:sparklines>
        </x14:sparklineGroup>
        <x14:sparklineGroup lineWeight="1.5" displayEmptyCellsAs="gap">
          <x14:colorSeries rgb="FF34B23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Trend'!D33:H33</xm:f>
              <xm:sqref>M23</xm:sqref>
            </x14:sparkline>
          </x14:sparklines>
        </x14:sparklineGroup>
        <x14:sparklineGroup lineWeight="1.5" displayEmptyCellsAs="gap">
          <x14:colorSeries rgb="FF34B23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Trend'!D34:H34</xm:f>
              <xm:sqref>M24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Z6"/>
  <sheetViews>
    <sheetView showGridLines="0" zoomScale="90" zoomScaleNormal="90" workbookViewId="0"/>
  </sheetViews>
  <sheetFormatPr defaultRowHeight="16.5" x14ac:dyDescent="0.3"/>
  <cols>
    <col min="1" max="5" width="9.140625" style="12"/>
    <col min="6" max="6" width="9.140625" style="13"/>
    <col min="7" max="7" width="9" style="13" customWidth="1"/>
    <col min="8" max="8" width="2.5703125" style="12" customWidth="1"/>
    <col min="9" max="12" width="9.140625" style="12"/>
    <col min="13" max="14" width="9.140625" style="13"/>
    <col min="15" max="16384" width="9.140625" style="12"/>
  </cols>
  <sheetData>
    <row r="1" spans="1:26" ht="15" customHeight="1" x14ac:dyDescent="0.3"/>
    <row r="2" spans="1:26" ht="38.25" x14ac:dyDescent="0.3">
      <c r="A2" s="115" t="s">
        <v>112</v>
      </c>
      <c r="B2" s="172" t="s">
        <v>102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</row>
    <row r="3" spans="1:26" ht="16.5" customHeight="1" x14ac:dyDescent="0.3">
      <c r="Y3" s="12">
        <v>1</v>
      </c>
      <c r="Z3" s="12">
        <v>1</v>
      </c>
    </row>
    <row r="4" spans="1:26" ht="18" customHeight="1" x14ac:dyDescent="0.3">
      <c r="Y4" s="12">
        <v>2</v>
      </c>
      <c r="Z4" s="12">
        <v>10</v>
      </c>
    </row>
    <row r="5" spans="1:26" x14ac:dyDescent="0.3">
      <c r="Y5" s="12">
        <v>3</v>
      </c>
      <c r="Z5" s="12">
        <v>9</v>
      </c>
    </row>
    <row r="6" spans="1:26" x14ac:dyDescent="0.3">
      <c r="Y6" s="12">
        <v>4</v>
      </c>
      <c r="Z6" s="12">
        <v>13</v>
      </c>
    </row>
  </sheetData>
  <mergeCells count="1">
    <mergeCell ref="B2:M2"/>
  </mergeCells>
  <hyperlinks>
    <hyperlink ref="A2" location="Home!A1" tooltip="Click to navigate to the Home sheet." display="ç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print="0" autoLine="0" autoPict="0">
                <anchor>
                  <from>
                    <xdr:col>1</xdr:col>
                    <xdr:colOff>28575</xdr:colOff>
                    <xdr:row>3</xdr:row>
                    <xdr:rowOff>19050</xdr:rowOff>
                  </from>
                  <to>
                    <xdr:col>4</xdr:col>
                    <xdr:colOff>47625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>
                  <from>
                    <xdr:col>8</xdr:col>
                    <xdr:colOff>28575</xdr:colOff>
                    <xdr:row>3</xdr:row>
                    <xdr:rowOff>19050</xdr:rowOff>
                  </from>
                  <to>
                    <xdr:col>11</xdr:col>
                    <xdr:colOff>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Drop Down 3">
              <controlPr defaultSize="0" autoLine="0" autoPict="0">
                <anchor moveWithCells="1">
                  <from>
                    <xdr:col>1</xdr:col>
                    <xdr:colOff>47625</xdr:colOff>
                    <xdr:row>15</xdr:row>
                    <xdr:rowOff>47625</xdr:rowOff>
                  </from>
                  <to>
                    <xdr:col>4</xdr:col>
                    <xdr:colOff>38100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Drop Down 4">
              <controlPr defaultSize="0" autoLine="0" autoPict="0">
                <anchor moveWithCells="1">
                  <from>
                    <xdr:col>8</xdr:col>
                    <xdr:colOff>57150</xdr:colOff>
                    <xdr:row>15</xdr:row>
                    <xdr:rowOff>9525</xdr:rowOff>
                  </from>
                  <to>
                    <xdr:col>11</xdr:col>
                    <xdr:colOff>28575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50"/>
  <sheetViews>
    <sheetView showGridLines="0" zoomScale="90" zoomScaleNormal="90" workbookViewId="0"/>
  </sheetViews>
  <sheetFormatPr defaultRowHeight="16.5" x14ac:dyDescent="0.3"/>
  <cols>
    <col min="1" max="1" width="2.85546875" style="13" customWidth="1"/>
    <col min="2" max="2" width="6.42578125" style="12" customWidth="1"/>
    <col min="3" max="4" width="6" style="12" customWidth="1"/>
    <col min="5" max="5" width="23.7109375" style="12" customWidth="1"/>
    <col min="6" max="6" width="4.7109375" style="13" customWidth="1"/>
    <col min="7" max="7" width="23.5703125" style="13" customWidth="1"/>
    <col min="8" max="8" width="3" style="13" customWidth="1"/>
    <col min="9" max="9" width="23.5703125" style="13" customWidth="1"/>
    <col min="10" max="10" width="3" style="13" customWidth="1"/>
    <col min="11" max="11" width="23.5703125" style="13" customWidth="1"/>
    <col min="12" max="12" width="3" style="13" customWidth="1"/>
    <col min="13" max="13" width="23.5703125" style="13" customWidth="1"/>
    <col min="14" max="14" width="3" style="13" customWidth="1"/>
    <col min="15" max="15" width="21" style="12" customWidth="1"/>
    <col min="16" max="16384" width="9.140625" style="12"/>
  </cols>
  <sheetData>
    <row r="1" spans="1:18" s="13" customFormat="1" ht="15" customHeight="1" x14ac:dyDescent="0.3"/>
    <row r="2" spans="1:18" ht="38.25" customHeight="1" x14ac:dyDescent="0.65">
      <c r="B2" s="115" t="s">
        <v>112</v>
      </c>
      <c r="C2" s="81" t="str">
        <f>CONCATENATE('Ratio Trend'!$D$4," Financial Ratio Report")</f>
        <v>SAMLTD Financial Ratio Report</v>
      </c>
      <c r="D2" s="81"/>
      <c r="I2" s="117"/>
      <c r="K2" s="113">
        <f>CHOOSE(B, "GLCurrentYear(" &amp; $D$6 &amp; ")", CellContents, 2020)</f>
        <v>2020</v>
      </c>
      <c r="L2" s="82"/>
      <c r="M2" s="114" t="s">
        <v>109</v>
      </c>
      <c r="O2" s="174" t="s">
        <v>139</v>
      </c>
      <c r="P2" s="174"/>
      <c r="Q2" s="174"/>
      <c r="R2" s="174"/>
    </row>
    <row r="3" spans="1:18" ht="6.95" customHeight="1" x14ac:dyDescent="0.3">
      <c r="O3" s="174"/>
      <c r="P3" s="174"/>
      <c r="Q3" s="174"/>
      <c r="R3" s="174"/>
    </row>
    <row r="4" spans="1:18" ht="24.75" customHeight="1" x14ac:dyDescent="0.35">
      <c r="C4" s="83" t="s">
        <v>100</v>
      </c>
      <c r="D4" s="83"/>
      <c r="F4" s="118" t="s">
        <v>113</v>
      </c>
      <c r="G4" s="116"/>
      <c r="H4" s="84"/>
      <c r="I4" s="119" t="s">
        <v>114</v>
      </c>
      <c r="J4" s="84"/>
      <c r="K4" s="84"/>
      <c r="L4" s="84"/>
      <c r="M4" s="84"/>
      <c r="N4" s="84"/>
      <c r="O4" s="174"/>
      <c r="P4" s="174"/>
      <c r="Q4" s="174"/>
      <c r="R4" s="174"/>
    </row>
    <row r="5" spans="1:18" s="13" customFormat="1" ht="8.25" customHeight="1" x14ac:dyDescent="0.3">
      <c r="O5" s="174"/>
      <c r="P5" s="174"/>
      <c r="Q5" s="174"/>
      <c r="R5" s="174"/>
    </row>
    <row r="6" spans="1:18" s="13" customFormat="1" ht="2.25" customHeight="1" x14ac:dyDescent="0.3"/>
    <row r="7" spans="1:18" s="13" customFormat="1" ht="27.75" customHeight="1" x14ac:dyDescent="0.3">
      <c r="E7" s="136" t="str">
        <f>Calculations!B8</f>
        <v>Gross Profit (Loss)</v>
      </c>
      <c r="G7" s="136" t="str">
        <f>Calculations!B9</f>
        <v>Net Income (Loss)</v>
      </c>
      <c r="I7" s="136" t="str">
        <f>Calculations!B10</f>
        <v>Total Assets</v>
      </c>
      <c r="K7" s="136" t="str">
        <f>Calculations!B11</f>
        <v>Total Liabilities</v>
      </c>
      <c r="M7" s="136" t="str">
        <f>Calculations!B12</f>
        <v>Profit Before Interest and Tax</v>
      </c>
      <c r="N7" s="85"/>
    </row>
    <row r="8" spans="1:18" ht="21" customHeight="1" x14ac:dyDescent="0.3">
      <c r="E8" s="137">
        <f>IFERROR(Calculations!G8,"")</f>
        <v>993291</v>
      </c>
      <c r="G8" s="139">
        <f>IFERROR(Calculations!G9,"")</f>
        <v>88111</v>
      </c>
      <c r="I8" s="139">
        <f>IFERROR(Calculations!G10,"")</f>
        <v>13109722</v>
      </c>
      <c r="K8" s="139">
        <f>IFERROR(Calculations!G11,"")</f>
        <v>14253878</v>
      </c>
      <c r="M8" s="141">
        <f>IFERROR(Calculations!G12,"")</f>
        <v>97611</v>
      </c>
      <c r="N8" s="86"/>
    </row>
    <row r="9" spans="1:18" s="13" customFormat="1" ht="18.75" customHeight="1" x14ac:dyDescent="0.3">
      <c r="E9" s="138">
        <f ca="1">Calculations!H8</f>
        <v>-0.42980472658449764</v>
      </c>
      <c r="G9" s="138">
        <f ca="1">Calculations!H9</f>
        <v>-1.0115648930006875</v>
      </c>
      <c r="I9" s="138">
        <f ca="1">Calculations!H10</f>
        <v>0.86590159757868879</v>
      </c>
      <c r="K9" s="138">
        <f ca="1">Calculations!H11</f>
        <v>0.12637713505965364</v>
      </c>
      <c r="M9" s="142">
        <f ca="1">Calculations!H12</f>
        <v>-1.0128480595956424</v>
      </c>
      <c r="N9" s="87"/>
    </row>
    <row r="10" spans="1:18" s="13" customFormat="1" ht="8.25" customHeight="1" x14ac:dyDescent="0.3">
      <c r="E10" s="140"/>
      <c r="G10" s="140"/>
      <c r="I10" s="140"/>
      <c r="K10" s="140"/>
      <c r="M10" s="140"/>
    </row>
    <row r="11" spans="1:18" s="13" customFormat="1" ht="6.95" customHeight="1" x14ac:dyDescent="0.3"/>
    <row r="12" spans="1:18" s="49" customFormat="1" ht="26.25" customHeight="1" x14ac:dyDescent="0.3">
      <c r="A12" s="88"/>
      <c r="C12" s="83" t="s">
        <v>101</v>
      </c>
      <c r="D12" s="83"/>
      <c r="E12" s="89"/>
      <c r="F12" s="175" t="s">
        <v>115</v>
      </c>
      <c r="G12" s="175"/>
      <c r="H12" s="175"/>
      <c r="I12" s="143" t="s">
        <v>114</v>
      </c>
      <c r="J12" s="89"/>
      <c r="L12" s="89"/>
      <c r="M12" s="89"/>
      <c r="N12" s="89"/>
      <c r="O12" s="89"/>
    </row>
    <row r="13" spans="1:18" s="49" customFormat="1" ht="6.95" customHeight="1" x14ac:dyDescent="0.25">
      <c r="A13" s="88"/>
      <c r="F13" s="88"/>
      <c r="G13" s="88"/>
      <c r="H13" s="88"/>
      <c r="I13" s="88"/>
      <c r="J13" s="88"/>
      <c r="K13" s="88"/>
      <c r="L13" s="88"/>
      <c r="M13" s="88"/>
      <c r="N13" s="88"/>
    </row>
    <row r="14" spans="1:18" s="91" customFormat="1" ht="18.75" customHeight="1" x14ac:dyDescent="0.25">
      <c r="A14" s="90"/>
      <c r="E14" s="92"/>
      <c r="F14" s="92"/>
      <c r="G14" s="25">
        <f>SelectedYear</f>
        <v>2020</v>
      </c>
      <c r="H14" s="93"/>
      <c r="I14" s="112">
        <v>2019</v>
      </c>
      <c r="J14" s="93"/>
      <c r="K14" s="41" t="s">
        <v>23</v>
      </c>
      <c r="L14" s="90"/>
      <c r="M14" s="41" t="s">
        <v>30</v>
      </c>
      <c r="N14" s="94"/>
      <c r="O14" s="94"/>
    </row>
    <row r="15" spans="1:18" ht="18.75" customHeight="1" x14ac:dyDescent="0.3">
      <c r="C15" s="173" t="s">
        <v>31</v>
      </c>
      <c r="D15" s="173"/>
      <c r="E15" s="173"/>
      <c r="F15" s="95"/>
    </row>
    <row r="16" spans="1:18" ht="18.75" customHeight="1" x14ac:dyDescent="0.3">
      <c r="C16" s="170" t="s">
        <v>32</v>
      </c>
      <c r="D16" s="170"/>
      <c r="E16" s="170"/>
      <c r="F16" s="96"/>
      <c r="G16" s="97">
        <f>INDEX('Ratio Trend'!$A$10:$J$47,MATCH('Financial Ratio Report'!$C16,'Ratio Trend'!$C$10:$C$47,0),MATCH(G$14,'Ratio Trend'!$A$10:$J$10,0))</f>
        <v>5.2745917341123508E-2</v>
      </c>
      <c r="H16" s="98"/>
      <c r="I16" s="97">
        <f>INDEX('Ratio Trend'!$A$10:$J$47,MATCH('Financial Ratio Report'!$C16,'Ratio Trend'!$C$10:$C$47,0),MATCH(I$14,'Ratio Trend'!$A$10:$J$10,0))</f>
        <v>-2.8574706539358492</v>
      </c>
      <c r="J16" s="98"/>
      <c r="K16" s="97">
        <f>INDEX('Ratio Trend'!$A$10:$J$47,MATCH('Financial Ratio Report'!$C16,'Ratio Trend'!$C$10:$C$47,0),MATCH(K$14,'Ratio Trend'!$A$10:$J$10,0))</f>
        <v>2.9102165712769725</v>
      </c>
      <c r="L16" s="98"/>
      <c r="M16" s="97">
        <f>INDEX('Ratio Trend'!$A$10:$J$47,MATCH('Financial Ratio Report'!$C16,'Ratio Trend'!$C$10:$C$47,0),MATCH(M$14,'Ratio Trend'!$A$10:$J$10,0))</f>
        <v>6.5000000000000002E-2</v>
      </c>
    </row>
    <row r="17" spans="3:13" ht="18.75" customHeight="1" x14ac:dyDescent="0.3">
      <c r="C17" s="170" t="s">
        <v>33</v>
      </c>
      <c r="D17" s="170"/>
      <c r="E17" s="170"/>
      <c r="F17" s="96"/>
      <c r="G17" s="97">
        <f>INDEX('Ratio Trend'!$A$10:$J$47,MATCH('Financial Ratio Report'!$C17,'Ratio Trend'!$C$10:$C$47,0),MATCH(G$14,'Ratio Trend'!$A$10:$J$10,0))</f>
        <v>6.7210425972419555E-3</v>
      </c>
      <c r="H17" s="98"/>
      <c r="I17" s="97">
        <f>INDEX('Ratio Trend'!$A$10:$J$47,MATCH('Financial Ratio Report'!$C17,'Ratio Trend'!$C$10:$C$47,0),MATCH(I$14,'Ratio Trend'!$A$10:$J$10,0))</f>
        <v>-1.0843856591533239</v>
      </c>
      <c r="J17" s="98"/>
      <c r="K17" s="97">
        <f>INDEX('Ratio Trend'!$A$10:$J$47,MATCH('Financial Ratio Report'!$C17,'Ratio Trend'!$C$10:$C$47,0),MATCH(K$14,'Ratio Trend'!$A$10:$J$10,0))</f>
        <v>1.0911067017505658</v>
      </c>
      <c r="L17" s="98"/>
      <c r="M17" s="97">
        <f>INDEX('Ratio Trend'!$A$10:$J$47,MATCH('Financial Ratio Report'!$C17,'Ratio Trend'!$C$10:$C$47,0),MATCH(M$14,'Ratio Trend'!$A$10:$J$10,0))</f>
        <v>0.1</v>
      </c>
    </row>
    <row r="18" spans="3:13" ht="18.75" customHeight="1" x14ac:dyDescent="0.3">
      <c r="C18" s="170" t="s">
        <v>34</v>
      </c>
      <c r="D18" s="170"/>
      <c r="E18" s="170"/>
      <c r="F18" s="96"/>
      <c r="G18" s="97">
        <f>INDEX('Ratio Trend'!$A$10:$J$47,MATCH('Financial Ratio Report'!$C18,'Ratio Trend'!$C$10:$C$47,0),MATCH(G$14,'Ratio Trend'!$A$10:$J$10,0))</f>
        <v>-7.7009738199578029E-2</v>
      </c>
      <c r="H18" s="98"/>
      <c r="I18" s="97">
        <f>INDEX('Ratio Trend'!$A$10:$J$47,MATCH('Financial Ratio Report'!$C18,'Ratio Trend'!$C$10:$C$47,0),MATCH(I$14,'Ratio Trend'!$A$10:$J$10,0))</f>
        <v>1.3535740801704983</v>
      </c>
      <c r="J18" s="98"/>
      <c r="K18" s="97">
        <f>INDEX('Ratio Trend'!$A$10:$J$47,MATCH('Financial Ratio Report'!$C18,'Ratio Trend'!$C$10:$C$47,0),MATCH(K$14,'Ratio Trend'!$A$10:$J$10,0))</f>
        <v>-1.4305838183700763</v>
      </c>
      <c r="L18" s="98"/>
      <c r="M18" s="97">
        <f>INDEX('Ratio Trend'!$A$10:$J$47,MATCH('Financial Ratio Report'!$C18,'Ratio Trend'!$C$10:$C$47,0),MATCH(M$14,'Ratio Trend'!$A$10:$J$10,0))</f>
        <v>0.15</v>
      </c>
    </row>
    <row r="19" spans="3:13" ht="18.75" customHeight="1" x14ac:dyDescent="0.3">
      <c r="C19" s="170" t="s">
        <v>35</v>
      </c>
      <c r="D19" s="170"/>
      <c r="E19" s="170"/>
      <c r="F19" s="96"/>
      <c r="G19" s="42">
        <f>INDEX('Ratio Trend'!$A$10:$J$47,MATCH('Financial Ratio Report'!$C19,'Ratio Trend'!$C$10:$C$47,0),MATCH(G$14,'Ratio Trend'!$A$10:$J$10,0))</f>
        <v>0</v>
      </c>
      <c r="H19" s="42"/>
      <c r="I19" s="42">
        <f>INDEX('Ratio Trend'!$A$10:$J$47,MATCH('Financial Ratio Report'!$C19,'Ratio Trend'!$C$10:$C$47,0),MATCH(I$14,'Ratio Trend'!$A$10:$J$10,0))</f>
        <v>0</v>
      </c>
      <c r="J19" s="42"/>
      <c r="K19" s="42">
        <f>INDEX('Ratio Trend'!$A$10:$J$47,MATCH('Financial Ratio Report'!$C19,'Ratio Trend'!$C$10:$C$47,0),MATCH(K$14,'Ratio Trend'!$A$10:$J$10,0))</f>
        <v>0</v>
      </c>
      <c r="L19" s="42"/>
      <c r="M19" s="42">
        <f>INDEX('Ratio Trend'!$A$10:$J$47,MATCH('Financial Ratio Report'!$C19,'Ratio Trend'!$C$10:$C$47,0),MATCH(M$14,'Ratio Trend'!$A$10:$J$10,0))</f>
        <v>2</v>
      </c>
    </row>
    <row r="20" spans="3:13" ht="18.75" customHeight="1" x14ac:dyDescent="0.3">
      <c r="C20" s="170" t="s">
        <v>36</v>
      </c>
      <c r="D20" s="170"/>
      <c r="E20" s="170"/>
      <c r="F20" s="96"/>
      <c r="G20" s="97">
        <f>INDEX('Ratio Trend'!$A$10:$J$47,MATCH('Financial Ratio Report'!$C20,'Ratio Trend'!$C$10:$C$47,0),MATCH(G$14,'Ratio Trend'!$A$10:$J$10,0))</f>
        <v>0.59461412288683491</v>
      </c>
      <c r="H20" s="98"/>
      <c r="I20" s="97">
        <f>INDEX('Ratio Trend'!$A$10:$J$47,MATCH('Financial Ratio Report'!$C20,'Ratio Trend'!$C$10:$C$47,0),MATCH(I$14,'Ratio Trend'!$A$10:$J$10,0))</f>
        <v>0.65335039076828216</v>
      </c>
      <c r="J20" s="98"/>
      <c r="K20" s="97">
        <f>INDEX('Ratio Trend'!$A$10:$J$47,MATCH('Financial Ratio Report'!$C20,'Ratio Trend'!$C$10:$C$47,0),MATCH(K$14,'Ratio Trend'!$A$10:$J$10,0))</f>
        <v>-5.8736267881447257E-2</v>
      </c>
      <c r="L20" s="98"/>
      <c r="M20" s="97">
        <f>INDEX('Ratio Trend'!$A$10:$J$47,MATCH('Financial Ratio Report'!$C20,'Ratio Trend'!$C$10:$C$47,0),MATCH(M$14,'Ratio Trend'!$A$10:$J$10,0))</f>
        <v>0.3</v>
      </c>
    </row>
    <row r="21" spans="3:13" ht="18.75" customHeight="1" x14ac:dyDescent="0.3">
      <c r="C21" s="170" t="s">
        <v>37</v>
      </c>
      <c r="D21" s="170"/>
      <c r="E21" s="170"/>
      <c r="F21" s="96"/>
      <c r="G21" s="97">
        <f>INDEX('Ratio Trend'!$A$10:$J$47,MATCH('Financial Ratio Report'!$C21,'Ratio Trend'!$C$10:$C$47,0),MATCH(G$14,'Ratio Trend'!$A$10:$J$10,0))</f>
        <v>-0.11413914753745645</v>
      </c>
      <c r="H21" s="98"/>
      <c r="I21" s="97">
        <f>INDEX('Ratio Trend'!$A$10:$J$47,MATCH('Financial Ratio Report'!$C21,'Ratio Trend'!$C$10:$C$47,0),MATCH(I$14,'Ratio Trend'!$A$10:$J$10,0))</f>
        <v>1.4622307035701534</v>
      </c>
      <c r="J21" s="98"/>
      <c r="K21" s="97">
        <f>INDEX('Ratio Trend'!$A$10:$J$47,MATCH('Financial Ratio Report'!$C21,'Ratio Trend'!$C$10:$C$47,0),MATCH(K$14,'Ratio Trend'!$A$10:$J$10,0))</f>
        <v>-1.5763698511076099</v>
      </c>
      <c r="L21" s="98"/>
      <c r="M21" s="97">
        <f>INDEX('Ratio Trend'!$A$10:$J$47,MATCH('Financial Ratio Report'!$C21,'Ratio Trend'!$C$10:$C$47,0),MATCH(M$14,'Ratio Trend'!$A$10:$J$10,0))</f>
        <v>0.19</v>
      </c>
    </row>
    <row r="22" spans="3:13" ht="18.75" customHeight="1" x14ac:dyDescent="0.3">
      <c r="E22" s="29"/>
      <c r="F22" s="29"/>
    </row>
    <row r="23" spans="3:13" ht="18.75" customHeight="1" x14ac:dyDescent="0.3">
      <c r="C23" s="173" t="s">
        <v>38</v>
      </c>
      <c r="D23" s="173"/>
      <c r="E23" s="173"/>
      <c r="F23" s="95"/>
    </row>
    <row r="24" spans="3:13" ht="18.75" customHeight="1" x14ac:dyDescent="0.3">
      <c r="C24" s="170" t="s">
        <v>39</v>
      </c>
      <c r="D24" s="170"/>
      <c r="E24" s="170"/>
      <c r="F24" s="96"/>
      <c r="G24" s="42">
        <f>INDEX('Ratio Trend'!$A$10:$J$47,MATCH('Financial Ratio Report'!$C24,'Ratio Trend'!$C$10:$C$47,0),MATCH(G$14,'Ratio Trend'!$A$10:$J$10,0))</f>
        <v>0.56259059484101115</v>
      </c>
      <c r="H24" s="42"/>
      <c r="I24" s="42">
        <f>INDEX('Ratio Trend'!$A$10:$J$47,MATCH('Financial Ratio Report'!$C24,'Ratio Trend'!$C$10:$C$47,0),MATCH(I$14,'Ratio Trend'!$A$10:$J$10,0))</f>
        <v>1.3813736613873389</v>
      </c>
      <c r="J24" s="42"/>
      <c r="K24" s="42">
        <f>INDEX('Ratio Trend'!$A$10:$J$47,MATCH('Financial Ratio Report'!$C24,'Ratio Trend'!$C$10:$C$47,0),MATCH(K$14,'Ratio Trend'!$A$10:$J$10,0))</f>
        <v>-0.81878306654632771</v>
      </c>
      <c r="L24" s="42"/>
      <c r="M24" s="42">
        <f>INDEX('Ratio Trend'!$A$10:$J$47,MATCH('Financial Ratio Report'!$C24,'Ratio Trend'!$C$10:$C$47,0),MATCH(M$14,'Ratio Trend'!$A$10:$J$10,0))</f>
        <v>10</v>
      </c>
    </row>
    <row r="25" spans="3:13" ht="18.75" customHeight="1" x14ac:dyDescent="0.3">
      <c r="C25" s="170" t="s">
        <v>40</v>
      </c>
      <c r="D25" s="170"/>
      <c r="E25" s="170"/>
      <c r="F25" s="96"/>
      <c r="G25" s="42">
        <f>INDEX('Ratio Trend'!$A$10:$J$47,MATCH('Financial Ratio Report'!$C25,'Ratio Trend'!$C$10:$C$47,0),MATCH(G$14,'Ratio Trend'!$A$10:$J$10,0))</f>
        <v>648.78439729897991</v>
      </c>
      <c r="H25" s="42"/>
      <c r="I25" s="42">
        <f>INDEX('Ratio Trend'!$A$10:$J$47,MATCH('Financial Ratio Report'!$C25,'Ratio Trend'!$C$10:$C$47,0),MATCH(I$14,'Ratio Trend'!$A$10:$J$10,0))</f>
        <v>264.22973754503454</v>
      </c>
      <c r="J25" s="42"/>
      <c r="K25" s="42">
        <f>INDEX('Ratio Trend'!$A$10:$J$47,MATCH('Financial Ratio Report'!$C25,'Ratio Trend'!$C$10:$C$47,0),MATCH(K$14,'Ratio Trend'!$A$10:$J$10,0))</f>
        <v>384.55465975394537</v>
      </c>
      <c r="L25" s="42"/>
      <c r="M25" s="42">
        <f>INDEX('Ratio Trend'!$A$10:$J$47,MATCH('Financial Ratio Report'!$C25,'Ratio Trend'!$C$10:$C$47,0),MATCH(M$14,'Ratio Trend'!$A$10:$J$10,0))</f>
        <v>36</v>
      </c>
    </row>
    <row r="26" spans="3:13" ht="18.75" customHeight="1" x14ac:dyDescent="0.3">
      <c r="C26" s="170" t="s">
        <v>41</v>
      </c>
      <c r="D26" s="170"/>
      <c r="E26" s="170"/>
      <c r="F26" s="96"/>
      <c r="G26" s="42">
        <f>INDEX('Ratio Trend'!$A$10:$J$47,MATCH('Financial Ratio Report'!$C26,'Ratio Trend'!$C$10:$C$47,0),MATCH(G$14,'Ratio Trend'!$A$10:$J$10,0))</f>
        <v>0.3510610281713944</v>
      </c>
      <c r="H26" s="42"/>
      <c r="I26" s="42">
        <f>INDEX('Ratio Trend'!$A$10:$J$47,MATCH('Financial Ratio Report'!$C26,'Ratio Trend'!$C$10:$C$47,0),MATCH(I$14,'Ratio Trend'!$A$10:$J$10,0))</f>
        <v>0.49343320155781617</v>
      </c>
      <c r="J26" s="42"/>
      <c r="K26" s="42">
        <f>INDEX('Ratio Trend'!$A$10:$J$47,MATCH('Financial Ratio Report'!$C26,'Ratio Trend'!$C$10:$C$47,0),MATCH(K$14,'Ratio Trend'!$A$10:$J$10,0))</f>
        <v>-0.14237217338642177</v>
      </c>
      <c r="L26" s="42"/>
      <c r="M26" s="42">
        <f>INDEX('Ratio Trend'!$A$10:$J$47,MATCH('Financial Ratio Report'!$C26,'Ratio Trend'!$C$10:$C$47,0),MATCH(M$14,'Ratio Trend'!$A$10:$J$10,0))</f>
        <v>7</v>
      </c>
    </row>
    <row r="27" spans="3:13" ht="18.75" customHeight="1" x14ac:dyDescent="0.3">
      <c r="C27" s="170" t="s">
        <v>42</v>
      </c>
      <c r="D27" s="170"/>
      <c r="E27" s="170"/>
      <c r="F27" s="96"/>
      <c r="G27" s="42">
        <f>INDEX('Ratio Trend'!$A$10:$J$47,MATCH('Financial Ratio Report'!$C27,'Ratio Trend'!$C$10:$C$47,0),MATCH(G$14,'Ratio Trend'!$A$10:$J$10,0))</f>
        <v>1039.7052669195748</v>
      </c>
      <c r="H27" s="42"/>
      <c r="I27" s="42">
        <f>INDEX('Ratio Trend'!$A$10:$J$47,MATCH('Financial Ratio Report'!$C27,'Ratio Trend'!$C$10:$C$47,0),MATCH(I$14,'Ratio Trend'!$A$10:$J$10,0))</f>
        <v>739.71512019795136</v>
      </c>
      <c r="J27" s="42"/>
      <c r="K27" s="42">
        <f>INDEX('Ratio Trend'!$A$10:$J$47,MATCH('Financial Ratio Report'!$C27,'Ratio Trend'!$C$10:$C$47,0),MATCH(K$14,'Ratio Trend'!$A$10:$J$10,0))</f>
        <v>299.99014672162343</v>
      </c>
      <c r="L27" s="42"/>
      <c r="M27" s="42">
        <f>INDEX('Ratio Trend'!$A$10:$J$47,MATCH('Financial Ratio Report'!$C27,'Ratio Trend'!$C$10:$C$47,0),MATCH(M$14,'Ratio Trend'!$A$10:$J$10,0))</f>
        <v>52</v>
      </c>
    </row>
    <row r="28" spans="3:13" ht="18.75" customHeight="1" x14ac:dyDescent="0.3">
      <c r="C28" s="170" t="s">
        <v>43</v>
      </c>
      <c r="D28" s="170"/>
      <c r="E28" s="170"/>
      <c r="F28" s="96"/>
      <c r="G28" s="42">
        <f>INDEX('Ratio Trend'!$A$10:$J$47,MATCH('Financial Ratio Report'!$C28,'Ratio Trend'!$C$10:$C$47,0),MATCH(G$14,'Ratio Trend'!$A$10:$J$10,0))</f>
        <v>5.2119353410898434E-2</v>
      </c>
      <c r="H28" s="42"/>
      <c r="I28" s="42">
        <f>INDEX('Ratio Trend'!$A$10:$J$47,MATCH('Financial Ratio Report'!$C28,'Ratio Trend'!$C$10:$C$47,0),MATCH(I$14,'Ratio Trend'!$A$10:$J$10,0))</f>
        <v>8.2226560901426729E-2</v>
      </c>
      <c r="J28" s="42"/>
      <c r="K28" s="42">
        <f>INDEX('Ratio Trend'!$A$10:$J$47,MATCH('Financial Ratio Report'!$C28,'Ratio Trend'!$C$10:$C$47,0),MATCH(K$14,'Ratio Trend'!$A$10:$J$10,0))</f>
        <v>-3.0107207490528295E-2</v>
      </c>
      <c r="L28" s="42"/>
      <c r="M28" s="42">
        <f>INDEX('Ratio Trend'!$A$10:$J$47,MATCH('Financial Ratio Report'!$C28,'Ratio Trend'!$C$10:$C$47,0),MATCH(M$14,'Ratio Trend'!$A$10:$J$10,0))</f>
        <v>12</v>
      </c>
    </row>
    <row r="29" spans="3:13" ht="18.75" customHeight="1" x14ac:dyDescent="0.3">
      <c r="C29" s="170" t="s">
        <v>44</v>
      </c>
      <c r="D29" s="170"/>
      <c r="E29" s="170"/>
      <c r="F29" s="96"/>
      <c r="G29" s="42">
        <f>INDEX('Ratio Trend'!$A$10:$J$47,MATCH('Financial Ratio Report'!$C29,'Ratio Trend'!$C$10:$C$47,0),MATCH(G$14,'Ratio Trend'!$A$10:$J$10,0))</f>
        <v>7003.1567184345877</v>
      </c>
      <c r="H29" s="42"/>
      <c r="I29" s="42">
        <f>INDEX('Ratio Trend'!$A$10:$J$47,MATCH('Financial Ratio Report'!$C29,'Ratio Trend'!$C$10:$C$47,0),MATCH(I$14,'Ratio Trend'!$A$10:$J$10,0))</f>
        <v>4438.9549556567526</v>
      </c>
      <c r="J29" s="42"/>
      <c r="K29" s="42">
        <f>INDEX('Ratio Trend'!$A$10:$J$47,MATCH('Financial Ratio Report'!$C29,'Ratio Trend'!$C$10:$C$47,0),MATCH(K$14,'Ratio Trend'!$A$10:$J$10,0))</f>
        <v>2564.201762777835</v>
      </c>
      <c r="L29" s="42"/>
      <c r="M29" s="42">
        <f>INDEX('Ratio Trend'!$A$10:$J$47,MATCH('Financial Ratio Report'!$C29,'Ratio Trend'!$C$10:$C$47,0),MATCH(M$14,'Ratio Trend'!$A$10:$J$10,0))</f>
        <v>30</v>
      </c>
    </row>
    <row r="30" spans="3:13" ht="16.5" customHeight="1" x14ac:dyDescent="0.3">
      <c r="C30" s="170" t="s">
        <v>45</v>
      </c>
      <c r="D30" s="170"/>
      <c r="E30" s="170"/>
      <c r="F30" s="96"/>
      <c r="G30" s="42">
        <f>INDEX('Ratio Trend'!$A$10:$J$47,MATCH('Financial Ratio Report'!$C30,'Ratio Trend'!$C$10:$C$47,0),MATCH(G$14,'Ratio Trend'!$A$10:$J$10,0))</f>
        <v>1.5716425437110966</v>
      </c>
      <c r="H30" s="42"/>
      <c r="I30" s="42">
        <f>INDEX('Ratio Trend'!$A$10:$J$47,MATCH('Financial Ratio Report'!$C30,'Ratio Trend'!$C$10:$C$47,0),MATCH(I$14,'Ratio Trend'!$A$10:$J$10,0))</f>
        <v>3.4949900902884825</v>
      </c>
      <c r="J30" s="42"/>
      <c r="K30" s="42">
        <f>INDEX('Ratio Trend'!$A$10:$J$47,MATCH('Financial Ratio Report'!$C30,'Ratio Trend'!$C$10:$C$47,0),MATCH(K$14,'Ratio Trend'!$A$10:$J$10,0))</f>
        <v>-1.9233475465773859</v>
      </c>
      <c r="L30" s="42"/>
      <c r="M30" s="42">
        <f>INDEX('Ratio Trend'!$A$10:$J$47,MATCH('Financial Ratio Report'!$C30,'Ratio Trend'!$C$10:$C$47,0),MATCH(M$14,'Ratio Trend'!$A$10:$J$10,0))</f>
        <v>5.4</v>
      </c>
    </row>
    <row r="31" spans="3:13" ht="16.5" customHeight="1" x14ac:dyDescent="0.3">
      <c r="C31" s="170" t="s">
        <v>46</v>
      </c>
      <c r="D31" s="170"/>
      <c r="E31" s="170"/>
      <c r="F31" s="96"/>
      <c r="G31" s="42">
        <f>INDEX('Ratio Trend'!$A$10:$J$47,MATCH('Financial Ratio Report'!$C31,'Ratio Trend'!$C$10:$C$47,0),MATCH(G$14,'Ratio Trend'!$A$10:$J$10,0))</f>
        <v>0.1274229918834282</v>
      </c>
      <c r="H31" s="42"/>
      <c r="I31" s="42">
        <f>INDEX('Ratio Trend'!$A$10:$J$47,MATCH('Financial Ratio Report'!$C31,'Ratio Trend'!$C$10:$C$47,0),MATCH(I$14,'Ratio Trend'!$A$10:$J$10,0))</f>
        <v>0.37949144207647512</v>
      </c>
      <c r="J31" s="42"/>
      <c r="K31" s="42">
        <f>INDEX('Ratio Trend'!$A$10:$J$47,MATCH('Financial Ratio Report'!$C31,'Ratio Trend'!$C$10:$C$47,0),MATCH(K$14,'Ratio Trend'!$A$10:$J$10,0))</f>
        <v>-0.25206845019304691</v>
      </c>
      <c r="L31" s="42"/>
      <c r="M31" s="42">
        <f>INDEX('Ratio Trend'!$A$10:$J$47,MATCH('Financial Ratio Report'!$C31,'Ratio Trend'!$C$10:$C$47,0),MATCH(M$14,'Ratio Trend'!$A$10:$J$10,0))</f>
        <v>1.5</v>
      </c>
    </row>
    <row r="32" spans="3:13" ht="16.5" customHeight="1" x14ac:dyDescent="0.3">
      <c r="E32" s="29"/>
      <c r="F32" s="29"/>
    </row>
    <row r="33" spans="3:13" ht="16.5" customHeight="1" x14ac:dyDescent="0.3">
      <c r="C33" s="173" t="s">
        <v>47</v>
      </c>
      <c r="D33" s="173"/>
      <c r="E33" s="173"/>
      <c r="F33" s="95"/>
    </row>
    <row r="34" spans="3:13" ht="16.5" customHeight="1" x14ac:dyDescent="0.3">
      <c r="C34" s="170" t="s">
        <v>48</v>
      </c>
      <c r="D34" s="170"/>
      <c r="E34" s="170"/>
      <c r="F34" s="96"/>
      <c r="G34" s="42">
        <f>INDEX('Ratio Trend'!$A$10:$J$47,MATCH('Financial Ratio Report'!$C34,'Ratio Trend'!$C$10:$C$47,0),MATCH(G$14,'Ratio Trend'!$A$10:$J$10,0))</f>
        <v>-1115655</v>
      </c>
      <c r="H34" s="42"/>
      <c r="I34" s="42">
        <f>INDEX('Ratio Trend'!$A$10:$J$47,MATCH('Financial Ratio Report'!$C34,'Ratio Trend'!$C$10:$C$47,0),MATCH(I$14,'Ratio Trend'!$A$10:$J$10,0))</f>
        <v>-5631177</v>
      </c>
      <c r="J34" s="42"/>
      <c r="K34" s="42">
        <f>INDEX('Ratio Trend'!$A$10:$J$47,MATCH('Financial Ratio Report'!$C34,'Ratio Trend'!$C$10:$C$47,0),MATCH(K$14,'Ratio Trend'!$A$10:$J$10,0))</f>
        <v>4515522</v>
      </c>
      <c r="L34" s="42"/>
      <c r="M34" s="42">
        <f>INDEX('Ratio Trend'!$A$10:$J$47,MATCH('Financial Ratio Report'!$C34,'Ratio Trend'!$C$10:$C$47,0),MATCH(M$14,'Ratio Trend'!$A$10:$J$10,0))</f>
        <v>500000</v>
      </c>
    </row>
    <row r="35" spans="3:13" ht="16.5" customHeight="1" x14ac:dyDescent="0.3">
      <c r="C35" s="170" t="s">
        <v>49</v>
      </c>
      <c r="D35" s="170"/>
      <c r="E35" s="170"/>
      <c r="F35" s="96"/>
      <c r="G35" s="97">
        <f>INDEX('Ratio Trend'!$A$10:$J$47,MATCH('Financial Ratio Report'!$C35,'Ratio Trend'!$C$10:$C$47,0),MATCH(G$14,'Ratio Trend'!$A$10:$J$10,0))</f>
        <v>0.92011014746598885</v>
      </c>
      <c r="H35" s="98"/>
      <c r="I35" s="97">
        <f>INDEX('Ratio Trend'!$A$10:$J$47,MATCH('Financial Ratio Report'!$C35,'Ratio Trend'!$C$10:$C$47,0),MATCH(I$14,'Ratio Trend'!$A$10:$J$10,0))</f>
        <v>0.53924614168615392</v>
      </c>
      <c r="J35" s="97"/>
      <c r="K35" s="97">
        <f>INDEX('Ratio Trend'!$A$10:$J$47,MATCH('Financial Ratio Report'!$C35,'Ratio Trend'!$C$10:$C$47,0),MATCH(K$14,'Ratio Trend'!$A$10:$J$10,0))</f>
        <v>0.38086400577983492</v>
      </c>
      <c r="L35" s="97"/>
      <c r="M35" s="97">
        <f>INDEX('Ratio Trend'!$A$10:$J$47,MATCH('Financial Ratio Report'!$C35,'Ratio Trend'!$C$10:$C$47,0),MATCH(M$14,'Ratio Trend'!$A$10:$J$10,0))</f>
        <v>2.6700000000000002E-2</v>
      </c>
    </row>
    <row r="36" spans="3:13" ht="16.5" customHeight="1" x14ac:dyDescent="0.3">
      <c r="C36" s="170" t="s">
        <v>50</v>
      </c>
      <c r="D36" s="170"/>
      <c r="E36" s="170"/>
      <c r="F36" s="96"/>
      <c r="G36" s="42">
        <f>INDEX('Ratio Trend'!$A$10:$J$47,MATCH('Financial Ratio Report'!$C36,'Ratio Trend'!$C$10:$C$47,0),MATCH(G$14,'Ratio Trend'!$A$10:$J$10,0))</f>
        <v>-1.4973087558429801</v>
      </c>
      <c r="H36" s="42"/>
      <c r="I36" s="42">
        <f>INDEX('Ratio Trend'!$A$10:$J$47,MATCH('Financial Ratio Report'!$C36,'Ratio Trend'!$C$10:$C$47,0),MATCH(I$14,'Ratio Trend'!$A$10:$J$10,0))</f>
        <v>-0.47348644874774848</v>
      </c>
      <c r="J36" s="42"/>
      <c r="K36" s="42">
        <f>INDEX('Ratio Trend'!$A$10:$J$47,MATCH('Financial Ratio Report'!$C36,'Ratio Trend'!$C$10:$C$47,0),MATCH(K$14,'Ratio Trend'!$A$10:$J$10,0))</f>
        <v>-1.0238223070952315</v>
      </c>
      <c r="L36" s="42"/>
      <c r="M36" s="42">
        <f>INDEX('Ratio Trend'!$A$10:$J$47,MATCH('Financial Ratio Report'!$C36,'Ratio Trend'!$C$10:$C$47,0),MATCH(M$14,'Ratio Trend'!$A$10:$J$10,0))</f>
        <v>5</v>
      </c>
    </row>
    <row r="37" spans="3:13" ht="16.5" customHeight="1" x14ac:dyDescent="0.3">
      <c r="C37" s="170" t="s">
        <v>51</v>
      </c>
      <c r="D37" s="170"/>
      <c r="E37" s="170"/>
      <c r="F37" s="96"/>
      <c r="G37" s="97">
        <f>INDEX('Ratio Trend'!$A$10:$J$47,MATCH('Financial Ratio Report'!$C37,'Ratio Trend'!$C$10:$C$47,0),MATCH(G$14,'Ratio Trend'!$A$10:$J$10,0))</f>
        <v>0.78197984019236777</v>
      </c>
      <c r="H37" s="98"/>
      <c r="I37" s="97">
        <f>INDEX('Ratio Trend'!$A$10:$J$47,MATCH('Financial Ratio Report'!$C37,'Ratio Trend'!$C$10:$C$47,0),MATCH(I$14,'Ratio Trend'!$A$10:$J$10,0))</f>
        <v>0.38598259156284825</v>
      </c>
      <c r="J37" s="97"/>
      <c r="K37" s="97">
        <f>INDEX('Ratio Trend'!$A$10:$J$47,MATCH('Financial Ratio Report'!$C37,'Ratio Trend'!$C$10:$C$47,0),MATCH(K$14,'Ratio Trend'!$A$10:$J$10,0))</f>
        <v>0.39599724862951952</v>
      </c>
      <c r="L37" s="97"/>
      <c r="M37" s="97">
        <f>INDEX('Ratio Trend'!$A$10:$J$47,MATCH('Financial Ratio Report'!$C37,'Ratio Trend'!$C$10:$C$47,0),MATCH(M$14,'Ratio Trend'!$A$10:$J$10,0))</f>
        <v>0.02</v>
      </c>
    </row>
    <row r="38" spans="3:13" ht="16.5" customHeight="1" x14ac:dyDescent="0.3">
      <c r="E38" s="29"/>
      <c r="F38" s="29"/>
    </row>
    <row r="39" spans="3:13" ht="16.5" customHeight="1" x14ac:dyDescent="0.3">
      <c r="C39" s="173" t="s">
        <v>52</v>
      </c>
      <c r="D39" s="173"/>
      <c r="E39" s="173"/>
      <c r="F39" s="95"/>
    </row>
    <row r="40" spans="3:13" ht="16.5" customHeight="1" x14ac:dyDescent="0.3">
      <c r="C40" s="170" t="s">
        <v>53</v>
      </c>
      <c r="D40" s="170"/>
      <c r="E40" s="170"/>
      <c r="F40" s="96"/>
      <c r="G40" s="97">
        <f>INDEX('Ratio Trend'!$A$10:$J$47,MATCH('Financial Ratio Report'!$C40,'Ratio Trend'!$C$10:$C$47,0),MATCH(G$14,'Ratio Trend'!$A$10:$J$10,0))</f>
        <v>1.0652334961794003</v>
      </c>
      <c r="H40" s="97"/>
      <c r="I40" s="97">
        <f>INDEX('Ratio Trend'!$A$10:$J$47,MATCH('Financial Ratio Report'!$C40,'Ratio Trend'!$C$10:$C$47,0),MATCH(I$14,'Ratio Trend'!$A$10:$J$10,0))</f>
        <v>1.7395040809456948</v>
      </c>
      <c r="J40" s="97"/>
      <c r="K40" s="97">
        <f>INDEX('Ratio Trend'!$A$10:$J$47,MATCH('Financial Ratio Report'!$C40,'Ratio Trend'!$C$10:$C$47,0),MATCH(K$14,'Ratio Trend'!$A$10:$J$10,0))</f>
        <v>-0.67427058476629442</v>
      </c>
      <c r="L40" s="97"/>
      <c r="M40" s="97">
        <f>INDEX('Ratio Trend'!$A$10:$J$47,MATCH('Financial Ratio Report'!$C40,'Ratio Trend'!$C$10:$C$47,0),MATCH(M$14,'Ratio Trend'!$A$10:$J$10,0))</f>
        <v>0.33</v>
      </c>
    </row>
    <row r="41" spans="3:13" ht="16.5" customHeight="1" x14ac:dyDescent="0.3">
      <c r="C41" s="170" t="s">
        <v>54</v>
      </c>
      <c r="D41" s="170"/>
      <c r="E41" s="170"/>
      <c r="F41" s="96"/>
      <c r="G41" s="42">
        <f>INDEX('Ratio Trend'!$A$10:$J$47,MATCH('Financial Ratio Report'!$C41,'Ratio Trend'!$C$10:$C$47,0),MATCH(G$14,'Ratio Trend'!$A$10:$J$10,0))</f>
        <v>65.073999999999998</v>
      </c>
      <c r="H41" s="42"/>
      <c r="I41" s="42">
        <f>INDEX('Ratio Trend'!$A$10:$J$47,MATCH('Financial Ratio Report'!$C41,'Ratio Trend'!$C$10:$C$47,0),MATCH(I$14,'Ratio Trend'!$A$10:$J$10,0))</f>
        <v>-5064.8893333333335</v>
      </c>
      <c r="J41" s="42"/>
      <c r="K41" s="42">
        <f>INDEX('Ratio Trend'!$A$10:$J$47,MATCH('Financial Ratio Report'!$C41,'Ratio Trend'!$C$10:$C$47,0),MATCH(K$14,'Ratio Trend'!$A$10:$J$10,0))</f>
        <v>5129.9633333333331</v>
      </c>
      <c r="L41" s="42"/>
      <c r="M41" s="42">
        <f>INDEX('Ratio Trend'!$A$10:$J$47,MATCH('Financial Ratio Report'!$C41,'Ratio Trend'!$C$10:$C$47,0),MATCH(M$14,'Ratio Trend'!$A$10:$J$10,0))</f>
        <v>15</v>
      </c>
    </row>
    <row r="42" spans="3:13" ht="16.5" customHeight="1" x14ac:dyDescent="0.3">
      <c r="C42" s="170" t="s">
        <v>55</v>
      </c>
      <c r="D42" s="170"/>
      <c r="E42" s="170"/>
      <c r="F42" s="96"/>
      <c r="G42" s="42">
        <f>INDEX('Ratio Trend'!$A$10:$J$47,MATCH('Financial Ratio Report'!$C42,'Ratio Trend'!$C$10:$C$47,0),MATCH(G$14,'Ratio Trend'!$A$10:$J$10,0))</f>
        <v>-0.94546566365365192</v>
      </c>
      <c r="H42" s="42"/>
      <c r="I42" s="42">
        <f>INDEX('Ratio Trend'!$A$10:$J$47,MATCH('Financial Ratio Report'!$C42,'Ratio Trend'!$C$10:$C$47,0),MATCH(I$14,'Ratio Trend'!$A$10:$J$10,0))</f>
        <v>-1.8033916223498676</v>
      </c>
      <c r="J42" s="42"/>
      <c r="K42" s="42">
        <f>INDEX('Ratio Trend'!$A$10:$J$47,MATCH('Financial Ratio Report'!$C42,'Ratio Trend'!$C$10:$C$47,0),MATCH(K$14,'Ratio Trend'!$A$10:$J$10,0))</f>
        <v>0.85792595869621568</v>
      </c>
      <c r="L42" s="42"/>
      <c r="M42" s="42">
        <f>INDEX('Ratio Trend'!$A$10:$J$47,MATCH('Financial Ratio Report'!$C42,'Ratio Trend'!$C$10:$C$47,0),MATCH(M$14,'Ratio Trend'!$A$10:$J$10,0))</f>
        <v>5.5</v>
      </c>
    </row>
    <row r="43" spans="3:13" ht="16.5" customHeight="1" x14ac:dyDescent="0.3">
      <c r="C43" s="170" t="s">
        <v>56</v>
      </c>
      <c r="D43" s="170"/>
      <c r="E43" s="170"/>
      <c r="F43" s="96"/>
      <c r="G43" s="97">
        <f>INDEX('Ratio Trend'!$A$10:$J$47,MATCH('Financial Ratio Report'!$C43,'Ratio Trend'!$C$10:$C$47,0),MATCH(G$14,'Ratio Trend'!$A$10:$J$10,0))</f>
        <v>-12.458006527093382</v>
      </c>
      <c r="H43" s="97"/>
      <c r="I43" s="97">
        <f>INDEX('Ratio Trend'!$A$10:$J$47,MATCH('Financial Ratio Report'!$C43,'Ratio Trend'!$C$10:$C$47,0),MATCH(I$14,'Ratio Trend'!$A$10:$J$10,0))</f>
        <v>-2.2482403064733307</v>
      </c>
      <c r="J43" s="97"/>
      <c r="K43" s="97">
        <f>INDEX('Ratio Trend'!$A$10:$J$47,MATCH('Financial Ratio Report'!$C43,'Ratio Trend'!$C$10:$C$47,0),MATCH(K$14,'Ratio Trend'!$A$10:$J$10,0))</f>
        <v>-10.20976622062005</v>
      </c>
      <c r="L43" s="97"/>
      <c r="M43" s="97">
        <f>INDEX('Ratio Trend'!$A$10:$J$47,MATCH('Financial Ratio Report'!$C43,'Ratio Trend'!$C$10:$C$47,0),MATCH(M$14,'Ratio Trend'!$A$10:$J$10,0))</f>
        <v>0.49</v>
      </c>
    </row>
    <row r="44" spans="3:13" ht="16.5" customHeight="1" x14ac:dyDescent="0.3">
      <c r="C44" s="170" t="s">
        <v>57</v>
      </c>
      <c r="D44" s="170"/>
      <c r="E44" s="170"/>
      <c r="F44" s="96"/>
      <c r="G44" s="97">
        <f>INDEX('Ratio Trend'!$A$10:$J$47,MATCH('Financial Ratio Report'!$C44,'Ratio Trend'!$C$10:$C$47,0),MATCH(G$14,'Ratio Trend'!$A$10:$J$10,0))</f>
        <v>-8.7275229787481381E-2</v>
      </c>
      <c r="H44" s="97"/>
      <c r="I44" s="97">
        <f>INDEX('Ratio Trend'!$A$10:$J$47,MATCH('Financial Ratio Report'!$C44,'Ratio Trend'!$C$10:$C$47,0),MATCH(I$14,'Ratio Trend'!$A$10:$J$10,0))</f>
        <v>-0.80112767748680069</v>
      </c>
      <c r="J44" s="97"/>
      <c r="K44" s="97">
        <f>INDEX('Ratio Trend'!$A$10:$J$47,MATCH('Financial Ratio Report'!$C44,'Ratio Trend'!$C$10:$C$47,0),MATCH(K$14,'Ratio Trend'!$A$10:$J$10,0))</f>
        <v>0.71385244769931933</v>
      </c>
      <c r="L44" s="97"/>
      <c r="M44" s="97">
        <f>INDEX('Ratio Trend'!$A$10:$J$47,MATCH('Financial Ratio Report'!$C44,'Ratio Trend'!$C$10:$C$47,0),MATCH(M$14,'Ratio Trend'!$A$10:$J$10,0))</f>
        <v>0.67</v>
      </c>
    </row>
    <row r="45" spans="3:13" ht="16.5" customHeight="1" x14ac:dyDescent="0.3">
      <c r="E45" s="29"/>
      <c r="F45" s="29"/>
    </row>
    <row r="46" spans="3:13" ht="16.5" customHeight="1" x14ac:dyDescent="0.3">
      <c r="C46" s="173" t="s">
        <v>58</v>
      </c>
      <c r="D46" s="173"/>
      <c r="E46" s="173"/>
      <c r="F46" s="95"/>
    </row>
    <row r="47" spans="3:13" ht="16.5" customHeight="1" x14ac:dyDescent="0.3">
      <c r="C47" s="170" t="s">
        <v>59</v>
      </c>
      <c r="D47" s="170"/>
      <c r="E47" s="170"/>
      <c r="F47" s="96"/>
      <c r="G47" s="97">
        <f>INDEX('Ratio Trend'!$A$10:$J$47,MATCH('Financial Ratio Report'!$C47,'Ratio Trend'!$C$10:$C$47,0),MATCH(G$14,'Ratio Trend'!$A$10:$J$10,0))</f>
        <v>-0.37348056435056104</v>
      </c>
      <c r="H47" s="97"/>
      <c r="I47" s="97">
        <f>INDEX('Ratio Trend'!$A$10:$J$47,MATCH('Financial Ratio Report'!$C47,'Ratio Trend'!$C$10:$C$47,0),MATCH(I$14,'Ratio Trend'!$A$10:$J$10,0))</f>
        <v>0</v>
      </c>
      <c r="J47" s="97"/>
      <c r="K47" s="97">
        <f>INDEX('Ratio Trend'!$A$10:$J$47,MATCH('Financial Ratio Report'!$C47,'Ratio Trend'!$C$10:$C$47,0),MATCH(K$14,'Ratio Trend'!$A$10:$J$10,0))</f>
        <v>-0.37348056435056104</v>
      </c>
      <c r="L47" s="97"/>
      <c r="M47" s="97">
        <f>INDEX('Ratio Trend'!$A$10:$J$47,MATCH('Financial Ratio Report'!$C47,'Ratio Trend'!$C$10:$C$47,0),MATCH(M$14,'Ratio Trend'!$A$10:$J$10,0))</f>
        <v>0.11</v>
      </c>
    </row>
    <row r="48" spans="3:13" ht="16.5" customHeight="1" x14ac:dyDescent="0.3">
      <c r="C48" s="170" t="s">
        <v>60</v>
      </c>
      <c r="D48" s="170"/>
      <c r="E48" s="170"/>
      <c r="F48" s="96"/>
      <c r="G48" s="97">
        <f>INDEX('Ratio Trend'!$A$10:$J$47,MATCH('Financial Ratio Report'!$C48,'Ratio Trend'!$C$10:$C$47,0),MATCH(G$14,'Ratio Trend'!$A$10:$J$10,0))</f>
        <v>-1.0115648930006875</v>
      </c>
      <c r="H48" s="97"/>
      <c r="I48" s="97">
        <f>INDEX('Ratio Trend'!$A$10:$J$47,MATCH('Financial Ratio Report'!$C48,'Ratio Trend'!$C$10:$C$47,0),MATCH(I$14,'Ratio Trend'!$A$10:$J$10,0))</f>
        <v>0</v>
      </c>
      <c r="J48" s="97"/>
      <c r="K48" s="97">
        <f>INDEX('Ratio Trend'!$A$10:$J$47,MATCH('Financial Ratio Report'!$C48,'Ratio Trend'!$C$10:$C$47,0),MATCH(K$14,'Ratio Trend'!$A$10:$J$10,0))</f>
        <v>-1.0115648930006875</v>
      </c>
      <c r="L48" s="97"/>
      <c r="M48" s="97">
        <f>INDEX('Ratio Trend'!$A$10:$J$47,MATCH('Financial Ratio Report'!$C48,'Ratio Trend'!$C$10:$C$47,0),MATCH(M$14,'Ratio Trend'!$A$10:$J$10,0))</f>
        <v>7.0000000000000007E-2</v>
      </c>
    </row>
    <row r="49" spans="3:13" ht="16.5" customHeight="1" x14ac:dyDescent="0.3">
      <c r="C49" s="170" t="s">
        <v>61</v>
      </c>
      <c r="D49" s="170"/>
      <c r="E49" s="170"/>
      <c r="F49" s="96"/>
      <c r="G49" s="97">
        <f>INDEX('Ratio Trend'!$A$10:$J$47,MATCH('Financial Ratio Report'!$C49,'Ratio Trend'!$C$10:$C$47,0),MATCH(G$14,'Ratio Trend'!$A$10:$J$10,0))</f>
        <v>0.86590159757868868</v>
      </c>
      <c r="H49" s="97"/>
      <c r="I49" s="97">
        <f>INDEX('Ratio Trend'!$A$10:$J$47,MATCH('Financial Ratio Report'!$C49,'Ratio Trend'!$C$10:$C$47,0),MATCH(I$14,'Ratio Trend'!$A$10:$J$10,0))</f>
        <v>0</v>
      </c>
      <c r="J49" s="97"/>
      <c r="K49" s="97">
        <f>INDEX('Ratio Trend'!$A$10:$J$47,MATCH('Financial Ratio Report'!$C49,'Ratio Trend'!$C$10:$C$47,0),MATCH(K$14,'Ratio Trend'!$A$10:$J$10,0))</f>
        <v>0.86590159757868868</v>
      </c>
      <c r="L49" s="97"/>
      <c r="M49" s="97">
        <f>INDEX('Ratio Trend'!$A$10:$J$47,MATCH('Financial Ratio Report'!$C49,'Ratio Trend'!$C$10:$C$47,0),MATCH(M$14,'Ratio Trend'!$A$10:$J$10,0))</f>
        <v>0.12</v>
      </c>
    </row>
    <row r="50" spans="3:13" ht="16.5" customHeight="1" x14ac:dyDescent="0.3">
      <c r="C50" s="170" t="s">
        <v>62</v>
      </c>
      <c r="D50" s="170"/>
      <c r="E50" s="170"/>
      <c r="F50" s="96"/>
      <c r="G50" s="97">
        <f>INDEX('Ratio Trend'!$A$10:$J$47,MATCH('Financial Ratio Report'!$C50,'Ratio Trend'!$C$10:$C$47,0),MATCH(G$14,'Ratio Trend'!$A$10:$J$10,0))</f>
        <v>0.1263771350596537</v>
      </c>
      <c r="H50" s="97"/>
      <c r="I50" s="97">
        <f>INDEX('Ratio Trend'!$A$10:$J$47,MATCH('Financial Ratio Report'!$C50,'Ratio Trend'!$C$10:$C$47,0),MATCH(I$14,'Ratio Trend'!$A$10:$J$10,0))</f>
        <v>0</v>
      </c>
      <c r="J50" s="97"/>
      <c r="K50" s="97">
        <f>INDEX('Ratio Trend'!$A$10:$J$47,MATCH('Financial Ratio Report'!$C50,'Ratio Trend'!$C$10:$C$47,0),MATCH(K$14,'Ratio Trend'!$A$10:$J$10,0))</f>
        <v>0.1263771350596537</v>
      </c>
      <c r="L50" s="97"/>
      <c r="M50" s="97">
        <f>INDEX('Ratio Trend'!$A$10:$J$47,MATCH('Financial Ratio Report'!$C50,'Ratio Trend'!$C$10:$C$47,0),MATCH(M$14,'Ratio Trend'!$A$10:$J$10,0))</f>
        <v>0.1</v>
      </c>
    </row>
  </sheetData>
  <mergeCells count="34">
    <mergeCell ref="O2:R5"/>
    <mergeCell ref="F12:H12"/>
    <mergeCell ref="C27:E27"/>
    <mergeCell ref="C15:E15"/>
    <mergeCell ref="C16:E16"/>
    <mergeCell ref="C17:E17"/>
    <mergeCell ref="C18:E18"/>
    <mergeCell ref="C19:E19"/>
    <mergeCell ref="C20:E20"/>
    <mergeCell ref="C21:E21"/>
    <mergeCell ref="C23:E23"/>
    <mergeCell ref="C24:E24"/>
    <mergeCell ref="C25:E25"/>
    <mergeCell ref="C26:E26"/>
    <mergeCell ref="C41:E41"/>
    <mergeCell ref="C28:E28"/>
    <mergeCell ref="C29:E29"/>
    <mergeCell ref="C30:E30"/>
    <mergeCell ref="C31:E31"/>
    <mergeCell ref="C33:E33"/>
    <mergeCell ref="C34:E34"/>
    <mergeCell ref="C35:E35"/>
    <mergeCell ref="C36:E36"/>
    <mergeCell ref="C37:E37"/>
    <mergeCell ref="C39:E39"/>
    <mergeCell ref="C40:E40"/>
    <mergeCell ref="C49:E49"/>
    <mergeCell ref="C50:E50"/>
    <mergeCell ref="C42:E42"/>
    <mergeCell ref="C43:E43"/>
    <mergeCell ref="C44:E44"/>
    <mergeCell ref="C46:E46"/>
    <mergeCell ref="C47:E47"/>
    <mergeCell ref="C48:E48"/>
  </mergeCells>
  <conditionalFormatting sqref="E9 G9 I9 K9 M9">
    <cfRule type="iconSet" priority="1">
      <iconSet iconSet="3Arrows">
        <cfvo type="percent" val="0"/>
        <cfvo type="num" val="0"/>
        <cfvo type="num" val="0" gte="0"/>
      </iconSet>
    </cfRule>
  </conditionalFormatting>
  <dataValidations count="1">
    <dataValidation type="list" allowBlank="1" showInputMessage="1" sqref="K2 I14">
      <formula1>FiscalYearsTemplate</formula1>
    </dataValidation>
  </dataValidations>
  <hyperlinks>
    <hyperlink ref="B2" location="Home!A1" tooltip="Click to navigate to the Home sheet." display="ç"/>
    <hyperlink ref="I4" location="'Financial Report Settings'!A1" tooltip="Click to view Key Metric Settings" display="Æ"/>
    <hyperlink ref="I12" location="'Ratio Benchmarking'!A1" tooltip="Click to navigate to the benchmark sheet." display="Æ"/>
  </hyperlinks>
  <pageMargins left="0.23622047244094491" right="0.23622047244094491" top="0.74803149606299213" bottom="0.74803149606299213" header="0.31496062992125984" footer="0.31496062992125984"/>
  <pageSetup paperSize="9"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B5D92A31364E4EB82BB0A43C17A7C9" ma:contentTypeVersion="0" ma:contentTypeDescription="Create a new document." ma:contentTypeScope="" ma:versionID="802809ef1e66a142c2a2780d2c3e68b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38EA9B-D33A-4B47-84CC-343E12032F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B8B332B-B0AC-47C5-BCB8-074A3C2716B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7A87D1F-041A-4E03-9555-23EEB3F80F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101</vt:i4>
      </vt:variant>
    </vt:vector>
  </HeadingPairs>
  <TitlesOfParts>
    <vt:vector size="121" baseType="lpstr">
      <vt:lpstr>Go! Internal</vt:lpstr>
      <vt:lpstr>Calculations</vt:lpstr>
      <vt:lpstr>RatioOptions</vt:lpstr>
      <vt:lpstr>Names</vt:lpstr>
      <vt:lpstr>Lookup Data</vt:lpstr>
      <vt:lpstr>Home</vt:lpstr>
      <vt:lpstr>Dashboard</vt:lpstr>
      <vt:lpstr>Ratio Charts</vt:lpstr>
      <vt:lpstr>Financial Ratio Report</vt:lpstr>
      <vt:lpstr>Ratio Trend</vt:lpstr>
      <vt:lpstr>Financial Data</vt:lpstr>
      <vt:lpstr>Ratio Benchmarking</vt:lpstr>
      <vt:lpstr>Financial Report Settings</vt:lpstr>
      <vt:lpstr>Charts</vt:lpstr>
      <vt:lpstr>Profitability</vt:lpstr>
      <vt:lpstr>Asset Utilization</vt:lpstr>
      <vt:lpstr>Liquidity</vt:lpstr>
      <vt:lpstr>Debt Utilization</vt:lpstr>
      <vt:lpstr>Growth</vt:lpstr>
      <vt:lpstr>Missing Accounts</vt:lpstr>
      <vt:lpstr>AutoRefresh</vt:lpstr>
      <vt:lpstr>AutoRefresh1</vt:lpstr>
      <vt:lpstr>AutoRefresh2</vt:lpstr>
      <vt:lpstr>'Asset Utilization'!AveCollPer</vt:lpstr>
      <vt:lpstr>AveCollPer</vt:lpstr>
      <vt:lpstr>B</vt:lpstr>
      <vt:lpstr>'Asset Utilization'!chtAccPayPer</vt:lpstr>
      <vt:lpstr>Names!chtAccPayPer</vt:lpstr>
      <vt:lpstr>chtAccPayPer</vt:lpstr>
      <vt:lpstr>'Asset Utilization'!chtAccPayTO</vt:lpstr>
      <vt:lpstr>Names!chtAccPayTO</vt:lpstr>
      <vt:lpstr>chtAccPayTO</vt:lpstr>
      <vt:lpstr>Growth!chtAssetGrow</vt:lpstr>
      <vt:lpstr>Names!chtAssetGrow</vt:lpstr>
      <vt:lpstr>chtAssetGrow</vt:lpstr>
      <vt:lpstr>'Asset Utilization'!chtAveCollPer</vt:lpstr>
      <vt:lpstr>Names!chtAveCollPer</vt:lpstr>
      <vt:lpstr>chtAveCollPer</vt:lpstr>
      <vt:lpstr>'Asset Utilization'!chtCapAssetTO</vt:lpstr>
      <vt:lpstr>Names!chtCapAssetTO</vt:lpstr>
      <vt:lpstr>chtCapAssetTO</vt:lpstr>
      <vt:lpstr>'Debt Utilization'!chtDebtEquity</vt:lpstr>
      <vt:lpstr>Names!chtDebtEquity</vt:lpstr>
      <vt:lpstr>chtDebtEquity</vt:lpstr>
      <vt:lpstr>'Debt Utilization'!chtDebtTotAsset</vt:lpstr>
      <vt:lpstr>Names!chtDebtTotAsset</vt:lpstr>
      <vt:lpstr>chtDebtTotAsset</vt:lpstr>
      <vt:lpstr>Names!chtDivCover</vt:lpstr>
      <vt:lpstr>Profitability!chtDivCover</vt:lpstr>
      <vt:lpstr>chtDivCover</vt:lpstr>
      <vt:lpstr>'Debt Utilization'!chtEquityAsset</vt:lpstr>
      <vt:lpstr>Names!chtEquityAsset</vt:lpstr>
      <vt:lpstr>chtEquityAsset</vt:lpstr>
      <vt:lpstr>'Debt Utilization'!chtFixChgCov</vt:lpstr>
      <vt:lpstr>Names!chtFixChgCov</vt:lpstr>
      <vt:lpstr>chtFixChgCov</vt:lpstr>
      <vt:lpstr>Names!chtGrossMargin</vt:lpstr>
      <vt:lpstr>Profitability!chtGrossMargin</vt:lpstr>
      <vt:lpstr>chtGrossMargin</vt:lpstr>
      <vt:lpstr>'Asset Utilization'!chtInvHoldPer</vt:lpstr>
      <vt:lpstr>Names!chtInvHoldPer</vt:lpstr>
      <vt:lpstr>chtInvHoldPer</vt:lpstr>
      <vt:lpstr>'Asset Utilization'!chtInvTO</vt:lpstr>
      <vt:lpstr>Names!chtInvTO</vt:lpstr>
      <vt:lpstr>chtInvTO</vt:lpstr>
      <vt:lpstr>Growth!chtLiabGrow</vt:lpstr>
      <vt:lpstr>Names!chtLiabGrow</vt:lpstr>
      <vt:lpstr>chtLiabGrow</vt:lpstr>
      <vt:lpstr>Growth!chtNetIncGrow</vt:lpstr>
      <vt:lpstr>Names!chtNetIncGrow</vt:lpstr>
      <vt:lpstr>chtNetIncGrow</vt:lpstr>
      <vt:lpstr>Names!chtProfitMargin</vt:lpstr>
      <vt:lpstr>Profitability!chtProfitMargin</vt:lpstr>
      <vt:lpstr>chtProfitMargin</vt:lpstr>
      <vt:lpstr>Liquidity!chtQuickRatio</vt:lpstr>
      <vt:lpstr>Names!chtQuickRatio</vt:lpstr>
      <vt:lpstr>chtQuickRatio</vt:lpstr>
      <vt:lpstr>'Asset Utilization'!chtRecTO</vt:lpstr>
      <vt:lpstr>Names!chtRecTO</vt:lpstr>
      <vt:lpstr>chtRecTO</vt:lpstr>
      <vt:lpstr>Growth!chtRevGrow</vt:lpstr>
      <vt:lpstr>Names!chtRevGrow</vt:lpstr>
      <vt:lpstr>chtRevGrow</vt:lpstr>
      <vt:lpstr>Names!chtROA</vt:lpstr>
      <vt:lpstr>Profitability!chtROA</vt:lpstr>
      <vt:lpstr>chtROA</vt:lpstr>
      <vt:lpstr>Names!chtROCE</vt:lpstr>
      <vt:lpstr>Profitability!chtROCE</vt:lpstr>
      <vt:lpstr>chtROCE</vt:lpstr>
      <vt:lpstr>Names!chtROE</vt:lpstr>
      <vt:lpstr>Profitability!chtROE</vt:lpstr>
      <vt:lpstr>chtROE</vt:lpstr>
      <vt:lpstr>'Debt Utilization'!chtTimesIntEarn</vt:lpstr>
      <vt:lpstr>Names!chtTimesIntEarn</vt:lpstr>
      <vt:lpstr>chtTimesIntEarn</vt:lpstr>
      <vt:lpstr>'Asset Utilization'!chtTotAssetTO</vt:lpstr>
      <vt:lpstr>Names!chtTotAssetTO</vt:lpstr>
      <vt:lpstr>chtTotAssetTO</vt:lpstr>
      <vt:lpstr>Liquidity!chtWorkCap</vt:lpstr>
      <vt:lpstr>Names!chtWorkCap</vt:lpstr>
      <vt:lpstr>chtWorkCap</vt:lpstr>
      <vt:lpstr>Liquidity!chtWorkCapRatio</vt:lpstr>
      <vt:lpstr>Names!chtWorkCapRatio</vt:lpstr>
      <vt:lpstr>chtWorkCapRatio</vt:lpstr>
      <vt:lpstr>Liquidity!chtWorkCapTO</vt:lpstr>
      <vt:lpstr>Names!chtWorkCapTO</vt:lpstr>
      <vt:lpstr>chtWorkCapTO</vt:lpstr>
      <vt:lpstr>Companies</vt:lpstr>
      <vt:lpstr>CompaniesBudgets</vt:lpstr>
      <vt:lpstr>Decimal</vt:lpstr>
      <vt:lpstr>Delimiter</vt:lpstr>
      <vt:lpstr>FiscalYears</vt:lpstr>
      <vt:lpstr>lstRatios</vt:lpstr>
      <vt:lpstr>MissingAccounts</vt:lpstr>
      <vt:lpstr>Periods</vt:lpstr>
      <vt:lpstr>Dashboard!Print_Area</vt:lpstr>
      <vt:lpstr>'Financial Data'!Print_Area</vt:lpstr>
      <vt:lpstr>'Financial Ratio Report'!Print_Area</vt:lpstr>
      <vt:lpstr>'Ratio Benchmarking'!Print_Area</vt:lpstr>
      <vt:lpstr>'Ratio Trend'!Print_Area</vt:lpstr>
      <vt:lpstr>SelectedYear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Brennan, Michael</dc:creator>
  <cp:lastModifiedBy>Greaves, Jessica</cp:lastModifiedBy>
  <cp:lastPrinted>2015-01-17T12:25:06Z</cp:lastPrinted>
  <dcterms:created xsi:type="dcterms:W3CDTF">2014-03-14T08:42:55Z</dcterms:created>
  <dcterms:modified xsi:type="dcterms:W3CDTF">2015-04-21T11:58:11Z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0x0101004FB5D92A31364E4EB82BB0A43C17A7C9</vt:lpwstr>
  </property>
</Properties>
</file>